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rundhauser\ND Office Echo\VAULT-ggrundhauser@dun\"/>
    </mc:Choice>
  </mc:AlternateContent>
  <xr:revisionPtr revIDLastSave="0" documentId="10_ncr:8100000_{8A962ABC-C889-48E9-939E-37FC33C75BE4}" xr6:coauthVersionLast="34" xr6:coauthVersionMax="34" xr10:uidLastSave="{00000000-0000-0000-0000-000000000000}"/>
  <bookViews>
    <workbookView xWindow="0" yWindow="0" windowWidth="28800" windowHeight="11775" xr2:uid="{00000000-000D-0000-FFFF-FFFF00000000}"/>
  </bookViews>
  <sheets>
    <sheet name="Summary" sheetId="4" r:id="rId1"/>
    <sheet name="Energy" sheetId="3" r:id="rId2"/>
    <sheet name="FCM REC" sheetId="1" r:id="rId3"/>
  </sheets>
  <definedNames>
    <definedName name="_xlnm.Print_Area" localSheetId="2">'FCM REC'!$A$1:$N$59</definedName>
  </definedNames>
  <calcPr calcId="162913"/>
</workbook>
</file>

<file path=xl/calcChain.xml><?xml version="1.0" encoding="utf-8"?>
<calcChain xmlns="http://schemas.openxmlformats.org/spreadsheetml/2006/main">
  <c r="L12" i="3" l="1"/>
  <c r="K12" i="3"/>
  <c r="O12" i="3" s="1"/>
  <c r="I12" i="3"/>
  <c r="E12" i="3"/>
  <c r="I25" i="1"/>
  <c r="D25" i="1"/>
  <c r="D28" i="1"/>
  <c r="D27" i="1"/>
  <c r="C13" i="4" l="1"/>
  <c r="C11" i="4"/>
  <c r="P12" i="3"/>
  <c r="V11" i="1" l="1"/>
  <c r="Q14" i="1"/>
  <c r="Q13" i="1"/>
  <c r="Q11" i="1"/>
  <c r="V10" i="1"/>
  <c r="Q10" i="1"/>
  <c r="Q16" i="1" l="1"/>
  <c r="B53" i="1"/>
  <c r="C48" i="1"/>
  <c r="B48" i="1"/>
  <c r="B44" i="1"/>
  <c r="B47" i="1" s="1"/>
  <c r="B52" i="1" s="1"/>
  <c r="B54" i="1" l="1"/>
  <c r="B56" i="1" s="1"/>
  <c r="C17" i="4" s="1"/>
  <c r="B49" i="1"/>
  <c r="J24" i="1"/>
  <c r="W10" i="1" s="1"/>
  <c r="E24" i="1"/>
  <c r="R10" i="1" s="1"/>
  <c r="F24" i="1"/>
  <c r="S10" i="1" s="1"/>
  <c r="J10" i="1"/>
  <c r="K10" i="1"/>
  <c r="L10" i="1" s="1"/>
  <c r="E10" i="1"/>
  <c r="F10" i="1"/>
  <c r="G10" i="1"/>
  <c r="H10" i="1" s="1"/>
  <c r="J11" i="1"/>
  <c r="J25" i="1" s="1"/>
  <c r="W11" i="1" s="1"/>
  <c r="E11" i="1"/>
  <c r="E25" i="1" s="1"/>
  <c r="R11" i="1" s="1"/>
  <c r="F11" i="1"/>
  <c r="E28" i="1"/>
  <c r="F28" i="1"/>
  <c r="G28" i="1"/>
  <c r="H28" i="1" s="1"/>
  <c r="I28" i="1" s="1"/>
  <c r="E27" i="1"/>
  <c r="F27" i="1"/>
  <c r="G27" i="1"/>
  <c r="H27" i="1" s="1"/>
  <c r="E14" i="1"/>
  <c r="R14" i="1" s="1"/>
  <c r="E13" i="1"/>
  <c r="R13" i="1" s="1"/>
  <c r="D16" i="1"/>
  <c r="E30" i="1"/>
  <c r="D30" i="1"/>
  <c r="F25" i="1" l="1"/>
  <c r="N10" i="1"/>
  <c r="E16" i="1"/>
  <c r="F13" i="1"/>
  <c r="F14" i="1"/>
  <c r="G11" i="1"/>
  <c r="K11" i="1"/>
  <c r="G24" i="1"/>
  <c r="K24" i="1"/>
  <c r="D33" i="1"/>
  <c r="E33" i="1"/>
  <c r="J28" i="1"/>
  <c r="K28" i="1" s="1"/>
  <c r="L28" i="1" s="1"/>
  <c r="I27" i="1"/>
  <c r="R16" i="1"/>
  <c r="X10" i="1" l="1"/>
  <c r="L24" i="1"/>
  <c r="Y10" i="1" s="1"/>
  <c r="T10" i="1"/>
  <c r="AA10" i="1" s="1"/>
  <c r="H24" i="1"/>
  <c r="U10" i="1" s="1"/>
  <c r="S14" i="1"/>
  <c r="G14" i="1"/>
  <c r="K25" i="1"/>
  <c r="X11" i="1" s="1"/>
  <c r="L11" i="1"/>
  <c r="L25" i="1" s="1"/>
  <c r="Y11" i="1" s="1"/>
  <c r="S13" i="1"/>
  <c r="S16" i="1" s="1"/>
  <c r="G13" i="1"/>
  <c r="H11" i="1"/>
  <c r="H25" i="1" s="1"/>
  <c r="G25" i="1"/>
  <c r="T11" i="1" s="1"/>
  <c r="S11" i="1"/>
  <c r="F30" i="1"/>
  <c r="F16" i="1"/>
  <c r="N28" i="1"/>
  <c r="J27" i="1"/>
  <c r="I30" i="1"/>
  <c r="F33" i="1" l="1"/>
  <c r="G30" i="1"/>
  <c r="N24" i="1"/>
  <c r="T13" i="1"/>
  <c r="T16" i="1" s="1"/>
  <c r="G16" i="1"/>
  <c r="H13" i="1"/>
  <c r="T14" i="1"/>
  <c r="H14" i="1"/>
  <c r="U11" i="1"/>
  <c r="H30" i="1"/>
  <c r="J30" i="1"/>
  <c r="K27" i="1"/>
  <c r="H33" i="1" l="1"/>
  <c r="H16" i="1"/>
  <c r="I13" i="1"/>
  <c r="U13" i="1"/>
  <c r="U16" i="1" s="1"/>
  <c r="G33" i="1"/>
  <c r="U14" i="1"/>
  <c r="I14" i="1"/>
  <c r="L27" i="1"/>
  <c r="L30" i="1" s="1"/>
  <c r="K30" i="1"/>
  <c r="N27" i="1"/>
  <c r="V14" i="1" l="1"/>
  <c r="J14" i="1"/>
  <c r="I16" i="1"/>
  <c r="I33" i="1" s="1"/>
  <c r="V13" i="1"/>
  <c r="V16" i="1" s="1"/>
  <c r="J13" i="1"/>
  <c r="N30" i="1"/>
  <c r="N25" i="1" s="1"/>
  <c r="W14" i="1" l="1"/>
  <c r="K14" i="1"/>
  <c r="J16" i="1"/>
  <c r="J33" i="1" s="1"/>
  <c r="K13" i="1"/>
  <c r="W13" i="1"/>
  <c r="K16" i="1" l="1"/>
  <c r="K33" i="1" s="1"/>
  <c r="X13" i="1"/>
  <c r="L13" i="1"/>
  <c r="W16" i="1"/>
  <c r="X14" i="1"/>
  <c r="L14" i="1"/>
  <c r="N13" i="1" l="1"/>
  <c r="Y13" i="1"/>
  <c r="L16" i="1"/>
  <c r="Y14" i="1"/>
  <c r="AA14" i="1" s="1"/>
  <c r="N14" i="1"/>
  <c r="X16" i="1"/>
  <c r="N16" i="1" l="1"/>
  <c r="N11" i="1" s="1"/>
  <c r="L33" i="1"/>
  <c r="N33" i="1" s="1"/>
  <c r="Y16" i="1"/>
  <c r="AA16" i="1" s="1"/>
  <c r="AA13" i="1"/>
  <c r="AA56" i="1" l="1"/>
  <c r="C15" i="4"/>
  <c r="C19" i="4" s="1"/>
  <c r="AA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Watts, Charles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Watts, Charles:</t>
        </r>
        <r>
          <rPr>
            <sz val="9"/>
            <color indexed="81"/>
            <rFont val="Tahoma"/>
            <family val="2"/>
          </rPr>
          <t xml:space="preserve">
Summer 2015 Peak determined Jan-May 2017 costs
</t>
        </r>
      </text>
    </comment>
    <comment ref="I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Watts, Charles:</t>
        </r>
        <r>
          <rPr>
            <sz val="9"/>
            <color indexed="81"/>
            <rFont val="Tahoma"/>
            <family val="2"/>
          </rPr>
          <t xml:space="preserve">
August 2016 Peak determined Jun-Sept 2017 costs
</t>
        </r>
      </text>
    </comment>
    <comment ref="P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Watts, Charles:</t>
        </r>
        <r>
          <rPr>
            <sz val="9"/>
            <color indexed="81"/>
            <rFont val="Tahoma"/>
            <family val="2"/>
          </rPr>
          <t xml:space="preserve">
At (estimated) time of ISO peak in year(s) that affect test Period and Rate period</t>
        </r>
      </text>
    </comment>
    <comment ref="D2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Watts, Charles:</t>
        </r>
        <r>
          <rPr>
            <sz val="9"/>
            <color indexed="81"/>
            <rFont val="Tahoma"/>
            <family val="2"/>
          </rPr>
          <t xml:space="preserve">
June 2017 Peak determines Jan-May 2019 costs</t>
        </r>
      </text>
    </comment>
    <comment ref="I2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Watts, Charles:</t>
        </r>
        <r>
          <rPr>
            <sz val="9"/>
            <color indexed="81"/>
            <rFont val="Tahoma"/>
            <family val="2"/>
          </rPr>
          <t xml:space="preserve">
Summer 2018 Peak determine Jun-Sept 2019 costs</t>
        </r>
      </text>
    </comment>
  </commentList>
</comments>
</file>

<file path=xl/sharedStrings.xml><?xml version="1.0" encoding="utf-8"?>
<sst xmlns="http://schemas.openxmlformats.org/spreadsheetml/2006/main" count="106" uniqueCount="66">
  <si>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</si>
  <si>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</si>
  <si>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</si>
  <si>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</si>
  <si>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</si>
  <si>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</si>
  <si>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</si>
  <si>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</si>
  <si>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</si>
  <si>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Peak Year</t>
  </si>
  <si>
    <t>Test Year</t>
  </si>
  <si>
    <t>Est Peak Day Installed MW</t>
  </si>
  <si>
    <t>Total/</t>
  </si>
  <si>
    <t>Average</t>
  </si>
  <si>
    <t>Applicable FCA Price</t>
  </si>
  <si>
    <t>Estimated Coincidence</t>
  </si>
  <si>
    <t>Estimated Res. Req Multiplier</t>
  </si>
  <si>
    <t>Estimated Savings</t>
  </si>
  <si>
    <t>Test Period Impact</t>
  </si>
  <si>
    <t>Rate Period Impact</t>
  </si>
  <si>
    <t>Estimated Value of NM Generation on Capacity Costs from Test Period to Rate Period</t>
  </si>
  <si>
    <t>Estimated Savings Change</t>
  </si>
  <si>
    <t>4/10/2018</t>
  </si>
  <si>
    <t xml:space="preserve"> Projected market value of premium RECs</t>
  </si>
  <si>
    <t xml:space="preserve"> Projected premium REC value</t>
  </si>
  <si>
    <t xml:space="preserve"> Incremental value of RECs</t>
  </si>
  <si>
    <t xml:space="preserve"> Net Cost Impact of incremental NM Generation</t>
  </si>
  <si>
    <t>Change in value just from increased volume</t>
  </si>
  <si>
    <t>Installed MW Change</t>
  </si>
  <si>
    <t>Rate Period FCA Price</t>
  </si>
  <si>
    <t>CHANGE</t>
  </si>
  <si>
    <t>Nine Months</t>
  </si>
  <si>
    <t>Jan - Sept 2017</t>
  </si>
  <si>
    <t>Jan - Sept 2019</t>
  </si>
  <si>
    <t>Energy</t>
  </si>
  <si>
    <t>Net</t>
  </si>
  <si>
    <t>Rate</t>
  </si>
  <si>
    <t>Volume</t>
  </si>
  <si>
    <t>Energy Cost</t>
  </si>
  <si>
    <t>MWh</t>
  </si>
  <si>
    <t>MWh $</t>
  </si>
  <si>
    <t>Impact</t>
  </si>
  <si>
    <t>Net Metered Excess</t>
  </si>
  <si>
    <t>Two years growth (and move to NM 2.0 w/ REC costs removed to book as RES cost)</t>
  </si>
  <si>
    <t xml:space="preserve">------------- </t>
  </si>
  <si>
    <t>Value</t>
  </si>
  <si>
    <t>Energy Cost and Value of Additional NM Generation</t>
  </si>
  <si>
    <t>TEST PERIOD</t>
  </si>
  <si>
    <t>RATE PERIOD</t>
  </si>
  <si>
    <t>Estimated Cost Impact of NM 2.0 RECs from Test Period to Rate Period *</t>
  </si>
  <si>
    <t xml:space="preserve"> Effective NM 2.0 REC Price</t>
  </si>
  <si>
    <t xml:space="preserve"> Estimated Test Period NM 2.0 RECs transferred (generation month)</t>
  </si>
  <si>
    <t xml:space="preserve"> Projected Rate Period NM 2.0 RECs transferred (generation month)</t>
  </si>
  <si>
    <t xml:space="preserve"> Estimated iIncrease in RECs</t>
  </si>
  <si>
    <t xml:space="preserve">  Incremental Cost of RECs</t>
  </si>
  <si>
    <t>Less: FCM Savings</t>
  </si>
  <si>
    <t>Plus: Net REC Cost</t>
  </si>
  <si>
    <t>Increase in Net Metered Expense</t>
  </si>
  <si>
    <t>on GMP 2019 Rate Period Power Costs</t>
  </si>
  <si>
    <t xml:space="preserve">Estimated Impacts of Increased Net Metered Generation </t>
  </si>
  <si>
    <t>Less: Energy Savings</t>
  </si>
  <si>
    <t>Estimated Net Impact</t>
  </si>
  <si>
    <t>Condensed Capacity Calc</t>
  </si>
  <si>
    <t xml:space="preserve"> Estimated increase in RECs</t>
  </si>
  <si>
    <t>* Assumption is that almost all NM 2.0 RECs are transferred to GMP</t>
  </si>
  <si>
    <t xml:space="preserve">  (an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</si>
</sst>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0000FF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9" fontId="4" fillId="0" borderId="0" xfId="3" applyFont="1"/>
    <xf numFmtId="9" fontId="0" fillId="0" borderId="0" xfId="3" applyFont="1"/>
    <xf numFmtId="44" fontId="4" fillId="0" borderId="0" xfId="2" applyFont="1"/>
    <xf numFmtId="44" fontId="0" fillId="0" borderId="0" xfId="2" applyFont="1"/>
    <xf numFmtId="9" fontId="1" fillId="0" borderId="0" xfId="3" applyFont="1"/>
    <xf numFmtId="44" fontId="1" fillId="0" borderId="0" xfId="2" applyFont="1"/>
    <xf numFmtId="164" fontId="1" fillId="0" borderId="0" xfId="1" applyNumberFormat="1" applyFont="1"/>
    <xf numFmtId="0" fontId="0" fillId="0" borderId="0" xfId="0" quotePrefix="1"/>
    <xf numFmtId="164" fontId="4" fillId="0" borderId="0" xfId="1" applyNumberFormat="1" applyFont="1"/>
    <xf numFmtId="165" fontId="2" fillId="0" borderId="0" xfId="2" applyNumberFormat="1" applyFont="1"/>
    <xf numFmtId="164" fontId="6" fillId="0" borderId="0" xfId="0" applyNumberFormat="1" applyFont="1"/>
    <xf numFmtId="44" fontId="9" fillId="0" borderId="0" xfId="0" applyNumberFormat="1" applyFont="1"/>
    <xf numFmtId="44" fontId="0" fillId="0" borderId="0" xfId="0" applyNumberFormat="1"/>
    <xf numFmtId="9" fontId="0" fillId="0" borderId="0" xfId="0" applyNumberFormat="1"/>
    <xf numFmtId="164" fontId="0" fillId="2" borderId="0" xfId="0" applyNumberFormat="1" applyFill="1"/>
    <xf numFmtId="43" fontId="0" fillId="0" borderId="0" xfId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9" fontId="6" fillId="0" borderId="0" xfId="3" applyFont="1"/>
    <xf numFmtId="44" fontId="6" fillId="0" borderId="0" xfId="2" applyFont="1"/>
    <xf numFmtId="164" fontId="0" fillId="3" borderId="0" xfId="1" applyNumberFormat="1" applyFont="1" applyFill="1"/>
    <xf numFmtId="164" fontId="0" fillId="0" borderId="0" xfId="1" applyNumberFormat="1" applyFont="1" applyFill="1"/>
    <xf numFmtId="0" fontId="2" fillId="0" borderId="1" xfId="0" applyFont="1" applyBorder="1"/>
    <xf numFmtId="164" fontId="2" fillId="3" borderId="0" xfId="0" applyNumberFormat="1" applyFont="1" applyFill="1"/>
    <xf numFmtId="165" fontId="2" fillId="3" borderId="0" xfId="2" applyNumberFormat="1" applyFont="1" applyFill="1"/>
    <xf numFmtId="165" fontId="0" fillId="0" borderId="0" xfId="2" applyNumberFormat="1" applyFont="1"/>
    <xf numFmtId="165" fontId="0" fillId="0" borderId="0" xfId="2" quotePrefix="1" applyNumberFormat="1" applyFont="1" applyAlignment="1">
      <alignment horizontal="right"/>
    </xf>
    <xf numFmtId="0" fontId="12" fillId="0" borderId="0" xfId="0" applyFont="1" applyAlignment="1"/>
    <xf numFmtId="0" fontId="0" fillId="4" borderId="2" xfId="0" applyFill="1" applyBorder="1"/>
    <xf numFmtId="165" fontId="0" fillId="4" borderId="3" xfId="2" applyNumberFormat="1" applyFont="1" applyFill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19"/>
  <sheetViews>
    <sheetView tabSelected="1" topLeftCell="A4" workbookViewId="0">
      <selection activeCell="J14" sqref="J14"/>
    </sheetView>
  </sheetViews>
  <sheetFormatPr defaultRowHeight="15" x14ac:dyDescent="0.25"/>
  <cols>
    <col min="2" max="2" width="27.7109375" customWidth="1"/>
    <col min="3" max="3" width="12.7109375" style="3" customWidth="1"/>
  </cols>
  <sheetData>
    <row r="5" spans="2:10" x14ac:dyDescent="0.25">
      <c r="E5" s="42"/>
      <c r="F5" s="42"/>
      <c r="G5" s="42"/>
      <c r="H5" s="42"/>
      <c r="I5" s="42"/>
      <c r="J5" s="42"/>
    </row>
    <row r="6" spans="2:10" x14ac:dyDescent="0.25">
      <c r="E6" s="42"/>
      <c r="F6" s="43"/>
      <c r="G6" s="43"/>
      <c r="H6" s="43"/>
      <c r="I6" s="43"/>
      <c r="J6" s="42"/>
    </row>
    <row r="7" spans="2:10" x14ac:dyDescent="0.25">
      <c r="E7" s="42"/>
      <c r="F7" s="42"/>
      <c r="G7" s="42"/>
      <c r="H7" s="42"/>
      <c r="I7" s="42"/>
      <c r="J7" s="42"/>
    </row>
    <row r="8" spans="2:10" ht="15.75" x14ac:dyDescent="0.25">
      <c r="B8" s="36" t="s">
        <v>59</v>
      </c>
      <c r="C8" s="36"/>
      <c r="D8" s="5"/>
    </row>
    <row r="9" spans="2:10" ht="15.75" x14ac:dyDescent="0.25">
      <c r="B9" s="36" t="s">
        <v>58</v>
      </c>
      <c r="C9" s="36"/>
      <c r="D9" s="5"/>
    </row>
    <row r="11" spans="2:10" x14ac:dyDescent="0.25">
      <c r="B11" t="s">
        <v>57</v>
      </c>
      <c r="C11" s="34">
        <f>+Energy!L12</f>
        <v>9963686.0812543146</v>
      </c>
    </row>
    <row r="12" spans="2:10" x14ac:dyDescent="0.25">
      <c r="C12" s="34"/>
    </row>
    <row r="13" spans="2:10" x14ac:dyDescent="0.25">
      <c r="B13" t="s">
        <v>60</v>
      </c>
      <c r="C13" s="34">
        <f>-Energy!O12</f>
        <v>-2299599.7084933557</v>
      </c>
    </row>
    <row r="14" spans="2:10" x14ac:dyDescent="0.25">
      <c r="C14" s="35"/>
    </row>
    <row r="15" spans="2:10" x14ac:dyDescent="0.25">
      <c r="B15" t="s">
        <v>55</v>
      </c>
      <c r="C15" s="34">
        <f>-'FCM REC'!AA16</f>
        <v>-2086359.5999999999</v>
      </c>
    </row>
    <row r="16" spans="2:10" x14ac:dyDescent="0.25">
      <c r="C16" s="34"/>
    </row>
    <row r="17" spans="2:4" x14ac:dyDescent="0.25">
      <c r="B17" t="s">
        <v>56</v>
      </c>
      <c r="C17" s="34">
        <f>+'FCM REC'!B56</f>
        <v>1400000</v>
      </c>
    </row>
    <row r="18" spans="2:4" x14ac:dyDescent="0.25">
      <c r="C18" s="35" t="s">
        <v>44</v>
      </c>
    </row>
    <row r="19" spans="2:4" x14ac:dyDescent="0.25">
      <c r="B19" s="37" t="s">
        <v>61</v>
      </c>
      <c r="C19" s="38">
        <f>SUM(C11:C18)</f>
        <v>6977726.7727609593</v>
      </c>
      <c r="D19" t="s">
        <v>65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2"/>
  <sheetViews>
    <sheetView workbookViewId="0">
      <selection activeCell="I27" sqref="I27"/>
    </sheetView>
  </sheetViews>
  <sheetFormatPr defaultRowHeight="15" x14ac:dyDescent="0.25"/>
  <cols>
    <col min="3" max="3" width="11.140625" bestFit="1" customWidth="1"/>
    <col min="4" max="4" width="13.7109375" bestFit="1" customWidth="1"/>
    <col min="5" max="5" width="9" bestFit="1" customWidth="1"/>
    <col min="7" max="7" width="11.140625" bestFit="1" customWidth="1"/>
    <col min="8" max="8" width="13.7109375" bestFit="1" customWidth="1"/>
    <col min="9" max="9" width="9" bestFit="1" customWidth="1"/>
    <col min="11" max="11" width="10.7109375" bestFit="1" customWidth="1"/>
    <col min="12" max="12" width="13.28515625" bestFit="1" customWidth="1"/>
    <col min="13" max="13" width="9" bestFit="1" customWidth="1"/>
    <col min="15" max="15" width="14.42578125" customWidth="1"/>
    <col min="16" max="16" width="13.28515625" bestFit="1" customWidth="1"/>
    <col min="21" max="22" width="9" bestFit="1" customWidth="1"/>
    <col min="28" max="30" width="12.5703125" bestFit="1" customWidth="1"/>
    <col min="31" max="31" width="13.28515625" bestFit="1" customWidth="1"/>
  </cols>
  <sheetData>
    <row r="3" spans="1:40" ht="18.75" x14ac:dyDescent="0.3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6" spans="1:40" x14ac:dyDescent="0.25">
      <c r="A6" s="3"/>
      <c r="B6" s="3"/>
      <c r="C6" s="3"/>
      <c r="D6" s="26" t="s">
        <v>47</v>
      </c>
      <c r="E6" s="3"/>
      <c r="F6" s="3"/>
      <c r="G6" s="3"/>
      <c r="H6" s="26" t="s">
        <v>48</v>
      </c>
      <c r="I6" s="3"/>
      <c r="J6" s="3"/>
      <c r="K6" s="3"/>
      <c r="L6" s="26" t="s">
        <v>30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5">
      <c r="A7" s="3"/>
      <c r="B7" s="3"/>
      <c r="C7" s="3"/>
      <c r="D7" s="26" t="s">
        <v>31</v>
      </c>
      <c r="E7" s="3"/>
      <c r="F7" s="3"/>
      <c r="G7" s="3"/>
      <c r="H7" s="26" t="s">
        <v>31</v>
      </c>
      <c r="I7" s="3"/>
      <c r="J7" s="3"/>
      <c r="K7" s="3"/>
      <c r="L7" s="26" t="s">
        <v>31</v>
      </c>
      <c r="M7" s="3"/>
      <c r="N7" s="3"/>
      <c r="O7" s="10">
        <v>40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5">
      <c r="A8" s="3"/>
      <c r="B8" s="3"/>
      <c r="C8" s="3"/>
      <c r="D8" s="3" t="s">
        <v>32</v>
      </c>
      <c r="E8" s="3"/>
      <c r="F8" s="3"/>
      <c r="G8" s="3"/>
      <c r="H8" s="26" t="s">
        <v>33</v>
      </c>
      <c r="I8" s="3"/>
      <c r="J8" s="3"/>
      <c r="K8" s="3"/>
      <c r="L8" s="26" t="s">
        <v>33</v>
      </c>
      <c r="M8" s="3"/>
      <c r="N8" s="3"/>
      <c r="O8" s="24" t="s">
        <v>34</v>
      </c>
      <c r="P8" s="24" t="s">
        <v>35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26"/>
      <c r="M9" s="3"/>
      <c r="N9" s="3"/>
      <c r="O9" s="24" t="s">
        <v>37</v>
      </c>
      <c r="P9" s="24" t="s">
        <v>38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1" customFormat="1" x14ac:dyDescent="0.25">
      <c r="A10" s="25"/>
      <c r="B10" s="25"/>
      <c r="C10" s="25" t="s">
        <v>39</v>
      </c>
      <c r="D10" s="25" t="s">
        <v>40</v>
      </c>
      <c r="E10" s="25" t="s">
        <v>36</v>
      </c>
      <c r="F10" s="25"/>
      <c r="G10" s="25" t="s">
        <v>39</v>
      </c>
      <c r="H10" s="25" t="s">
        <v>40</v>
      </c>
      <c r="I10" s="25" t="s">
        <v>36</v>
      </c>
      <c r="J10" s="25"/>
      <c r="K10" s="25" t="s">
        <v>39</v>
      </c>
      <c r="L10" s="25" t="s">
        <v>40</v>
      </c>
      <c r="M10" s="25" t="s">
        <v>36</v>
      </c>
      <c r="N10" s="25"/>
      <c r="O10" s="25" t="s">
        <v>45</v>
      </c>
      <c r="P10" s="25" t="s">
        <v>41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x14ac:dyDescent="0.25">
      <c r="A12" s="3" t="s">
        <v>42</v>
      </c>
      <c r="B12" s="3"/>
      <c r="C12" s="16">
        <v>97208.53</v>
      </c>
      <c r="D12" s="16">
        <v>19805593.670000002</v>
      </c>
      <c r="E12" s="23">
        <f>+D12/C12</f>
        <v>203.74337180080803</v>
      </c>
      <c r="F12" s="3"/>
      <c r="G12" s="16">
        <v>154698.52271233388</v>
      </c>
      <c r="H12" s="16">
        <v>29769279.751254316</v>
      </c>
      <c r="I12" s="23">
        <f>+H12/G12</f>
        <v>192.43415663775343</v>
      </c>
      <c r="J12" s="3"/>
      <c r="K12" s="3">
        <f>+G12-C12</f>
        <v>57489.992712333886</v>
      </c>
      <c r="L12" s="3">
        <f>+H12-D12</f>
        <v>9963686.0812543146</v>
      </c>
      <c r="M12" s="23">
        <v>-11.309215163054603</v>
      </c>
      <c r="N12" s="3"/>
      <c r="O12" s="29">
        <f>+K12*O7</f>
        <v>2299599.7084933557</v>
      </c>
      <c r="P12" s="30">
        <f>+L12-O12</f>
        <v>7664086.372760959</v>
      </c>
      <c r="Q12" s="3"/>
      <c r="R12" s="3" t="s">
        <v>43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</sheetData>
  <mergeCells count="1"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9" sqref="A19"/>
    </sheetView>
  </sheetViews>
  <sheetFormatPr defaultRowHeight="15" x14ac:dyDescent="0.25"/>
  <cols>
    <col min="2" max="2" width="12.28515625" customWidth="1"/>
    <col min="4" max="4" width="10.140625" bestFit="1" customWidth="1"/>
    <col min="13" max="13" width="1.42578125" customWidth="1"/>
    <col min="14" max="14" width="11.140625" customWidth="1"/>
    <col min="16" max="16" width="27.85546875" customWidth="1"/>
    <col min="27" max="27" width="12.7109375" customWidth="1"/>
  </cols>
  <sheetData>
    <row r="1" spans="1:27" x14ac:dyDescent="0.25">
      <c r="A1" s="15" t="s">
        <v>22</v>
      </c>
    </row>
    <row r="3" spans="1:27" ht="18.75" x14ac:dyDescent="0.3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Q3" s="41" t="s">
        <v>27</v>
      </c>
      <c r="R3" s="41"/>
      <c r="S3" s="41"/>
      <c r="T3" s="41"/>
      <c r="U3" s="41"/>
      <c r="V3" s="41"/>
      <c r="W3" s="41"/>
      <c r="X3" s="41"/>
      <c r="Y3" s="41"/>
      <c r="Z3" s="41"/>
      <c r="AA3" s="41"/>
    </row>
    <row r="5" spans="1:27" ht="15.75" thickBot="1" x14ac:dyDescent="0.3">
      <c r="A5" s="5" t="s">
        <v>18</v>
      </c>
    </row>
    <row r="6" spans="1:27" ht="15.75" thickBot="1" x14ac:dyDescent="0.3">
      <c r="P6" s="31" t="s">
        <v>62</v>
      </c>
    </row>
    <row r="7" spans="1:27" x14ac:dyDescent="0.25">
      <c r="A7" t="s">
        <v>9</v>
      </c>
      <c r="D7">
        <v>2015</v>
      </c>
      <c r="E7">
        <v>2015</v>
      </c>
      <c r="F7">
        <v>2015</v>
      </c>
      <c r="G7">
        <v>2015</v>
      </c>
      <c r="H7">
        <v>2015</v>
      </c>
      <c r="I7">
        <v>2016</v>
      </c>
      <c r="J7">
        <v>2016</v>
      </c>
      <c r="K7">
        <v>2016</v>
      </c>
      <c r="L7">
        <v>2016</v>
      </c>
      <c r="N7" s="2" t="s">
        <v>12</v>
      </c>
    </row>
    <row r="8" spans="1:27" x14ac:dyDescent="0.25">
      <c r="A8" t="s">
        <v>10</v>
      </c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  <c r="K8" s="1" t="s">
        <v>7</v>
      </c>
      <c r="L8" s="1" t="s">
        <v>8</v>
      </c>
      <c r="N8" s="1" t="s">
        <v>13</v>
      </c>
      <c r="Q8" s="1" t="s">
        <v>0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5</v>
      </c>
      <c r="W8" s="1" t="s">
        <v>6</v>
      </c>
      <c r="X8" s="1" t="s">
        <v>7</v>
      </c>
      <c r="Y8" s="1" t="s">
        <v>8</v>
      </c>
      <c r="AA8" s="1" t="s">
        <v>13</v>
      </c>
    </row>
    <row r="10" spans="1:27" x14ac:dyDescent="0.25">
      <c r="A10" t="s">
        <v>11</v>
      </c>
      <c r="D10" s="7">
        <v>48</v>
      </c>
      <c r="E10" s="14">
        <f>+D10</f>
        <v>48</v>
      </c>
      <c r="F10" s="14">
        <f t="shared" ref="F10:H10" si="0">+E10</f>
        <v>48</v>
      </c>
      <c r="G10" s="14">
        <f t="shared" si="0"/>
        <v>48</v>
      </c>
      <c r="H10" s="14">
        <f t="shared" si="0"/>
        <v>48</v>
      </c>
      <c r="I10" s="7">
        <v>80</v>
      </c>
      <c r="J10" s="14">
        <f t="shared" ref="J10:L10" si="1">+I10</f>
        <v>80</v>
      </c>
      <c r="K10" s="14">
        <f t="shared" si="1"/>
        <v>80</v>
      </c>
      <c r="L10" s="14">
        <f t="shared" si="1"/>
        <v>80</v>
      </c>
      <c r="N10" s="3">
        <f>AVERAGE(D10:M10)</f>
        <v>62.222222222222221</v>
      </c>
      <c r="P10" t="s">
        <v>28</v>
      </c>
      <c r="Q10">
        <f>+D24-D10</f>
        <v>70</v>
      </c>
      <c r="R10">
        <f t="shared" ref="R10:Y10" si="2">+E24-E10</f>
        <v>70</v>
      </c>
      <c r="S10">
        <f t="shared" si="2"/>
        <v>70</v>
      </c>
      <c r="T10">
        <f t="shared" si="2"/>
        <v>70</v>
      </c>
      <c r="U10">
        <f t="shared" si="2"/>
        <v>70</v>
      </c>
      <c r="V10">
        <f t="shared" si="2"/>
        <v>72</v>
      </c>
      <c r="W10">
        <f t="shared" si="2"/>
        <v>72</v>
      </c>
      <c r="X10">
        <f t="shared" si="2"/>
        <v>72</v>
      </c>
      <c r="Y10">
        <f t="shared" si="2"/>
        <v>72</v>
      </c>
      <c r="AA10" s="3">
        <f>AVERAGE(Q10:Z10)</f>
        <v>70.888888888888886</v>
      </c>
    </row>
    <row r="11" spans="1:27" x14ac:dyDescent="0.25">
      <c r="A11" t="s">
        <v>14</v>
      </c>
      <c r="D11" s="10">
        <v>9.5</v>
      </c>
      <c r="E11" s="13">
        <f>+D11</f>
        <v>9.5</v>
      </c>
      <c r="F11" s="13">
        <f t="shared" ref="F11:H11" si="3">+E11</f>
        <v>9.5</v>
      </c>
      <c r="G11" s="13">
        <f t="shared" si="3"/>
        <v>9.5</v>
      </c>
      <c r="H11" s="13">
        <f t="shared" si="3"/>
        <v>9.5</v>
      </c>
      <c r="I11" s="10">
        <v>7.03</v>
      </c>
      <c r="J11" s="13">
        <f t="shared" ref="J11:L11" si="4">+I11</f>
        <v>7.03</v>
      </c>
      <c r="K11" s="13">
        <f t="shared" si="4"/>
        <v>7.03</v>
      </c>
      <c r="L11" s="13">
        <f t="shared" si="4"/>
        <v>7.03</v>
      </c>
      <c r="M11" s="11"/>
      <c r="N11" s="11">
        <f>+N16/N10/N13/N14/1000/9</f>
        <v>8.0885714285714307</v>
      </c>
      <c r="P11" t="s">
        <v>29</v>
      </c>
      <c r="Q11" s="20">
        <f>+D25</f>
        <v>9.5</v>
      </c>
      <c r="R11" s="20">
        <f t="shared" ref="R11:Y11" si="5">+E25</f>
        <v>9.5</v>
      </c>
      <c r="S11" s="20">
        <f t="shared" si="5"/>
        <v>9.5</v>
      </c>
      <c r="T11" s="20">
        <f t="shared" si="5"/>
        <v>9.5</v>
      </c>
      <c r="U11" s="20">
        <f t="shared" si="5"/>
        <v>9.5</v>
      </c>
      <c r="V11" s="20">
        <f t="shared" si="5"/>
        <v>7.03</v>
      </c>
      <c r="W11" s="20">
        <f t="shared" si="5"/>
        <v>7.03</v>
      </c>
      <c r="X11" s="20">
        <f t="shared" si="5"/>
        <v>7.03</v>
      </c>
      <c r="Y11" s="20">
        <f t="shared" si="5"/>
        <v>7.03</v>
      </c>
      <c r="AA11" s="11">
        <f>+AA16/AA10/AA13/AA14/1000/9</f>
        <v>8.3850156739811901</v>
      </c>
    </row>
    <row r="12" spans="1:27" x14ac:dyDescent="0.25">
      <c r="D12" s="7"/>
      <c r="E12" s="7"/>
      <c r="F12" s="7"/>
      <c r="G12" s="7"/>
      <c r="H12" s="7"/>
      <c r="I12" s="7"/>
      <c r="J12" s="7"/>
      <c r="K12" s="7"/>
      <c r="L12" s="7"/>
    </row>
    <row r="13" spans="1:27" x14ac:dyDescent="0.25">
      <c r="A13" t="s">
        <v>15</v>
      </c>
      <c r="D13" s="8">
        <v>0.3</v>
      </c>
      <c r="E13" s="12">
        <f>+D13</f>
        <v>0.3</v>
      </c>
      <c r="F13" s="12">
        <f t="shared" ref="F13:L13" si="6">+E13</f>
        <v>0.3</v>
      </c>
      <c r="G13" s="12">
        <f t="shared" si="6"/>
        <v>0.3</v>
      </c>
      <c r="H13" s="12">
        <f t="shared" si="6"/>
        <v>0.3</v>
      </c>
      <c r="I13" s="12">
        <f t="shared" si="6"/>
        <v>0.3</v>
      </c>
      <c r="J13" s="12">
        <f t="shared" si="6"/>
        <v>0.3</v>
      </c>
      <c r="K13" s="12">
        <f t="shared" si="6"/>
        <v>0.3</v>
      </c>
      <c r="L13" s="12">
        <f t="shared" si="6"/>
        <v>0.3</v>
      </c>
      <c r="M13" s="9"/>
      <c r="N13" s="9">
        <f t="shared" ref="N13:N14" si="7">AVERAGE(D13:M13)</f>
        <v>0.3</v>
      </c>
      <c r="P13" t="s">
        <v>15</v>
      </c>
      <c r="Q13" s="21">
        <f>+D13</f>
        <v>0.3</v>
      </c>
      <c r="R13" s="21">
        <f t="shared" ref="R13:Y14" si="8">+E13</f>
        <v>0.3</v>
      </c>
      <c r="S13" s="21">
        <f t="shared" si="8"/>
        <v>0.3</v>
      </c>
      <c r="T13" s="21">
        <f t="shared" si="8"/>
        <v>0.3</v>
      </c>
      <c r="U13" s="21">
        <f t="shared" si="8"/>
        <v>0.3</v>
      </c>
      <c r="V13" s="21">
        <f t="shared" si="8"/>
        <v>0.3</v>
      </c>
      <c r="W13" s="21">
        <f t="shared" si="8"/>
        <v>0.3</v>
      </c>
      <c r="X13" s="21">
        <f t="shared" si="8"/>
        <v>0.3</v>
      </c>
      <c r="Y13" s="21">
        <f t="shared" si="8"/>
        <v>0.3</v>
      </c>
      <c r="AA13" s="9">
        <f t="shared" ref="AA13:AA14" si="9">AVERAGE(Q13:Z13)</f>
        <v>0.3</v>
      </c>
    </row>
    <row r="14" spans="1:27" x14ac:dyDescent="0.25">
      <c r="A14" t="s">
        <v>16</v>
      </c>
      <c r="D14" s="8">
        <v>1.3</v>
      </c>
      <c r="E14" s="12">
        <f t="shared" ref="E14:L14" si="10">+D14</f>
        <v>1.3</v>
      </c>
      <c r="F14" s="12">
        <f t="shared" si="10"/>
        <v>1.3</v>
      </c>
      <c r="G14" s="12">
        <f t="shared" si="10"/>
        <v>1.3</v>
      </c>
      <c r="H14" s="12">
        <f t="shared" si="10"/>
        <v>1.3</v>
      </c>
      <c r="I14" s="12">
        <f t="shared" si="10"/>
        <v>1.3</v>
      </c>
      <c r="J14" s="12">
        <f t="shared" si="10"/>
        <v>1.3</v>
      </c>
      <c r="K14" s="12">
        <f t="shared" si="10"/>
        <v>1.3</v>
      </c>
      <c r="L14" s="12">
        <f t="shared" si="10"/>
        <v>1.3</v>
      </c>
      <c r="M14" s="9"/>
      <c r="N14" s="9">
        <f t="shared" si="7"/>
        <v>1.3</v>
      </c>
      <c r="P14" t="s">
        <v>16</v>
      </c>
      <c r="Q14" s="21">
        <f>+D14</f>
        <v>1.3</v>
      </c>
      <c r="R14" s="21">
        <f t="shared" si="8"/>
        <v>1.3</v>
      </c>
      <c r="S14" s="21">
        <f t="shared" si="8"/>
        <v>1.3</v>
      </c>
      <c r="T14" s="21">
        <f t="shared" si="8"/>
        <v>1.3</v>
      </c>
      <c r="U14" s="21">
        <f t="shared" si="8"/>
        <v>1.3</v>
      </c>
      <c r="V14" s="21">
        <f t="shared" si="8"/>
        <v>1.3</v>
      </c>
      <c r="W14" s="21">
        <f t="shared" si="8"/>
        <v>1.3</v>
      </c>
      <c r="X14" s="21">
        <f t="shared" si="8"/>
        <v>1.3</v>
      </c>
      <c r="Y14" s="21">
        <f t="shared" si="8"/>
        <v>1.3</v>
      </c>
      <c r="AA14" s="9">
        <f t="shared" si="9"/>
        <v>1.3</v>
      </c>
    </row>
    <row r="16" spans="1:27" x14ac:dyDescent="0.25">
      <c r="A16" t="s">
        <v>17</v>
      </c>
      <c r="D16" s="3">
        <f>+D10*D13*D11*D14*1000</f>
        <v>177839.99999999997</v>
      </c>
      <c r="E16" s="3">
        <f t="shared" ref="E16:L16" si="11">+E10*E13*E11*E14*1000</f>
        <v>177839.99999999997</v>
      </c>
      <c r="F16" s="3">
        <f t="shared" si="11"/>
        <v>177839.99999999997</v>
      </c>
      <c r="G16" s="3">
        <f t="shared" si="11"/>
        <v>177839.99999999997</v>
      </c>
      <c r="H16" s="3">
        <f t="shared" si="11"/>
        <v>177839.99999999997</v>
      </c>
      <c r="I16" s="3">
        <f t="shared" si="11"/>
        <v>219336</v>
      </c>
      <c r="J16" s="3">
        <f t="shared" si="11"/>
        <v>219336</v>
      </c>
      <c r="K16" s="3">
        <f t="shared" si="11"/>
        <v>219336</v>
      </c>
      <c r="L16" s="3">
        <f t="shared" si="11"/>
        <v>219336</v>
      </c>
      <c r="N16" s="4">
        <f>SUM(D16:M16)</f>
        <v>1766544</v>
      </c>
      <c r="P16" t="s">
        <v>17</v>
      </c>
      <c r="Q16" s="3">
        <f>+Q10*Q13*Q11*Q14*1000</f>
        <v>259350.00000000003</v>
      </c>
      <c r="R16" s="3">
        <f t="shared" ref="R16:Y16" si="12">+R10*R13*R11*R14*1000</f>
        <v>259350.00000000003</v>
      </c>
      <c r="S16" s="3">
        <f t="shared" si="12"/>
        <v>259350.00000000003</v>
      </c>
      <c r="T16" s="3">
        <f t="shared" si="12"/>
        <v>259350.00000000003</v>
      </c>
      <c r="U16" s="3">
        <f t="shared" si="12"/>
        <v>259350.00000000003</v>
      </c>
      <c r="V16" s="3">
        <f t="shared" si="12"/>
        <v>197402.4</v>
      </c>
      <c r="W16" s="3">
        <f t="shared" si="12"/>
        <v>197402.4</v>
      </c>
      <c r="X16" s="3">
        <f t="shared" si="12"/>
        <v>197402.4</v>
      </c>
      <c r="Y16" s="3">
        <f t="shared" si="12"/>
        <v>197402.4</v>
      </c>
      <c r="AA16" s="22">
        <f>SUM(Q16:Z16)</f>
        <v>2086359.5999999999</v>
      </c>
    </row>
    <row r="19" spans="1:14" x14ac:dyDescent="0.25">
      <c r="A19" s="5" t="s">
        <v>19</v>
      </c>
    </row>
    <row r="21" spans="1:14" x14ac:dyDescent="0.25">
      <c r="A21" t="s">
        <v>9</v>
      </c>
      <c r="D21">
        <v>2017</v>
      </c>
      <c r="E21">
        <v>2017</v>
      </c>
      <c r="F21">
        <v>2017</v>
      </c>
      <c r="G21">
        <v>2017</v>
      </c>
      <c r="H21">
        <v>2017</v>
      </c>
      <c r="I21">
        <v>2018</v>
      </c>
      <c r="J21">
        <v>2018</v>
      </c>
      <c r="K21">
        <v>2018</v>
      </c>
      <c r="L21">
        <v>2018</v>
      </c>
      <c r="N21" s="2" t="s">
        <v>12</v>
      </c>
    </row>
    <row r="22" spans="1:14" x14ac:dyDescent="0.25">
      <c r="A22" t="s">
        <v>10</v>
      </c>
      <c r="D22" s="1" t="s">
        <v>0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6</v>
      </c>
      <c r="K22" s="1" t="s">
        <v>7</v>
      </c>
      <c r="L22" s="1" t="s">
        <v>8</v>
      </c>
      <c r="N22" s="1" t="s">
        <v>13</v>
      </c>
    </row>
    <row r="24" spans="1:14" x14ac:dyDescent="0.25">
      <c r="A24" t="s">
        <v>11</v>
      </c>
      <c r="D24" s="7">
        <v>118</v>
      </c>
      <c r="E24" s="14">
        <f t="shared" ref="E24:H24" si="13">+D24</f>
        <v>118</v>
      </c>
      <c r="F24" s="14">
        <f t="shared" si="13"/>
        <v>118</v>
      </c>
      <c r="G24" s="14">
        <f t="shared" si="13"/>
        <v>118</v>
      </c>
      <c r="H24" s="14">
        <f t="shared" si="13"/>
        <v>118</v>
      </c>
      <c r="I24" s="7">
        <v>152</v>
      </c>
      <c r="J24" s="14">
        <f t="shared" ref="J24:L24" si="14">+I24</f>
        <v>152</v>
      </c>
      <c r="K24" s="14">
        <f t="shared" si="14"/>
        <v>152</v>
      </c>
      <c r="L24" s="14">
        <f t="shared" si="14"/>
        <v>152</v>
      </c>
      <c r="N24" s="3">
        <f>AVERAGE(D24:M24)</f>
        <v>133.11111111111111</v>
      </c>
    </row>
    <row r="25" spans="1:14" x14ac:dyDescent="0.25">
      <c r="A25" t="s">
        <v>14</v>
      </c>
      <c r="D25" s="28">
        <f>+D11</f>
        <v>9.5</v>
      </c>
      <c r="E25" s="28">
        <f t="shared" ref="E25:L25" si="15">+E11</f>
        <v>9.5</v>
      </c>
      <c r="F25" s="28">
        <f t="shared" si="15"/>
        <v>9.5</v>
      </c>
      <c r="G25" s="28">
        <f t="shared" si="15"/>
        <v>9.5</v>
      </c>
      <c r="H25" s="28">
        <f t="shared" si="15"/>
        <v>9.5</v>
      </c>
      <c r="I25" s="28">
        <f t="shared" si="15"/>
        <v>7.03</v>
      </c>
      <c r="J25" s="28">
        <f t="shared" si="15"/>
        <v>7.03</v>
      </c>
      <c r="K25" s="28">
        <f t="shared" si="15"/>
        <v>7.03</v>
      </c>
      <c r="L25" s="28">
        <f t="shared" si="15"/>
        <v>7.03</v>
      </c>
      <c r="M25" s="11"/>
      <c r="N25" s="11">
        <f>+N30/N24/N27/N28/1000/9</f>
        <v>8.2464440734557609</v>
      </c>
    </row>
    <row r="26" spans="1:14" x14ac:dyDescent="0.25"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5">
      <c r="A27" t="s">
        <v>15</v>
      </c>
      <c r="D27" s="27">
        <f>+D13</f>
        <v>0.3</v>
      </c>
      <c r="E27" s="12">
        <f t="shared" ref="E27:L27" si="16">+D27</f>
        <v>0.3</v>
      </c>
      <c r="F27" s="12">
        <f t="shared" si="16"/>
        <v>0.3</v>
      </c>
      <c r="G27" s="12">
        <f t="shared" si="16"/>
        <v>0.3</v>
      </c>
      <c r="H27" s="12">
        <f t="shared" si="16"/>
        <v>0.3</v>
      </c>
      <c r="I27" s="12">
        <f t="shared" si="16"/>
        <v>0.3</v>
      </c>
      <c r="J27" s="12">
        <f t="shared" si="16"/>
        <v>0.3</v>
      </c>
      <c r="K27" s="12">
        <f t="shared" si="16"/>
        <v>0.3</v>
      </c>
      <c r="L27" s="12">
        <f t="shared" si="16"/>
        <v>0.3</v>
      </c>
      <c r="M27" s="9"/>
      <c r="N27" s="9">
        <f t="shared" ref="N27:N28" si="17">AVERAGE(D27:M27)</f>
        <v>0.3</v>
      </c>
    </row>
    <row r="28" spans="1:14" x14ac:dyDescent="0.25">
      <c r="A28" t="s">
        <v>16</v>
      </c>
      <c r="D28" s="27">
        <f>+D14</f>
        <v>1.3</v>
      </c>
      <c r="E28" s="12">
        <f t="shared" ref="E28:L28" si="18">+D28</f>
        <v>1.3</v>
      </c>
      <c r="F28" s="12">
        <f t="shared" si="18"/>
        <v>1.3</v>
      </c>
      <c r="G28" s="12">
        <f t="shared" si="18"/>
        <v>1.3</v>
      </c>
      <c r="H28" s="12">
        <f t="shared" si="18"/>
        <v>1.3</v>
      </c>
      <c r="I28" s="12">
        <f t="shared" si="18"/>
        <v>1.3</v>
      </c>
      <c r="J28" s="12">
        <f t="shared" si="18"/>
        <v>1.3</v>
      </c>
      <c r="K28" s="12">
        <f t="shared" si="18"/>
        <v>1.3</v>
      </c>
      <c r="L28" s="12">
        <f t="shared" si="18"/>
        <v>1.3</v>
      </c>
      <c r="M28" s="9"/>
      <c r="N28" s="9">
        <f t="shared" si="17"/>
        <v>1.3</v>
      </c>
    </row>
    <row r="30" spans="1:14" x14ac:dyDescent="0.25">
      <c r="A30" t="s">
        <v>17</v>
      </c>
      <c r="D30" s="3">
        <f>+D24*D27*D25*D28*1000</f>
        <v>437190.00000000006</v>
      </c>
      <c r="E30" s="3">
        <f t="shared" ref="E30:L30" si="19">+E24*E27*E25*E28*1000</f>
        <v>437190.00000000006</v>
      </c>
      <c r="F30" s="3">
        <f t="shared" si="19"/>
        <v>437190.00000000006</v>
      </c>
      <c r="G30" s="3">
        <f t="shared" si="19"/>
        <v>437190.00000000006</v>
      </c>
      <c r="H30" s="3">
        <f t="shared" si="19"/>
        <v>437190.00000000006</v>
      </c>
      <c r="I30" s="3">
        <f t="shared" si="19"/>
        <v>416738.40000000008</v>
      </c>
      <c r="J30" s="3">
        <f t="shared" si="19"/>
        <v>416738.40000000008</v>
      </c>
      <c r="K30" s="3">
        <f t="shared" si="19"/>
        <v>416738.40000000008</v>
      </c>
      <c r="L30" s="3">
        <f t="shared" si="19"/>
        <v>416738.40000000008</v>
      </c>
      <c r="N30" s="4">
        <f>SUM(D30:M30)</f>
        <v>3852903.6</v>
      </c>
    </row>
    <row r="33" spans="1:14" x14ac:dyDescent="0.25">
      <c r="A33" s="5" t="s">
        <v>21</v>
      </c>
      <c r="B33" s="5"/>
      <c r="C33" s="5"/>
      <c r="D33" s="6">
        <f>+D30-D16</f>
        <v>259350.00000000009</v>
      </c>
      <c r="E33" s="6">
        <f t="shared" ref="E33:L33" si="20">+E30-E16</f>
        <v>259350.00000000009</v>
      </c>
      <c r="F33" s="6">
        <f t="shared" si="20"/>
        <v>259350.00000000009</v>
      </c>
      <c r="G33" s="6">
        <f t="shared" si="20"/>
        <v>259350.00000000009</v>
      </c>
      <c r="H33" s="6">
        <f t="shared" si="20"/>
        <v>259350.00000000009</v>
      </c>
      <c r="I33" s="6">
        <f t="shared" si="20"/>
        <v>197402.40000000008</v>
      </c>
      <c r="J33" s="6">
        <f t="shared" si="20"/>
        <v>197402.40000000008</v>
      </c>
      <c r="K33" s="6">
        <f t="shared" si="20"/>
        <v>197402.40000000008</v>
      </c>
      <c r="L33" s="6">
        <f t="shared" si="20"/>
        <v>197402.40000000008</v>
      </c>
      <c r="M33" s="5"/>
      <c r="N33" s="32">
        <f>SUM(D33:M33)</f>
        <v>2086359.600000001</v>
      </c>
    </row>
    <row r="40" spans="1:14" ht="18.75" x14ac:dyDescent="0.3">
      <c r="A40" s="39" t="s">
        <v>49</v>
      </c>
      <c r="B40" s="39"/>
      <c r="C40" s="39"/>
      <c r="D40" s="39"/>
      <c r="E40" s="39"/>
      <c r="F40" s="39"/>
      <c r="G40" s="39"/>
      <c r="H40" s="39"/>
      <c r="I40" s="39"/>
    </row>
    <row r="42" spans="1:14" x14ac:dyDescent="0.25">
      <c r="B42" s="10">
        <v>60</v>
      </c>
      <c r="C42" t="s">
        <v>50</v>
      </c>
    </row>
    <row r="43" spans="1:14" x14ac:dyDescent="0.25">
      <c r="B43" s="10">
        <v>25</v>
      </c>
      <c r="C43" t="s">
        <v>23</v>
      </c>
    </row>
    <row r="44" spans="1:14" x14ac:dyDescent="0.25">
      <c r="B44" s="16">
        <f>1976</f>
        <v>1976</v>
      </c>
      <c r="C44" t="s">
        <v>51</v>
      </c>
    </row>
    <row r="45" spans="1:14" x14ac:dyDescent="0.25">
      <c r="B45" s="16">
        <v>41976</v>
      </c>
      <c r="C45" t="s">
        <v>52</v>
      </c>
    </row>
    <row r="46" spans="1:14" x14ac:dyDescent="0.25">
      <c r="B46" s="7"/>
    </row>
    <row r="47" spans="1:14" x14ac:dyDescent="0.25">
      <c r="B47" s="18">
        <f>+B45-B44</f>
        <v>40000</v>
      </c>
      <c r="C47" t="s">
        <v>63</v>
      </c>
    </row>
    <row r="48" spans="1:14" ht="17.25" x14ac:dyDescent="0.4">
      <c r="B48" s="19">
        <f>+B42</f>
        <v>60</v>
      </c>
      <c r="C48" t="str">
        <f>+C42</f>
        <v xml:space="preserve"> Effective NM 2.0 REC Price</v>
      </c>
    </row>
    <row r="49" spans="2:27" x14ac:dyDescent="0.25">
      <c r="B49" s="17">
        <f>+B48*B47</f>
        <v>2400000</v>
      </c>
      <c r="C49" t="s">
        <v>54</v>
      </c>
    </row>
    <row r="52" spans="2:27" x14ac:dyDescent="0.25">
      <c r="B52" s="18">
        <f>+B47</f>
        <v>40000</v>
      </c>
      <c r="C52" t="s">
        <v>53</v>
      </c>
    </row>
    <row r="53" spans="2:27" ht="17.25" x14ac:dyDescent="0.4">
      <c r="B53" s="19">
        <f>+B43</f>
        <v>25</v>
      </c>
      <c r="C53" t="s">
        <v>24</v>
      </c>
    </row>
    <row r="54" spans="2:27" x14ac:dyDescent="0.25">
      <c r="B54" s="17">
        <f>+B53*B52</f>
        <v>1000000</v>
      </c>
      <c r="C54" t="s">
        <v>25</v>
      </c>
    </row>
    <row r="56" spans="2:27" s="5" customFormat="1" x14ac:dyDescent="0.25">
      <c r="B56" s="33">
        <f>+B49-B54</f>
        <v>1400000</v>
      </c>
      <c r="C56" s="5" t="s">
        <v>26</v>
      </c>
      <c r="N56" s="6"/>
      <c r="AA56" s="6">
        <f>+B56-AA16</f>
        <v>-686359.59999999986</v>
      </c>
    </row>
    <row r="59" spans="2:27" x14ac:dyDescent="0.25">
      <c r="B59" t="s">
        <v>64</v>
      </c>
    </row>
  </sheetData>
  <mergeCells count="3">
    <mergeCell ref="A3:N3"/>
    <mergeCell ref="Q3:AA3"/>
    <mergeCell ref="A40:I40"/>
  </mergeCells>
  <pageMargins left="0.2" right="0.2" top="0.25" bottom="0.25" header="0" footer="0"/>
  <pageSetup scale="8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Energy</vt:lpstr>
      <vt:lpstr>FCM REC</vt:lpstr>
      <vt:lpstr>'FCM REC'!Print_Area</vt:lpstr>
    </vt:vector>
  </TitlesOfParts>
  <Company>Green Mountain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Charles</dc:creator>
  <cp:lastModifiedBy>Grace Grundhauser</cp:lastModifiedBy>
  <cp:lastPrinted>2018-07-16T21:52:44Z</cp:lastPrinted>
  <dcterms:created xsi:type="dcterms:W3CDTF">2018-04-10T21:05:05Z</dcterms:created>
  <dcterms:modified xsi:type="dcterms:W3CDTF">2018-07-26T18:05:04Z</dcterms:modified>
</cp:coreProperties>
</file>