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greenmountainpower.sharepoint.com/sites/FY27RateFiling/Shared Documents/FY27 Rate Filing/2026-04-20 DPS Testimony/Shawn Enterline &amp; TJ Poor/"/>
    </mc:Choice>
  </mc:AlternateContent>
  <xr:revisionPtr revIDLastSave="93" documentId="13_ncr:1_{B633B574-BC45-4BB3-A9BE-E5BBC407B8D3}" xr6:coauthVersionLast="47" xr6:coauthVersionMax="47" xr10:uidLastSave="{C41699D9-1A3D-49BC-878B-FD233E387189}"/>
  <bookViews>
    <workbookView xWindow="1845" yWindow="1470" windowWidth="27915" windowHeight="18960" firstSheet="3" activeTab="4" xr2:uid="{AA5798F7-373D-4124-A548-4F2BF1246069}"/>
  </bookViews>
  <sheets>
    <sheet name="Assumptions" sheetId="2" r:id="rId1"/>
    <sheet name="Figures_Testimony" sheetId="45" r:id="rId2"/>
    <sheet name="FY27 Resiliency Projects" sheetId="23" r:id="rId3"/>
    <sheet name="Results" sheetId="3" r:id="rId4"/>
    <sheet name="Costs_Baseline" sheetId="18" r:id="rId5"/>
    <sheet name="Costs_Mitigation" sheetId="19" r:id="rId6"/>
    <sheet name="Benefits_Baseline" sheetId="15" r:id="rId7"/>
    <sheet name="Benefits_Mitigation" sheetId="8" r:id="rId8"/>
    <sheet name="Rev Req't_Baseline_OH1PH" sheetId="30" r:id="rId9"/>
    <sheet name="Rev Req't_Baseline_OH3PH" sheetId="29" r:id="rId10"/>
    <sheet name="Rev Req't_Baseline_UG1PH" sheetId="28" r:id="rId11"/>
    <sheet name="Baseline scaling factors" sheetId="21" r:id="rId12"/>
    <sheet name="Baseline Projects" sheetId="20" r:id="rId13"/>
    <sheet name="Mitigation Projects" sheetId="12" r:id="rId14"/>
    <sheet name="Customer Count by class" sheetId="51" r:id="rId15"/>
    <sheet name="Historical outage summary" sheetId="52" r:id="rId16"/>
    <sheet name="Pre_Post mitigation outages" sheetId="42" r:id="rId17"/>
    <sheet name="Outage by Zone inputs" sheetId="34" r:id="rId18"/>
    <sheet name="Storm restoration costs" sheetId="50" r:id="rId19"/>
    <sheet name="Loss Reduction Calculation" sheetId="22" r:id="rId20"/>
    <sheet name="ICE Inputs" sheetId="16" r:id="rId21"/>
    <sheet name="BESS Full Program" sheetId="54" r:id="rId22"/>
    <sheet name="BESS Monthly Value (1)" sheetId="55" r:id="rId23"/>
  </sheets>
  <definedNames>
    <definedName name="_xlnm._FilterDatabase" localSheetId="12" hidden="1">'Baseline Projects'!$A$3:$DC$48</definedName>
    <definedName name="_xlnm._FilterDatabase" localSheetId="2" hidden="1">'FY27 Resiliency Projects'!$C$55:$N$75</definedName>
    <definedName name="_xlnm._FilterDatabase" localSheetId="13" hidden="1">'Mitigation Projects'!$A$3:$AI$52</definedName>
    <definedName name="_xlnm._FilterDatabase" localSheetId="17" hidden="1">'Outage by Zone inputs'!#REF!</definedName>
    <definedName name="_xlnm._FilterDatabase" localSheetId="16" hidden="1">'Pre_Post mitigation outages'!$A$2:$L$21</definedName>
    <definedName name="AGR">Assumptions!$B$6</definedName>
    <definedName name="APPLICABILITY_SCORE_OH">Assumptions!$B$30</definedName>
    <definedName name="APPLICABILITY_SCORE_UG">Assumptions!$B$31</definedName>
    <definedName name="AVG_INCIDENT_PERCENT_NON_STORM">Assumptions!$B$66</definedName>
    <definedName name="AVG_POST_TAX_RATE">Assumptions!$B$4</definedName>
    <definedName name="AVG_PRE_TAX_RATE">Assumptions!$B$3</definedName>
    <definedName name="BASELINE_CAP_SPEND">Assumptions!$B$44</definedName>
    <definedName name="BOOK_DEP_PERIOD_BESS">Assumptions!$B$24</definedName>
    <definedName name="BOOK_DEP_PERIOD_OH">Assumptions!$B$22</definedName>
    <definedName name="BOOK_DEP_PERIOD_UG">Assumptions!$B$23</definedName>
    <definedName name="CAPEX_MITIGATION_OH_1PH_AG">Costs_Mitigation!$F$5</definedName>
    <definedName name="CAPEX_MITIGATION_OH_3PH_AG">Costs_Mitigation!$F$32</definedName>
    <definedName name="CAPEX_MITIGATION_UG_1PH_AG">Costs_Mitigation!$F$60</definedName>
    <definedName name="Distance_OH_1PH">Assumptions!$B$40</definedName>
    <definedName name="Distance_OH_3PH">Assumptions!$B$41</definedName>
    <definedName name="DISTANCE_TOTAL_SYSTEM_OH">Assumptions!$B$64</definedName>
    <definedName name="Distance_UG_1PH">Assumptions!$B$42</definedName>
    <definedName name="Downstream_Factor_Zone_1">Assumptions!$B$46</definedName>
    <definedName name="Downstream_Factor_Zone_2">Assumptions!$B$47</definedName>
    <definedName name="Downstream_Factor_Zone_3">Assumptions!$B$48</definedName>
    <definedName name="EFF_SCORE_OH">Assumptions!$B$27</definedName>
    <definedName name="EFF_SCORE_UG">Assumptions!$B$28</definedName>
    <definedName name="Handy_Whitman_Escalator_Avg_10_yr">Assumptions!$B$11</definedName>
    <definedName name="ICE_VALUE_NONRES_WTD">'ICE Inputs'!$B$4</definedName>
    <definedName name="ICE_VALUE_RES_WTD">'ICE Inputs'!$B$3</definedName>
    <definedName name="INC_TAX_RATE">Assumptions!$B$8</definedName>
    <definedName name="Inflation">Assumptions!$B$9</definedName>
    <definedName name="Levelized_Energy_costs_per_MWh">'Loss Reduction Calculation'!$E$10</definedName>
    <definedName name="Lifetime_BESS">Assumptions!$B$16</definedName>
    <definedName name="Lifetime_OH">Assumptions!$B$14</definedName>
    <definedName name="Lifetime_UG">Assumptions!$B$15</definedName>
    <definedName name="Line_Loss_Reduction_Per_Mile_1PH_OH">'Loss Reduction Calculation'!$B$6</definedName>
    <definedName name="Line_Loss_Reduction_Per_Mile_1PH_UG">'Loss Reduction Calculation'!$B$5</definedName>
    <definedName name="Line_Loss_Reduction_Per_Mile_3PH_OH">'Loss Reduction Calculation'!$B$4</definedName>
    <definedName name="MACRS_DEP_PERIOD_BESS">Assumptions!$B$20</definedName>
    <definedName name="MACRS_DEP_PERIOD_OH">Assumptions!$B$18</definedName>
    <definedName name="MACRS_DEP_PERIOD_UG">Assumptions!$B$19</definedName>
    <definedName name="Net_Install_Taxable">Assumptions!$B$38</definedName>
    <definedName name="OH_1PH_LINE_LOSS_REDUCTION">Benefits_Mitigation!$E$9:$E$9</definedName>
    <definedName name="OH_3PH_LINE_LOSS_REDUCTION">Benefits_Mitigation!$E$18:$E$18</definedName>
    <definedName name="OM_AVG_RESTORATION_COST_PER_INCIDENT">Assumptions!$B$65</definedName>
    <definedName name="OM_BASELINE_TRIMMING_CYCLE_PER_MILE">Assumptions!$B$51</definedName>
    <definedName name="OM_Danger_Tree_Baseline_per_mile">Assumptions!$B$57</definedName>
    <definedName name="OM_Danger_Tree_Mitigation_Per_Mile">Assumptions!$B$58</definedName>
    <definedName name="OM_Danger_Tree_per_mile">Assumptions!$B$57</definedName>
    <definedName name="OM_Inspections_OH">Assumptions!$B$35</definedName>
    <definedName name="OM_Inspections_UG">Assumptions!$B$34</definedName>
    <definedName name="OM_MITIGATION_TRIMMING_CYCLE_PER_MILE">Assumptions!$B$52</definedName>
    <definedName name="OM_REDUCED_POLE_REVENUE">Assumptions!$B$33</definedName>
    <definedName name="OM_Tickets_Baseline_per_mile">Assumptions!$B$55</definedName>
    <definedName name="OM_Tickets_Mitigation_Per_mile">Assumptions!$B$56</definedName>
    <definedName name="OM_TRIMMING_CYCLE_PER_MILE">Assumptions!$B$51</definedName>
    <definedName name="_xlnm.Print_Area" localSheetId="0">Assumptions!$A$1:$E$90</definedName>
    <definedName name="_xlnm.Print_Area" localSheetId="12">'Baseline Projects'!$A$1:$DD$50</definedName>
    <definedName name="_xlnm.Print_Area" localSheetId="11">'Baseline scaling factors'!$A$1:$N$75</definedName>
    <definedName name="_xlnm.Print_Area" localSheetId="6">Benefits_Baseline!$A$1:$BO$29</definedName>
    <definedName name="_xlnm.Print_Area" localSheetId="21">'BESS Full Program'!$A$1:$AL$52</definedName>
    <definedName name="_xlnm.Print_Area" localSheetId="22">'BESS Monthly Value (1)'!$A$1:$AT$64</definedName>
    <definedName name="_xlnm.Print_Area" localSheetId="4">Costs_Baseline!$A$1:$BT$93</definedName>
    <definedName name="_xlnm.Print_Area" localSheetId="14">'Customer Count by class'!$A$1:$R$16</definedName>
    <definedName name="_xlnm.Print_Area" localSheetId="15">'Historical outage summary'!$A$1:$J$34</definedName>
    <definedName name="_xlnm.Print_Area" localSheetId="20">'ICE Inputs'!$A$1:$H$28</definedName>
    <definedName name="_xlnm.Print_Area" localSheetId="19">'Loss Reduction Calculation'!$A$1:$S$70</definedName>
    <definedName name="_xlnm.Print_Area" localSheetId="13">'Mitigation Projects'!$A$1:$AI$62</definedName>
    <definedName name="_xlnm.Print_Area" localSheetId="17">'Outage by Zone inputs'!$A$1:$I$83</definedName>
    <definedName name="_xlnm.Print_Area" localSheetId="16">'Pre_Post mitigation outages'!$A$1:$P$49</definedName>
    <definedName name="_xlnm.Print_Area" localSheetId="9">'Rev Req''t_Baseline_OH3PH'!$A$1:$DA$196</definedName>
    <definedName name="_xlnm.Print_Area" localSheetId="10">'Rev Req''t_Baseline_UG1PH'!$A$1:$DA$197</definedName>
    <definedName name="_xlnm.Print_Area" localSheetId="18">'Storm restoration costs'!$A$1:$K$21</definedName>
    <definedName name="Property_Tax_Rate_Assumption">Assumptions!$B$10</definedName>
    <definedName name="SOCIETAL_DISCOUNT_RATE">Assumptions!$B$5</definedName>
    <definedName name="STORM_AVG_ANNUAL_COST_PER_MILE_OH">Assumptions!$B$62</definedName>
    <definedName name="STORM_AVG_ANNUAL_COSTS">Assumptions!$B$60</definedName>
    <definedName name="STORM_AVG_ANNUAL_INCREASE">Assumptions!$B$61</definedName>
    <definedName name="STORM_AVG_ANNUAL_INCREASE_PER_MILE">Assumptions!$B$63</definedName>
    <definedName name="Total_All_In_Cost_Per_Mile_OH1PH">Results!$V$3</definedName>
    <definedName name="Total_All_In_Cost_Per_Mile_OH3PH">Results!$V$4</definedName>
    <definedName name="Total_All_In_Cost_Per_Mile_UG1PH">Results!$V$5</definedName>
    <definedName name="UG_1PH_LINE_LOSS_REDUCTION">Benefits_Mitigation!$E$28:$E$28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12" l="1"/>
  <c r="B54" i="12"/>
  <c r="B55" i="12"/>
  <c r="B56" i="12"/>
  <c r="B57" i="12"/>
  <c r="B58" i="12"/>
  <c r="B59" i="12"/>
  <c r="B60" i="12"/>
  <c r="B61" i="12"/>
  <c r="B52" i="12"/>
  <c r="A61" i="12"/>
  <c r="A60" i="12"/>
  <c r="A59" i="12"/>
  <c r="A58" i="12"/>
  <c r="A57" i="12"/>
  <c r="A56" i="12"/>
  <c r="A55" i="12"/>
  <c r="A54" i="12"/>
  <c r="A53" i="12"/>
  <c r="A52" i="12"/>
  <c r="Q5" i="51" l="1"/>
  <c r="Q6" i="51"/>
  <c r="Q7" i="51"/>
  <c r="Q8" i="51"/>
  <c r="Q9" i="51"/>
  <c r="Q10" i="51"/>
  <c r="Q11" i="51"/>
  <c r="Q12" i="51"/>
  <c r="Q13" i="51"/>
  <c r="Q14" i="51"/>
  <c r="P4" i="51"/>
  <c r="O5" i="51"/>
  <c r="P5" i="51"/>
  <c r="O6" i="51"/>
  <c r="P6" i="51"/>
  <c r="O8" i="51"/>
  <c r="P8" i="51"/>
  <c r="O9" i="51"/>
  <c r="P9" i="51"/>
  <c r="O10" i="51"/>
  <c r="P10" i="51"/>
  <c r="O11" i="51"/>
  <c r="P11" i="51"/>
  <c r="O12" i="51"/>
  <c r="P12" i="51"/>
  <c r="O14" i="51"/>
  <c r="P14" i="51"/>
  <c r="O7" i="51"/>
  <c r="P7" i="51"/>
  <c r="O13" i="51"/>
  <c r="P13" i="51"/>
  <c r="O15" i="51"/>
  <c r="P15" i="51"/>
  <c r="O23" i="23"/>
  <c r="O14" i="23"/>
  <c r="O15" i="23"/>
  <c r="O16" i="23"/>
  <c r="O17" i="23"/>
  <c r="O18" i="23"/>
  <c r="O19" i="23"/>
  <c r="O20" i="23"/>
  <c r="O21" i="23"/>
  <c r="O22" i="23"/>
  <c r="O13" i="23"/>
  <c r="B4" i="16"/>
  <c r="B3" i="16"/>
  <c r="D59" i="8" l="1"/>
  <c r="D60" i="8"/>
  <c r="D61" i="8"/>
  <c r="D62" i="8"/>
  <c r="D63" i="8"/>
  <c r="D64" i="8"/>
  <c r="D67" i="8"/>
  <c r="D68" i="8"/>
  <c r="D69" i="8"/>
  <c r="D70" i="8"/>
  <c r="D71" i="8"/>
  <c r="D72" i="8"/>
  <c r="D73" i="8"/>
  <c r="D74" i="8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14" i="22"/>
  <c r="B14" i="22"/>
  <c r="C13" i="22"/>
  <c r="B13" i="22"/>
  <c r="C12" i="22"/>
  <c r="B12" i="22"/>
  <c r="C11" i="22"/>
  <c r="B11" i="22"/>
  <c r="C10" i="22"/>
  <c r="B10" i="22"/>
  <c r="F51" i="8"/>
  <c r="E51" i="8"/>
  <c r="D51" i="8"/>
  <c r="Y49" i="8"/>
  <c r="X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Y48" i="8"/>
  <c r="X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Y47" i="8"/>
  <c r="X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Y46" i="8"/>
  <c r="X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Y45" i="8"/>
  <c r="X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Y44" i="8"/>
  <c r="X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Y43" i="8"/>
  <c r="X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Y42" i="8"/>
  <c r="X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9" i="8"/>
  <c r="D48" i="8"/>
  <c r="D47" i="8"/>
  <c r="D46" i="8"/>
  <c r="D45" i="8"/>
  <c r="D44" i="8"/>
  <c r="D43" i="8"/>
  <c r="D42" i="8"/>
  <c r="Y39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Y38" i="8"/>
  <c r="X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Y37" i="8"/>
  <c r="X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Y36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9" i="8"/>
  <c r="D38" i="8"/>
  <c r="D37" i="8"/>
  <c r="D36" i="8"/>
  <c r="D35" i="8"/>
  <c r="C14" i="42"/>
  <c r="C13" i="42"/>
  <c r="C12" i="42"/>
  <c r="C11" i="42"/>
  <c r="C10" i="42"/>
  <c r="C9" i="42"/>
  <c r="C8" i="42"/>
  <c r="C7" i="42"/>
  <c r="C6" i="42"/>
  <c r="C5" i="42"/>
  <c r="H33" i="52"/>
  <c r="H32" i="52"/>
  <c r="H31" i="52"/>
  <c r="H30" i="52"/>
  <c r="H29" i="52"/>
  <c r="H28" i="52"/>
  <c r="H27" i="52"/>
  <c r="H26" i="52"/>
  <c r="H25" i="52"/>
  <c r="H24" i="52"/>
  <c r="H23" i="52"/>
  <c r="H22" i="52"/>
  <c r="H21" i="52"/>
  <c r="H17" i="52"/>
  <c r="H16" i="52"/>
  <c r="H15" i="52"/>
  <c r="H14" i="52"/>
  <c r="H13" i="52"/>
  <c r="H12" i="52"/>
  <c r="H11" i="52"/>
  <c r="H10" i="52"/>
  <c r="H9" i="52"/>
  <c r="H8" i="52"/>
  <c r="H7" i="52"/>
  <c r="H6" i="52"/>
  <c r="H5" i="52"/>
  <c r="E5" i="42"/>
  <c r="E6" i="42"/>
  <c r="E7" i="42"/>
  <c r="E8" i="42"/>
  <c r="E9" i="42"/>
  <c r="E10" i="42"/>
  <c r="E11" i="42"/>
  <c r="E12" i="42"/>
  <c r="E13" i="42"/>
  <c r="E14" i="42"/>
  <c r="Q40" i="12"/>
  <c r="Q11" i="12"/>
  <c r="Q32" i="12"/>
  <c r="Q27" i="12"/>
  <c r="Q20" i="12"/>
  <c r="Q26" i="12"/>
  <c r="Q25" i="12"/>
  <c r="Q7" i="12"/>
  <c r="Q22" i="12"/>
  <c r="Q34" i="12"/>
  <c r="Q18" i="12"/>
  <c r="L6" i="51"/>
  <c r="M6" i="51"/>
  <c r="Q8" i="12" s="1"/>
  <c r="L7" i="51"/>
  <c r="M7" i="51"/>
  <c r="Q13" i="12" s="1"/>
  <c r="L8" i="51"/>
  <c r="M8" i="51"/>
  <c r="Q15" i="12" s="1"/>
  <c r="L9" i="51"/>
  <c r="M9" i="51"/>
  <c r="Q21" i="12" s="1"/>
  <c r="L10" i="51"/>
  <c r="M10" i="51"/>
  <c r="Q28" i="12" s="1"/>
  <c r="L11" i="51"/>
  <c r="M11" i="51"/>
  <c r="Q35" i="12" s="1"/>
  <c r="L12" i="51"/>
  <c r="M12" i="51"/>
  <c r="Q39" i="12" s="1"/>
  <c r="L13" i="51"/>
  <c r="M13" i="51"/>
  <c r="Q43" i="12" s="1"/>
  <c r="L14" i="51"/>
  <c r="M14" i="51"/>
  <c r="Q48" i="12" s="1"/>
  <c r="M5" i="51"/>
  <c r="Q6" i="12" s="1"/>
  <c r="L5" i="51"/>
  <c r="G46" i="34"/>
  <c r="G47" i="34"/>
  <c r="G48" i="34"/>
  <c r="G49" i="34"/>
  <c r="G50" i="34"/>
  <c r="G51" i="34"/>
  <c r="G52" i="34"/>
  <c r="G53" i="34"/>
  <c r="G54" i="34"/>
  <c r="G55" i="34"/>
  <c r="C16" i="50"/>
  <c r="B61" i="2" s="1"/>
  <c r="C15" i="50"/>
  <c r="B60" i="2" s="1"/>
  <c r="Q12" i="12" l="1"/>
  <c r="Q16" i="12"/>
  <c r="AG16" i="12" s="1"/>
  <c r="Q17" i="12"/>
  <c r="Q5" i="12"/>
  <c r="Q46" i="12"/>
  <c r="Q42" i="12"/>
  <c r="Q29" i="12"/>
  <c r="Q4" i="12"/>
  <c r="Q37" i="12"/>
  <c r="Q38" i="12"/>
  <c r="Q44" i="12"/>
  <c r="Q30" i="12"/>
  <c r="Q41" i="12"/>
  <c r="Q23" i="12"/>
  <c r="Q31" i="12"/>
  <c r="Q19" i="12"/>
  <c r="Q36" i="12"/>
  <c r="Q9" i="12"/>
  <c r="Q14" i="12"/>
  <c r="Q10" i="12"/>
  <c r="Q45" i="12"/>
  <c r="Q47" i="12"/>
  <c r="AG47" i="12" s="1"/>
  <c r="Q24" i="12"/>
  <c r="Q33" i="12"/>
  <c r="F61" i="8"/>
  <c r="F69" i="8"/>
  <c r="F70" i="8"/>
  <c r="F72" i="8"/>
  <c r="F74" i="8"/>
  <c r="F73" i="8"/>
  <c r="F63" i="8"/>
  <c r="F67" i="8"/>
  <c r="F68" i="8"/>
  <c r="F60" i="8"/>
  <c r="F62" i="8"/>
  <c r="F71" i="8"/>
  <c r="F59" i="8"/>
  <c r="E15" i="42"/>
  <c r="F75" i="8" l="1"/>
  <c r="F64" i="8"/>
  <c r="G31" i="42"/>
  <c r="G41" i="42" s="1"/>
  <c r="L18" i="42" l="1"/>
  <c r="R32" i="12" l="1"/>
  <c r="S5" i="12"/>
  <c r="T5" i="12"/>
  <c r="S20" i="12"/>
  <c r="T20" i="12"/>
  <c r="F21" i="20"/>
  <c r="E21" i="20"/>
  <c r="D21" i="20"/>
  <c r="K21" i="20"/>
  <c r="J21" i="20"/>
  <c r="C21" i="20"/>
  <c r="B21" i="20"/>
  <c r="A21" i="20"/>
  <c r="T32" i="12"/>
  <c r="R33" i="12"/>
  <c r="S33" i="12"/>
  <c r="R5" i="12"/>
  <c r="B42" i="2" l="1"/>
  <c r="C46" i="45" s="1"/>
  <c r="B41" i="2"/>
  <c r="C45" i="45" s="1"/>
  <c r="B40" i="2"/>
  <c r="C44" i="45" s="1"/>
  <c r="G21" i="20"/>
  <c r="H21" i="20"/>
  <c r="O21" i="20" s="1"/>
  <c r="I21" i="20"/>
  <c r="L21" i="20"/>
  <c r="R20" i="12"/>
  <c r="T33" i="12"/>
  <c r="S32" i="12"/>
  <c r="C47" i="45" l="1"/>
  <c r="B3" i="21"/>
  <c r="C3" i="21"/>
  <c r="D3" i="21"/>
  <c r="E3" i="21"/>
  <c r="F3" i="21"/>
  <c r="G3" i="21"/>
  <c r="H3" i="21"/>
  <c r="I3" i="21"/>
  <c r="J3" i="21"/>
  <c r="K3" i="21"/>
  <c r="D4" i="21"/>
  <c r="E4" i="21"/>
  <c r="F4" i="21"/>
  <c r="G4" i="21"/>
  <c r="H4" i="21"/>
  <c r="I4" i="21"/>
  <c r="J4" i="21"/>
  <c r="K4" i="21"/>
  <c r="B4" i="21"/>
  <c r="C4" i="21"/>
  <c r="H5" i="21"/>
  <c r="F5" i="21"/>
  <c r="I5" i="21"/>
  <c r="J5" i="21"/>
  <c r="K5" i="21"/>
  <c r="B5" i="21"/>
  <c r="C5" i="21"/>
  <c r="E5" i="21"/>
  <c r="D5" i="21"/>
  <c r="G5" i="21"/>
  <c r="I6" i="21" l="1"/>
  <c r="G6" i="21"/>
  <c r="F6" i="21"/>
  <c r="H6" i="21"/>
  <c r="K6" i="21"/>
  <c r="E6" i="21"/>
  <c r="D6" i="21"/>
  <c r="C6" i="21"/>
  <c r="J6" i="21"/>
  <c r="B6" i="21"/>
  <c r="BQ86" i="18"/>
  <c r="BP86" i="18"/>
  <c r="BO86" i="18"/>
  <c r="BN86" i="18"/>
  <c r="BN96" i="19"/>
  <c r="BM96" i="19"/>
  <c r="BL96" i="19"/>
  <c r="BK96" i="19"/>
  <c r="BJ96" i="19"/>
  <c r="BI96" i="19"/>
  <c r="BH96" i="19"/>
  <c r="BG96" i="19"/>
  <c r="BF96" i="19"/>
  <c r="BE96" i="19"/>
  <c r="BD96" i="19"/>
  <c r="BC96" i="19"/>
  <c r="BB96" i="19"/>
  <c r="BA96" i="19"/>
  <c r="AZ96" i="19"/>
  <c r="AY96" i="19"/>
  <c r="AX96" i="19"/>
  <c r="AW96" i="19"/>
  <c r="AV96" i="19"/>
  <c r="AU96" i="19"/>
  <c r="AT96" i="19"/>
  <c r="AS96" i="19"/>
  <c r="AR96" i="19"/>
  <c r="AQ96" i="19"/>
  <c r="AP96" i="19"/>
  <c r="AO96" i="19"/>
  <c r="AN96" i="19"/>
  <c r="AM96" i="19"/>
  <c r="AL96" i="19"/>
  <c r="AK96" i="19"/>
  <c r="AJ96" i="19"/>
  <c r="AI96" i="19"/>
  <c r="AH96" i="19"/>
  <c r="AG96" i="19"/>
  <c r="AF96" i="19"/>
  <c r="AE96" i="19"/>
  <c r="AD96" i="19"/>
  <c r="AC96" i="19"/>
  <c r="AB96" i="19"/>
  <c r="AA96" i="19"/>
  <c r="Z96" i="19"/>
  <c r="Y96" i="19"/>
  <c r="X96" i="19"/>
  <c r="W96" i="19"/>
  <c r="V96" i="19"/>
  <c r="U96" i="19"/>
  <c r="T96" i="19"/>
  <c r="S96" i="19"/>
  <c r="R96" i="19"/>
  <c r="Q96" i="19"/>
  <c r="E27" i="34" l="1"/>
  <c r="D27" i="34"/>
  <c r="C27" i="34"/>
  <c r="B27" i="34"/>
  <c r="F26" i="34"/>
  <c r="C40" i="34" s="1"/>
  <c r="F25" i="34"/>
  <c r="C39" i="34" s="1"/>
  <c r="F24" i="34"/>
  <c r="C38" i="34" s="1"/>
  <c r="F23" i="34"/>
  <c r="D37" i="34" s="1"/>
  <c r="F22" i="34"/>
  <c r="D36" i="34" s="1"/>
  <c r="F21" i="34"/>
  <c r="D35" i="34" s="1"/>
  <c r="F20" i="34"/>
  <c r="B34" i="34" s="1"/>
  <c r="F19" i="34"/>
  <c r="E33" i="34" s="1"/>
  <c r="F18" i="34"/>
  <c r="E32" i="34" s="1"/>
  <c r="F17" i="34"/>
  <c r="F31" i="34" s="1"/>
  <c r="F40" i="34" l="1"/>
  <c r="D40" i="34"/>
  <c r="B40" i="34"/>
  <c r="E40" i="34"/>
  <c r="B39" i="34"/>
  <c r="B38" i="34"/>
  <c r="B35" i="34"/>
  <c r="F35" i="34"/>
  <c r="C35" i="34"/>
  <c r="F34" i="34"/>
  <c r="E34" i="34"/>
  <c r="D33" i="34"/>
  <c r="C33" i="34"/>
  <c r="B33" i="34"/>
  <c r="B32" i="34"/>
  <c r="C36" i="34"/>
  <c r="D34" i="34"/>
  <c r="D32" i="34"/>
  <c r="F37" i="34"/>
  <c r="C32" i="34"/>
  <c r="E37" i="34"/>
  <c r="B36" i="34"/>
  <c r="J39" i="45"/>
  <c r="D39" i="45"/>
  <c r="E35" i="45"/>
  <c r="E39" i="45"/>
  <c r="C39" i="45"/>
  <c r="G35" i="45"/>
  <c r="I39" i="45"/>
  <c r="G39" i="45"/>
  <c r="D35" i="45"/>
  <c r="H39" i="45"/>
  <c r="F35" i="45"/>
  <c r="C31" i="34"/>
  <c r="F39" i="34"/>
  <c r="B37" i="34"/>
  <c r="C34" i="34"/>
  <c r="F27" i="34"/>
  <c r="F41" i="34" s="1"/>
  <c r="C37" i="34"/>
  <c r="D31" i="34"/>
  <c r="E39" i="34"/>
  <c r="F36" i="34"/>
  <c r="B31" i="34"/>
  <c r="E31" i="34"/>
  <c r="D39" i="34"/>
  <c r="E36" i="34"/>
  <c r="F33" i="34"/>
  <c r="D38" i="34"/>
  <c r="E35" i="34"/>
  <c r="F32" i="34"/>
  <c r="F38" i="34"/>
  <c r="E38" i="34"/>
  <c r="C35" i="45" l="1"/>
  <c r="B35" i="45" s="1"/>
  <c r="F39" i="45"/>
  <c r="B39" i="45" s="1"/>
  <c r="C41" i="34"/>
  <c r="B41" i="34"/>
  <c r="D41" i="34"/>
  <c r="E41" i="34"/>
  <c r="BQ17" i="19" l="1"/>
  <c r="BP17" i="19"/>
  <c r="BO17" i="19"/>
  <c r="BN17" i="19"/>
  <c r="BM17" i="19"/>
  <c r="BL17" i="19"/>
  <c r="BK17" i="19"/>
  <c r="BJ17" i="19"/>
  <c r="BI17" i="19"/>
  <c r="BH17" i="19"/>
  <c r="BG17" i="19"/>
  <c r="BF17" i="19"/>
  <c r="BE17" i="19"/>
  <c r="BD17" i="19"/>
  <c r="BC17" i="19"/>
  <c r="BB17" i="19"/>
  <c r="BQ72" i="19"/>
  <c r="BP72" i="19"/>
  <c r="BO72" i="19"/>
  <c r="BN72" i="19"/>
  <c r="BM72" i="19"/>
  <c r="BL72" i="19"/>
  <c r="BK72" i="19"/>
  <c r="BQ44" i="19"/>
  <c r="BP44" i="19"/>
  <c r="BO44" i="19"/>
  <c r="BN44" i="19"/>
  <c r="BM44" i="19"/>
  <c r="BL44" i="19"/>
  <c r="BK44" i="19"/>
  <c r="BJ44" i="19"/>
  <c r="BI44" i="19"/>
  <c r="BH44" i="19"/>
  <c r="BG44" i="19"/>
  <c r="BF44" i="19"/>
  <c r="BE44" i="19"/>
  <c r="BD44" i="19"/>
  <c r="BC44" i="19"/>
  <c r="BB44" i="19"/>
  <c r="BQ71" i="19"/>
  <c r="BP71" i="19"/>
  <c r="BO71" i="19"/>
  <c r="BN71" i="19"/>
  <c r="BM71" i="19"/>
  <c r="BL71" i="19"/>
  <c r="BK71" i="19"/>
  <c r="BQ43" i="19"/>
  <c r="BP43" i="19"/>
  <c r="BO43" i="19"/>
  <c r="BN43" i="19"/>
  <c r="BM43" i="19"/>
  <c r="BL43" i="19"/>
  <c r="BK43" i="19"/>
  <c r="BJ43" i="19"/>
  <c r="BI43" i="19"/>
  <c r="BH43" i="19"/>
  <c r="BG43" i="19"/>
  <c r="BF43" i="19"/>
  <c r="BE43" i="19"/>
  <c r="BD43" i="19"/>
  <c r="BC43" i="19"/>
  <c r="BB43" i="19"/>
  <c r="BQ16" i="19"/>
  <c r="BP16" i="19"/>
  <c r="BO16" i="19"/>
  <c r="BN16" i="19"/>
  <c r="BM16" i="19"/>
  <c r="BL16" i="19"/>
  <c r="BK16" i="19"/>
  <c r="BJ16" i="19"/>
  <c r="BI16" i="19"/>
  <c r="BH16" i="19"/>
  <c r="BG16" i="19"/>
  <c r="BF16" i="19"/>
  <c r="BE16" i="19"/>
  <c r="BD16" i="19"/>
  <c r="BC16" i="19"/>
  <c r="BB16" i="19"/>
  <c r="BO25" i="15"/>
  <c r="BN25" i="15"/>
  <c r="BM25" i="15"/>
  <c r="BL25" i="15"/>
  <c r="BK25" i="15"/>
  <c r="BJ25" i="15"/>
  <c r="BI25" i="15"/>
  <c r="BO24" i="15"/>
  <c r="BN24" i="15"/>
  <c r="BM24" i="15"/>
  <c r="BL24" i="15"/>
  <c r="BK24" i="15"/>
  <c r="BJ24" i="15"/>
  <c r="BI24" i="15"/>
  <c r="BO28" i="8"/>
  <c r="BN28" i="8"/>
  <c r="BM28" i="8"/>
  <c r="BL28" i="8"/>
  <c r="BK28" i="8"/>
  <c r="BJ28" i="8"/>
  <c r="BI28" i="8"/>
  <c r="BO18" i="8"/>
  <c r="BN18" i="8"/>
  <c r="BM18" i="8"/>
  <c r="BL18" i="8"/>
  <c r="BK18" i="8"/>
  <c r="BJ18" i="8"/>
  <c r="BI18" i="8"/>
  <c r="BH18" i="8"/>
  <c r="BG18" i="8"/>
  <c r="BF18" i="8"/>
  <c r="BE18" i="8"/>
  <c r="BD18" i="8"/>
  <c r="BC18" i="8"/>
  <c r="BB18" i="8"/>
  <c r="BA18" i="8"/>
  <c r="AZ18" i="8"/>
  <c r="BO27" i="8"/>
  <c r="BN27" i="8"/>
  <c r="BM27" i="8"/>
  <c r="BL27" i="8"/>
  <c r="BK27" i="8"/>
  <c r="BJ27" i="8"/>
  <c r="BI27" i="8"/>
  <c r="BO26" i="8"/>
  <c r="BN26" i="8"/>
  <c r="BM26" i="8"/>
  <c r="BL26" i="8"/>
  <c r="BK26" i="8"/>
  <c r="BJ26" i="8"/>
  <c r="BI26" i="8"/>
  <c r="BO17" i="8"/>
  <c r="BN17" i="8"/>
  <c r="BM17" i="8"/>
  <c r="BL17" i="8"/>
  <c r="BK17" i="8"/>
  <c r="BJ17" i="8"/>
  <c r="BI17" i="8"/>
  <c r="BH17" i="8"/>
  <c r="BG17" i="8"/>
  <c r="BF17" i="8"/>
  <c r="BE17" i="8"/>
  <c r="BD17" i="8"/>
  <c r="BC17" i="8"/>
  <c r="BB17" i="8"/>
  <c r="BA17" i="8"/>
  <c r="AZ17" i="8"/>
  <c r="BO16" i="8"/>
  <c r="BN16" i="8"/>
  <c r="BM16" i="8"/>
  <c r="BL16" i="8"/>
  <c r="BK16" i="8"/>
  <c r="BJ16" i="8"/>
  <c r="BI16" i="8"/>
  <c r="BH16" i="8"/>
  <c r="BG16" i="8"/>
  <c r="BF16" i="8"/>
  <c r="BE16" i="8"/>
  <c r="BD16" i="8"/>
  <c r="BC16" i="8"/>
  <c r="BB16" i="8"/>
  <c r="BA16" i="8"/>
  <c r="AZ16" i="8"/>
  <c r="BO8" i="8"/>
  <c r="BN8" i="8"/>
  <c r="BM8" i="8"/>
  <c r="BL8" i="8"/>
  <c r="BK8" i="8"/>
  <c r="BJ8" i="8"/>
  <c r="BI8" i="8"/>
  <c r="BH8" i="8"/>
  <c r="BG8" i="8"/>
  <c r="BF8" i="8"/>
  <c r="BE8" i="8"/>
  <c r="BD8" i="8"/>
  <c r="BC8" i="8"/>
  <c r="BB8" i="8"/>
  <c r="BA8" i="8"/>
  <c r="AZ8" i="8"/>
  <c r="BO7" i="8"/>
  <c r="BN7" i="8"/>
  <c r="BM7" i="8"/>
  <c r="BL7" i="8"/>
  <c r="BK7" i="8"/>
  <c r="BJ7" i="8"/>
  <c r="BI7" i="8"/>
  <c r="BH7" i="8"/>
  <c r="BG7" i="8"/>
  <c r="BF7" i="8"/>
  <c r="BE7" i="8"/>
  <c r="BD7" i="8"/>
  <c r="BC7" i="8"/>
  <c r="BB7" i="8"/>
  <c r="BA7" i="8"/>
  <c r="AZ7" i="8"/>
  <c r="BO9" i="8"/>
  <c r="BN9" i="8"/>
  <c r="BM9" i="8"/>
  <c r="BL9" i="8"/>
  <c r="BK9" i="8"/>
  <c r="BJ9" i="8"/>
  <c r="BI9" i="8"/>
  <c r="BH9" i="8"/>
  <c r="BG9" i="8"/>
  <c r="BF9" i="8"/>
  <c r="BE9" i="8"/>
  <c r="BD9" i="8"/>
  <c r="BC9" i="8"/>
  <c r="BB9" i="8"/>
  <c r="BA9" i="8"/>
  <c r="AZ9" i="8"/>
  <c r="BO27" i="15"/>
  <c r="BN27" i="15"/>
  <c r="BM27" i="15"/>
  <c r="BL27" i="15"/>
  <c r="BK27" i="15"/>
  <c r="BJ27" i="15"/>
  <c r="BI27" i="15"/>
  <c r="BH27" i="15"/>
  <c r="BG27" i="15"/>
  <c r="BF27" i="15"/>
  <c r="BE27" i="15"/>
  <c r="BD27" i="15"/>
  <c r="BC27" i="15"/>
  <c r="BB27" i="15"/>
  <c r="BA27" i="15"/>
  <c r="AZ27" i="15"/>
  <c r="BO26" i="15"/>
  <c r="BN26" i="15"/>
  <c r="BM26" i="15"/>
  <c r="BL26" i="15"/>
  <c r="BK26" i="15"/>
  <c r="BJ26" i="15"/>
  <c r="BI26" i="15"/>
  <c r="BH26" i="15"/>
  <c r="BG26" i="15"/>
  <c r="BF26" i="15"/>
  <c r="BE26" i="15"/>
  <c r="BD26" i="15"/>
  <c r="BC26" i="15"/>
  <c r="BB26" i="15"/>
  <c r="BA26" i="15"/>
  <c r="AZ26" i="15"/>
  <c r="BO17" i="15"/>
  <c r="BN17" i="15"/>
  <c r="BM17" i="15"/>
  <c r="BL17" i="15"/>
  <c r="BK17" i="15"/>
  <c r="BJ17" i="15"/>
  <c r="BI17" i="15"/>
  <c r="BH17" i="15"/>
  <c r="BG17" i="15"/>
  <c r="BF17" i="15"/>
  <c r="BE17" i="15"/>
  <c r="BD17" i="15"/>
  <c r="BC17" i="15"/>
  <c r="BB17" i="15"/>
  <c r="BA17" i="15"/>
  <c r="AZ17" i="15"/>
  <c r="BO16" i="15"/>
  <c r="BN16" i="15"/>
  <c r="BM16" i="15"/>
  <c r="BL16" i="15"/>
  <c r="BK16" i="15"/>
  <c r="BJ16" i="15"/>
  <c r="BI16" i="15"/>
  <c r="BH16" i="15"/>
  <c r="BG16" i="15"/>
  <c r="BF16" i="15"/>
  <c r="BE16" i="15"/>
  <c r="BD16" i="15"/>
  <c r="BC16" i="15"/>
  <c r="BB16" i="15"/>
  <c r="BA16" i="15"/>
  <c r="AZ16" i="15"/>
  <c r="BO8" i="15"/>
  <c r="BN8" i="15"/>
  <c r="BM8" i="15"/>
  <c r="BL8" i="15"/>
  <c r="BK8" i="15"/>
  <c r="BJ8" i="15"/>
  <c r="BI8" i="15"/>
  <c r="BH8" i="15"/>
  <c r="BG8" i="15"/>
  <c r="BF8" i="15"/>
  <c r="BE8" i="15"/>
  <c r="BD8" i="15"/>
  <c r="BC8" i="15"/>
  <c r="BB8" i="15"/>
  <c r="BA8" i="15"/>
  <c r="AZ8" i="15"/>
  <c r="BO7" i="15"/>
  <c r="BN7" i="15"/>
  <c r="BM7" i="15"/>
  <c r="BL7" i="15"/>
  <c r="BK7" i="15"/>
  <c r="BJ7" i="15"/>
  <c r="BI7" i="15"/>
  <c r="BH7" i="15"/>
  <c r="BG7" i="15"/>
  <c r="BF7" i="15"/>
  <c r="BE7" i="15"/>
  <c r="BD7" i="15"/>
  <c r="BC7" i="15"/>
  <c r="BB7" i="15"/>
  <c r="BA7" i="15"/>
  <c r="AZ7" i="15"/>
  <c r="BO28" i="15"/>
  <c r="BN28" i="15"/>
  <c r="BM28" i="15"/>
  <c r="BL28" i="15"/>
  <c r="BK28" i="15"/>
  <c r="BJ28" i="15"/>
  <c r="BI28" i="15"/>
  <c r="BO18" i="15"/>
  <c r="BN18" i="15"/>
  <c r="BM18" i="15"/>
  <c r="BL18" i="15"/>
  <c r="BK18" i="15"/>
  <c r="BJ18" i="15"/>
  <c r="BI18" i="15"/>
  <c r="BH18" i="15"/>
  <c r="BG18" i="15"/>
  <c r="BF18" i="15"/>
  <c r="BE18" i="15"/>
  <c r="BD18" i="15"/>
  <c r="BC18" i="15"/>
  <c r="BB18" i="15"/>
  <c r="BA18" i="15"/>
  <c r="AZ18" i="15"/>
  <c r="AZ9" i="15"/>
  <c r="BA9" i="15"/>
  <c r="BB9" i="15"/>
  <c r="BC9" i="15"/>
  <c r="BD9" i="15"/>
  <c r="BE9" i="15"/>
  <c r="BF9" i="15"/>
  <c r="BG9" i="15"/>
  <c r="BH9" i="15"/>
  <c r="BI9" i="15"/>
  <c r="BJ9" i="15"/>
  <c r="BK9" i="15"/>
  <c r="BL9" i="15"/>
  <c r="BM9" i="15"/>
  <c r="BN9" i="15"/>
  <c r="BO9" i="15"/>
  <c r="G30" i="42"/>
  <c r="G40" i="42" s="1"/>
  <c r="G26" i="42"/>
  <c r="G36" i="42" s="1"/>
  <c r="G27" i="42"/>
  <c r="G37" i="42" s="1"/>
  <c r="G28" i="42"/>
  <c r="G38" i="42" s="1"/>
  <c r="G29" i="42"/>
  <c r="G39" i="42" s="1"/>
  <c r="G25" i="42"/>
  <c r="G35" i="42" s="1"/>
  <c r="F46" i="42"/>
  <c r="F45" i="42"/>
  <c r="BI29" i="15" l="1"/>
  <c r="BJ29" i="15"/>
  <c r="BK29" i="15"/>
  <c r="BL29" i="15"/>
  <c r="BM29" i="15"/>
  <c r="BN29" i="15"/>
  <c r="BO29" i="15"/>
  <c r="BM89" i="19"/>
  <c r="BL89" i="19"/>
  <c r="BK89" i="19"/>
  <c r="BN89" i="19"/>
  <c r="BM90" i="19"/>
  <c r="BK90" i="19"/>
  <c r="BL90" i="19"/>
  <c r="BN90" i="19"/>
  <c r="H48" i="20" l="1"/>
  <c r="G48" i="20"/>
  <c r="F48" i="20"/>
  <c r="E48" i="20"/>
  <c r="D48" i="20"/>
  <c r="A48" i="20"/>
  <c r="I47" i="20"/>
  <c r="H47" i="20"/>
  <c r="G47" i="20"/>
  <c r="F47" i="20"/>
  <c r="E47" i="20"/>
  <c r="D47" i="20"/>
  <c r="I46" i="20"/>
  <c r="T40" i="12"/>
  <c r="G46" i="20"/>
  <c r="F46" i="20"/>
  <c r="E46" i="20"/>
  <c r="D46" i="20"/>
  <c r="S11" i="12"/>
  <c r="G45" i="20"/>
  <c r="F45" i="20"/>
  <c r="E45" i="20"/>
  <c r="D45" i="20"/>
  <c r="S13" i="12"/>
  <c r="T13" i="12"/>
  <c r="F44" i="20"/>
  <c r="E44" i="20"/>
  <c r="D44" i="20"/>
  <c r="K43" i="20"/>
  <c r="S6" i="12"/>
  <c r="H43" i="20"/>
  <c r="G43" i="20"/>
  <c r="F43" i="20"/>
  <c r="E43" i="20"/>
  <c r="D43" i="20"/>
  <c r="I42" i="20"/>
  <c r="T15" i="12"/>
  <c r="G42" i="20"/>
  <c r="F42" i="20"/>
  <c r="E42" i="20"/>
  <c r="D42" i="20"/>
  <c r="G41" i="20"/>
  <c r="F41" i="20"/>
  <c r="E41" i="20"/>
  <c r="D41" i="20"/>
  <c r="J40" i="20"/>
  <c r="H40" i="20"/>
  <c r="G40" i="20"/>
  <c r="F40" i="20"/>
  <c r="E40" i="20"/>
  <c r="D40" i="20"/>
  <c r="A40" i="20"/>
  <c r="S31" i="12"/>
  <c r="T31" i="12"/>
  <c r="G39" i="20"/>
  <c r="F39" i="20"/>
  <c r="E39" i="20"/>
  <c r="D39" i="20"/>
  <c r="A39" i="20"/>
  <c r="J38" i="20"/>
  <c r="H38" i="20"/>
  <c r="G38" i="20"/>
  <c r="F38" i="20"/>
  <c r="E38" i="20"/>
  <c r="D38" i="20"/>
  <c r="K37" i="20"/>
  <c r="S10" i="12"/>
  <c r="F37" i="20"/>
  <c r="E37" i="20"/>
  <c r="D37" i="20"/>
  <c r="S9" i="12"/>
  <c r="G36" i="20"/>
  <c r="F36" i="20"/>
  <c r="E36" i="20"/>
  <c r="D36" i="20"/>
  <c r="K35" i="20"/>
  <c r="I35" i="20"/>
  <c r="T39" i="12"/>
  <c r="G35" i="20"/>
  <c r="F35" i="20"/>
  <c r="E35" i="20"/>
  <c r="D35" i="20"/>
  <c r="H34" i="20"/>
  <c r="F34" i="20"/>
  <c r="E34" i="20"/>
  <c r="D34" i="20"/>
  <c r="R30" i="12"/>
  <c r="I33" i="20"/>
  <c r="H33" i="20"/>
  <c r="O33" i="20" s="1"/>
  <c r="G33" i="20"/>
  <c r="F33" i="20"/>
  <c r="E33" i="20"/>
  <c r="D33" i="20"/>
  <c r="S38" i="12"/>
  <c r="T38" i="12"/>
  <c r="G32" i="20"/>
  <c r="F32" i="20"/>
  <c r="E32" i="20"/>
  <c r="D32" i="20"/>
  <c r="R38" i="12"/>
  <c r="S37" i="12"/>
  <c r="T37" i="12"/>
  <c r="G31" i="20"/>
  <c r="F31" i="20"/>
  <c r="E31" i="20"/>
  <c r="D31" i="20"/>
  <c r="S36" i="12"/>
  <c r="T36" i="12"/>
  <c r="F30" i="20"/>
  <c r="E30" i="20"/>
  <c r="D30" i="20"/>
  <c r="K29" i="20"/>
  <c r="I29" i="20"/>
  <c r="T28" i="12"/>
  <c r="G29" i="20"/>
  <c r="F29" i="20"/>
  <c r="E29" i="20"/>
  <c r="D29" i="20"/>
  <c r="I28" i="20"/>
  <c r="H28" i="20"/>
  <c r="G28" i="20"/>
  <c r="F28" i="20"/>
  <c r="E28" i="20"/>
  <c r="D28" i="20"/>
  <c r="G27" i="20"/>
  <c r="F27" i="20"/>
  <c r="E27" i="20"/>
  <c r="D27" i="20"/>
  <c r="J26" i="20"/>
  <c r="S47" i="12"/>
  <c r="H26" i="20"/>
  <c r="F26" i="20"/>
  <c r="E26" i="20"/>
  <c r="D26" i="20"/>
  <c r="S46" i="12"/>
  <c r="T46" i="12"/>
  <c r="F25" i="20"/>
  <c r="E25" i="20"/>
  <c r="D25" i="20"/>
  <c r="I24" i="20"/>
  <c r="H24" i="20"/>
  <c r="G24" i="20"/>
  <c r="F24" i="20"/>
  <c r="E24" i="20"/>
  <c r="D24" i="20"/>
  <c r="K23" i="20"/>
  <c r="J23" i="20"/>
  <c r="S14" i="12"/>
  <c r="T14" i="12"/>
  <c r="F23" i="20"/>
  <c r="E23" i="20"/>
  <c r="D23" i="20"/>
  <c r="J22" i="20"/>
  <c r="F22" i="20"/>
  <c r="E22" i="20"/>
  <c r="D22" i="20"/>
  <c r="A22" i="20"/>
  <c r="K20" i="20"/>
  <c r="I20" i="20"/>
  <c r="T4" i="12"/>
  <c r="F20" i="20"/>
  <c r="E20" i="20"/>
  <c r="D20" i="20"/>
  <c r="A20" i="20"/>
  <c r="H19" i="20"/>
  <c r="G19" i="20"/>
  <c r="F19" i="20"/>
  <c r="E19" i="20"/>
  <c r="D19" i="20"/>
  <c r="S26" i="12"/>
  <c r="H18" i="20"/>
  <c r="G18" i="20"/>
  <c r="F18" i="20"/>
  <c r="E18" i="20"/>
  <c r="D18" i="20"/>
  <c r="I17" i="20"/>
  <c r="T25" i="12"/>
  <c r="F17" i="20"/>
  <c r="E17" i="20"/>
  <c r="D17" i="20"/>
  <c r="J16" i="20"/>
  <c r="S19" i="12"/>
  <c r="T19" i="12"/>
  <c r="F16" i="20"/>
  <c r="E16" i="20"/>
  <c r="D16" i="20"/>
  <c r="I15" i="20"/>
  <c r="T8" i="12"/>
  <c r="F15" i="20"/>
  <c r="E15" i="20"/>
  <c r="D15" i="20"/>
  <c r="I14" i="20"/>
  <c r="T7" i="12"/>
  <c r="G14" i="20"/>
  <c r="F14" i="20"/>
  <c r="E14" i="20"/>
  <c r="D14" i="20"/>
  <c r="T24" i="12"/>
  <c r="F13" i="20"/>
  <c r="E13" i="20"/>
  <c r="D13" i="20"/>
  <c r="I12" i="20"/>
  <c r="H12" i="20"/>
  <c r="G12" i="20"/>
  <c r="F12" i="20"/>
  <c r="E12" i="20"/>
  <c r="D12" i="20"/>
  <c r="A12" i="20"/>
  <c r="I11" i="20"/>
  <c r="H11" i="20"/>
  <c r="G11" i="20"/>
  <c r="F11" i="20"/>
  <c r="E11" i="20"/>
  <c r="D11" i="20"/>
  <c r="A11" i="20"/>
  <c r="I10" i="20"/>
  <c r="H10" i="20"/>
  <c r="G10" i="20"/>
  <c r="F10" i="20"/>
  <c r="E10" i="20"/>
  <c r="D10" i="20"/>
  <c r="A10" i="20"/>
  <c r="I9" i="20"/>
  <c r="H9" i="20"/>
  <c r="G9" i="20"/>
  <c r="F9" i="20"/>
  <c r="E9" i="20"/>
  <c r="D9" i="20"/>
  <c r="A9" i="20"/>
  <c r="K8" i="20"/>
  <c r="J8" i="20"/>
  <c r="I8" i="20"/>
  <c r="H8" i="20"/>
  <c r="G8" i="20"/>
  <c r="F8" i="20"/>
  <c r="E8" i="20"/>
  <c r="D8" i="20"/>
  <c r="A8" i="20"/>
  <c r="I7" i="20"/>
  <c r="H7" i="20"/>
  <c r="G7" i="20"/>
  <c r="F7" i="20"/>
  <c r="E7" i="20"/>
  <c r="D7" i="20"/>
  <c r="A7" i="20"/>
  <c r="I6" i="20"/>
  <c r="H6" i="20"/>
  <c r="G6" i="20"/>
  <c r="F6" i="20"/>
  <c r="E6" i="20"/>
  <c r="D6" i="20"/>
  <c r="A6" i="20"/>
  <c r="I5" i="20"/>
  <c r="H5" i="20"/>
  <c r="G5" i="20"/>
  <c r="F5" i="20"/>
  <c r="E5" i="20"/>
  <c r="D5" i="20"/>
  <c r="A5" i="20"/>
  <c r="E196" i="28"/>
  <c r="E194" i="28"/>
  <c r="E192" i="28"/>
  <c r="E191" i="28"/>
  <c r="E190" i="28"/>
  <c r="E187" i="28"/>
  <c r="E186" i="28"/>
  <c r="E184" i="28"/>
  <c r="E196" i="29"/>
  <c r="E194" i="29"/>
  <c r="E192" i="29"/>
  <c r="E191" i="29"/>
  <c r="E190" i="29"/>
  <c r="E187" i="29"/>
  <c r="E186" i="29"/>
  <c r="E184" i="29"/>
  <c r="E196" i="30"/>
  <c r="E194" i="30"/>
  <c r="E192" i="30"/>
  <c r="E191" i="30"/>
  <c r="E190" i="30"/>
  <c r="E187" i="30"/>
  <c r="E186" i="30"/>
  <c r="E184" i="30"/>
  <c r="BL42" i="18"/>
  <c r="BM42" i="18" s="1"/>
  <c r="BN42" i="18" s="1"/>
  <c r="BO42" i="18" s="1"/>
  <c r="BP42" i="18" s="1"/>
  <c r="BQ42" i="18" s="1"/>
  <c r="A6" i="42" l="1"/>
  <c r="A5" i="42"/>
  <c r="A7" i="42"/>
  <c r="D7" i="42" s="1"/>
  <c r="A8" i="42"/>
  <c r="A10" i="42"/>
  <c r="A11" i="42"/>
  <c r="A12" i="42"/>
  <c r="A13" i="42"/>
  <c r="D13" i="42" s="1"/>
  <c r="A9" i="42"/>
  <c r="A14" i="42"/>
  <c r="R16" i="12"/>
  <c r="B47" i="20"/>
  <c r="C18" i="20"/>
  <c r="B18" i="20"/>
  <c r="C19" i="20"/>
  <c r="B19" i="20"/>
  <c r="C31" i="20"/>
  <c r="B31" i="20"/>
  <c r="C40" i="20"/>
  <c r="B40" i="20"/>
  <c r="C6" i="20"/>
  <c r="B6" i="20"/>
  <c r="C20" i="20"/>
  <c r="B20" i="20"/>
  <c r="C22" i="20"/>
  <c r="B22" i="20"/>
  <c r="C23" i="20"/>
  <c r="B23" i="20"/>
  <c r="C48" i="20"/>
  <c r="B48" i="20"/>
  <c r="C24" i="20"/>
  <c r="B24" i="20"/>
  <c r="C9" i="20"/>
  <c r="B9" i="20"/>
  <c r="C8" i="20"/>
  <c r="B8" i="20"/>
  <c r="C30" i="20"/>
  <c r="B30" i="20"/>
  <c r="C39" i="20"/>
  <c r="B39" i="20"/>
  <c r="C32" i="20"/>
  <c r="B32" i="20"/>
  <c r="C46" i="20"/>
  <c r="B46" i="20"/>
  <c r="C5" i="20"/>
  <c r="B5" i="20"/>
  <c r="C7" i="20"/>
  <c r="B7" i="20"/>
  <c r="C16" i="20"/>
  <c r="B16" i="20"/>
  <c r="C29" i="20"/>
  <c r="B29" i="20"/>
  <c r="C38" i="20"/>
  <c r="B38" i="20"/>
  <c r="C33" i="20"/>
  <c r="B33" i="20"/>
  <c r="C17" i="20"/>
  <c r="B17" i="20"/>
  <c r="AT8" i="8"/>
  <c r="AF8" i="8"/>
  <c r="R8" i="8"/>
  <c r="AL7" i="8"/>
  <c r="X7" i="8"/>
  <c r="J7" i="8"/>
  <c r="I7" i="8"/>
  <c r="AX7" i="8"/>
  <c r="H7" i="8"/>
  <c r="AA7" i="8"/>
  <c r="AS8" i="8"/>
  <c r="AE8" i="8"/>
  <c r="Q8" i="8"/>
  <c r="AY7" i="8"/>
  <c r="AK7" i="8"/>
  <c r="W7" i="8"/>
  <c r="AD8" i="8"/>
  <c r="V7" i="8"/>
  <c r="AQ8" i="8"/>
  <c r="AC8" i="8"/>
  <c r="O8" i="8"/>
  <c r="AW7" i="8"/>
  <c r="AI7" i="8"/>
  <c r="U7" i="8"/>
  <c r="G7" i="8"/>
  <c r="AX8" i="8"/>
  <c r="AP8" i="8"/>
  <c r="AB8" i="8"/>
  <c r="N8" i="8"/>
  <c r="AV7" i="8"/>
  <c r="AH7" i="8"/>
  <c r="T7" i="8"/>
  <c r="F7" i="8"/>
  <c r="AO8" i="8"/>
  <c r="AA8" i="8"/>
  <c r="M8" i="8"/>
  <c r="AU7" i="8"/>
  <c r="AG7" i="8"/>
  <c r="S7" i="8"/>
  <c r="E8" i="8"/>
  <c r="H8" i="8"/>
  <c r="AN8" i="8"/>
  <c r="Z8" i="8"/>
  <c r="L8" i="8"/>
  <c r="AT7" i="8"/>
  <c r="AF7" i="8"/>
  <c r="R7" i="8"/>
  <c r="E7" i="8"/>
  <c r="V8" i="8"/>
  <c r="U8" i="8"/>
  <c r="AM8" i="8"/>
  <c r="Y8" i="8"/>
  <c r="K8" i="8"/>
  <c r="AS7" i="8"/>
  <c r="AE7" i="8"/>
  <c r="Q7" i="8"/>
  <c r="AB7" i="8"/>
  <c r="G8" i="8"/>
  <c r="AL8" i="8"/>
  <c r="X8" i="8"/>
  <c r="J8" i="8"/>
  <c r="AR7" i="8"/>
  <c r="AD7" i="8"/>
  <c r="P7" i="8"/>
  <c r="AP7" i="8"/>
  <c r="AI8" i="8"/>
  <c r="AY8" i="8"/>
  <c r="AK8" i="8"/>
  <c r="W8" i="8"/>
  <c r="I8" i="8"/>
  <c r="AQ7" i="8"/>
  <c r="AC7" i="8"/>
  <c r="O7" i="8"/>
  <c r="AJ8" i="8"/>
  <c r="N7" i="8"/>
  <c r="AW8" i="8"/>
  <c r="M7" i="8"/>
  <c r="AV8" i="8"/>
  <c r="AH8" i="8"/>
  <c r="T8" i="8"/>
  <c r="F8" i="8"/>
  <c r="AN7" i="8"/>
  <c r="Z7" i="8"/>
  <c r="L7" i="8"/>
  <c r="P8" i="8"/>
  <c r="AU8" i="8"/>
  <c r="AG8" i="8"/>
  <c r="S8" i="8"/>
  <c r="AM7" i="8"/>
  <c r="Y7" i="8"/>
  <c r="K7" i="8"/>
  <c r="AR8" i="8"/>
  <c r="AJ7" i="8"/>
  <c r="AO7" i="8"/>
  <c r="C45" i="20"/>
  <c r="B45" i="20"/>
  <c r="C10" i="20"/>
  <c r="B10" i="20"/>
  <c r="C15" i="20"/>
  <c r="B15" i="20"/>
  <c r="C28" i="20"/>
  <c r="B28" i="20"/>
  <c r="C36" i="20"/>
  <c r="B36" i="20"/>
  <c r="C37" i="20"/>
  <c r="B37" i="20"/>
  <c r="C14" i="20"/>
  <c r="B14" i="20"/>
  <c r="C27" i="20"/>
  <c r="B27" i="20"/>
  <c r="C35" i="20"/>
  <c r="B35" i="20"/>
  <c r="C43" i="20"/>
  <c r="B43" i="20"/>
  <c r="C44" i="20"/>
  <c r="B44" i="20"/>
  <c r="C11" i="20"/>
  <c r="B11" i="20"/>
  <c r="C12" i="20"/>
  <c r="B12" i="20"/>
  <c r="C13" i="20"/>
  <c r="B13" i="20"/>
  <c r="C25" i="20"/>
  <c r="B25" i="20"/>
  <c r="C26" i="20"/>
  <c r="B26" i="20"/>
  <c r="C34" i="20"/>
  <c r="B34" i="20"/>
  <c r="C42" i="20"/>
  <c r="B42" i="20"/>
  <c r="C41" i="20"/>
  <c r="B41" i="20"/>
  <c r="C47" i="20"/>
  <c r="H31" i="20"/>
  <c r="O31" i="20" s="1"/>
  <c r="K44" i="20"/>
  <c r="H17" i="20"/>
  <c r="A45" i="20"/>
  <c r="S45" i="12"/>
  <c r="G22" i="20"/>
  <c r="K34" i="20"/>
  <c r="H22" i="20"/>
  <c r="A36" i="20"/>
  <c r="I22" i="20"/>
  <c r="K11" i="20"/>
  <c r="K38" i="20"/>
  <c r="A26" i="20"/>
  <c r="R40" i="12"/>
  <c r="I40" i="20"/>
  <c r="T17" i="12"/>
  <c r="A13" i="20"/>
  <c r="K26" i="20"/>
  <c r="H16" i="20"/>
  <c r="I16" i="20"/>
  <c r="J29" i="20"/>
  <c r="J46" i="20"/>
  <c r="K16" i="20"/>
  <c r="K40" i="20"/>
  <c r="R12" i="12"/>
  <c r="J39" i="20"/>
  <c r="S40" i="12"/>
  <c r="J15" i="20"/>
  <c r="R24" i="12"/>
  <c r="J14" i="20"/>
  <c r="A17" i="20"/>
  <c r="J12" i="20"/>
  <c r="J27" i="20"/>
  <c r="J36" i="20"/>
  <c r="J37" i="20"/>
  <c r="G13" i="20"/>
  <c r="I23" i="20"/>
  <c r="A38" i="20"/>
  <c r="A47" i="20"/>
  <c r="J45" i="20"/>
  <c r="H32" i="20"/>
  <c r="O32" i="20" s="1"/>
  <c r="J13" i="20"/>
  <c r="J6" i="20"/>
  <c r="J35" i="20"/>
  <c r="K5" i="20"/>
  <c r="H13" i="20"/>
  <c r="I32" i="20"/>
  <c r="S29" i="12"/>
  <c r="S16" i="12"/>
  <c r="N47" i="20" s="1"/>
  <c r="J28" i="20"/>
  <c r="J25" i="20"/>
  <c r="A24" i="20"/>
  <c r="J5" i="20"/>
  <c r="J34" i="20"/>
  <c r="I18" i="20"/>
  <c r="I25" i="20"/>
  <c r="I43" i="20"/>
  <c r="J20" i="20"/>
  <c r="J9" i="20"/>
  <c r="J18" i="20"/>
  <c r="J19" i="20"/>
  <c r="J24" i="20"/>
  <c r="J42" i="20"/>
  <c r="K19" i="20"/>
  <c r="K25" i="20"/>
  <c r="K33" i="20"/>
  <c r="J43" i="20"/>
  <c r="S39" i="12"/>
  <c r="K30" i="20"/>
  <c r="J10" i="20"/>
  <c r="J32" i="20"/>
  <c r="J33" i="20"/>
  <c r="J17" i="20"/>
  <c r="J41" i="20"/>
  <c r="R9" i="12"/>
  <c r="J7" i="20"/>
  <c r="J31" i="20"/>
  <c r="J11" i="20"/>
  <c r="J44" i="20"/>
  <c r="T26" i="12"/>
  <c r="I30" i="20"/>
  <c r="J48" i="20"/>
  <c r="J30" i="20"/>
  <c r="T27" i="12"/>
  <c r="H35" i="20"/>
  <c r="O35" i="20" s="1"/>
  <c r="I13" i="20"/>
  <c r="S24" i="12"/>
  <c r="N13" i="20" s="1"/>
  <c r="R19" i="12"/>
  <c r="A16" i="20"/>
  <c r="G26" i="20"/>
  <c r="S27" i="12"/>
  <c r="K14" i="20"/>
  <c r="G20" i="20"/>
  <c r="G25" i="20"/>
  <c r="A41" i="20"/>
  <c r="T11" i="12"/>
  <c r="H45" i="20"/>
  <c r="K47" i="20"/>
  <c r="K15" i="20"/>
  <c r="T48" i="12"/>
  <c r="H27" i="20"/>
  <c r="R37" i="12"/>
  <c r="A31" i="20"/>
  <c r="T9" i="12"/>
  <c r="H36" i="20"/>
  <c r="H37" i="20"/>
  <c r="T10" i="12"/>
  <c r="I38" i="20"/>
  <c r="S21" i="12"/>
  <c r="N21" i="20" s="1"/>
  <c r="K39" i="20"/>
  <c r="G44" i="20"/>
  <c r="S30" i="12"/>
  <c r="I34" i="20"/>
  <c r="A14" i="20"/>
  <c r="H15" i="20"/>
  <c r="A28" i="20"/>
  <c r="H29" i="20"/>
  <c r="K32" i="20"/>
  <c r="I37" i="20"/>
  <c r="H42" i="20"/>
  <c r="K45" i="20"/>
  <c r="S8" i="12"/>
  <c r="T29" i="12"/>
  <c r="S15" i="12"/>
  <c r="T16" i="12"/>
  <c r="K28" i="20"/>
  <c r="R28" i="12"/>
  <c r="S12" i="12"/>
  <c r="I19" i="20"/>
  <c r="R21" i="12"/>
  <c r="M21" i="20" s="1"/>
  <c r="K18" i="20"/>
  <c r="A33" i="20"/>
  <c r="G34" i="20"/>
  <c r="H39" i="20"/>
  <c r="A46" i="20"/>
  <c r="J47" i="20"/>
  <c r="T12" i="12"/>
  <c r="S28" i="12"/>
  <c r="K13" i="20"/>
  <c r="K22" i="20"/>
  <c r="A27" i="20"/>
  <c r="A37" i="20"/>
  <c r="H41" i="20"/>
  <c r="R11" i="12"/>
  <c r="K10" i="20"/>
  <c r="G17" i="20"/>
  <c r="H20" i="20"/>
  <c r="K24" i="20"/>
  <c r="A43" i="20"/>
  <c r="H44" i="20"/>
  <c r="S25" i="12"/>
  <c r="G30" i="20"/>
  <c r="R39" i="12"/>
  <c r="A25" i="20"/>
  <c r="I26" i="20"/>
  <c r="I39" i="20"/>
  <c r="R48" i="12"/>
  <c r="T21" i="12"/>
  <c r="K6" i="20"/>
  <c r="K36" i="20"/>
  <c r="R4" i="12"/>
  <c r="I41" i="20"/>
  <c r="K42" i="20"/>
  <c r="R13" i="12"/>
  <c r="A44" i="20"/>
  <c r="H23" i="20"/>
  <c r="I31" i="20"/>
  <c r="A35" i="20"/>
  <c r="I44" i="20"/>
  <c r="G23" i="20"/>
  <c r="K7" i="20"/>
  <c r="A23" i="20"/>
  <c r="A34" i="20"/>
  <c r="R6" i="12"/>
  <c r="K12" i="20"/>
  <c r="H46" i="20"/>
  <c r="R14" i="12"/>
  <c r="T30" i="12"/>
  <c r="T6" i="12"/>
  <c r="R36" i="12"/>
  <c r="A30" i="20"/>
  <c r="T47" i="12"/>
  <c r="A19" i="20"/>
  <c r="R45" i="12"/>
  <c r="H14" i="20"/>
  <c r="K17" i="20"/>
  <c r="K31" i="20"/>
  <c r="I36" i="20"/>
  <c r="R7" i="12"/>
  <c r="R26" i="12"/>
  <c r="I45" i="20"/>
  <c r="K27" i="20"/>
  <c r="T45" i="12"/>
  <c r="G15" i="20"/>
  <c r="S17" i="12"/>
  <c r="I48" i="20"/>
  <c r="A18" i="20"/>
  <c r="H25" i="20"/>
  <c r="A32" i="20"/>
  <c r="K41" i="20"/>
  <c r="S7" i="12"/>
  <c r="S4" i="12"/>
  <c r="R31" i="12"/>
  <c r="I27" i="20"/>
  <c r="S48" i="12"/>
  <c r="R8" i="12"/>
  <c r="A15" i="20"/>
  <c r="G37" i="20"/>
  <c r="K48" i="20"/>
  <c r="K9" i="20"/>
  <c r="G16" i="20"/>
  <c r="A29" i="20"/>
  <c r="H30" i="20"/>
  <c r="O30" i="20" s="1"/>
  <c r="A42" i="20"/>
  <c r="K46" i="20"/>
  <c r="R27" i="12"/>
  <c r="R17" i="12"/>
  <c r="C15" i="42"/>
  <c r="L34" i="20"/>
  <c r="L47" i="20"/>
  <c r="R46" i="12"/>
  <c r="R15" i="12"/>
  <c r="R10" i="12"/>
  <c r="R25" i="12"/>
  <c r="O34" i="20"/>
  <c r="AH16" i="12" l="1"/>
  <c r="D6" i="42"/>
  <c r="B5" i="34" s="1"/>
  <c r="D5" i="42"/>
  <c r="D4" i="34" s="1"/>
  <c r="D14" i="42"/>
  <c r="D9" i="42"/>
  <c r="B8" i="34" s="1"/>
  <c r="D12" i="42"/>
  <c r="E11" i="34" s="1"/>
  <c r="D8" i="42"/>
  <c r="D7" i="34" s="1"/>
  <c r="D11" i="42"/>
  <c r="C10" i="34" s="1"/>
  <c r="D10" i="42"/>
  <c r="C9" i="34" s="1"/>
  <c r="B4" i="34"/>
  <c r="W5" i="12" s="1"/>
  <c r="C5" i="34"/>
  <c r="E5" i="34"/>
  <c r="D5" i="34"/>
  <c r="E12" i="34"/>
  <c r="B12" i="34"/>
  <c r="C12" i="34"/>
  <c r="D12" i="34"/>
  <c r="B6" i="34"/>
  <c r="E6" i="34"/>
  <c r="C6" i="34"/>
  <c r="D6" i="34"/>
  <c r="R29" i="12"/>
  <c r="R47" i="12"/>
  <c r="AH47" i="12" s="1"/>
  <c r="O10" i="3"/>
  <c r="P10" i="3"/>
  <c r="L22" i="20"/>
  <c r="L13" i="20"/>
  <c r="L35" i="20"/>
  <c r="M13" i="20"/>
  <c r="M47" i="20" l="1"/>
  <c r="C4" i="34"/>
  <c r="E4" i="34"/>
  <c r="E9" i="34"/>
  <c r="V5" i="12"/>
  <c r="D9" i="34"/>
  <c r="W33" i="12" s="1"/>
  <c r="B9" i="34"/>
  <c r="W20" i="12"/>
  <c r="V20" i="12"/>
  <c r="B7" i="34"/>
  <c r="E7" i="34"/>
  <c r="B11" i="34"/>
  <c r="E8" i="34"/>
  <c r="E13" i="34"/>
  <c r="D13" i="34"/>
  <c r="C13" i="34"/>
  <c r="B13" i="34"/>
  <c r="D10" i="34"/>
  <c r="E10" i="34"/>
  <c r="C7" i="34"/>
  <c r="D11" i="34"/>
  <c r="B10" i="34"/>
  <c r="C8" i="34"/>
  <c r="D8" i="34"/>
  <c r="C11" i="34"/>
  <c r="D15" i="42"/>
  <c r="W32" i="12"/>
  <c r="V32" i="12"/>
  <c r="V33" i="12"/>
  <c r="AI47" i="12"/>
  <c r="L19" i="42" l="1"/>
  <c r="N48" i="20"/>
  <c r="N46" i="20"/>
  <c r="N45" i="20"/>
  <c r="N40" i="20"/>
  <c r="N39" i="20"/>
  <c r="N38" i="20"/>
  <c r="N37" i="20"/>
  <c r="N36" i="20"/>
  <c r="N33" i="20"/>
  <c r="N32" i="20"/>
  <c r="N31" i="20"/>
  <c r="N30" i="20"/>
  <c r="N29" i="20"/>
  <c r="N28" i="20"/>
  <c r="N27" i="20"/>
  <c r="N26" i="20"/>
  <c r="N25" i="20"/>
  <c r="N24" i="20"/>
  <c r="N20" i="20"/>
  <c r="N19" i="20"/>
  <c r="N17" i="20"/>
  <c r="N16" i="20"/>
  <c r="N15" i="20"/>
  <c r="N14" i="20"/>
  <c r="S23" i="12"/>
  <c r="N12" i="20" s="1"/>
  <c r="S44" i="12"/>
  <c r="N11" i="20" s="1"/>
  <c r="S43" i="12"/>
  <c r="N10" i="20" s="1"/>
  <c r="S35" i="12"/>
  <c r="S42" i="12"/>
  <c r="N8" i="20" s="1"/>
  <c r="S41" i="12"/>
  <c r="N7" i="20" s="1"/>
  <c r="S22" i="12"/>
  <c r="S34" i="12"/>
  <c r="S18" i="12"/>
  <c r="N18" i="20" s="1"/>
  <c r="G8" i="28"/>
  <c r="H8" i="28" s="1"/>
  <c r="I8" i="28" s="1"/>
  <c r="J8" i="28" s="1"/>
  <c r="K8" i="28" s="1"/>
  <c r="L8" i="28" s="1"/>
  <c r="M8" i="28" s="1"/>
  <c r="N8" i="28" s="1"/>
  <c r="O8" i="28" s="1"/>
  <c r="G8" i="29"/>
  <c r="H8" i="29" s="1"/>
  <c r="I8" i="29" s="1"/>
  <c r="J8" i="29" s="1"/>
  <c r="K8" i="29" s="1"/>
  <c r="L8" i="29" s="1"/>
  <c r="M8" i="29" s="1"/>
  <c r="N8" i="29" s="1"/>
  <c r="O8" i="29" s="1"/>
  <c r="G8" i="30"/>
  <c r="H8" i="30" s="1"/>
  <c r="I8" i="30" s="1"/>
  <c r="J8" i="30" s="1"/>
  <c r="K8" i="30" s="1"/>
  <c r="L8" i="30" s="1"/>
  <c r="M8" i="30" s="1"/>
  <c r="N8" i="30" s="1"/>
  <c r="O8" i="30" s="1"/>
  <c r="F60" i="19"/>
  <c r="F32" i="19"/>
  <c r="F5" i="19"/>
  <c r="U4" i="3"/>
  <c r="U3" i="3"/>
  <c r="N44" i="20" l="1"/>
  <c r="N23" i="20"/>
  <c r="N6" i="20"/>
  <c r="N22" i="20"/>
  <c r="N41" i="20"/>
  <c r="N42" i="20"/>
  <c r="N43" i="20"/>
  <c r="N9" i="20"/>
  <c r="N35" i="20"/>
  <c r="N5" i="20"/>
  <c r="N34" i="20"/>
  <c r="D24" i="22"/>
  <c r="D29" i="22"/>
  <c r="D36" i="22"/>
  <c r="D22" i="22" l="1"/>
  <c r="D38" i="22"/>
  <c r="D16" i="22"/>
  <c r="D30" i="22"/>
  <c r="D15" i="22"/>
  <c r="D23" i="22"/>
  <c r="D14" i="22"/>
  <c r="D35" i="22"/>
  <c r="D28" i="22"/>
  <c r="D21" i="22"/>
  <c r="D37" i="22"/>
  <c r="D40" i="22"/>
  <c r="D33" i="22"/>
  <c r="D26" i="22"/>
  <c r="D19" i="22"/>
  <c r="D12" i="22"/>
  <c r="D31" i="22"/>
  <c r="D17" i="22"/>
  <c r="D11" i="22"/>
  <c r="D32" i="22"/>
  <c r="D39" i="22"/>
  <c r="D18" i="22"/>
  <c r="D10" i="22"/>
  <c r="D25" i="22"/>
  <c r="D41" i="22"/>
  <c r="D34" i="22"/>
  <c r="D27" i="22"/>
  <c r="D20" i="22"/>
  <c r="D13" i="22"/>
  <c r="F10" i="22" l="1"/>
  <c r="E10" i="22" s="1"/>
  <c r="N3" i="20"/>
  <c r="M3" i="20"/>
  <c r="L3" i="20"/>
  <c r="L14" i="20"/>
  <c r="L15" i="20"/>
  <c r="L16" i="20"/>
  <c r="L17" i="20"/>
  <c r="L18" i="20"/>
  <c r="L19" i="20"/>
  <c r="L20" i="20"/>
  <c r="L23" i="20"/>
  <c r="L24" i="20"/>
  <c r="L25" i="20"/>
  <c r="L26" i="20"/>
  <c r="L27" i="20"/>
  <c r="L28" i="20"/>
  <c r="L29" i="20"/>
  <c r="L30" i="20"/>
  <c r="L31" i="20"/>
  <c r="L32" i="20"/>
  <c r="L33" i="20"/>
  <c r="L36" i="20"/>
  <c r="L37" i="20"/>
  <c r="L38" i="20"/>
  <c r="L39" i="20"/>
  <c r="L40" i="20"/>
  <c r="L41" i="20"/>
  <c r="L42" i="20"/>
  <c r="L43" i="20"/>
  <c r="L44" i="20"/>
  <c r="L45" i="20"/>
  <c r="L46" i="20"/>
  <c r="L48" i="20"/>
  <c r="C66" i="34" l="1"/>
  <c r="E66" i="34"/>
  <c r="B61" i="34"/>
  <c r="C61" i="34"/>
  <c r="B66" i="34"/>
  <c r="E64" i="34"/>
  <c r="E61" i="34"/>
  <c r="E68" i="34"/>
  <c r="B59" i="34"/>
  <c r="AC5" i="12" s="1"/>
  <c r="AD5" i="12" s="1"/>
  <c r="AE5" i="12" s="1"/>
  <c r="C59" i="34"/>
  <c r="B65" i="34"/>
  <c r="B67" i="34"/>
  <c r="E59" i="34"/>
  <c r="C63" i="34"/>
  <c r="C67" i="34"/>
  <c r="E60" i="34"/>
  <c r="B60" i="34"/>
  <c r="B62" i="34"/>
  <c r="AC16" i="12" s="1"/>
  <c r="AD16" i="12" s="1"/>
  <c r="AE16" i="12" s="1"/>
  <c r="D63" i="34"/>
  <c r="AC21" i="12" s="1"/>
  <c r="AD21" i="12" s="1"/>
  <c r="AE21" i="12" s="1"/>
  <c r="D65" i="34"/>
  <c r="AC37" i="12" s="1"/>
  <c r="AD37" i="12" s="1"/>
  <c r="AE37" i="12" s="1"/>
  <c r="E62" i="34"/>
  <c r="C60" i="34"/>
  <c r="C62" i="34"/>
  <c r="E63" i="34"/>
  <c r="E65" i="34"/>
  <c r="E67" i="34"/>
  <c r="L12" i="20"/>
  <c r="V23" i="12"/>
  <c r="L10" i="20"/>
  <c r="V43" i="12"/>
  <c r="L9" i="20"/>
  <c r="L11" i="20"/>
  <c r="L8" i="20"/>
  <c r="L7" i="20"/>
  <c r="L6" i="20"/>
  <c r="L5" i="20"/>
  <c r="AC39" i="12"/>
  <c r="AD39" i="12" s="1"/>
  <c r="AE39" i="12" s="1"/>
  <c r="BO35" i="20"/>
  <c r="AC9" i="12"/>
  <c r="AD9" i="12" s="1"/>
  <c r="AE9" i="12" s="1"/>
  <c r="M46" i="20"/>
  <c r="M30" i="20"/>
  <c r="M14" i="20"/>
  <c r="M45" i="20"/>
  <c r="M29" i="20"/>
  <c r="R23" i="12"/>
  <c r="M28" i="20"/>
  <c r="R44" i="12"/>
  <c r="M44" i="20" s="1"/>
  <c r="M27" i="20"/>
  <c r="R43" i="12"/>
  <c r="M43" i="20" s="1"/>
  <c r="M42" i="20"/>
  <c r="M26" i="20"/>
  <c r="R35" i="12"/>
  <c r="M35" i="20" s="1"/>
  <c r="M41" i="20"/>
  <c r="M25" i="20"/>
  <c r="R42" i="12"/>
  <c r="M40" i="20"/>
  <c r="M24" i="20"/>
  <c r="R41" i="12"/>
  <c r="M39" i="20"/>
  <c r="M23" i="20"/>
  <c r="M38" i="20"/>
  <c r="M20" i="20"/>
  <c r="M37" i="20"/>
  <c r="M19" i="20"/>
  <c r="M36" i="20"/>
  <c r="M18" i="20"/>
  <c r="R22" i="12"/>
  <c r="M22" i="20" s="1"/>
  <c r="M33" i="20"/>
  <c r="M17" i="20"/>
  <c r="R34" i="12"/>
  <c r="M34" i="20" s="1"/>
  <c r="R18" i="12"/>
  <c r="M32" i="20"/>
  <c r="M16" i="20"/>
  <c r="M48" i="20"/>
  <c r="M31" i="20"/>
  <c r="M15" i="20"/>
  <c r="V35" i="12"/>
  <c r="V34" i="12"/>
  <c r="V42" i="12"/>
  <c r="U5" i="3"/>
  <c r="U6" i="3" s="1"/>
  <c r="L4" i="20"/>
  <c r="BO48" i="20"/>
  <c r="BO22" i="20" l="1"/>
  <c r="BO47" i="20"/>
  <c r="W29" i="12"/>
  <c r="V29" i="12"/>
  <c r="V15" i="12"/>
  <c r="W15" i="12"/>
  <c r="W24" i="12"/>
  <c r="V21" i="12"/>
  <c r="V24" i="12"/>
  <c r="W21" i="12"/>
  <c r="V10" i="12"/>
  <c r="W10" i="12"/>
  <c r="W11" i="12"/>
  <c r="V11" i="12"/>
  <c r="V40" i="12"/>
  <c r="W40" i="12"/>
  <c r="W38" i="12"/>
  <c r="V38" i="12"/>
  <c r="BO31" i="20"/>
  <c r="V41" i="12"/>
  <c r="W16" i="12"/>
  <c r="V17" i="12"/>
  <c r="V16" i="12"/>
  <c r="V4" i="12"/>
  <c r="W17" i="12"/>
  <c r="W4" i="12"/>
  <c r="W26" i="12"/>
  <c r="V26" i="12"/>
  <c r="V9" i="12"/>
  <c r="W9" i="12"/>
  <c r="V25" i="12"/>
  <c r="V6" i="12"/>
  <c r="W6" i="12"/>
  <c r="W25" i="12"/>
  <c r="V18" i="12"/>
  <c r="V36" i="12"/>
  <c r="W37" i="12"/>
  <c r="V37" i="12"/>
  <c r="W36" i="12"/>
  <c r="V44" i="12"/>
  <c r="V12" i="12"/>
  <c r="W12" i="12"/>
  <c r="V13" i="12"/>
  <c r="W19" i="12"/>
  <c r="W13" i="12"/>
  <c r="V19" i="12"/>
  <c r="V47" i="12"/>
  <c r="W47" i="12"/>
  <c r="V45" i="12"/>
  <c r="W45" i="12"/>
  <c r="AC17" i="12"/>
  <c r="AD17" i="12" s="1"/>
  <c r="AE17" i="12" s="1"/>
  <c r="V22" i="12"/>
  <c r="V39" i="12"/>
  <c r="V30" i="12"/>
  <c r="W30" i="12"/>
  <c r="W39" i="12"/>
  <c r="W48" i="12"/>
  <c r="V7" i="12"/>
  <c r="V8" i="12"/>
  <c r="W7" i="12"/>
  <c r="W8" i="12"/>
  <c r="W27" i="12"/>
  <c r="V31" i="12"/>
  <c r="V48" i="12"/>
  <c r="W31" i="12"/>
  <c r="V27" i="12"/>
  <c r="W28" i="12"/>
  <c r="V28" i="12"/>
  <c r="V46" i="12"/>
  <c r="V14" i="12"/>
  <c r="W46" i="12"/>
  <c r="W14" i="12"/>
  <c r="W18" i="12"/>
  <c r="M5" i="20"/>
  <c r="W34" i="12"/>
  <c r="M11" i="20"/>
  <c r="W44" i="12"/>
  <c r="M7" i="20"/>
  <c r="W41" i="12"/>
  <c r="M6" i="20"/>
  <c r="W22" i="12"/>
  <c r="M12" i="20"/>
  <c r="W23" i="12"/>
  <c r="M8" i="20"/>
  <c r="W42" i="12"/>
  <c r="M9" i="20"/>
  <c r="W35" i="12"/>
  <c r="M10" i="20"/>
  <c r="W43" i="12"/>
  <c r="B68" i="34"/>
  <c r="BO23" i="20" s="1"/>
  <c r="F79" i="34"/>
  <c r="D66" i="34"/>
  <c r="BO46" i="20" s="1"/>
  <c r="D64" i="34"/>
  <c r="C64" i="34"/>
  <c r="C68" i="34"/>
  <c r="B64" i="34"/>
  <c r="F75" i="34"/>
  <c r="D62" i="34"/>
  <c r="BO42" i="20" s="1"/>
  <c r="F73" i="34"/>
  <c r="D60" i="34"/>
  <c r="BO37" i="20" s="1"/>
  <c r="F80" i="34"/>
  <c r="D67" i="34"/>
  <c r="BO11" i="20" s="1"/>
  <c r="F78" i="34"/>
  <c r="C65" i="34"/>
  <c r="BO30" i="20" s="1"/>
  <c r="F76" i="34"/>
  <c r="B63" i="34"/>
  <c r="D59" i="34"/>
  <c r="F74" i="34"/>
  <c r="D61" i="34"/>
  <c r="D68" i="34"/>
  <c r="BO36" i="20"/>
  <c r="BO38" i="20"/>
  <c r="M4" i="20"/>
  <c r="F72" i="34"/>
  <c r="F77" i="34"/>
  <c r="F81" i="34"/>
  <c r="N4" i="20"/>
  <c r="O13" i="20"/>
  <c r="O14" i="20"/>
  <c r="AC45" i="12" l="1"/>
  <c r="AD45" i="12" s="1"/>
  <c r="AE45" i="12" s="1"/>
  <c r="AC36" i="12"/>
  <c r="AD36" i="12" s="1"/>
  <c r="AE36" i="12" s="1"/>
  <c r="BO45" i="20"/>
  <c r="BO17" i="20"/>
  <c r="BO20" i="20"/>
  <c r="BO18" i="20"/>
  <c r="AC20" i="12"/>
  <c r="AD20" i="12" s="1"/>
  <c r="AE20" i="12" s="1"/>
  <c r="BO21" i="20"/>
  <c r="BO6" i="20"/>
  <c r="BO34" i="20"/>
  <c r="AC30" i="12"/>
  <c r="AD30" i="12" s="1"/>
  <c r="AE30" i="12" s="1"/>
  <c r="BO44" i="20"/>
  <c r="AC12" i="12"/>
  <c r="AD12" i="12" s="1"/>
  <c r="AE12" i="12" s="1"/>
  <c r="BO8" i="20"/>
  <c r="AC44" i="12"/>
  <c r="AD44" i="12" s="1"/>
  <c r="AE44" i="12" s="1"/>
  <c r="BO10" i="20"/>
  <c r="AC32" i="12"/>
  <c r="AD32" i="12" s="1"/>
  <c r="AE32" i="12" s="1"/>
  <c r="AC33" i="12"/>
  <c r="AD33" i="12" s="1"/>
  <c r="AE33" i="12" s="1"/>
  <c r="AC23" i="12"/>
  <c r="AD23" i="12" s="1"/>
  <c r="AE23" i="12" s="1"/>
  <c r="BO12" i="20"/>
  <c r="BO19" i="20"/>
  <c r="AC4" i="12"/>
  <c r="AD4" i="12" s="1"/>
  <c r="AE4" i="12" s="1"/>
  <c r="BO13" i="20"/>
  <c r="AC47" i="12"/>
  <c r="AD47" i="12" s="1"/>
  <c r="AE47" i="12" s="1"/>
  <c r="AC24" i="12"/>
  <c r="AD24" i="12" s="1"/>
  <c r="AE24" i="12" s="1"/>
  <c r="F13" i="42"/>
  <c r="BO25" i="20"/>
  <c r="BO16" i="20"/>
  <c r="G9" i="42"/>
  <c r="G14" i="42"/>
  <c r="F7" i="42"/>
  <c r="F14" i="42"/>
  <c r="F10" i="42"/>
  <c r="F9" i="42"/>
  <c r="F6" i="42"/>
  <c r="G7" i="42"/>
  <c r="G5" i="42"/>
  <c r="F8" i="42"/>
  <c r="G12" i="42"/>
  <c r="F12" i="42"/>
  <c r="F11" i="42"/>
  <c r="G8" i="42"/>
  <c r="BO15" i="20"/>
  <c r="BO39" i="20"/>
  <c r="F5" i="42"/>
  <c r="BO9" i="20"/>
  <c r="BO27" i="20"/>
  <c r="BO5" i="20"/>
  <c r="G6" i="42"/>
  <c r="G11" i="42"/>
  <c r="G10" i="42"/>
  <c r="G13" i="42"/>
  <c r="BO43" i="20"/>
  <c r="F13" i="34"/>
  <c r="BO24" i="20"/>
  <c r="AC26" i="12"/>
  <c r="AD26" i="12" s="1"/>
  <c r="AE26" i="12" s="1"/>
  <c r="AC18" i="12"/>
  <c r="AD18" i="12" s="1"/>
  <c r="AE18" i="12" s="1"/>
  <c r="F63" i="34"/>
  <c r="G63" i="34" s="1"/>
  <c r="AC29" i="12"/>
  <c r="AD29" i="12" s="1"/>
  <c r="AE29" i="12" s="1"/>
  <c r="BO33" i="20"/>
  <c r="AC22" i="12"/>
  <c r="AD22" i="12" s="1"/>
  <c r="AE22" i="12" s="1"/>
  <c r="AC15" i="12"/>
  <c r="AD15" i="12" s="1"/>
  <c r="AE15" i="12" s="1"/>
  <c r="F62" i="34"/>
  <c r="G62" i="34" s="1"/>
  <c r="AC19" i="12"/>
  <c r="AD19" i="12" s="1"/>
  <c r="AE19" i="12" s="1"/>
  <c r="AC13" i="12"/>
  <c r="AD13" i="12" s="1"/>
  <c r="AE13" i="12" s="1"/>
  <c r="F61" i="34"/>
  <c r="G61" i="34" s="1"/>
  <c r="AC28" i="12"/>
  <c r="AD28" i="12" s="1"/>
  <c r="AE28" i="12" s="1"/>
  <c r="AC34" i="12"/>
  <c r="AD34" i="12" s="1"/>
  <c r="AE34" i="12" s="1"/>
  <c r="BO29" i="20"/>
  <c r="F65" i="34"/>
  <c r="G65" i="34" s="1"/>
  <c r="AC31" i="12"/>
  <c r="AD31" i="12" s="1"/>
  <c r="AE31" i="12" s="1"/>
  <c r="AC27" i="12"/>
  <c r="AD27" i="12" s="1"/>
  <c r="AE27" i="12" s="1"/>
  <c r="AC48" i="12"/>
  <c r="AD48" i="12" s="1"/>
  <c r="AE48" i="12" s="1"/>
  <c r="AC8" i="12"/>
  <c r="AD8" i="12" s="1"/>
  <c r="AE8" i="12" s="1"/>
  <c r="AC7" i="12"/>
  <c r="AD7" i="12" s="1"/>
  <c r="AE7" i="12" s="1"/>
  <c r="AC43" i="12"/>
  <c r="AD43" i="12" s="1"/>
  <c r="AE43" i="12" s="1"/>
  <c r="AC35" i="12"/>
  <c r="AD35" i="12" s="1"/>
  <c r="AE35" i="12" s="1"/>
  <c r="BO14" i="20"/>
  <c r="BO28" i="20"/>
  <c r="BO40" i="20"/>
  <c r="BO41" i="20"/>
  <c r="AC38" i="12"/>
  <c r="AD38" i="12" s="1"/>
  <c r="AE38" i="12" s="1"/>
  <c r="BO32" i="20"/>
  <c r="F64" i="34"/>
  <c r="G64" i="34" s="1"/>
  <c r="AC25" i="12"/>
  <c r="AD25" i="12" s="1"/>
  <c r="AE25" i="12" s="1"/>
  <c r="AC6" i="12"/>
  <c r="AD6" i="12" s="1"/>
  <c r="AE6" i="12" s="1"/>
  <c r="F59" i="34"/>
  <c r="G59" i="34" s="1"/>
  <c r="AC41" i="12"/>
  <c r="AD41" i="12" s="1"/>
  <c r="AE41" i="12" s="1"/>
  <c r="AC42" i="12"/>
  <c r="AD42" i="12" s="1"/>
  <c r="AE42" i="12" s="1"/>
  <c r="BO7" i="20"/>
  <c r="F67" i="34"/>
  <c r="G67" i="34" s="1"/>
  <c r="AC40" i="12"/>
  <c r="AD40" i="12" s="1"/>
  <c r="AE40" i="12" s="1"/>
  <c r="F66" i="34"/>
  <c r="G66" i="34" s="1"/>
  <c r="AC10" i="12"/>
  <c r="AD10" i="12" s="1"/>
  <c r="AE10" i="12" s="1"/>
  <c r="AC11" i="12"/>
  <c r="AD11" i="12" s="1"/>
  <c r="AE11" i="12" s="1"/>
  <c r="F60" i="34"/>
  <c r="G60" i="34" s="1"/>
  <c r="AC46" i="12"/>
  <c r="AD46" i="12" s="1"/>
  <c r="AE46" i="12" s="1"/>
  <c r="AC14" i="12"/>
  <c r="AD14" i="12" s="1"/>
  <c r="AE14" i="12" s="1"/>
  <c r="F68" i="34"/>
  <c r="G68" i="34" s="1"/>
  <c r="BO26" i="20"/>
  <c r="F9" i="34"/>
  <c r="F12" i="34"/>
  <c r="F7" i="34"/>
  <c r="F4" i="34"/>
  <c r="F5" i="34"/>
  <c r="F8" i="34"/>
  <c r="F11" i="34"/>
  <c r="F6" i="34"/>
  <c r="F10" i="34"/>
  <c r="H13" i="42" l="1"/>
  <c r="H11" i="42"/>
  <c r="H9" i="42"/>
  <c r="H12" i="42"/>
  <c r="H6" i="42"/>
  <c r="H14" i="42"/>
  <c r="H7" i="42"/>
  <c r="H5" i="42"/>
  <c r="H10" i="42"/>
  <c r="H8" i="42"/>
  <c r="F15" i="42"/>
  <c r="G15" i="42"/>
  <c r="H15" i="42" l="1"/>
  <c r="K4" i="20" l="1"/>
  <c r="J4" i="20"/>
  <c r="I4" i="20"/>
  <c r="H4" i="20"/>
  <c r="G4" i="20"/>
  <c r="F4" i="20"/>
  <c r="E4" i="20"/>
  <c r="D4" i="20"/>
  <c r="C4" i="20"/>
  <c r="B4" i="20"/>
  <c r="A4" i="20"/>
  <c r="K3" i="20"/>
  <c r="J3" i="20"/>
  <c r="I3" i="20"/>
  <c r="H3" i="20"/>
  <c r="G3" i="20"/>
  <c r="F3" i="20"/>
  <c r="E3" i="20"/>
  <c r="D3" i="20"/>
  <c r="C3" i="20"/>
  <c r="B3" i="20"/>
  <c r="A3" i="20"/>
  <c r="BO4" i="20" l="1"/>
  <c r="BQ77" i="19" l="1"/>
  <c r="BP77" i="19"/>
  <c r="BO77" i="19"/>
  <c r="BN77" i="19"/>
  <c r="BM77" i="19"/>
  <c r="BL77" i="19"/>
  <c r="BK77" i="19"/>
  <c r="BJ77" i="19"/>
  <c r="BI77" i="19"/>
  <c r="BH77" i="19"/>
  <c r="BG77" i="19"/>
  <c r="BF77" i="19"/>
  <c r="BE77" i="19"/>
  <c r="BQ49" i="19"/>
  <c r="BP49" i="19"/>
  <c r="BO49" i="19"/>
  <c r="BN49" i="19"/>
  <c r="BM49" i="19"/>
  <c r="BL49" i="19"/>
  <c r="BK49" i="19"/>
  <c r="BJ49" i="19"/>
  <c r="BI49" i="19"/>
  <c r="BH49" i="19"/>
  <c r="BG49" i="19"/>
  <c r="BF49" i="19"/>
  <c r="BE49" i="19"/>
  <c r="BQ22" i="19"/>
  <c r="BP22" i="19"/>
  <c r="BO22" i="19"/>
  <c r="BN22" i="19"/>
  <c r="BM22" i="19"/>
  <c r="BL22" i="19"/>
  <c r="BK22" i="19"/>
  <c r="BJ22" i="19"/>
  <c r="BI22" i="19"/>
  <c r="BH22" i="19"/>
  <c r="BG22" i="19"/>
  <c r="BF22" i="19"/>
  <c r="BE22" i="19"/>
  <c r="BQ54" i="19"/>
  <c r="BP54" i="19"/>
  <c r="BO54" i="19"/>
  <c r="BN54" i="19"/>
  <c r="BM54" i="19"/>
  <c r="BL54" i="19"/>
  <c r="BK54" i="19"/>
  <c r="BJ54" i="19"/>
  <c r="BI54" i="19"/>
  <c r="BH54" i="19"/>
  <c r="BG54" i="19"/>
  <c r="BF54" i="19"/>
  <c r="BE54" i="19"/>
  <c r="BD54" i="19"/>
  <c r="BC54" i="19"/>
  <c r="BB54" i="19"/>
  <c r="BA54" i="19"/>
  <c r="AZ54" i="19"/>
  <c r="AY54" i="19"/>
  <c r="AX54" i="19"/>
  <c r="AW54" i="19"/>
  <c r="AV54" i="19"/>
  <c r="AU54" i="19"/>
  <c r="AT54" i="19"/>
  <c r="AS54" i="19"/>
  <c r="AR54" i="19"/>
  <c r="AQ54" i="19"/>
  <c r="AP54" i="19"/>
  <c r="AO54" i="19"/>
  <c r="AN54" i="19"/>
  <c r="AM54" i="19"/>
  <c r="AL54" i="19"/>
  <c r="AK54" i="19"/>
  <c r="AJ54" i="19"/>
  <c r="AI54" i="19"/>
  <c r="AH54" i="19"/>
  <c r="AG54" i="19"/>
  <c r="AF54" i="19"/>
  <c r="AE54" i="19"/>
  <c r="AD54" i="19"/>
  <c r="AC54" i="19"/>
  <c r="AB54" i="19"/>
  <c r="AA54" i="19"/>
  <c r="Z54" i="19"/>
  <c r="Y54" i="19"/>
  <c r="X54" i="19"/>
  <c r="W54" i="19"/>
  <c r="V54" i="19"/>
  <c r="U54" i="19"/>
  <c r="T54" i="19"/>
  <c r="S54" i="19"/>
  <c r="R54" i="19"/>
  <c r="Q54" i="19"/>
  <c r="P54" i="19"/>
  <c r="O54" i="19"/>
  <c r="N54" i="19"/>
  <c r="M54" i="19"/>
  <c r="L54" i="19"/>
  <c r="K54" i="19"/>
  <c r="J54" i="19"/>
  <c r="I54" i="19"/>
  <c r="H54" i="19"/>
  <c r="G54" i="19"/>
  <c r="BQ27" i="19"/>
  <c r="BP27" i="19"/>
  <c r="BO27" i="19"/>
  <c r="BN27" i="19"/>
  <c r="BM27" i="19"/>
  <c r="BL27" i="19"/>
  <c r="BK27" i="19"/>
  <c r="BJ27" i="19"/>
  <c r="BI27" i="19"/>
  <c r="BH27" i="19"/>
  <c r="BG27" i="19"/>
  <c r="BF27" i="19"/>
  <c r="BE27" i="19"/>
  <c r="BD27" i="19"/>
  <c r="BC27" i="19"/>
  <c r="BB27" i="19"/>
  <c r="BA27" i="19"/>
  <c r="AZ27" i="19"/>
  <c r="AY27" i="19"/>
  <c r="AX27" i="19"/>
  <c r="AW27" i="19"/>
  <c r="AV27" i="19"/>
  <c r="AU27" i="19"/>
  <c r="AT27" i="19"/>
  <c r="AS27" i="19"/>
  <c r="AR27" i="19"/>
  <c r="AQ27" i="19"/>
  <c r="AP27" i="19"/>
  <c r="AO27" i="19"/>
  <c r="AN27" i="19"/>
  <c r="AM27" i="19"/>
  <c r="AL27" i="19"/>
  <c r="AK27" i="19"/>
  <c r="AJ27" i="19"/>
  <c r="AI27" i="19"/>
  <c r="AH27" i="19"/>
  <c r="AG27" i="19"/>
  <c r="AF27" i="19"/>
  <c r="AE27" i="19"/>
  <c r="AD27" i="19"/>
  <c r="AC27" i="19"/>
  <c r="AB27" i="19"/>
  <c r="AA27" i="19"/>
  <c r="Z27" i="19"/>
  <c r="Y27" i="19"/>
  <c r="X27" i="19"/>
  <c r="W27" i="19"/>
  <c r="V27" i="19"/>
  <c r="U27" i="19"/>
  <c r="T27" i="19"/>
  <c r="S27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BQ52" i="18"/>
  <c r="BP52" i="18"/>
  <c r="BO52" i="18"/>
  <c r="BN52" i="18"/>
  <c r="BM52" i="18"/>
  <c r="BL52" i="18"/>
  <c r="BK52" i="18"/>
  <c r="BJ52" i="18"/>
  <c r="BI52" i="18"/>
  <c r="BH52" i="18"/>
  <c r="BG52" i="18"/>
  <c r="BF52" i="18"/>
  <c r="BE52" i="18"/>
  <c r="BD52" i="18"/>
  <c r="BC52" i="18"/>
  <c r="BB52" i="18"/>
  <c r="BA52" i="18"/>
  <c r="AZ52" i="18"/>
  <c r="AY52" i="18"/>
  <c r="AX52" i="18"/>
  <c r="AW52" i="18"/>
  <c r="AV52" i="18"/>
  <c r="AU52" i="18"/>
  <c r="AT52" i="18"/>
  <c r="AS52" i="18"/>
  <c r="AR52" i="18"/>
  <c r="AQ52" i="18"/>
  <c r="AP52" i="18"/>
  <c r="AO52" i="18"/>
  <c r="AN52" i="18"/>
  <c r="AM52" i="18"/>
  <c r="AL52" i="18"/>
  <c r="AK52" i="18"/>
  <c r="AJ52" i="18"/>
  <c r="AI52" i="18"/>
  <c r="AH52" i="18"/>
  <c r="AG52" i="18"/>
  <c r="AF52" i="18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BQ26" i="18"/>
  <c r="BP26" i="18"/>
  <c r="BO26" i="18"/>
  <c r="BN26" i="18"/>
  <c r="BM26" i="18"/>
  <c r="BL26" i="18"/>
  <c r="BK26" i="18"/>
  <c r="BJ26" i="18"/>
  <c r="BI26" i="18"/>
  <c r="BH26" i="18"/>
  <c r="BG26" i="18"/>
  <c r="BF26" i="18"/>
  <c r="BE26" i="18"/>
  <c r="BD26" i="18"/>
  <c r="BC26" i="18"/>
  <c r="BB26" i="18"/>
  <c r="BA26" i="18"/>
  <c r="AZ26" i="18"/>
  <c r="AY26" i="18"/>
  <c r="AX26" i="18"/>
  <c r="AW26" i="18"/>
  <c r="AV26" i="18"/>
  <c r="AU26" i="18"/>
  <c r="AT26" i="18"/>
  <c r="AS26" i="18"/>
  <c r="AR26" i="18"/>
  <c r="AQ26" i="18"/>
  <c r="AP26" i="18"/>
  <c r="AO26" i="18"/>
  <c r="AN26" i="18"/>
  <c r="AM26" i="18"/>
  <c r="AL26" i="18"/>
  <c r="AK26" i="18"/>
  <c r="AJ26" i="18"/>
  <c r="AI26" i="18"/>
  <c r="AH26" i="18"/>
  <c r="AG26" i="18"/>
  <c r="AF26" i="18"/>
  <c r="AE26" i="18"/>
  <c r="AD26" i="18"/>
  <c r="AC26" i="18"/>
  <c r="AB26" i="18"/>
  <c r="AA26" i="18"/>
  <c r="Z26" i="18"/>
  <c r="Y26" i="18"/>
  <c r="X26" i="18"/>
  <c r="W26" i="18"/>
  <c r="V26" i="18"/>
  <c r="U26" i="18"/>
  <c r="T26" i="18"/>
  <c r="S26" i="18"/>
  <c r="R26" i="18"/>
  <c r="Q26" i="18"/>
  <c r="P26" i="18"/>
  <c r="O26" i="18"/>
  <c r="N26" i="18"/>
  <c r="M26" i="18"/>
  <c r="L26" i="18"/>
  <c r="K26" i="18"/>
  <c r="J26" i="18"/>
  <c r="I26" i="18"/>
  <c r="H26" i="18"/>
  <c r="G26" i="18"/>
  <c r="BO25" i="8"/>
  <c r="BN25" i="8"/>
  <c r="BM25" i="8"/>
  <c r="BL25" i="8"/>
  <c r="BK25" i="8"/>
  <c r="BJ25" i="8"/>
  <c r="BI25" i="8"/>
  <c r="BO24" i="8"/>
  <c r="BN24" i="8"/>
  <c r="BM24" i="8"/>
  <c r="BL24" i="8"/>
  <c r="BK24" i="8"/>
  <c r="BJ24" i="8"/>
  <c r="BI24" i="8"/>
  <c r="BO15" i="8"/>
  <c r="BN15" i="8"/>
  <c r="BM15" i="8"/>
  <c r="BL15" i="8"/>
  <c r="BK15" i="8"/>
  <c r="BJ15" i="8"/>
  <c r="BI15" i="8"/>
  <c r="BH15" i="8"/>
  <c r="BG15" i="8"/>
  <c r="BF15" i="8"/>
  <c r="BE15" i="8"/>
  <c r="BD15" i="8"/>
  <c r="BC15" i="8"/>
  <c r="BB15" i="8"/>
  <c r="BA15" i="8"/>
  <c r="AZ15" i="8"/>
  <c r="BO14" i="8"/>
  <c r="BN14" i="8"/>
  <c r="BM14" i="8"/>
  <c r="BL14" i="8"/>
  <c r="BK14" i="8"/>
  <c r="BJ14" i="8"/>
  <c r="BI14" i="8"/>
  <c r="BH14" i="8"/>
  <c r="BG14" i="8"/>
  <c r="BF14" i="8"/>
  <c r="BE14" i="8"/>
  <c r="BD14" i="8"/>
  <c r="BC14" i="8"/>
  <c r="BB14" i="8"/>
  <c r="BA14" i="8"/>
  <c r="AZ14" i="8"/>
  <c r="BO6" i="8"/>
  <c r="BN6" i="8"/>
  <c r="BM6" i="8"/>
  <c r="BL6" i="8"/>
  <c r="BK6" i="8"/>
  <c r="BJ6" i="8"/>
  <c r="BI6" i="8"/>
  <c r="BH6" i="8"/>
  <c r="BG6" i="8"/>
  <c r="BF6" i="8"/>
  <c r="BE6" i="8"/>
  <c r="BD6" i="8"/>
  <c r="BC6" i="8"/>
  <c r="BB6" i="8"/>
  <c r="BA6" i="8"/>
  <c r="AZ6" i="8"/>
  <c r="BO5" i="8"/>
  <c r="BN5" i="8"/>
  <c r="BM5" i="8"/>
  <c r="BL5" i="8"/>
  <c r="BK5" i="8"/>
  <c r="BJ5" i="8"/>
  <c r="BI5" i="8"/>
  <c r="BH5" i="8"/>
  <c r="BG5" i="8"/>
  <c r="BF5" i="8"/>
  <c r="BE5" i="8"/>
  <c r="BD5" i="8"/>
  <c r="BC5" i="8"/>
  <c r="BB5" i="8"/>
  <c r="BA5" i="8"/>
  <c r="AZ5" i="8"/>
  <c r="BO15" i="15"/>
  <c r="BN15" i="15"/>
  <c r="BM15" i="15"/>
  <c r="BL15" i="15"/>
  <c r="BK15" i="15"/>
  <c r="BJ15" i="15"/>
  <c r="BI15" i="15"/>
  <c r="BH15" i="15"/>
  <c r="BG15" i="15"/>
  <c r="BF15" i="15"/>
  <c r="BE15" i="15"/>
  <c r="BD15" i="15"/>
  <c r="BC15" i="15"/>
  <c r="BB15" i="15"/>
  <c r="BA15" i="15"/>
  <c r="AZ15" i="15"/>
  <c r="BO6" i="15"/>
  <c r="BN6" i="15"/>
  <c r="BM6" i="15"/>
  <c r="BL6" i="15"/>
  <c r="BK6" i="15"/>
  <c r="BJ6" i="15"/>
  <c r="BI6" i="15"/>
  <c r="BH6" i="15"/>
  <c r="BG6" i="15"/>
  <c r="BF6" i="15"/>
  <c r="BE6" i="15"/>
  <c r="BD6" i="15"/>
  <c r="BC6" i="15"/>
  <c r="BB6" i="15"/>
  <c r="BA6" i="15"/>
  <c r="AZ6" i="15"/>
  <c r="AQ22" i="19"/>
  <c r="BB10" i="8" l="1"/>
  <c r="BA10" i="8"/>
  <c r="BO10" i="8"/>
  <c r="BJ29" i="8"/>
  <c r="BK29" i="8"/>
  <c r="BF10" i="8"/>
  <c r="AZ10" i="8"/>
  <c r="BI29" i="8"/>
  <c r="BL10" i="8"/>
  <c r="BH19" i="8"/>
  <c r="BM10" i="8"/>
  <c r="BB19" i="8"/>
  <c r="BC19" i="8"/>
  <c r="BH10" i="8"/>
  <c r="BD19" i="8"/>
  <c r="BL29" i="8"/>
  <c r="BI19" i="8"/>
  <c r="BL19" i="8"/>
  <c r="BE10" i="8"/>
  <c r="BA19" i="8"/>
  <c r="BO19" i="8"/>
  <c r="BK10" i="8"/>
  <c r="BG19" i="8"/>
  <c r="BI10" i="8"/>
  <c r="BJ10" i="8"/>
  <c r="BF19" i="8"/>
  <c r="BG10" i="8"/>
  <c r="BE19" i="8"/>
  <c r="BN10" i="8"/>
  <c r="BJ19" i="8"/>
  <c r="BK19" i="8"/>
  <c r="BM29" i="8"/>
  <c r="BN29" i="8"/>
  <c r="BO29" i="8"/>
  <c r="BC10" i="8"/>
  <c r="BM19" i="8"/>
  <c r="BD10" i="8"/>
  <c r="AZ19" i="8"/>
  <c r="BN19" i="8"/>
  <c r="BL95" i="19"/>
  <c r="BE95" i="19"/>
  <c r="BF95" i="19"/>
  <c r="BH95" i="19"/>
  <c r="BI95" i="19"/>
  <c r="BJ95" i="19"/>
  <c r="BK95" i="19"/>
  <c r="BM95" i="19"/>
  <c r="BN95" i="19"/>
  <c r="BG95" i="19"/>
  <c r="P22" i="19"/>
  <c r="AD22" i="19"/>
  <c r="AR22" i="19"/>
  <c r="R22" i="19"/>
  <c r="AF22" i="19"/>
  <c r="AT22" i="19"/>
  <c r="S22" i="19"/>
  <c r="AG22" i="19"/>
  <c r="AU22" i="19"/>
  <c r="G22" i="19"/>
  <c r="U22" i="19"/>
  <c r="AI22" i="19"/>
  <c r="AW22" i="19"/>
  <c r="T22" i="19"/>
  <c r="AV22" i="19"/>
  <c r="H22" i="19"/>
  <c r="V22" i="19"/>
  <c r="AJ22" i="19"/>
  <c r="AX22" i="19"/>
  <c r="I22" i="19"/>
  <c r="W22" i="19"/>
  <c r="AK22" i="19"/>
  <c r="AY22" i="19"/>
  <c r="J22" i="19"/>
  <c r="X22" i="19"/>
  <c r="AL22" i="19"/>
  <c r="AZ22" i="19"/>
  <c r="K22" i="19"/>
  <c r="Y22" i="19"/>
  <c r="AM22" i="19"/>
  <c r="BA22" i="19"/>
  <c r="L22" i="19"/>
  <c r="Z22" i="19"/>
  <c r="AN22" i="19"/>
  <c r="BB22" i="19"/>
  <c r="Q22" i="19"/>
  <c r="M22" i="19"/>
  <c r="AA22" i="19"/>
  <c r="AO22" i="19"/>
  <c r="BC22" i="19"/>
  <c r="AS22" i="19"/>
  <c r="N22" i="19"/>
  <c r="AB22" i="19"/>
  <c r="AP22" i="19"/>
  <c r="BD22" i="19"/>
  <c r="AE22" i="19"/>
  <c r="AH22" i="19"/>
  <c r="O22" i="19"/>
  <c r="AC22" i="19"/>
  <c r="I10" i="3" l="1"/>
  <c r="F10" i="45" s="1"/>
  <c r="BT75" i="18" l="1"/>
  <c r="BS75" i="18"/>
  <c r="BR75" i="18"/>
  <c r="BQ75" i="18"/>
  <c r="BQ93" i="18" s="1"/>
  <c r="BP75" i="18"/>
  <c r="BP93" i="18" s="1"/>
  <c r="BO75" i="18"/>
  <c r="BO93" i="18" s="1"/>
  <c r="BN75" i="18"/>
  <c r="BN93" i="18" s="1"/>
  <c r="BM75" i="18"/>
  <c r="BM93" i="18" s="1"/>
  <c r="BL75" i="18"/>
  <c r="BL93" i="18" s="1"/>
  <c r="BK75" i="18"/>
  <c r="BK93" i="18" s="1"/>
  <c r="N50" i="8" l="1"/>
  <c r="I50" i="8"/>
  <c r="W50" i="8"/>
  <c r="L50" i="8"/>
  <c r="O50" i="8"/>
  <c r="H50" i="8"/>
  <c r="V50" i="8"/>
  <c r="J50" i="8"/>
  <c r="X50" i="8"/>
  <c r="Y50" i="8"/>
  <c r="M50" i="8"/>
  <c r="K50" i="8"/>
  <c r="P50" i="8"/>
  <c r="Q50" i="8"/>
  <c r="R50" i="8"/>
  <c r="S50" i="8"/>
  <c r="F50" i="8"/>
  <c r="T50" i="8"/>
  <c r="G50" i="8"/>
  <c r="U50" i="8"/>
  <c r="E50" i="8"/>
  <c r="Q52" i="8" l="1"/>
  <c r="P52" i="8"/>
  <c r="K52" i="8"/>
  <c r="M52" i="8"/>
  <c r="Y52" i="8"/>
  <c r="X52" i="8"/>
  <c r="J52" i="8"/>
  <c r="E52" i="8"/>
  <c r="V52" i="8"/>
  <c r="U52" i="8"/>
  <c r="H52" i="8"/>
  <c r="G52" i="8"/>
  <c r="O52" i="8"/>
  <c r="T52" i="8"/>
  <c r="L52" i="8"/>
  <c r="F52" i="8"/>
  <c r="W52" i="8"/>
  <c r="S52" i="8"/>
  <c r="I52" i="8"/>
  <c r="R52" i="8"/>
  <c r="N52" i="8"/>
  <c r="BT70" i="18"/>
  <c r="BS70" i="18"/>
  <c r="BR70" i="18"/>
  <c r="BQ70" i="18"/>
  <c r="BQ88" i="18" s="1"/>
  <c r="BP70" i="18"/>
  <c r="BP88" i="18" s="1"/>
  <c r="BO70" i="18"/>
  <c r="BO88" i="18" s="1"/>
  <c r="BN70" i="18"/>
  <c r="BN88" i="18" s="1"/>
  <c r="BM70" i="18"/>
  <c r="BM88" i="18" s="1"/>
  <c r="BL70" i="18"/>
  <c r="BL88" i="18" s="1"/>
  <c r="BK70" i="18"/>
  <c r="BK88" i="18" s="1"/>
  <c r="BQ83" i="19"/>
  <c r="BP83" i="19"/>
  <c r="BO83" i="19"/>
  <c r="BN83" i="19"/>
  <c r="BM83" i="19"/>
  <c r="BL83" i="19"/>
  <c r="BK83" i="19"/>
  <c r="BQ55" i="19"/>
  <c r="BP55" i="19"/>
  <c r="BO55" i="19"/>
  <c r="BN55" i="19"/>
  <c r="BM55" i="19"/>
  <c r="BL55" i="19"/>
  <c r="BK55" i="19"/>
  <c r="BJ55" i="19"/>
  <c r="BI55" i="19"/>
  <c r="BH55" i="19"/>
  <c r="BG55" i="19"/>
  <c r="BF55" i="19"/>
  <c r="BE55" i="19"/>
  <c r="BD55" i="19"/>
  <c r="BC55" i="19"/>
  <c r="BB55" i="19"/>
  <c r="BB28" i="19"/>
  <c r="BC28" i="19"/>
  <c r="BD28" i="19"/>
  <c r="BE28" i="19"/>
  <c r="BF28" i="19"/>
  <c r="BG28" i="19"/>
  <c r="BH28" i="19"/>
  <c r="BI28" i="19"/>
  <c r="BJ28" i="19"/>
  <c r="BK28" i="19"/>
  <c r="BL28" i="19"/>
  <c r="BM28" i="19"/>
  <c r="BN28" i="19"/>
  <c r="BO28" i="19"/>
  <c r="BP28" i="19"/>
  <c r="BQ28" i="19"/>
  <c r="BK53" i="18"/>
  <c r="BL53" i="18"/>
  <c r="BM53" i="18"/>
  <c r="BN53" i="18"/>
  <c r="BO53" i="18"/>
  <c r="BP53" i="18"/>
  <c r="BQ53" i="18"/>
  <c r="BT80" i="18"/>
  <c r="BQ27" i="18"/>
  <c r="BP27" i="18"/>
  <c r="BO27" i="18"/>
  <c r="BN27" i="18"/>
  <c r="BM27" i="18"/>
  <c r="BL27" i="18"/>
  <c r="BK27" i="18"/>
  <c r="BQ64" i="19"/>
  <c r="BP64" i="19"/>
  <c r="BO64" i="19"/>
  <c r="BN64" i="19"/>
  <c r="BM64" i="19"/>
  <c r="BL64" i="19"/>
  <c r="BK64" i="19"/>
  <c r="BJ64" i="19"/>
  <c r="BI64" i="19"/>
  <c r="BH64" i="19"/>
  <c r="BG64" i="19"/>
  <c r="BF64" i="19"/>
  <c r="BE64" i="19"/>
  <c r="BD64" i="19"/>
  <c r="BC64" i="19"/>
  <c r="BB64" i="19"/>
  <c r="BA64" i="19"/>
  <c r="AZ64" i="19"/>
  <c r="AY64" i="19"/>
  <c r="AX64" i="19"/>
  <c r="AW64" i="19"/>
  <c r="AV64" i="19"/>
  <c r="AU64" i="19"/>
  <c r="AT64" i="19"/>
  <c r="AS64" i="19"/>
  <c r="AR64" i="19"/>
  <c r="AQ64" i="19"/>
  <c r="AP64" i="19"/>
  <c r="AO64" i="19"/>
  <c r="AN64" i="19"/>
  <c r="AM64" i="19"/>
  <c r="AL64" i="19"/>
  <c r="AK64" i="19"/>
  <c r="AJ64" i="19"/>
  <c r="AI64" i="19"/>
  <c r="AH64" i="19"/>
  <c r="AG64" i="19"/>
  <c r="AF64" i="19"/>
  <c r="AE64" i="19"/>
  <c r="AD64" i="19"/>
  <c r="AC64" i="19"/>
  <c r="AB64" i="19"/>
  <c r="BQ61" i="19"/>
  <c r="BP61" i="19"/>
  <c r="BO61" i="19"/>
  <c r="BN61" i="19"/>
  <c r="BM61" i="19"/>
  <c r="BL61" i="19"/>
  <c r="BK61" i="19"/>
  <c r="BQ60" i="19"/>
  <c r="BQ70" i="19" s="1"/>
  <c r="BP60" i="19"/>
  <c r="BP70" i="19" s="1"/>
  <c r="BO60" i="19"/>
  <c r="BO70" i="19" s="1"/>
  <c r="BN60" i="19"/>
  <c r="BN70" i="19" s="1"/>
  <c r="BM60" i="19"/>
  <c r="BL60" i="19"/>
  <c r="BL70" i="19" s="1"/>
  <c r="BK60" i="19"/>
  <c r="BK70" i="19" s="1"/>
  <c r="G65" i="19"/>
  <c r="BQ36" i="19"/>
  <c r="BP36" i="19"/>
  <c r="BO36" i="19"/>
  <c r="BN36" i="19"/>
  <c r="BM36" i="19"/>
  <c r="BL36" i="19"/>
  <c r="BK36" i="19"/>
  <c r="BJ36" i="19"/>
  <c r="BI36" i="19"/>
  <c r="BH36" i="19"/>
  <c r="BG36" i="19"/>
  <c r="BF36" i="19"/>
  <c r="BE36" i="19"/>
  <c r="BD36" i="19"/>
  <c r="BC36" i="19"/>
  <c r="BB36" i="19"/>
  <c r="BA36" i="19"/>
  <c r="AZ36" i="19"/>
  <c r="AY36" i="19"/>
  <c r="AX36" i="19"/>
  <c r="AW36" i="19"/>
  <c r="AV36" i="19"/>
  <c r="AU36" i="19"/>
  <c r="AT36" i="19"/>
  <c r="AS36" i="19"/>
  <c r="AR36" i="19"/>
  <c r="AQ36" i="19"/>
  <c r="AP36" i="19"/>
  <c r="AO36" i="19"/>
  <c r="AN36" i="19"/>
  <c r="AM36" i="19"/>
  <c r="AL36" i="19"/>
  <c r="AK36" i="19"/>
  <c r="AJ36" i="19"/>
  <c r="AI36" i="19"/>
  <c r="AH36" i="19"/>
  <c r="AG36" i="19"/>
  <c r="AF36" i="19"/>
  <c r="AE36" i="19"/>
  <c r="AD36" i="19"/>
  <c r="AC36" i="19"/>
  <c r="AB36" i="19"/>
  <c r="BQ33" i="19"/>
  <c r="BP33" i="19"/>
  <c r="BO33" i="19"/>
  <c r="BN33" i="19"/>
  <c r="BM33" i="19"/>
  <c r="BL33" i="19"/>
  <c r="BK33" i="19"/>
  <c r="BJ33" i="19"/>
  <c r="BI33" i="19"/>
  <c r="BH33" i="19"/>
  <c r="BG33" i="19"/>
  <c r="BF33" i="19"/>
  <c r="BE33" i="19"/>
  <c r="BQ32" i="19"/>
  <c r="BP32" i="19"/>
  <c r="BO32" i="19"/>
  <c r="BN32" i="19"/>
  <c r="BM32" i="19"/>
  <c r="BL32" i="19"/>
  <c r="BK32" i="19"/>
  <c r="BJ32" i="19"/>
  <c r="BI32" i="19"/>
  <c r="BH32" i="19"/>
  <c r="BG32" i="19"/>
  <c r="BF32" i="19"/>
  <c r="BE32" i="19"/>
  <c r="BQ5" i="19"/>
  <c r="BP5" i="19"/>
  <c r="BO5" i="19"/>
  <c r="BN5" i="19"/>
  <c r="BM5" i="19"/>
  <c r="BL5" i="19"/>
  <c r="BK5" i="19"/>
  <c r="BJ5" i="19"/>
  <c r="BI5" i="19"/>
  <c r="BH5" i="19"/>
  <c r="BG5" i="19"/>
  <c r="BF5" i="19"/>
  <c r="BE5" i="19"/>
  <c r="G37" i="19"/>
  <c r="G10" i="19"/>
  <c r="BQ9" i="19"/>
  <c r="BP9" i="19"/>
  <c r="BO9" i="19"/>
  <c r="BN9" i="19"/>
  <c r="BM9" i="19"/>
  <c r="BL9" i="19"/>
  <c r="BK9" i="19"/>
  <c r="BJ9" i="19"/>
  <c r="BI9" i="19"/>
  <c r="BH9" i="19"/>
  <c r="BG9" i="19"/>
  <c r="BF9" i="19"/>
  <c r="BE9" i="19"/>
  <c r="BD9" i="19"/>
  <c r="BC9" i="19"/>
  <c r="BB9" i="19"/>
  <c r="BA9" i="19"/>
  <c r="AZ9" i="19"/>
  <c r="AY9" i="19"/>
  <c r="AX9" i="19"/>
  <c r="AW9" i="19"/>
  <c r="AV9" i="19"/>
  <c r="AU9" i="19"/>
  <c r="AT9" i="19"/>
  <c r="AS9" i="19"/>
  <c r="AR9" i="19"/>
  <c r="AQ9" i="19"/>
  <c r="AP9" i="19"/>
  <c r="AO9" i="19"/>
  <c r="AN9" i="19"/>
  <c r="AM9" i="19"/>
  <c r="AL9" i="19"/>
  <c r="AK9" i="19"/>
  <c r="AJ9" i="19"/>
  <c r="AI9" i="19"/>
  <c r="AH9" i="19"/>
  <c r="AG9" i="19"/>
  <c r="AF9" i="19"/>
  <c r="AE9" i="19"/>
  <c r="AD9" i="19"/>
  <c r="AC9" i="19"/>
  <c r="AB9" i="19"/>
  <c r="BQ6" i="19"/>
  <c r="BP6" i="19"/>
  <c r="BO6" i="19"/>
  <c r="BN6" i="19"/>
  <c r="BM6" i="19"/>
  <c r="BL6" i="19"/>
  <c r="BK6" i="19"/>
  <c r="BJ6" i="19"/>
  <c r="BI6" i="19"/>
  <c r="BH6" i="19"/>
  <c r="BG6" i="19"/>
  <c r="BF6" i="19"/>
  <c r="BE6" i="19"/>
  <c r="BQ76" i="19"/>
  <c r="BP76" i="19"/>
  <c r="BO76" i="19"/>
  <c r="BN76" i="19"/>
  <c r="BN94" i="19" s="1"/>
  <c r="BM76" i="19"/>
  <c r="BM94" i="19" s="1"/>
  <c r="BL76" i="19"/>
  <c r="BL94" i="19" s="1"/>
  <c r="BK76" i="19"/>
  <c r="BK94" i="19" s="1"/>
  <c r="BQ75" i="19"/>
  <c r="BP75" i="19"/>
  <c r="BO75" i="19"/>
  <c r="BN75" i="19"/>
  <c r="BN93" i="19" s="1"/>
  <c r="BM75" i="19"/>
  <c r="BM93" i="19" s="1"/>
  <c r="BL75" i="19"/>
  <c r="BL93" i="19" s="1"/>
  <c r="BK75" i="19"/>
  <c r="BK93" i="19" s="1"/>
  <c r="BT73" i="18"/>
  <c r="BS73" i="18"/>
  <c r="BR73" i="18"/>
  <c r="BQ73" i="18"/>
  <c r="BQ91" i="18" s="1"/>
  <c r="BP73" i="18"/>
  <c r="BP91" i="18" s="1"/>
  <c r="BO73" i="18"/>
  <c r="BO91" i="18" s="1"/>
  <c r="BN73" i="18"/>
  <c r="BN91" i="18" s="1"/>
  <c r="BM73" i="18"/>
  <c r="BM91" i="18" s="1"/>
  <c r="BL73" i="18"/>
  <c r="BL91" i="18" s="1"/>
  <c r="BK73" i="18"/>
  <c r="BK91" i="18" s="1"/>
  <c r="BT72" i="18"/>
  <c r="BS72" i="18"/>
  <c r="BR72" i="18"/>
  <c r="BQ72" i="18"/>
  <c r="BQ90" i="18" s="1"/>
  <c r="BP72" i="18"/>
  <c r="BP90" i="18" s="1"/>
  <c r="BO72" i="18"/>
  <c r="BO90" i="18" s="1"/>
  <c r="BN72" i="18"/>
  <c r="BN90" i="18" s="1"/>
  <c r="BM72" i="18"/>
  <c r="BM90" i="18" s="1"/>
  <c r="BL72" i="18"/>
  <c r="BL90" i="18" s="1"/>
  <c r="BK72" i="18"/>
  <c r="BK90" i="18" s="1"/>
  <c r="BQ74" i="19"/>
  <c r="BP74" i="19"/>
  <c r="BO74" i="19"/>
  <c r="BN74" i="19"/>
  <c r="BN92" i="19" s="1"/>
  <c r="BM74" i="19"/>
  <c r="BM92" i="19" s="1"/>
  <c r="BL74" i="19"/>
  <c r="BL92" i="19" s="1"/>
  <c r="BK74" i="19"/>
  <c r="BK92" i="19" s="1"/>
  <c r="BT71" i="18"/>
  <c r="BS71" i="18"/>
  <c r="BR71" i="18"/>
  <c r="BQ71" i="18"/>
  <c r="BQ89" i="18" s="1"/>
  <c r="BP71" i="18"/>
  <c r="BP89" i="18" s="1"/>
  <c r="BO71" i="18"/>
  <c r="BO89" i="18" s="1"/>
  <c r="BN71" i="18"/>
  <c r="BN89" i="18" s="1"/>
  <c r="BM71" i="18"/>
  <c r="BM89" i="18" s="1"/>
  <c r="BL71" i="18"/>
  <c r="BL89" i="18" s="1"/>
  <c r="BK71" i="18"/>
  <c r="BK89" i="18" s="1"/>
  <c r="BQ73" i="19"/>
  <c r="BP73" i="19"/>
  <c r="BO73" i="19"/>
  <c r="BN73" i="19"/>
  <c r="BN91" i="19" s="1"/>
  <c r="BM73" i="19"/>
  <c r="BM91" i="19" s="1"/>
  <c r="BL73" i="19"/>
  <c r="BL91" i="19" s="1"/>
  <c r="BK73" i="19"/>
  <c r="BK91" i="19" s="1"/>
  <c r="O175" i="30"/>
  <c r="N158" i="30"/>
  <c r="M141" i="30"/>
  <c r="L124" i="30"/>
  <c r="K107" i="30"/>
  <c r="J90" i="30"/>
  <c r="I73" i="30"/>
  <c r="H56" i="30"/>
  <c r="G39" i="30"/>
  <c r="C31" i="30"/>
  <c r="C48" i="30" s="1"/>
  <c r="AZ47" i="30" s="1"/>
  <c r="CR30" i="30"/>
  <c r="CQ30" i="30"/>
  <c r="BL30" i="30"/>
  <c r="BB30" i="30"/>
  <c r="W30" i="30"/>
  <c r="V30" i="30"/>
  <c r="C30" i="30"/>
  <c r="C47" i="30" s="1"/>
  <c r="C64" i="30" s="1"/>
  <c r="C81" i="30" s="1"/>
  <c r="C98" i="30" s="1"/>
  <c r="C115" i="30" s="1"/>
  <c r="C132" i="30" s="1"/>
  <c r="C149" i="30" s="1"/>
  <c r="C166" i="30" s="1"/>
  <c r="F22" i="30"/>
  <c r="F191" i="30" s="1"/>
  <c r="DA13" i="30"/>
  <c r="CZ13" i="30"/>
  <c r="CY13" i="30"/>
  <c r="CX13" i="30"/>
  <c r="CW13" i="30"/>
  <c r="CV13" i="30"/>
  <c r="CU13" i="30"/>
  <c r="CT13" i="30"/>
  <c r="CS13" i="30"/>
  <c r="CR13" i="30"/>
  <c r="CQ13" i="30"/>
  <c r="CP13" i="30"/>
  <c r="CO13" i="30"/>
  <c r="CN13" i="30"/>
  <c r="CM13" i="30"/>
  <c r="CL13" i="30"/>
  <c r="CK13" i="30"/>
  <c r="CJ13" i="30"/>
  <c r="CI13" i="30"/>
  <c r="CH13" i="30"/>
  <c r="CG13" i="30"/>
  <c r="CF13" i="30"/>
  <c r="CE13" i="30"/>
  <c r="CD13" i="30"/>
  <c r="CC13" i="30"/>
  <c r="CB13" i="30"/>
  <c r="CA13" i="30"/>
  <c r="BZ13" i="30"/>
  <c r="BY13" i="30"/>
  <c r="BX13" i="30"/>
  <c r="BW13" i="30"/>
  <c r="BV13" i="30"/>
  <c r="BU13" i="30"/>
  <c r="BT13" i="30"/>
  <c r="BS13" i="30"/>
  <c r="BR13" i="30"/>
  <c r="BQ13" i="30"/>
  <c r="BP13" i="30"/>
  <c r="BO13" i="30"/>
  <c r="BN13" i="30"/>
  <c r="BM13" i="30"/>
  <c r="BL13" i="30"/>
  <c r="BK13" i="30"/>
  <c r="BJ13" i="30"/>
  <c r="BI13" i="30"/>
  <c r="BH13" i="30"/>
  <c r="BG13" i="30"/>
  <c r="BF13" i="30"/>
  <c r="BE13" i="30"/>
  <c r="BD13" i="30"/>
  <c r="BC13" i="30"/>
  <c r="BB13" i="30"/>
  <c r="BA13" i="30"/>
  <c r="AZ13" i="30"/>
  <c r="AY13" i="30"/>
  <c r="AX13" i="30"/>
  <c r="AW13" i="30"/>
  <c r="AV13" i="30"/>
  <c r="AU13" i="30"/>
  <c r="AT13" i="30"/>
  <c r="AS13" i="30"/>
  <c r="AR13" i="30"/>
  <c r="AQ13" i="30"/>
  <c r="AP13" i="30"/>
  <c r="AO13" i="30"/>
  <c r="AN13" i="30"/>
  <c r="AM13" i="30"/>
  <c r="AL13" i="30"/>
  <c r="AK13" i="30"/>
  <c r="AJ13" i="30"/>
  <c r="AI13" i="30"/>
  <c r="AH13" i="30"/>
  <c r="AG13" i="30"/>
  <c r="AF13" i="30"/>
  <c r="AE13" i="30"/>
  <c r="AD13" i="30"/>
  <c r="AC13" i="30"/>
  <c r="AB13" i="30"/>
  <c r="AA13" i="30"/>
  <c r="Z13" i="30"/>
  <c r="Y13" i="30"/>
  <c r="X13" i="30"/>
  <c r="W13" i="30"/>
  <c r="V13" i="30"/>
  <c r="U13" i="30"/>
  <c r="T13" i="30"/>
  <c r="S13" i="30"/>
  <c r="R13" i="30"/>
  <c r="Q13" i="30"/>
  <c r="P13" i="30"/>
  <c r="O13" i="30"/>
  <c r="N13" i="30"/>
  <c r="M13" i="30"/>
  <c r="L13" i="30"/>
  <c r="K13" i="30"/>
  <c r="J13" i="30"/>
  <c r="I13" i="30"/>
  <c r="H13" i="30"/>
  <c r="G13" i="30"/>
  <c r="F13" i="30"/>
  <c r="E13" i="30"/>
  <c r="B4" i="30"/>
  <c r="B2" i="30"/>
  <c r="B4" i="29"/>
  <c r="B2" i="29"/>
  <c r="O175" i="29"/>
  <c r="N158" i="29"/>
  <c r="M141" i="29"/>
  <c r="L124" i="29"/>
  <c r="K107" i="29"/>
  <c r="J90" i="29"/>
  <c r="I73" i="29"/>
  <c r="H56" i="29"/>
  <c r="G39" i="29"/>
  <c r="C31" i="29"/>
  <c r="CG30" i="29" s="1"/>
  <c r="W30" i="29"/>
  <c r="Q30" i="29"/>
  <c r="C30" i="29"/>
  <c r="C47" i="29" s="1"/>
  <c r="C64" i="29" s="1"/>
  <c r="C81" i="29" s="1"/>
  <c r="C98" i="29" s="1"/>
  <c r="C115" i="29" s="1"/>
  <c r="C132" i="29" s="1"/>
  <c r="C149" i="29" s="1"/>
  <c r="C166" i="29" s="1"/>
  <c r="F22" i="29"/>
  <c r="F191" i="29" s="1"/>
  <c r="DA13" i="29"/>
  <c r="CZ13" i="29"/>
  <c r="CY13" i="29"/>
  <c r="CX13" i="29"/>
  <c r="CW13" i="29"/>
  <c r="CV13" i="29"/>
  <c r="CU13" i="29"/>
  <c r="CT13" i="29"/>
  <c r="CS13" i="29"/>
  <c r="CR13" i="29"/>
  <c r="CQ13" i="29"/>
  <c r="CP13" i="29"/>
  <c r="CO13" i="29"/>
  <c r="CN13" i="29"/>
  <c r="CM13" i="29"/>
  <c r="CL13" i="29"/>
  <c r="CK13" i="29"/>
  <c r="CJ13" i="29"/>
  <c r="CI13" i="29"/>
  <c r="CH13" i="29"/>
  <c r="CG13" i="29"/>
  <c r="CF13" i="29"/>
  <c r="CE13" i="29"/>
  <c r="CD13" i="29"/>
  <c r="CC13" i="29"/>
  <c r="CB13" i="29"/>
  <c r="CA13" i="29"/>
  <c r="BZ13" i="29"/>
  <c r="BY13" i="29"/>
  <c r="BX13" i="29"/>
  <c r="BW13" i="29"/>
  <c r="BV13" i="29"/>
  <c r="BU13" i="29"/>
  <c r="BT13" i="29"/>
  <c r="BS13" i="29"/>
  <c r="BR13" i="29"/>
  <c r="BQ13" i="29"/>
  <c r="BP13" i="29"/>
  <c r="BO13" i="29"/>
  <c r="BN13" i="29"/>
  <c r="BM13" i="29"/>
  <c r="BL13" i="29"/>
  <c r="BK13" i="29"/>
  <c r="BJ13" i="29"/>
  <c r="BI13" i="29"/>
  <c r="BH13" i="29"/>
  <c r="BG13" i="29"/>
  <c r="BF13" i="29"/>
  <c r="BE13" i="29"/>
  <c r="BD13" i="29"/>
  <c r="BC13" i="29"/>
  <c r="BB13" i="29"/>
  <c r="BA13" i="29"/>
  <c r="AZ13" i="29"/>
  <c r="AY13" i="29"/>
  <c r="AX13" i="29"/>
  <c r="AW13" i="29"/>
  <c r="AV13" i="29"/>
  <c r="AU13" i="29"/>
  <c r="AT13" i="29"/>
  <c r="AS13" i="29"/>
  <c r="AR13" i="29"/>
  <c r="AQ13" i="29"/>
  <c r="AP13" i="29"/>
  <c r="AO13" i="29"/>
  <c r="AN13" i="29"/>
  <c r="AM13" i="29"/>
  <c r="AL13" i="29"/>
  <c r="AK13" i="29"/>
  <c r="AJ13" i="29"/>
  <c r="AI13" i="29"/>
  <c r="AH13" i="29"/>
  <c r="AG13" i="29"/>
  <c r="AF13" i="29"/>
  <c r="AE13" i="29"/>
  <c r="AD13" i="29"/>
  <c r="AC13" i="29"/>
  <c r="AB13" i="29"/>
  <c r="AA13" i="29"/>
  <c r="Z13" i="29"/>
  <c r="Y13" i="29"/>
  <c r="X13" i="29"/>
  <c r="W13" i="29"/>
  <c r="V13" i="29"/>
  <c r="U13" i="29"/>
  <c r="T13" i="29"/>
  <c r="S13" i="29"/>
  <c r="R13" i="29"/>
  <c r="Q13" i="29"/>
  <c r="P13" i="29"/>
  <c r="O13" i="29"/>
  <c r="N13" i="29"/>
  <c r="M13" i="29"/>
  <c r="L13" i="29"/>
  <c r="K13" i="29"/>
  <c r="J13" i="29"/>
  <c r="I13" i="29"/>
  <c r="H13" i="29"/>
  <c r="G13" i="29"/>
  <c r="F13" i="29"/>
  <c r="E13" i="29"/>
  <c r="O175" i="28"/>
  <c r="N158" i="28"/>
  <c r="M141" i="28"/>
  <c r="L124" i="28"/>
  <c r="K107" i="28"/>
  <c r="J90" i="28"/>
  <c r="I73" i="28"/>
  <c r="H56" i="28"/>
  <c r="G39" i="28"/>
  <c r="C31" i="28"/>
  <c r="CB30" i="28" s="1"/>
  <c r="BZ30" i="28"/>
  <c r="BW30" i="28"/>
  <c r="BM30" i="28"/>
  <c r="BL30" i="28"/>
  <c r="AV30" i="28"/>
  <c r="AG30" i="28"/>
  <c r="P30" i="28"/>
  <c r="J30" i="28"/>
  <c r="C30" i="28"/>
  <c r="C47" i="28" s="1"/>
  <c r="C64" i="28" s="1"/>
  <c r="C81" i="28" s="1"/>
  <c r="C98" i="28" s="1"/>
  <c r="C115" i="28" s="1"/>
  <c r="C132" i="28" s="1"/>
  <c r="C149" i="28" s="1"/>
  <c r="C166" i="28" s="1"/>
  <c r="F22" i="28"/>
  <c r="F191" i="28" s="1"/>
  <c r="DA13" i="28"/>
  <c r="CZ13" i="28"/>
  <c r="CY13" i="28"/>
  <c r="CX13" i="28"/>
  <c r="CW13" i="28"/>
  <c r="CV13" i="28"/>
  <c r="CU13" i="28"/>
  <c r="CT13" i="28"/>
  <c r="CS13" i="28"/>
  <c r="CR13" i="28"/>
  <c r="CQ13" i="28"/>
  <c r="CP13" i="28"/>
  <c r="CO13" i="28"/>
  <c r="CN13" i="28"/>
  <c r="CM13" i="28"/>
  <c r="CL13" i="28"/>
  <c r="CK13" i="28"/>
  <c r="CJ13" i="28"/>
  <c r="CI13" i="28"/>
  <c r="CH13" i="28"/>
  <c r="CG13" i="28"/>
  <c r="CF13" i="28"/>
  <c r="CE13" i="28"/>
  <c r="CD13" i="28"/>
  <c r="CC13" i="28"/>
  <c r="CB13" i="28"/>
  <c r="CA13" i="28"/>
  <c r="BZ13" i="28"/>
  <c r="BY13" i="28"/>
  <c r="BX13" i="28"/>
  <c r="BW13" i="28"/>
  <c r="BV13" i="28"/>
  <c r="BU13" i="28"/>
  <c r="BT13" i="28"/>
  <c r="BS13" i="28"/>
  <c r="BR13" i="28"/>
  <c r="BQ13" i="28"/>
  <c r="BP13" i="28"/>
  <c r="BO13" i="28"/>
  <c r="BN13" i="28"/>
  <c r="BM13" i="28"/>
  <c r="BL13" i="28"/>
  <c r="BK13" i="28"/>
  <c r="BJ13" i="28"/>
  <c r="BI13" i="28"/>
  <c r="BH13" i="28"/>
  <c r="BG13" i="28"/>
  <c r="BF13" i="28"/>
  <c r="BE13" i="28"/>
  <c r="BD13" i="28"/>
  <c r="BC13" i="28"/>
  <c r="BB13" i="28"/>
  <c r="BA13" i="28"/>
  <c r="AZ13" i="28"/>
  <c r="AY13" i="28"/>
  <c r="AX13" i="28"/>
  <c r="AW13" i="28"/>
  <c r="AV13" i="28"/>
  <c r="AU13" i="28"/>
  <c r="AT13" i="28"/>
  <c r="AS13" i="28"/>
  <c r="AR13" i="28"/>
  <c r="AQ13" i="28"/>
  <c r="AP13" i="28"/>
  <c r="AO13" i="28"/>
  <c r="AN13" i="28"/>
  <c r="AM13" i="28"/>
  <c r="AL13" i="28"/>
  <c r="AK13" i="28"/>
  <c r="AJ13" i="28"/>
  <c r="AI13" i="28"/>
  <c r="AH13" i="28"/>
  <c r="AG13" i="28"/>
  <c r="AF13" i="28"/>
  <c r="AE13" i="28"/>
  <c r="AD13" i="28"/>
  <c r="AC13" i="28"/>
  <c r="AB13" i="28"/>
  <c r="AA13" i="28"/>
  <c r="Z13" i="28"/>
  <c r="Y13" i="28"/>
  <c r="X13" i="28"/>
  <c r="W13" i="28"/>
  <c r="V13" i="28"/>
  <c r="U13" i="28"/>
  <c r="T13" i="28"/>
  <c r="S13" i="28"/>
  <c r="R13" i="28"/>
  <c r="Q13" i="28"/>
  <c r="P13" i="28"/>
  <c r="O13" i="28"/>
  <c r="N13" i="28"/>
  <c r="M13" i="28"/>
  <c r="L13" i="28"/>
  <c r="K13" i="28"/>
  <c r="J13" i="28"/>
  <c r="I13" i="28"/>
  <c r="H13" i="28"/>
  <c r="G13" i="28"/>
  <c r="F13" i="28"/>
  <c r="E13" i="28"/>
  <c r="B4" i="28"/>
  <c r="B2" i="28"/>
  <c r="F30" i="28" l="1"/>
  <c r="H30" i="28"/>
  <c r="CJ30" i="28"/>
  <c r="Q30" i="28"/>
  <c r="CK30" i="28"/>
  <c r="V30" i="28"/>
  <c r="CL30" i="28"/>
  <c r="X30" i="28"/>
  <c r="CN30" i="28"/>
  <c r="AZ21" i="28"/>
  <c r="AJ30" i="28"/>
  <c r="AJ38" i="28" s="1"/>
  <c r="AK30" i="28"/>
  <c r="AK38" i="28" s="1"/>
  <c r="AL30" i="28"/>
  <c r="AL38" i="28" s="1"/>
  <c r="AY30" i="28"/>
  <c r="AY38" i="28" s="1"/>
  <c r="BI30" i="28"/>
  <c r="BI38" i="28" s="1"/>
  <c r="BJ30" i="28"/>
  <c r="BJ38" i="28" s="1"/>
  <c r="AY30" i="29"/>
  <c r="BA30" i="29"/>
  <c r="BC30" i="29"/>
  <c r="BE30" i="29"/>
  <c r="BF30" i="29"/>
  <c r="BQ30" i="29"/>
  <c r="CI30" i="29"/>
  <c r="CM30" i="29"/>
  <c r="CN30" i="29"/>
  <c r="J30" i="29"/>
  <c r="P30" i="29"/>
  <c r="CP30" i="29"/>
  <c r="U30" i="29"/>
  <c r="CU30" i="29"/>
  <c r="CU38" i="29" s="1"/>
  <c r="AF30" i="29"/>
  <c r="AI30" i="29"/>
  <c r="Y30" i="29"/>
  <c r="BN30" i="29"/>
  <c r="CV30" i="29"/>
  <c r="Z30" i="29"/>
  <c r="BO30" i="29"/>
  <c r="CX30" i="29"/>
  <c r="CX38" i="29" s="1"/>
  <c r="BS30" i="29"/>
  <c r="AK30" i="29"/>
  <c r="AK38" i="29" s="1"/>
  <c r="BU30" i="29"/>
  <c r="BU38" i="29" s="1"/>
  <c r="AM30" i="29"/>
  <c r="BV30" i="29"/>
  <c r="BV38" i="29" s="1"/>
  <c r="AO30" i="29"/>
  <c r="AO38" i="29" s="1"/>
  <c r="CD30" i="29"/>
  <c r="CD38" i="29" s="1"/>
  <c r="G30" i="29"/>
  <c r="AP30" i="29"/>
  <c r="CE30" i="29"/>
  <c r="C48" i="29"/>
  <c r="BO47" i="29" s="1"/>
  <c r="BO55" i="29" s="1"/>
  <c r="I30" i="29"/>
  <c r="AX30" i="29"/>
  <c r="BA47" i="30"/>
  <c r="BA55" i="30" s="1"/>
  <c r="BC47" i="30"/>
  <c r="BC55" i="30" s="1"/>
  <c r="X30" i="30"/>
  <c r="BM30" i="30"/>
  <c r="Y30" i="30"/>
  <c r="BN30" i="30"/>
  <c r="BS47" i="30"/>
  <c r="BS55" i="30" s="1"/>
  <c r="Z30" i="30"/>
  <c r="BO30" i="30"/>
  <c r="O47" i="30"/>
  <c r="BT47" i="30"/>
  <c r="BT55" i="30" s="1"/>
  <c r="BQ47" i="30"/>
  <c r="BQ55" i="30" s="1"/>
  <c r="AJ30" i="30"/>
  <c r="AJ38" i="30" s="1"/>
  <c r="BP30" i="30"/>
  <c r="BP38" i="30" s="1"/>
  <c r="P47" i="30"/>
  <c r="BU47" i="30"/>
  <c r="BU55" i="30" s="1"/>
  <c r="AK30" i="30"/>
  <c r="BZ30" i="30"/>
  <c r="BZ38" i="30" s="1"/>
  <c r="Q47" i="30"/>
  <c r="CJ47" i="30"/>
  <c r="AL30" i="30"/>
  <c r="AL38" i="30" s="1"/>
  <c r="CA30" i="30"/>
  <c r="CA38" i="30" s="1"/>
  <c r="R47" i="30"/>
  <c r="CK47" i="30"/>
  <c r="CK55" i="30" s="1"/>
  <c r="AM30" i="30"/>
  <c r="AM38" i="30" s="1"/>
  <c r="CB30" i="30"/>
  <c r="CB38" i="30" s="1"/>
  <c r="AF47" i="30"/>
  <c r="AF55" i="30" s="1"/>
  <c r="CL47" i="30"/>
  <c r="CL55" i="30" s="1"/>
  <c r="H30" i="30"/>
  <c r="AN30" i="30"/>
  <c r="CC30" i="30"/>
  <c r="AG47" i="30"/>
  <c r="AG55" i="30" s="1"/>
  <c r="CM47" i="30"/>
  <c r="CM55" i="30" s="1"/>
  <c r="I30" i="30"/>
  <c r="AX30" i="30"/>
  <c r="CD30" i="30"/>
  <c r="AH47" i="30"/>
  <c r="AH55" i="30" s="1"/>
  <c r="J30" i="30"/>
  <c r="AY30" i="30"/>
  <c r="AY38" i="30" s="1"/>
  <c r="CN30" i="30"/>
  <c r="CN38" i="30" s="1"/>
  <c r="AI47" i="30"/>
  <c r="AI55" i="30" s="1"/>
  <c r="K30" i="30"/>
  <c r="AZ30" i="30"/>
  <c r="AZ38" i="30" s="1"/>
  <c r="CO30" i="30"/>
  <c r="AW47" i="30"/>
  <c r="AW55" i="30" s="1"/>
  <c r="L30" i="30"/>
  <c r="BA30" i="30"/>
  <c r="BA38" i="30" s="1"/>
  <c r="CP30" i="30"/>
  <c r="AQ77" i="19"/>
  <c r="AC77" i="19"/>
  <c r="O77" i="19"/>
  <c r="AV77" i="19"/>
  <c r="BD77" i="19"/>
  <c r="AP77" i="19"/>
  <c r="AB77" i="19"/>
  <c r="N77" i="19"/>
  <c r="BC77" i="19"/>
  <c r="AO77" i="19"/>
  <c r="AA77" i="19"/>
  <c r="M77" i="19"/>
  <c r="BB77" i="19"/>
  <c r="AN77" i="19"/>
  <c r="Z77" i="19"/>
  <c r="L77" i="19"/>
  <c r="BA77" i="19"/>
  <c r="AM77" i="19"/>
  <c r="Y77" i="19"/>
  <c r="K77" i="19"/>
  <c r="AZ77" i="19"/>
  <c r="AL77" i="19"/>
  <c r="X77" i="19"/>
  <c r="J77" i="19"/>
  <c r="AY77" i="19"/>
  <c r="AK77" i="19"/>
  <c r="W77" i="19"/>
  <c r="I77" i="19"/>
  <c r="AX77" i="19"/>
  <c r="AJ77" i="19"/>
  <c r="V77" i="19"/>
  <c r="H77" i="19"/>
  <c r="AH77" i="19"/>
  <c r="T77" i="19"/>
  <c r="AE77" i="19"/>
  <c r="AW77" i="19"/>
  <c r="AI77" i="19"/>
  <c r="U77" i="19"/>
  <c r="G77" i="19"/>
  <c r="AU77" i="19"/>
  <c r="AG77" i="19"/>
  <c r="S77" i="19"/>
  <c r="AT77" i="19"/>
  <c r="AF77" i="19"/>
  <c r="R77" i="19"/>
  <c r="AS77" i="19"/>
  <c r="Q77" i="19"/>
  <c r="AR77" i="19"/>
  <c r="AD77" i="19"/>
  <c r="P77" i="19"/>
  <c r="AX49" i="19"/>
  <c r="AJ49" i="19"/>
  <c r="V49" i="19"/>
  <c r="H49" i="19"/>
  <c r="BC49" i="19"/>
  <c r="AA49" i="19"/>
  <c r="AW49" i="19"/>
  <c r="AI49" i="19"/>
  <c r="U49" i="19"/>
  <c r="G49" i="19"/>
  <c r="AL49" i="19"/>
  <c r="AV49" i="19"/>
  <c r="AH49" i="19"/>
  <c r="T49" i="19"/>
  <c r="AU49" i="19"/>
  <c r="AG49" i="19"/>
  <c r="S49" i="19"/>
  <c r="AT49" i="19"/>
  <c r="AF49" i="19"/>
  <c r="R49" i="19"/>
  <c r="J49" i="19"/>
  <c r="AS49" i="19"/>
  <c r="AE49" i="19"/>
  <c r="Q49" i="19"/>
  <c r="AR49" i="19"/>
  <c r="AD49" i="19"/>
  <c r="P49" i="19"/>
  <c r="AQ49" i="19"/>
  <c r="AC49" i="19"/>
  <c r="O49" i="19"/>
  <c r="AO49" i="19"/>
  <c r="M49" i="19"/>
  <c r="BD49" i="19"/>
  <c r="AP49" i="19"/>
  <c r="AB49" i="19"/>
  <c r="N49" i="19"/>
  <c r="BB49" i="19"/>
  <c r="AN49" i="19"/>
  <c r="Z49" i="19"/>
  <c r="L49" i="19"/>
  <c r="AM49" i="19"/>
  <c r="BA49" i="19"/>
  <c r="Y49" i="19"/>
  <c r="K49" i="19"/>
  <c r="AZ49" i="19"/>
  <c r="X49" i="19"/>
  <c r="AY49" i="19"/>
  <c r="AK49" i="19"/>
  <c r="W49" i="19"/>
  <c r="I49" i="19"/>
  <c r="BM79" i="18"/>
  <c r="BQ82" i="19"/>
  <c r="BN79" i="18"/>
  <c r="BP79" i="18"/>
  <c r="BL79" i="18"/>
  <c r="BQ79" i="18"/>
  <c r="BR79" i="18"/>
  <c r="BS79" i="18"/>
  <c r="BK82" i="19"/>
  <c r="BL82" i="19"/>
  <c r="BN82" i="19"/>
  <c r="BO79" i="18"/>
  <c r="BT79" i="18"/>
  <c r="BM82" i="19"/>
  <c r="BK79" i="18"/>
  <c r="BO82" i="19"/>
  <c r="BP82" i="19"/>
  <c r="F8" i="19"/>
  <c r="G7" i="19" s="1"/>
  <c r="F63" i="19"/>
  <c r="G62" i="19" s="1"/>
  <c r="F35" i="19"/>
  <c r="G34" i="19" s="1"/>
  <c r="BO35" i="19"/>
  <c r="BP34" i="19" s="1"/>
  <c r="BQ35" i="19"/>
  <c r="BP35" i="19"/>
  <c r="BQ34" i="19" s="1"/>
  <c r="BN35" i="19"/>
  <c r="BO34" i="19" s="1"/>
  <c r="BN63" i="19"/>
  <c r="BO62" i="19" s="1"/>
  <c r="BP63" i="19"/>
  <c r="BQ62" i="19" s="1"/>
  <c r="BI35" i="19"/>
  <c r="BJ34" i="19" s="1"/>
  <c r="BJ35" i="19"/>
  <c r="BK34" i="19" s="1"/>
  <c r="BH35" i="19"/>
  <c r="BI34" i="19" s="1"/>
  <c r="G60" i="19"/>
  <c r="H60" i="19" s="1"/>
  <c r="H70" i="19" s="1"/>
  <c r="BM35" i="19"/>
  <c r="BN34" i="19" s="1"/>
  <c r="BQ63" i="19"/>
  <c r="BF35" i="19"/>
  <c r="BG34" i="19" s="1"/>
  <c r="G5" i="19"/>
  <c r="BK35" i="19"/>
  <c r="BL34" i="19" s="1"/>
  <c r="BO63" i="19"/>
  <c r="BP62" i="19" s="1"/>
  <c r="BL35" i="19"/>
  <c r="BM34" i="19" s="1"/>
  <c r="BK63" i="19"/>
  <c r="BL62" i="19" s="1"/>
  <c r="G32" i="19"/>
  <c r="G42" i="19" s="1"/>
  <c r="BL63" i="19"/>
  <c r="BM62" i="19" s="1"/>
  <c r="BM63" i="19"/>
  <c r="BN62" i="19" s="1"/>
  <c r="BG35" i="19"/>
  <c r="BH34" i="19" s="1"/>
  <c r="BM70" i="19"/>
  <c r="BE35" i="19"/>
  <c r="BF34" i="19" s="1"/>
  <c r="BE21" i="28"/>
  <c r="CU21" i="28"/>
  <c r="BB21" i="30"/>
  <c r="BF21" i="29"/>
  <c r="BT21" i="29"/>
  <c r="CF21" i="30"/>
  <c r="CT21" i="30"/>
  <c r="AA21" i="30"/>
  <c r="AO21" i="30"/>
  <c r="BQ21" i="30"/>
  <c r="AQ21" i="29"/>
  <c r="BE21" i="29"/>
  <c r="BS21" i="29"/>
  <c r="AM21" i="30"/>
  <c r="AN21" i="30"/>
  <c r="BP21" i="30"/>
  <c r="BA21" i="30"/>
  <c r="BU21" i="30"/>
  <c r="AE21" i="30"/>
  <c r="AS21" i="30"/>
  <c r="CI21" i="30"/>
  <c r="CP21" i="30"/>
  <c r="BV21" i="30"/>
  <c r="AT21" i="30"/>
  <c r="CJ21" i="30"/>
  <c r="CX21" i="30"/>
  <c r="CQ21" i="30"/>
  <c r="CB21" i="30"/>
  <c r="DA21" i="30"/>
  <c r="CO38" i="30"/>
  <c r="CM21" i="30"/>
  <c r="BL21" i="30"/>
  <c r="AI21" i="30"/>
  <c r="AZ21" i="30"/>
  <c r="AJ21" i="30"/>
  <c r="AB21" i="28"/>
  <c r="BD21" i="28"/>
  <c r="BR21" i="28"/>
  <c r="AF21" i="30"/>
  <c r="BR21" i="30"/>
  <c r="CO21" i="30"/>
  <c r="BO38" i="30"/>
  <c r="BE21" i="30"/>
  <c r="CU21" i="30"/>
  <c r="AK21" i="30"/>
  <c r="BC21" i="30"/>
  <c r="BY21" i="30"/>
  <c r="CR21" i="30"/>
  <c r="CP38" i="30"/>
  <c r="AC21" i="30"/>
  <c r="BS21" i="30"/>
  <c r="AD21" i="30"/>
  <c r="AR21" i="30"/>
  <c r="BF21" i="30"/>
  <c r="BT21" i="30"/>
  <c r="CH21" i="30"/>
  <c r="CV21" i="30"/>
  <c r="AL21" i="30"/>
  <c r="BD21" i="30"/>
  <c r="BZ21" i="30"/>
  <c r="CS21" i="30"/>
  <c r="CQ38" i="30"/>
  <c r="CJ55" i="30"/>
  <c r="AQ21" i="30"/>
  <c r="CG21" i="30"/>
  <c r="BG21" i="30"/>
  <c r="CA21" i="30"/>
  <c r="CW21" i="30"/>
  <c r="AN38" i="30"/>
  <c r="CC38" i="30"/>
  <c r="AK38" i="30"/>
  <c r="BH21" i="30"/>
  <c r="CK21" i="30"/>
  <c r="AH21" i="30"/>
  <c r="AV21" i="30"/>
  <c r="BJ21" i="30"/>
  <c r="BX21" i="30"/>
  <c r="CL21" i="30"/>
  <c r="CZ21" i="30"/>
  <c r="AP21" i="30"/>
  <c r="CD21" i="30"/>
  <c r="AU21" i="30"/>
  <c r="BK21" i="30"/>
  <c r="BM21" i="30"/>
  <c r="CE21" i="30"/>
  <c r="AZ55" i="30"/>
  <c r="BI21" i="30"/>
  <c r="AF38" i="29"/>
  <c r="BN21" i="30"/>
  <c r="BB38" i="30"/>
  <c r="CD38" i="30"/>
  <c r="BW21" i="30"/>
  <c r="CC21" i="30"/>
  <c r="CQ21" i="28"/>
  <c r="AW21" i="30"/>
  <c r="BO21" i="30"/>
  <c r="CR38" i="30"/>
  <c r="AG21" i="30"/>
  <c r="AB21" i="30"/>
  <c r="AX21" i="30"/>
  <c r="BM38" i="30"/>
  <c r="CY21" i="30"/>
  <c r="AY21" i="30"/>
  <c r="CN21" i="30"/>
  <c r="BN38" i="30"/>
  <c r="C65" i="30"/>
  <c r="CT47" i="30"/>
  <c r="CF47" i="30"/>
  <c r="BR47" i="30"/>
  <c r="CR47" i="30"/>
  <c r="CD47" i="30"/>
  <c r="BP47" i="30"/>
  <c r="BB47" i="30"/>
  <c r="AN47" i="30"/>
  <c r="Z47" i="30"/>
  <c r="L47" i="30"/>
  <c r="CO47" i="30"/>
  <c r="CA47" i="30"/>
  <c r="BM47" i="30"/>
  <c r="AY47" i="30"/>
  <c r="AK47" i="30"/>
  <c r="W47" i="30"/>
  <c r="I47" i="30"/>
  <c r="CN47" i="30"/>
  <c r="BZ47" i="30"/>
  <c r="BL47" i="30"/>
  <c r="AX47" i="30"/>
  <c r="AJ47" i="30"/>
  <c r="V47" i="30"/>
  <c r="H47" i="30"/>
  <c r="N47" i="30"/>
  <c r="AE47" i="30"/>
  <c r="AV47" i="30"/>
  <c r="BO47" i="30"/>
  <c r="CI47" i="30"/>
  <c r="DA47" i="30"/>
  <c r="M30" i="30"/>
  <c r="AA30" i="30"/>
  <c r="AO30" i="30"/>
  <c r="BC30" i="30"/>
  <c r="BQ30" i="30"/>
  <c r="CE30" i="30"/>
  <c r="CS30" i="30"/>
  <c r="BL38" i="30"/>
  <c r="S47" i="30"/>
  <c r="AL47" i="30"/>
  <c r="BD47" i="30"/>
  <c r="BV47" i="30"/>
  <c r="CP47" i="30"/>
  <c r="N30" i="30"/>
  <c r="AB30" i="30"/>
  <c r="AP30" i="30"/>
  <c r="BD30" i="30"/>
  <c r="BR30" i="30"/>
  <c r="CF30" i="30"/>
  <c r="CT30" i="30"/>
  <c r="T47" i="30"/>
  <c r="AM47" i="30"/>
  <c r="BE47" i="30"/>
  <c r="BW47" i="30"/>
  <c r="CQ47" i="30"/>
  <c r="O30" i="30"/>
  <c r="AC30" i="30"/>
  <c r="AQ30" i="30"/>
  <c r="BE30" i="30"/>
  <c r="BS30" i="30"/>
  <c r="CG30" i="30"/>
  <c r="CU30" i="30"/>
  <c r="AX38" i="30"/>
  <c r="U47" i="30"/>
  <c r="AO47" i="30"/>
  <c r="BF47" i="30"/>
  <c r="BX47" i="30"/>
  <c r="CS47" i="30"/>
  <c r="P30" i="30"/>
  <c r="AD30" i="30"/>
  <c r="AR30" i="30"/>
  <c r="BF30" i="30"/>
  <c r="BT30" i="30"/>
  <c r="CH30" i="30"/>
  <c r="CV30" i="30"/>
  <c r="E47" i="30"/>
  <c r="X47" i="30"/>
  <c r="AP47" i="30"/>
  <c r="BG47" i="30"/>
  <c r="BY47" i="30"/>
  <c r="CU47" i="30"/>
  <c r="Q30" i="30"/>
  <c r="AE30" i="30"/>
  <c r="AS30" i="30"/>
  <c r="BG30" i="30"/>
  <c r="BU30" i="30"/>
  <c r="CI30" i="30"/>
  <c r="CW30" i="30"/>
  <c r="F47" i="30"/>
  <c r="Y47" i="30"/>
  <c r="AQ47" i="30"/>
  <c r="BH47" i="30"/>
  <c r="CB47" i="30"/>
  <c r="CV47" i="30"/>
  <c r="R30" i="30"/>
  <c r="AF30" i="30"/>
  <c r="AT30" i="30"/>
  <c r="BH30" i="30"/>
  <c r="BV30" i="30"/>
  <c r="CJ30" i="30"/>
  <c r="CX30" i="30"/>
  <c r="G47" i="30"/>
  <c r="AA47" i="30"/>
  <c r="AR47" i="30"/>
  <c r="BI47" i="30"/>
  <c r="CC47" i="30"/>
  <c r="CW47" i="30"/>
  <c r="E30" i="30"/>
  <c r="S30" i="30"/>
  <c r="AG30" i="30"/>
  <c r="AU30" i="30"/>
  <c r="BI30" i="30"/>
  <c r="BW30" i="30"/>
  <c r="CK30" i="30"/>
  <c r="CY30" i="30"/>
  <c r="J47" i="30"/>
  <c r="AB47" i="30"/>
  <c r="AS47" i="30"/>
  <c r="BJ47" i="30"/>
  <c r="CE47" i="30"/>
  <c r="CX47" i="30"/>
  <c r="F30" i="30"/>
  <c r="T30" i="30"/>
  <c r="AH30" i="30"/>
  <c r="AV30" i="30"/>
  <c r="BJ30" i="30"/>
  <c r="BX30" i="30"/>
  <c r="CL30" i="30"/>
  <c r="CZ30" i="30"/>
  <c r="K47" i="30"/>
  <c r="AC47" i="30"/>
  <c r="AT47" i="30"/>
  <c r="BK47" i="30"/>
  <c r="CG47" i="30"/>
  <c r="CY47" i="30"/>
  <c r="G30" i="30"/>
  <c r="U30" i="30"/>
  <c r="AI30" i="30"/>
  <c r="AW30" i="30"/>
  <c r="BK30" i="30"/>
  <c r="BY30" i="30"/>
  <c r="CM30" i="30"/>
  <c r="DA30" i="30"/>
  <c r="M47" i="30"/>
  <c r="AD47" i="30"/>
  <c r="AU47" i="30"/>
  <c r="BN47" i="30"/>
  <c r="CH47" i="30"/>
  <c r="CZ47" i="30"/>
  <c r="CX30" i="28"/>
  <c r="CX38" i="28" s="1"/>
  <c r="BM21" i="28"/>
  <c r="CZ30" i="28"/>
  <c r="CP21" i="28"/>
  <c r="E30" i="28"/>
  <c r="AF30" i="28"/>
  <c r="BG30" i="28"/>
  <c r="CI30" i="28"/>
  <c r="CI38" i="28" s="1"/>
  <c r="BN30" i="28"/>
  <c r="BN38" i="28" s="1"/>
  <c r="R30" i="28"/>
  <c r="AS30" i="28"/>
  <c r="AS38" i="28" s="1"/>
  <c r="BT30" i="28"/>
  <c r="BT38" i="28" s="1"/>
  <c r="CP30" i="28"/>
  <c r="CP38" i="28" s="1"/>
  <c r="CO30" i="28"/>
  <c r="CO38" i="28" s="1"/>
  <c r="S30" i="28"/>
  <c r="AT30" i="28"/>
  <c r="BU30" i="28"/>
  <c r="BU38" i="28" s="1"/>
  <c r="CV30" i="28"/>
  <c r="CV38" i="28" s="1"/>
  <c r="C48" i="28"/>
  <c r="AR30" i="28"/>
  <c r="T30" i="28"/>
  <c r="AU30" i="28"/>
  <c r="AU38" i="28" s="1"/>
  <c r="BV30" i="28"/>
  <c r="BV38" i="28" s="1"/>
  <c r="CW30" i="28"/>
  <c r="W30" i="28"/>
  <c r="AX30" i="28"/>
  <c r="AX38" i="28" s="1"/>
  <c r="BX30" i="28"/>
  <c r="BX38" i="28" s="1"/>
  <c r="CY30" i="28"/>
  <c r="CY38" i="28" s="1"/>
  <c r="AD30" i="28"/>
  <c r="AD38" i="28" s="1"/>
  <c r="AZ30" i="28"/>
  <c r="CA30" i="28"/>
  <c r="CA38" i="28" s="1"/>
  <c r="AE30" i="28"/>
  <c r="AE38" i="28" s="1"/>
  <c r="BF30" i="28"/>
  <c r="AY47" i="29"/>
  <c r="AY55" i="29" s="1"/>
  <c r="I47" i="29"/>
  <c r="AA30" i="29"/>
  <c r="L30" i="29"/>
  <c r="AB30" i="29"/>
  <c r="AR30" i="29"/>
  <c r="BH30" i="29"/>
  <c r="BZ30" i="29"/>
  <c r="CQ30" i="29"/>
  <c r="CQ38" i="29" s="1"/>
  <c r="AQ30" i="29"/>
  <c r="AQ38" i="29" s="1"/>
  <c r="BY30" i="29"/>
  <c r="BY38" i="29" s="1"/>
  <c r="J47" i="29"/>
  <c r="M30" i="29"/>
  <c r="AC30" i="29"/>
  <c r="AS30" i="29"/>
  <c r="BK30" i="29"/>
  <c r="BK38" i="29" s="1"/>
  <c r="CA30" i="29"/>
  <c r="CA38" i="29" s="1"/>
  <c r="CR30" i="29"/>
  <c r="CR38" i="29" s="1"/>
  <c r="L47" i="29"/>
  <c r="K30" i="29"/>
  <c r="BG30" i="29"/>
  <c r="BG38" i="29" s="1"/>
  <c r="N30" i="29"/>
  <c r="AD30" i="29"/>
  <c r="AD38" i="29" s="1"/>
  <c r="AT30" i="29"/>
  <c r="AT38" i="29" s="1"/>
  <c r="BL30" i="29"/>
  <c r="BL38" i="29" s="1"/>
  <c r="CB30" i="29"/>
  <c r="CS30" i="29"/>
  <c r="CS38" i="29" s="1"/>
  <c r="V47" i="29"/>
  <c r="BP47" i="29"/>
  <c r="BP55" i="29" s="1"/>
  <c r="AZ47" i="29"/>
  <c r="AZ55" i="29" s="1"/>
  <c r="O30" i="29"/>
  <c r="AE30" i="29"/>
  <c r="AE38" i="29" s="1"/>
  <c r="AW30" i="29"/>
  <c r="AW38" i="29" s="1"/>
  <c r="BM30" i="29"/>
  <c r="CC30" i="29"/>
  <c r="CC38" i="29" s="1"/>
  <c r="CT30" i="29"/>
  <c r="CT38" i="29" s="1"/>
  <c r="W47" i="29"/>
  <c r="BZ47" i="29"/>
  <c r="BZ55" i="29" s="1"/>
  <c r="AJ47" i="29"/>
  <c r="AJ55" i="29" s="1"/>
  <c r="CB47" i="29"/>
  <c r="CB55" i="29" s="1"/>
  <c r="R30" i="29"/>
  <c r="AJ30" i="29"/>
  <c r="AJ38" i="29" s="1"/>
  <c r="AZ30" i="29"/>
  <c r="AZ38" i="29" s="1"/>
  <c r="BP30" i="29"/>
  <c r="BP38" i="29" s="1"/>
  <c r="CF30" i="29"/>
  <c r="CF38" i="29" s="1"/>
  <c r="CW30" i="29"/>
  <c r="CW38" i="29" s="1"/>
  <c r="AL47" i="29"/>
  <c r="AL55" i="29" s="1"/>
  <c r="CN47" i="29"/>
  <c r="CN55" i="29" s="1"/>
  <c r="V30" i="29"/>
  <c r="AL30" i="29"/>
  <c r="BB30" i="29"/>
  <c r="BB38" i="29" s="1"/>
  <c r="BR30" i="29"/>
  <c r="BR38" i="29" s="1"/>
  <c r="CH30" i="29"/>
  <c r="CH38" i="29" s="1"/>
  <c r="DA30" i="29"/>
  <c r="DA38" i="29" s="1"/>
  <c r="AM47" i="29"/>
  <c r="AM55" i="29" s="1"/>
  <c r="CO47" i="29"/>
  <c r="CO55" i="29" s="1"/>
  <c r="AN47" i="29"/>
  <c r="AN55" i="29" s="1"/>
  <c r="H30" i="29"/>
  <c r="X30" i="29"/>
  <c r="AN30" i="29"/>
  <c r="AN38" i="29" s="1"/>
  <c r="BD30" i="29"/>
  <c r="BD38" i="29" s="1"/>
  <c r="BT30" i="29"/>
  <c r="BT38" i="29" s="1"/>
  <c r="CJ30" i="29"/>
  <c r="CJ38" i="29" s="1"/>
  <c r="AX47" i="29"/>
  <c r="AX55" i="29" s="1"/>
  <c r="AN21" i="29"/>
  <c r="BB21" i="29"/>
  <c r="BP21" i="29"/>
  <c r="CD21" i="29"/>
  <c r="CR21" i="29"/>
  <c r="CS21" i="29"/>
  <c r="CT21" i="29"/>
  <c r="AE21" i="29"/>
  <c r="BG21" i="29"/>
  <c r="CW21" i="29"/>
  <c r="CI38" i="29"/>
  <c r="CM38" i="29"/>
  <c r="AI38" i="29"/>
  <c r="AR21" i="29"/>
  <c r="BC21" i="29"/>
  <c r="AS21" i="29"/>
  <c r="BU21" i="29"/>
  <c r="CI21" i="29"/>
  <c r="AF21" i="29"/>
  <c r="AT21" i="29"/>
  <c r="BH21" i="29"/>
  <c r="BV21" i="29"/>
  <c r="CJ21" i="29"/>
  <c r="CX21" i="29"/>
  <c r="BQ21" i="29"/>
  <c r="AG21" i="29"/>
  <c r="AU21" i="29"/>
  <c r="BI21" i="29"/>
  <c r="BW21" i="29"/>
  <c r="CK21" i="29"/>
  <c r="CY21" i="29"/>
  <c r="BR21" i="29"/>
  <c r="BE38" i="29"/>
  <c r="CO21" i="28"/>
  <c r="AL21" i="28"/>
  <c r="CG21" i="28"/>
  <c r="AK21" i="28"/>
  <c r="CC21" i="28"/>
  <c r="AC21" i="28"/>
  <c r="CZ38" i="28"/>
  <c r="CB21" i="28"/>
  <c r="CA21" i="28"/>
  <c r="CJ38" i="28"/>
  <c r="BS21" i="28"/>
  <c r="BO21" i="28"/>
  <c r="BZ38" i="28"/>
  <c r="BN21" i="28"/>
  <c r="AA21" i="29"/>
  <c r="AP38" i="29"/>
  <c r="BF38" i="29"/>
  <c r="BD21" i="29"/>
  <c r="AI21" i="29"/>
  <c r="AW21" i="29"/>
  <c r="BK21" i="29"/>
  <c r="BY21" i="29"/>
  <c r="CM21" i="29"/>
  <c r="DA21" i="29"/>
  <c r="AB21" i="29"/>
  <c r="CP38" i="29"/>
  <c r="CU21" i="29"/>
  <c r="AJ21" i="29"/>
  <c r="AX21" i="29"/>
  <c r="BL21" i="29"/>
  <c r="BZ21" i="29"/>
  <c r="CN21" i="29"/>
  <c r="AC21" i="29"/>
  <c r="CE21" i="29"/>
  <c r="AB38" i="29"/>
  <c r="AR38" i="29"/>
  <c r="BH38" i="29"/>
  <c r="AM21" i="28"/>
  <c r="AK21" i="29"/>
  <c r="AY21" i="29"/>
  <c r="BM21" i="29"/>
  <c r="CA21" i="29"/>
  <c r="CO21" i="29"/>
  <c r="AD21" i="29"/>
  <c r="CF21" i="29"/>
  <c r="CV21" i="29"/>
  <c r="AQ21" i="28"/>
  <c r="AO21" i="29"/>
  <c r="CG21" i="29"/>
  <c r="AY21" i="28"/>
  <c r="AM21" i="29"/>
  <c r="BA21" i="29"/>
  <c r="BO21" i="29"/>
  <c r="CC21" i="29"/>
  <c r="CQ21" i="29"/>
  <c r="AP21" i="29"/>
  <c r="CH21" i="29"/>
  <c r="AC38" i="29"/>
  <c r="CB38" i="29"/>
  <c r="BG38" i="28"/>
  <c r="BM38" i="29"/>
  <c r="AH21" i="28"/>
  <c r="AV21" i="28"/>
  <c r="BJ21" i="28"/>
  <c r="BX21" i="28"/>
  <c r="CL21" i="28"/>
  <c r="CZ21" i="28"/>
  <c r="AH21" i="29"/>
  <c r="AV21" i="29"/>
  <c r="BJ21" i="29"/>
  <c r="BX21" i="29"/>
  <c r="CL21" i="29"/>
  <c r="CZ21" i="29"/>
  <c r="BN38" i="29"/>
  <c r="AS38" i="29"/>
  <c r="AI21" i="28"/>
  <c r="AW21" i="28"/>
  <c r="BK21" i="28"/>
  <c r="BY21" i="28"/>
  <c r="CM21" i="28"/>
  <c r="DA21" i="28"/>
  <c r="AY38" i="29"/>
  <c r="BO38" i="29"/>
  <c r="CE38" i="29"/>
  <c r="CV38" i="29"/>
  <c r="AJ21" i="28"/>
  <c r="AX21" i="28"/>
  <c r="BL21" i="28"/>
  <c r="BZ21" i="28"/>
  <c r="CN21" i="28"/>
  <c r="BA38" i="29"/>
  <c r="BQ38" i="29"/>
  <c r="CG38" i="29"/>
  <c r="C65" i="29"/>
  <c r="CZ47" i="29"/>
  <c r="CL47" i="29"/>
  <c r="BX47" i="29"/>
  <c r="BJ47" i="29"/>
  <c r="AV47" i="29"/>
  <c r="AH47" i="29"/>
  <c r="T47" i="29"/>
  <c r="F47" i="29"/>
  <c r="CY47" i="29"/>
  <c r="CK47" i="29"/>
  <c r="BW47" i="29"/>
  <c r="BI47" i="29"/>
  <c r="AU47" i="29"/>
  <c r="AG47" i="29"/>
  <c r="S47" i="29"/>
  <c r="E47" i="29"/>
  <c r="CX47" i="29"/>
  <c r="CJ47" i="29"/>
  <c r="BV47" i="29"/>
  <c r="BH47" i="29"/>
  <c r="AT47" i="29"/>
  <c r="AF47" i="29"/>
  <c r="R47" i="29"/>
  <c r="CW47" i="29"/>
  <c r="CI47" i="29"/>
  <c r="BU47" i="29"/>
  <c r="BG47" i="29"/>
  <c r="AS47" i="29"/>
  <c r="AE47" i="29"/>
  <c r="Q47" i="29"/>
  <c r="CV47" i="29"/>
  <c r="CH47" i="29"/>
  <c r="BT47" i="29"/>
  <c r="BF47" i="29"/>
  <c r="AR47" i="29"/>
  <c r="AD47" i="29"/>
  <c r="P47" i="29"/>
  <c r="CU47" i="29"/>
  <c r="CG47" i="29"/>
  <c r="BS47" i="29"/>
  <c r="BE47" i="29"/>
  <c r="AQ47" i="29"/>
  <c r="AC47" i="29"/>
  <c r="O47" i="29"/>
  <c r="CT47" i="29"/>
  <c r="CF47" i="29"/>
  <c r="BR47" i="29"/>
  <c r="BD47" i="29"/>
  <c r="AP47" i="29"/>
  <c r="AB47" i="29"/>
  <c r="N47" i="29"/>
  <c r="CS47" i="29"/>
  <c r="CE47" i="29"/>
  <c r="BQ47" i="29"/>
  <c r="BC47" i="29"/>
  <c r="AO47" i="29"/>
  <c r="AA47" i="29"/>
  <c r="M47" i="29"/>
  <c r="CR47" i="29"/>
  <c r="CD47" i="29"/>
  <c r="DA47" i="29"/>
  <c r="CM47" i="29"/>
  <c r="BY47" i="29"/>
  <c r="BK47" i="29"/>
  <c r="AW47" i="29"/>
  <c r="AI47" i="29"/>
  <c r="U47" i="29"/>
  <c r="G47" i="29"/>
  <c r="AL21" i="29"/>
  <c r="AZ21" i="29"/>
  <c r="BN21" i="29"/>
  <c r="CB21" i="29"/>
  <c r="CP21" i="29"/>
  <c r="AL38" i="29"/>
  <c r="BL47" i="29"/>
  <c r="AM38" i="29"/>
  <c r="BC38" i="29"/>
  <c r="BS38" i="29"/>
  <c r="X47" i="29"/>
  <c r="BM47" i="29"/>
  <c r="Y47" i="29"/>
  <c r="BN47" i="29"/>
  <c r="E30" i="29"/>
  <c r="S30" i="29"/>
  <c r="AG30" i="29"/>
  <c r="AU30" i="29"/>
  <c r="BI30" i="29"/>
  <c r="BW30" i="29"/>
  <c r="CK30" i="29"/>
  <c r="CY30" i="29"/>
  <c r="AX38" i="29"/>
  <c r="BZ38" i="29"/>
  <c r="CN38" i="29"/>
  <c r="F30" i="29"/>
  <c r="T30" i="29"/>
  <c r="AH30" i="29"/>
  <c r="AV30" i="29"/>
  <c r="BJ30" i="29"/>
  <c r="BX30" i="29"/>
  <c r="CL30" i="29"/>
  <c r="CZ30" i="29"/>
  <c r="CO30" i="29"/>
  <c r="AA21" i="28"/>
  <c r="AO21" i="28"/>
  <c r="BC21" i="28"/>
  <c r="BQ21" i="28"/>
  <c r="CE21" i="28"/>
  <c r="CS21" i="28"/>
  <c r="AD21" i="28"/>
  <c r="CK38" i="28"/>
  <c r="BL38" i="28"/>
  <c r="CL38" i="28"/>
  <c r="CT21" i="28"/>
  <c r="AR21" i="28"/>
  <c r="BT21" i="28"/>
  <c r="CV21" i="28"/>
  <c r="BM38" i="28"/>
  <c r="BF21" i="28"/>
  <c r="CH21" i="28"/>
  <c r="AP21" i="28"/>
  <c r="AR38" i="28"/>
  <c r="CF21" i="28"/>
  <c r="AN21" i="28"/>
  <c r="BB21" i="28"/>
  <c r="BP21" i="28"/>
  <c r="CD21" i="28"/>
  <c r="CR21" i="28"/>
  <c r="BA21" i="28"/>
  <c r="AV38" i="28"/>
  <c r="CZ47" i="28"/>
  <c r="CL47" i="28"/>
  <c r="BX47" i="28"/>
  <c r="BJ47" i="28"/>
  <c r="AV47" i="28"/>
  <c r="AH47" i="28"/>
  <c r="T47" i="28"/>
  <c r="F47" i="28"/>
  <c r="CY47" i="28"/>
  <c r="CK47" i="28"/>
  <c r="BW47" i="28"/>
  <c r="BI47" i="28"/>
  <c r="AU47" i="28"/>
  <c r="AG47" i="28"/>
  <c r="S47" i="28"/>
  <c r="E47" i="28"/>
  <c r="CX47" i="28"/>
  <c r="CJ47" i="28"/>
  <c r="BV47" i="28"/>
  <c r="BH47" i="28"/>
  <c r="AT47" i="28"/>
  <c r="AF47" i="28"/>
  <c r="R47" i="28"/>
  <c r="CW47" i="28"/>
  <c r="CI47" i="28"/>
  <c r="BU47" i="28"/>
  <c r="BG47" i="28"/>
  <c r="AS47" i="28"/>
  <c r="AE47" i="28"/>
  <c r="Q47" i="28"/>
  <c r="CV47" i="28"/>
  <c r="CH47" i="28"/>
  <c r="BT47" i="28"/>
  <c r="BF47" i="28"/>
  <c r="AR47" i="28"/>
  <c r="AD47" i="28"/>
  <c r="P47" i="28"/>
  <c r="CU47" i="28"/>
  <c r="CG47" i="28"/>
  <c r="BS47" i="28"/>
  <c r="BE47" i="28"/>
  <c r="AQ47" i="28"/>
  <c r="AC47" i="28"/>
  <c r="O47" i="28"/>
  <c r="C65" i="28"/>
  <c r="DA47" i="28"/>
  <c r="CM47" i="28"/>
  <c r="BY47" i="28"/>
  <c r="BK47" i="28"/>
  <c r="AW47" i="28"/>
  <c r="AI47" i="28"/>
  <c r="U47" i="28"/>
  <c r="G47" i="28"/>
  <c r="CR47" i="28"/>
  <c r="BP47" i="28"/>
  <c r="AN47" i="28"/>
  <c r="L47" i="28"/>
  <c r="CQ47" i="28"/>
  <c r="BO47" i="28"/>
  <c r="AM47" i="28"/>
  <c r="K47" i="28"/>
  <c r="CP47" i="28"/>
  <c r="BN47" i="28"/>
  <c r="AL47" i="28"/>
  <c r="J47" i="28"/>
  <c r="CO47" i="28"/>
  <c r="BM47" i="28"/>
  <c r="AK47" i="28"/>
  <c r="I47" i="28"/>
  <c r="CN47" i="28"/>
  <c r="BL47" i="28"/>
  <c r="AJ47" i="28"/>
  <c r="H47" i="28"/>
  <c r="CC47" i="28"/>
  <c r="BA47" i="28"/>
  <c r="Y47" i="28"/>
  <c r="CB47" i="28"/>
  <c r="AZ47" i="28"/>
  <c r="X47" i="28"/>
  <c r="CA47" i="28"/>
  <c r="AY47" i="28"/>
  <c r="W47" i="28"/>
  <c r="CS47" i="28"/>
  <c r="BQ47" i="28"/>
  <c r="AO47" i="28"/>
  <c r="M47" i="28"/>
  <c r="CN38" i="28"/>
  <c r="BB47" i="28"/>
  <c r="BW38" i="28"/>
  <c r="CW38" i="28"/>
  <c r="AT38" i="28"/>
  <c r="BR47" i="28"/>
  <c r="AE21" i="28"/>
  <c r="AS21" i="28"/>
  <c r="BG21" i="28"/>
  <c r="BU21" i="28"/>
  <c r="CI21" i="28"/>
  <c r="CW21" i="28"/>
  <c r="BZ47" i="28"/>
  <c r="AF21" i="28"/>
  <c r="AT21" i="28"/>
  <c r="BH21" i="28"/>
  <c r="BV21" i="28"/>
  <c r="CJ21" i="28"/>
  <c r="CX21" i="28"/>
  <c r="AZ38" i="28"/>
  <c r="CD47" i="28"/>
  <c r="AG21" i="28"/>
  <c r="AU21" i="28"/>
  <c r="BI21" i="28"/>
  <c r="BW21" i="28"/>
  <c r="CK21" i="28"/>
  <c r="CY21" i="28"/>
  <c r="AF38" i="28"/>
  <c r="BF38" i="28"/>
  <c r="CE47" i="28"/>
  <c r="AG38" i="28"/>
  <c r="CB38" i="28"/>
  <c r="CU30" i="28"/>
  <c r="CG30" i="28"/>
  <c r="BS30" i="28"/>
  <c r="BE30" i="28"/>
  <c r="AQ30" i="28"/>
  <c r="AC30" i="28"/>
  <c r="O30" i="28"/>
  <c r="CT30" i="28"/>
  <c r="CF30" i="28"/>
  <c r="BR30" i="28"/>
  <c r="BD30" i="28"/>
  <c r="AP30" i="28"/>
  <c r="AB30" i="28"/>
  <c r="N30" i="28"/>
  <c r="CS30" i="28"/>
  <c r="CE30" i="28"/>
  <c r="BQ30" i="28"/>
  <c r="BC30" i="28"/>
  <c r="AO30" i="28"/>
  <c r="AA30" i="28"/>
  <c r="M30" i="28"/>
  <c r="CR30" i="28"/>
  <c r="CD30" i="28"/>
  <c r="BP30" i="28"/>
  <c r="BB30" i="28"/>
  <c r="AN30" i="28"/>
  <c r="Z30" i="28"/>
  <c r="L30" i="28"/>
  <c r="CQ30" i="28"/>
  <c r="CC30" i="28"/>
  <c r="BO30" i="28"/>
  <c r="BA30" i="28"/>
  <c r="AM30" i="28"/>
  <c r="Y30" i="28"/>
  <c r="K30" i="28"/>
  <c r="DA30" i="28"/>
  <c r="CM30" i="28"/>
  <c r="BY30" i="28"/>
  <c r="BK30" i="28"/>
  <c r="AW30" i="28"/>
  <c r="AI30" i="28"/>
  <c r="U30" i="28"/>
  <c r="G30" i="28"/>
  <c r="N47" i="28"/>
  <c r="CF47" i="28"/>
  <c r="I30" i="28"/>
  <c r="AH30" i="28"/>
  <c r="BH30" i="28"/>
  <c r="CH30" i="28"/>
  <c r="V47" i="28"/>
  <c r="CT47" i="28"/>
  <c r="AM95" i="19" l="1"/>
  <c r="M95" i="19"/>
  <c r="AY95" i="19"/>
  <c r="BA47" i="29"/>
  <c r="BA55" i="29" s="1"/>
  <c r="BB47" i="29"/>
  <c r="BB55" i="29" s="1"/>
  <c r="CC47" i="29"/>
  <c r="CC55" i="29" s="1"/>
  <c r="K47" i="29"/>
  <c r="AK47" i="29"/>
  <c r="AK55" i="29" s="1"/>
  <c r="CP47" i="29"/>
  <c r="CP55" i="29" s="1"/>
  <c r="CQ47" i="29"/>
  <c r="CQ55" i="29" s="1"/>
  <c r="CA47" i="29"/>
  <c r="CA55" i="29" s="1"/>
  <c r="Z47" i="29"/>
  <c r="H47" i="29"/>
  <c r="AU95" i="19"/>
  <c r="G95" i="19"/>
  <c r="AA95" i="19"/>
  <c r="AH95" i="19"/>
  <c r="I95" i="19"/>
  <c r="BB95" i="19"/>
  <c r="AV95" i="19"/>
  <c r="AK95" i="19"/>
  <c r="W95" i="19"/>
  <c r="O95" i="19"/>
  <c r="AG95" i="19"/>
  <c r="AJ95" i="19"/>
  <c r="AC95" i="19"/>
  <c r="AX95" i="19"/>
  <c r="BA95" i="19"/>
  <c r="Z95" i="19"/>
  <c r="AQ95" i="19"/>
  <c r="AN95" i="19"/>
  <c r="T95" i="19"/>
  <c r="L95" i="19"/>
  <c r="K95" i="19"/>
  <c r="Y95" i="19"/>
  <c r="AP95" i="19"/>
  <c r="BD95" i="19"/>
  <c r="AR95" i="19"/>
  <c r="AS95" i="19"/>
  <c r="R95" i="19"/>
  <c r="H95" i="19"/>
  <c r="S95" i="19"/>
  <c r="V95" i="19"/>
  <c r="P95" i="19"/>
  <c r="AD95" i="19"/>
  <c r="AL95" i="19"/>
  <c r="Q95" i="19"/>
  <c r="AE95" i="19"/>
  <c r="U95" i="19"/>
  <c r="N95" i="19"/>
  <c r="AI95" i="19"/>
  <c r="AB95" i="19"/>
  <c r="J95" i="19"/>
  <c r="AW95" i="19"/>
  <c r="AF95" i="19"/>
  <c r="BC95" i="19"/>
  <c r="X95" i="19"/>
  <c r="AT95" i="19"/>
  <c r="AZ95" i="19"/>
  <c r="AO95" i="19"/>
  <c r="H5" i="19"/>
  <c r="I5" i="19" s="1"/>
  <c r="J5" i="19" s="1"/>
  <c r="K5" i="19" s="1"/>
  <c r="L5" i="19" s="1"/>
  <c r="M5" i="19" s="1"/>
  <c r="N5" i="19" s="1"/>
  <c r="O5" i="19" s="1"/>
  <c r="P5" i="19" s="1"/>
  <c r="Q5" i="19" s="1"/>
  <c r="R5" i="19" s="1"/>
  <c r="S5" i="19" s="1"/>
  <c r="T5" i="19" s="1"/>
  <c r="U5" i="19" s="1"/>
  <c r="V5" i="19" s="1"/>
  <c r="W5" i="19" s="1"/>
  <c r="X5" i="19" s="1"/>
  <c r="Y5" i="19" s="1"/>
  <c r="Z5" i="19" s="1"/>
  <c r="AA5" i="19" s="1"/>
  <c r="AB5" i="19" s="1"/>
  <c r="AC5" i="19" s="1"/>
  <c r="AD5" i="19" s="1"/>
  <c r="AE5" i="19" s="1"/>
  <c r="AF5" i="19" s="1"/>
  <c r="AG5" i="19" s="1"/>
  <c r="AH5" i="19" s="1"/>
  <c r="AI5" i="19" s="1"/>
  <c r="AJ5" i="19" s="1"/>
  <c r="AK5" i="19" s="1"/>
  <c r="AL5" i="19" s="1"/>
  <c r="AM5" i="19" s="1"/>
  <c r="AN5" i="19" s="1"/>
  <c r="AO5" i="19" s="1"/>
  <c r="AP5" i="19" s="1"/>
  <c r="AQ5" i="19" s="1"/>
  <c r="AR5" i="19" s="1"/>
  <c r="AS5" i="19" s="1"/>
  <c r="AT5" i="19" s="1"/>
  <c r="AU5" i="19" s="1"/>
  <c r="AV5" i="19" s="1"/>
  <c r="AW5" i="19" s="1"/>
  <c r="AX5" i="19" s="1"/>
  <c r="AY5" i="19" s="1"/>
  <c r="AZ5" i="19" s="1"/>
  <c r="BA5" i="19" s="1"/>
  <c r="BB5" i="19" s="1"/>
  <c r="BC5" i="19" s="1"/>
  <c r="BD5" i="19" s="1"/>
  <c r="F4" i="30"/>
  <c r="I12" i="3"/>
  <c r="F12" i="45" s="1"/>
  <c r="I11" i="3"/>
  <c r="F11" i="45" s="1"/>
  <c r="J10" i="3"/>
  <c r="I10" i="45" s="1"/>
  <c r="J11" i="3"/>
  <c r="I11" i="45" s="1"/>
  <c r="H64" i="19"/>
  <c r="I60" i="19"/>
  <c r="I70" i="19" s="1"/>
  <c r="G64" i="19"/>
  <c r="G70" i="19"/>
  <c r="H32" i="19"/>
  <c r="H36" i="19" s="1"/>
  <c r="G36" i="19"/>
  <c r="CU55" i="30"/>
  <c r="BX55" i="30"/>
  <c r="BE55" i="30"/>
  <c r="CA55" i="30"/>
  <c r="BY55" i="30"/>
  <c r="CZ55" i="30"/>
  <c r="CY55" i="30"/>
  <c r="CX55" i="30"/>
  <c r="CW55" i="30"/>
  <c r="CB55" i="30"/>
  <c r="BG55" i="30"/>
  <c r="AO55" i="30"/>
  <c r="CS38" i="30"/>
  <c r="CV55" i="30"/>
  <c r="AM55" i="30"/>
  <c r="CH55" i="30"/>
  <c r="CG55" i="30"/>
  <c r="CE55" i="30"/>
  <c r="CC55" i="30"/>
  <c r="BH55" i="30"/>
  <c r="AP55" i="30"/>
  <c r="CT38" i="30"/>
  <c r="CE38" i="30"/>
  <c r="BF55" i="30"/>
  <c r="CO55" i="30"/>
  <c r="BN55" i="30"/>
  <c r="BK55" i="30"/>
  <c r="BJ55" i="30"/>
  <c r="BI55" i="30"/>
  <c r="AQ55" i="30"/>
  <c r="CF38" i="30"/>
  <c r="BQ38" i="30"/>
  <c r="AJ55" i="30"/>
  <c r="AU55" i="30"/>
  <c r="AT55" i="30"/>
  <c r="AS55" i="30"/>
  <c r="AR55" i="30"/>
  <c r="CU38" i="30"/>
  <c r="BR38" i="30"/>
  <c r="BC38" i="30"/>
  <c r="AX55" i="30"/>
  <c r="AN55" i="30"/>
  <c r="BS38" i="30"/>
  <c r="CM38" i="30"/>
  <c r="CL38" i="30"/>
  <c r="CK38" i="30"/>
  <c r="CJ38" i="30"/>
  <c r="BU38" i="30"/>
  <c r="BF38" i="30"/>
  <c r="AQ38" i="30"/>
  <c r="DA55" i="30"/>
  <c r="CR55" i="30"/>
  <c r="AD55" i="30"/>
  <c r="BE38" i="30"/>
  <c r="BY38" i="30"/>
  <c r="BX38" i="30"/>
  <c r="BW38" i="30"/>
  <c r="BV38" i="30"/>
  <c r="BG38" i="30"/>
  <c r="AR38" i="30"/>
  <c r="AC38" i="30"/>
  <c r="CP55" i="30"/>
  <c r="CI55" i="30"/>
  <c r="BR55" i="30"/>
  <c r="BD38" i="30"/>
  <c r="BB55" i="30"/>
  <c r="CH38" i="30"/>
  <c r="AP38" i="30"/>
  <c r="BP55" i="30"/>
  <c r="CZ38" i="30"/>
  <c r="CI38" i="30"/>
  <c r="CN55" i="30"/>
  <c r="BK38" i="30"/>
  <c r="BJ38" i="30"/>
  <c r="BI38" i="30"/>
  <c r="BH38" i="30"/>
  <c r="AS38" i="30"/>
  <c r="AD38" i="30"/>
  <c r="BV55" i="30"/>
  <c r="BO55" i="30"/>
  <c r="AK55" i="30"/>
  <c r="CF55" i="30"/>
  <c r="AC55" i="30"/>
  <c r="CV38" i="30"/>
  <c r="BL55" i="30"/>
  <c r="CW38" i="30"/>
  <c r="BZ55" i="30"/>
  <c r="CY38" i="30"/>
  <c r="BT38" i="30"/>
  <c r="CD55" i="30"/>
  <c r="AW38" i="30"/>
  <c r="AV38" i="30"/>
  <c r="AU38" i="30"/>
  <c r="AT38" i="30"/>
  <c r="AE38" i="30"/>
  <c r="CQ55" i="30"/>
  <c r="BD55" i="30"/>
  <c r="AV55" i="30"/>
  <c r="AY55" i="30"/>
  <c r="CT55" i="30"/>
  <c r="CG38" i="30"/>
  <c r="AO38" i="30"/>
  <c r="DA38" i="30"/>
  <c r="CX38" i="30"/>
  <c r="AB38" i="30"/>
  <c r="AI38" i="30"/>
  <c r="AH38" i="30"/>
  <c r="AG38" i="30"/>
  <c r="AF38" i="30"/>
  <c r="CS55" i="30"/>
  <c r="BW55" i="30"/>
  <c r="AL55" i="30"/>
  <c r="AE55" i="30"/>
  <c r="BM55" i="30"/>
  <c r="CN64" i="30"/>
  <c r="BZ64" i="30"/>
  <c r="BL64" i="30"/>
  <c r="AX64" i="30"/>
  <c r="AJ64" i="30"/>
  <c r="V64" i="30"/>
  <c r="H64" i="30"/>
  <c r="DA64" i="30"/>
  <c r="CM64" i="30"/>
  <c r="BY64" i="30"/>
  <c r="BK64" i="30"/>
  <c r="AW64" i="30"/>
  <c r="AI64" i="30"/>
  <c r="U64" i="30"/>
  <c r="G64" i="30"/>
  <c r="CZ64" i="30"/>
  <c r="CL64" i="30"/>
  <c r="BX64" i="30"/>
  <c r="BJ64" i="30"/>
  <c r="AV64" i="30"/>
  <c r="AH64" i="30"/>
  <c r="T64" i="30"/>
  <c r="F64" i="30"/>
  <c r="CY64" i="30"/>
  <c r="CK64" i="30"/>
  <c r="BW64" i="30"/>
  <c r="BI64" i="30"/>
  <c r="AU64" i="30"/>
  <c r="AG64" i="30"/>
  <c r="S64" i="30"/>
  <c r="E64" i="30"/>
  <c r="CX64" i="30"/>
  <c r="CJ64" i="30"/>
  <c r="BV64" i="30"/>
  <c r="BH64" i="30"/>
  <c r="AT64" i="30"/>
  <c r="AF64" i="30"/>
  <c r="R64" i="30"/>
  <c r="CW64" i="30"/>
  <c r="CI64" i="30"/>
  <c r="BU64" i="30"/>
  <c r="BG64" i="30"/>
  <c r="AS64" i="30"/>
  <c r="AE64" i="30"/>
  <c r="Q64" i="30"/>
  <c r="CV64" i="30"/>
  <c r="CH64" i="30"/>
  <c r="BT64" i="30"/>
  <c r="BF64" i="30"/>
  <c r="AR64" i="30"/>
  <c r="AD64" i="30"/>
  <c r="P64" i="30"/>
  <c r="CT64" i="30"/>
  <c r="BR64" i="30"/>
  <c r="AP64" i="30"/>
  <c r="N64" i="30"/>
  <c r="CS64" i="30"/>
  <c r="BQ64" i="30"/>
  <c r="AO64" i="30"/>
  <c r="M64" i="30"/>
  <c r="CR64" i="30"/>
  <c r="BP64" i="30"/>
  <c r="AN64" i="30"/>
  <c r="L64" i="30"/>
  <c r="CQ64" i="30"/>
  <c r="BO64" i="30"/>
  <c r="AM64" i="30"/>
  <c r="K64" i="30"/>
  <c r="CP64" i="30"/>
  <c r="BN64" i="30"/>
  <c r="AL64" i="30"/>
  <c r="J64" i="30"/>
  <c r="CO64" i="30"/>
  <c r="BM64" i="30"/>
  <c r="AK64" i="30"/>
  <c r="I64" i="30"/>
  <c r="CG64" i="30"/>
  <c r="BE64" i="30"/>
  <c r="AC64" i="30"/>
  <c r="CE64" i="30"/>
  <c r="BC64" i="30"/>
  <c r="AA64" i="30"/>
  <c r="CD64" i="30"/>
  <c r="BB64" i="30"/>
  <c r="Z64" i="30"/>
  <c r="AB64" i="30"/>
  <c r="Y64" i="30"/>
  <c r="X64" i="30"/>
  <c r="CU64" i="30"/>
  <c r="W64" i="30"/>
  <c r="CF64" i="30"/>
  <c r="O64" i="30"/>
  <c r="CC64" i="30"/>
  <c r="CB64" i="30"/>
  <c r="CA64" i="30"/>
  <c r="C82" i="30"/>
  <c r="BS64" i="30"/>
  <c r="AQ64" i="30"/>
  <c r="BD64" i="30"/>
  <c r="AY64" i="30"/>
  <c r="BA64" i="30"/>
  <c r="AZ64" i="30"/>
  <c r="BC47" i="28"/>
  <c r="BC55" i="28" s="1"/>
  <c r="AP47" i="28"/>
  <c r="AP55" i="28" s="1"/>
  <c r="AB47" i="28"/>
  <c r="AA47" i="28"/>
  <c r="AX47" i="28"/>
  <c r="AX55" i="28" s="1"/>
  <c r="BD47" i="28"/>
  <c r="BD55" i="28" s="1"/>
  <c r="Z47" i="28"/>
  <c r="BL55" i="29"/>
  <c r="BR55" i="29"/>
  <c r="BT55" i="29"/>
  <c r="CD55" i="29"/>
  <c r="CH55" i="29"/>
  <c r="BJ55" i="29"/>
  <c r="CV55" i="29"/>
  <c r="CO38" i="29"/>
  <c r="AC55" i="29"/>
  <c r="AE55" i="29"/>
  <c r="CZ55" i="29"/>
  <c r="CX55" i="29"/>
  <c r="AO55" i="29"/>
  <c r="AQ55" i="29"/>
  <c r="AS55" i="29"/>
  <c r="AG55" i="29"/>
  <c r="C82" i="29"/>
  <c r="CS64" i="29"/>
  <c r="CE64" i="29"/>
  <c r="BQ64" i="29"/>
  <c r="BC64" i="29"/>
  <c r="AO64" i="29"/>
  <c r="AA64" i="29"/>
  <c r="M64" i="29"/>
  <c r="CR64" i="29"/>
  <c r="CD64" i="29"/>
  <c r="BP64" i="29"/>
  <c r="BB64" i="29"/>
  <c r="AN64" i="29"/>
  <c r="Z64" i="29"/>
  <c r="L64" i="29"/>
  <c r="CQ64" i="29"/>
  <c r="CC64" i="29"/>
  <c r="BO64" i="29"/>
  <c r="BA64" i="29"/>
  <c r="AM64" i="29"/>
  <c r="Y64" i="29"/>
  <c r="K64" i="29"/>
  <c r="CP64" i="29"/>
  <c r="CB64" i="29"/>
  <c r="BN64" i="29"/>
  <c r="AZ64" i="29"/>
  <c r="AL64" i="29"/>
  <c r="X64" i="29"/>
  <c r="J64" i="29"/>
  <c r="CO64" i="29"/>
  <c r="CA64" i="29"/>
  <c r="BM64" i="29"/>
  <c r="AY64" i="29"/>
  <c r="AK64" i="29"/>
  <c r="W64" i="29"/>
  <c r="I64" i="29"/>
  <c r="CN64" i="29"/>
  <c r="BZ64" i="29"/>
  <c r="BL64" i="29"/>
  <c r="AX64" i="29"/>
  <c r="AJ64" i="29"/>
  <c r="V64" i="29"/>
  <c r="H64" i="29"/>
  <c r="DA64" i="29"/>
  <c r="CM64" i="29"/>
  <c r="BY64" i="29"/>
  <c r="BK64" i="29"/>
  <c r="AW64" i="29"/>
  <c r="AI64" i="29"/>
  <c r="U64" i="29"/>
  <c r="G64" i="29"/>
  <c r="CZ64" i="29"/>
  <c r="CL64" i="29"/>
  <c r="BX64" i="29"/>
  <c r="BJ64" i="29"/>
  <c r="AV64" i="29"/>
  <c r="AH64" i="29"/>
  <c r="T64" i="29"/>
  <c r="F64" i="29"/>
  <c r="CY64" i="29"/>
  <c r="CK64" i="29"/>
  <c r="BW64" i="29"/>
  <c r="BI64" i="29"/>
  <c r="AU64" i="29"/>
  <c r="AG64" i="29"/>
  <c r="S64" i="29"/>
  <c r="E64" i="29"/>
  <c r="CT64" i="29"/>
  <c r="CF64" i="29"/>
  <c r="BR64" i="29"/>
  <c r="BD64" i="29"/>
  <c r="AP64" i="29"/>
  <c r="AB64" i="29"/>
  <c r="N64" i="29"/>
  <c r="CJ64" i="29"/>
  <c r="AR64" i="29"/>
  <c r="CI64" i="29"/>
  <c r="AQ64" i="29"/>
  <c r="CH64" i="29"/>
  <c r="AF64" i="29"/>
  <c r="CG64" i="29"/>
  <c r="AE64" i="29"/>
  <c r="BV64" i="29"/>
  <c r="AD64" i="29"/>
  <c r="BU64" i="29"/>
  <c r="AC64" i="29"/>
  <c r="BT64" i="29"/>
  <c r="R64" i="29"/>
  <c r="BS64" i="29"/>
  <c r="Q64" i="29"/>
  <c r="BH64" i="29"/>
  <c r="P64" i="29"/>
  <c r="CU64" i="29"/>
  <c r="AS64" i="29"/>
  <c r="O64" i="29"/>
  <c r="CX64" i="29"/>
  <c r="CW64" i="29"/>
  <c r="CV64" i="29"/>
  <c r="AT64" i="29"/>
  <c r="BF64" i="29"/>
  <c r="BG64" i="29"/>
  <c r="BE64" i="29"/>
  <c r="CF55" i="29"/>
  <c r="CJ55" i="29"/>
  <c r="CY38" i="29"/>
  <c r="BC55" i="29"/>
  <c r="BE55" i="29"/>
  <c r="BG55" i="29"/>
  <c r="AU55" i="29"/>
  <c r="CK38" i="29"/>
  <c r="BN55" i="29"/>
  <c r="BQ55" i="29"/>
  <c r="BS55" i="29"/>
  <c r="BU55" i="29"/>
  <c r="BI55" i="29"/>
  <c r="BW38" i="29"/>
  <c r="CE55" i="29"/>
  <c r="CG55" i="29"/>
  <c r="CI55" i="29"/>
  <c r="BW55" i="29"/>
  <c r="BV55" i="29"/>
  <c r="CR55" i="29"/>
  <c r="CT55" i="29"/>
  <c r="BX55" i="29"/>
  <c r="BI38" i="29"/>
  <c r="AI55" i="29"/>
  <c r="CS55" i="29"/>
  <c r="CU55" i="29"/>
  <c r="CW55" i="29"/>
  <c r="CK55" i="29"/>
  <c r="BJ38" i="29"/>
  <c r="AU38" i="29"/>
  <c r="AW55" i="29"/>
  <c r="CY55" i="29"/>
  <c r="AH38" i="29"/>
  <c r="CL55" i="29"/>
  <c r="AG38" i="29"/>
  <c r="BK55" i="29"/>
  <c r="AD55" i="29"/>
  <c r="AF55" i="29"/>
  <c r="CZ38" i="29"/>
  <c r="BM55" i="29"/>
  <c r="BY55" i="29"/>
  <c r="AP55" i="29"/>
  <c r="AR55" i="29"/>
  <c r="AT55" i="29"/>
  <c r="BX38" i="29"/>
  <c r="DA55" i="29"/>
  <c r="AV55" i="29"/>
  <c r="AV38" i="29"/>
  <c r="CL38" i="29"/>
  <c r="CM55" i="29"/>
  <c r="BD55" i="29"/>
  <c r="BF55" i="29"/>
  <c r="BH55" i="29"/>
  <c r="AH55" i="29"/>
  <c r="DA38" i="28"/>
  <c r="CR38" i="28"/>
  <c r="CT38" i="28"/>
  <c r="CS55" i="28"/>
  <c r="CN55" i="28"/>
  <c r="AN55" i="28"/>
  <c r="AQ55" i="28"/>
  <c r="AS55" i="28"/>
  <c r="AG55" i="28"/>
  <c r="CH38" i="28"/>
  <c r="CO55" i="28"/>
  <c r="CU55" i="28"/>
  <c r="CW55" i="28"/>
  <c r="CK55" i="28"/>
  <c r="BO38" i="28"/>
  <c r="BQ38" i="28"/>
  <c r="BS38" i="28"/>
  <c r="BB55" i="28"/>
  <c r="AI55" i="28"/>
  <c r="CY55" i="28"/>
  <c r="BP55" i="28"/>
  <c r="AU55" i="28"/>
  <c r="BH38" i="28"/>
  <c r="AC38" i="28"/>
  <c r="CA55" i="28"/>
  <c r="CI55" i="28"/>
  <c r="BW55" i="28"/>
  <c r="AD55" i="28"/>
  <c r="CQ38" i="28"/>
  <c r="CS38" i="28"/>
  <c r="CU38" i="28"/>
  <c r="BZ55" i="28"/>
  <c r="BR55" i="28"/>
  <c r="CB55" i="28"/>
  <c r="BN55" i="28"/>
  <c r="BK55" i="28"/>
  <c r="AR55" i="28"/>
  <c r="AT55" i="28"/>
  <c r="AY55" i="28"/>
  <c r="CR55" i="28"/>
  <c r="BS55" i="28"/>
  <c r="BU55" i="28"/>
  <c r="CC38" i="28"/>
  <c r="CP55" i="28"/>
  <c r="BY55" i="28"/>
  <c r="BF55" i="28"/>
  <c r="BH55" i="28"/>
  <c r="AH55" i="28"/>
  <c r="BE55" i="28"/>
  <c r="BG55" i="28"/>
  <c r="CF55" i="28"/>
  <c r="AK55" i="28"/>
  <c r="BI55" i="28"/>
  <c r="BM55" i="28"/>
  <c r="CG55" i="28"/>
  <c r="CG38" i="28"/>
  <c r="AL55" i="28"/>
  <c r="CT55" i="28"/>
  <c r="AI38" i="28"/>
  <c r="AB38" i="28"/>
  <c r="BA55" i="28"/>
  <c r="CM55" i="28"/>
  <c r="BT55" i="28"/>
  <c r="BV55" i="28"/>
  <c r="AV55" i="28"/>
  <c r="AH38" i="28"/>
  <c r="BC38" i="28"/>
  <c r="AW38" i="28"/>
  <c r="AN38" i="28"/>
  <c r="AP38" i="28"/>
  <c r="CC55" i="28"/>
  <c r="AM55" i="28"/>
  <c r="DA55" i="28"/>
  <c r="CH55" i="28"/>
  <c r="CJ55" i="28"/>
  <c r="BJ55" i="28"/>
  <c r="CE38" i="28"/>
  <c r="AZ55" i="28"/>
  <c r="AF55" i="28"/>
  <c r="BK38" i="28"/>
  <c r="BB38" i="28"/>
  <c r="BD38" i="28"/>
  <c r="CE55" i="28"/>
  <c r="CD55" i="28"/>
  <c r="BO55" i="28"/>
  <c r="C82" i="28"/>
  <c r="CY64" i="28"/>
  <c r="CK64" i="28"/>
  <c r="BW64" i="28"/>
  <c r="BI64" i="28"/>
  <c r="AU64" i="28"/>
  <c r="AG64" i="28"/>
  <c r="S64" i="28"/>
  <c r="E64" i="28"/>
  <c r="CX64" i="28"/>
  <c r="CJ64" i="28"/>
  <c r="BV64" i="28"/>
  <c r="BH64" i="28"/>
  <c r="AT64" i="28"/>
  <c r="AF64" i="28"/>
  <c r="R64" i="28"/>
  <c r="CW64" i="28"/>
  <c r="CI64" i="28"/>
  <c r="BU64" i="28"/>
  <c r="BG64" i="28"/>
  <c r="AS64" i="28"/>
  <c r="AE64" i="28"/>
  <c r="Q64" i="28"/>
  <c r="CV64" i="28"/>
  <c r="CH64" i="28"/>
  <c r="BT64" i="28"/>
  <c r="BF64" i="28"/>
  <c r="AR64" i="28"/>
  <c r="AD64" i="28"/>
  <c r="P64" i="28"/>
  <c r="CU64" i="28"/>
  <c r="CG64" i="28"/>
  <c r="BS64" i="28"/>
  <c r="BE64" i="28"/>
  <c r="AQ64" i="28"/>
  <c r="AC64" i="28"/>
  <c r="O64" i="28"/>
  <c r="CT64" i="28"/>
  <c r="CF64" i="28"/>
  <c r="BR64" i="28"/>
  <c r="BD64" i="28"/>
  <c r="AP64" i="28"/>
  <c r="AB64" i="28"/>
  <c r="N64" i="28"/>
  <c r="CS64" i="28"/>
  <c r="CE64" i="28"/>
  <c r="BQ64" i="28"/>
  <c r="BC64" i="28"/>
  <c r="AO64" i="28"/>
  <c r="AA64" i="28"/>
  <c r="M64" i="28"/>
  <c r="CZ64" i="28"/>
  <c r="CL64" i="28"/>
  <c r="BX64" i="28"/>
  <c r="BJ64" i="28"/>
  <c r="AV64" i="28"/>
  <c r="AH64" i="28"/>
  <c r="T64" i="28"/>
  <c r="F64" i="28"/>
  <c r="DA64" i="28"/>
  <c r="BO64" i="28"/>
  <c r="AK64" i="28"/>
  <c r="G64" i="28"/>
  <c r="CR64" i="28"/>
  <c r="BN64" i="28"/>
  <c r="AJ64" i="28"/>
  <c r="CQ64" i="28"/>
  <c r="BM64" i="28"/>
  <c r="AI64" i="28"/>
  <c r="CP64" i="28"/>
  <c r="BL64" i="28"/>
  <c r="Z64" i="28"/>
  <c r="CO64" i="28"/>
  <c r="BK64" i="28"/>
  <c r="Y64" i="28"/>
  <c r="CN64" i="28"/>
  <c r="BB64" i="28"/>
  <c r="X64" i="28"/>
  <c r="CC64" i="28"/>
  <c r="AY64" i="28"/>
  <c r="U64" i="28"/>
  <c r="BP64" i="28"/>
  <c r="AL64" i="28"/>
  <c r="H64" i="28"/>
  <c r="CA64" i="28"/>
  <c r="I64" i="28"/>
  <c r="BZ64" i="28"/>
  <c r="BY64" i="28"/>
  <c r="BA64" i="28"/>
  <c r="AZ64" i="28"/>
  <c r="AM64" i="28"/>
  <c r="W64" i="28"/>
  <c r="V64" i="28"/>
  <c r="CB64" i="28"/>
  <c r="J64" i="28"/>
  <c r="CM64" i="28"/>
  <c r="AW64" i="28"/>
  <c r="AN64" i="28"/>
  <c r="CD64" i="28"/>
  <c r="AX64" i="28"/>
  <c r="L64" i="28"/>
  <c r="K64" i="28"/>
  <c r="CV55" i="28"/>
  <c r="CX55" i="28"/>
  <c r="BX55" i="28"/>
  <c r="BE38" i="28"/>
  <c r="AW55" i="28"/>
  <c r="BY38" i="28"/>
  <c r="BP38" i="28"/>
  <c r="BR38" i="28"/>
  <c r="AO55" i="28"/>
  <c r="AJ55" i="28"/>
  <c r="CQ55" i="28"/>
  <c r="CL55" i="28"/>
  <c r="AM38" i="28"/>
  <c r="AO38" i="28"/>
  <c r="AQ38" i="28"/>
  <c r="BA38" i="28"/>
  <c r="CM38" i="28"/>
  <c r="CD38" i="28"/>
  <c r="CF38" i="28"/>
  <c r="BQ55" i="28"/>
  <c r="BL55" i="28"/>
  <c r="AC55" i="28"/>
  <c r="AE55" i="28"/>
  <c r="CZ55" i="28"/>
  <c r="I13" i="3" l="1"/>
  <c r="F13" i="45" s="1"/>
  <c r="G61" i="19"/>
  <c r="I64" i="19"/>
  <c r="J60" i="19"/>
  <c r="J70" i="19" s="1"/>
  <c r="I32" i="19"/>
  <c r="J32" i="19" s="1"/>
  <c r="AZ72" i="30"/>
  <c r="BM72" i="30"/>
  <c r="CV72" i="30"/>
  <c r="CX72" i="30"/>
  <c r="BX72" i="30"/>
  <c r="AX72" i="30"/>
  <c r="AY72" i="30"/>
  <c r="CO72" i="30"/>
  <c r="AO72" i="30"/>
  <c r="CL72" i="30"/>
  <c r="BL72" i="30"/>
  <c r="BD72" i="30"/>
  <c r="BQ72" i="30"/>
  <c r="AE72" i="30"/>
  <c r="CZ72" i="30"/>
  <c r="BZ72" i="30"/>
  <c r="CH72" i="30"/>
  <c r="AQ72" i="30"/>
  <c r="AL72" i="30"/>
  <c r="CS72" i="30"/>
  <c r="AS72" i="30"/>
  <c r="AG72" i="30"/>
  <c r="CN72" i="30"/>
  <c r="BS72" i="30"/>
  <c r="BB72" i="30"/>
  <c r="BN72" i="30"/>
  <c r="BG72" i="30"/>
  <c r="AU72" i="30"/>
  <c r="AK72" i="30"/>
  <c r="CD72" i="30"/>
  <c r="AP72" i="30"/>
  <c r="BU72" i="30"/>
  <c r="AI72" i="30"/>
  <c r="CA72" i="30"/>
  <c r="BR72" i="30"/>
  <c r="CI72" i="30"/>
  <c r="BW72" i="30"/>
  <c r="AW72" i="30"/>
  <c r="CB72" i="30"/>
  <c r="BC72" i="30"/>
  <c r="AM72" i="30"/>
  <c r="CT72" i="30"/>
  <c r="CW72" i="30"/>
  <c r="CK72" i="30"/>
  <c r="BK72" i="30"/>
  <c r="BJ72" i="30"/>
  <c r="CC72" i="30"/>
  <c r="CE72" i="30"/>
  <c r="BO72" i="30"/>
  <c r="CY72" i="30"/>
  <c r="BY72" i="30"/>
  <c r="AJ72" i="30"/>
  <c r="CP72" i="30"/>
  <c r="CQ72" i="30"/>
  <c r="AD72" i="30"/>
  <c r="AF72" i="30"/>
  <c r="CM72" i="30"/>
  <c r="CR72" i="30"/>
  <c r="CS81" i="30"/>
  <c r="CE81" i="30"/>
  <c r="BQ81" i="30"/>
  <c r="BC81" i="30"/>
  <c r="AO81" i="30"/>
  <c r="AA81" i="30"/>
  <c r="CR81" i="30"/>
  <c r="CD81" i="30"/>
  <c r="BP81" i="30"/>
  <c r="BB81" i="30"/>
  <c r="AN81" i="30"/>
  <c r="Z81" i="30"/>
  <c r="CQ81" i="30"/>
  <c r="CC81" i="30"/>
  <c r="BO81" i="30"/>
  <c r="BA81" i="30"/>
  <c r="AM81" i="30"/>
  <c r="Y81" i="30"/>
  <c r="CP81" i="30"/>
  <c r="CB81" i="30"/>
  <c r="BN81" i="30"/>
  <c r="AZ81" i="30"/>
  <c r="AL81" i="30"/>
  <c r="DA81" i="30"/>
  <c r="CM81" i="30"/>
  <c r="BY81" i="30"/>
  <c r="BK81" i="30"/>
  <c r="AW81" i="30"/>
  <c r="AI81" i="30"/>
  <c r="U81" i="30"/>
  <c r="G81" i="30"/>
  <c r="CY81" i="30"/>
  <c r="CF81" i="30"/>
  <c r="BH81" i="30"/>
  <c r="AK81" i="30"/>
  <c r="R81" i="30"/>
  <c r="CX81" i="30"/>
  <c r="CA81" i="30"/>
  <c r="BG81" i="30"/>
  <c r="AJ81" i="30"/>
  <c r="Q81" i="30"/>
  <c r="C99" i="30"/>
  <c r="CW81" i="30"/>
  <c r="BZ81" i="30"/>
  <c r="BF81" i="30"/>
  <c r="AH81" i="30"/>
  <c r="P81" i="30"/>
  <c r="CV81" i="30"/>
  <c r="BX81" i="30"/>
  <c r="BE81" i="30"/>
  <c r="AG81" i="30"/>
  <c r="O81" i="30"/>
  <c r="CU81" i="30"/>
  <c r="BW81" i="30"/>
  <c r="BD81" i="30"/>
  <c r="AF81" i="30"/>
  <c r="N81" i="30"/>
  <c r="CT81" i="30"/>
  <c r="BV81" i="30"/>
  <c r="AY81" i="30"/>
  <c r="AE81" i="30"/>
  <c r="M81" i="30"/>
  <c r="CO81" i="30"/>
  <c r="BU81" i="30"/>
  <c r="AX81" i="30"/>
  <c r="AD81" i="30"/>
  <c r="L81" i="30"/>
  <c r="CL81" i="30"/>
  <c r="BS81" i="30"/>
  <c r="AU81" i="30"/>
  <c r="AB81" i="30"/>
  <c r="J81" i="30"/>
  <c r="CK81" i="30"/>
  <c r="BR81" i="30"/>
  <c r="AT81" i="30"/>
  <c r="X81" i="30"/>
  <c r="I81" i="30"/>
  <c r="CZ81" i="30"/>
  <c r="CG81" i="30"/>
  <c r="BI81" i="30"/>
  <c r="AP81" i="30"/>
  <c r="S81" i="30"/>
  <c r="CI81" i="30"/>
  <c r="K81" i="30"/>
  <c r="CH81" i="30"/>
  <c r="H81" i="30"/>
  <c r="BT81" i="30"/>
  <c r="F81" i="30"/>
  <c r="BM81" i="30"/>
  <c r="E81" i="30"/>
  <c r="BL81" i="30"/>
  <c r="BJ81" i="30"/>
  <c r="AV81" i="30"/>
  <c r="AR81" i="30"/>
  <c r="AQ81" i="30"/>
  <c r="AC81" i="30"/>
  <c r="T81" i="30"/>
  <c r="V81" i="30"/>
  <c r="CN81" i="30"/>
  <c r="CJ81" i="30"/>
  <c r="W81" i="30"/>
  <c r="AS81" i="30"/>
  <c r="BI72" i="30"/>
  <c r="CF72" i="30"/>
  <c r="BE72" i="30"/>
  <c r="AR72" i="30"/>
  <c r="AT72" i="30"/>
  <c r="DA72" i="30"/>
  <c r="CG72" i="30"/>
  <c r="AN72" i="30"/>
  <c r="BF72" i="30"/>
  <c r="BH72" i="30"/>
  <c r="AH72" i="30"/>
  <c r="CJ72" i="30"/>
  <c r="BA72" i="30"/>
  <c r="CU72" i="30"/>
  <c r="BP72" i="30"/>
  <c r="BT72" i="30"/>
  <c r="BV72" i="30"/>
  <c r="AV72" i="30"/>
  <c r="CU72" i="29"/>
  <c r="AG72" i="29"/>
  <c r="CB72" i="29"/>
  <c r="BW72" i="29"/>
  <c r="BS72" i="29"/>
  <c r="CJ72" i="29"/>
  <c r="CK72" i="29"/>
  <c r="BK72" i="29"/>
  <c r="AY72" i="29"/>
  <c r="AM72" i="29"/>
  <c r="AO72" i="29"/>
  <c r="AW72" i="29"/>
  <c r="BE72" i="29"/>
  <c r="CY72" i="29"/>
  <c r="BY72" i="29"/>
  <c r="BM72" i="29"/>
  <c r="BA72" i="29"/>
  <c r="BC72" i="29"/>
  <c r="CI72" i="29"/>
  <c r="BG72" i="29"/>
  <c r="BT72" i="29"/>
  <c r="CM72" i="29"/>
  <c r="CA72" i="29"/>
  <c r="BO72" i="29"/>
  <c r="BQ72" i="29"/>
  <c r="BF72" i="29"/>
  <c r="AP72" i="29"/>
  <c r="DA72" i="29"/>
  <c r="CO72" i="29"/>
  <c r="CC72" i="29"/>
  <c r="CE72" i="29"/>
  <c r="AT72" i="29"/>
  <c r="BU72" i="29"/>
  <c r="BD72" i="29"/>
  <c r="AH72" i="29"/>
  <c r="CQ72" i="29"/>
  <c r="CS72" i="29"/>
  <c r="CD72" i="29"/>
  <c r="BH72" i="29"/>
  <c r="AR72" i="29"/>
  <c r="CV72" i="29"/>
  <c r="AD72" i="29"/>
  <c r="BR72" i="29"/>
  <c r="AV72" i="29"/>
  <c r="CN81" i="29"/>
  <c r="BZ81" i="29"/>
  <c r="BL81" i="29"/>
  <c r="AX81" i="29"/>
  <c r="AJ81" i="29"/>
  <c r="V81" i="29"/>
  <c r="H81" i="29"/>
  <c r="C99" i="29"/>
  <c r="DA81" i="29"/>
  <c r="CM81" i="29"/>
  <c r="BY81" i="29"/>
  <c r="BK81" i="29"/>
  <c r="AW81" i="29"/>
  <c r="AI81" i="29"/>
  <c r="U81" i="29"/>
  <c r="G81" i="29"/>
  <c r="CZ81" i="29"/>
  <c r="CL81" i="29"/>
  <c r="BX81" i="29"/>
  <c r="BJ81" i="29"/>
  <c r="AV81" i="29"/>
  <c r="AH81" i="29"/>
  <c r="T81" i="29"/>
  <c r="F81" i="29"/>
  <c r="CY81" i="29"/>
  <c r="CK81" i="29"/>
  <c r="BW81" i="29"/>
  <c r="BI81" i="29"/>
  <c r="AU81" i="29"/>
  <c r="AG81" i="29"/>
  <c r="S81" i="29"/>
  <c r="E81" i="29"/>
  <c r="CX81" i="29"/>
  <c r="CJ81" i="29"/>
  <c r="BV81" i="29"/>
  <c r="BH81" i="29"/>
  <c r="CW81" i="29"/>
  <c r="CI81" i="29"/>
  <c r="BU81" i="29"/>
  <c r="BG81" i="29"/>
  <c r="AS81" i="29"/>
  <c r="AE81" i="29"/>
  <c r="Q81" i="29"/>
  <c r="CV81" i="29"/>
  <c r="CH81" i="29"/>
  <c r="BT81" i="29"/>
  <c r="BF81" i="29"/>
  <c r="AR81" i="29"/>
  <c r="AD81" i="29"/>
  <c r="P81" i="29"/>
  <c r="CO81" i="29"/>
  <c r="CA81" i="29"/>
  <c r="BM81" i="29"/>
  <c r="AY81" i="29"/>
  <c r="AK81" i="29"/>
  <c r="W81" i="29"/>
  <c r="I81" i="29"/>
  <c r="CB81" i="29"/>
  <c r="AQ81" i="29"/>
  <c r="O81" i="29"/>
  <c r="BS81" i="29"/>
  <c r="AP81" i="29"/>
  <c r="N81" i="29"/>
  <c r="BR81" i="29"/>
  <c r="AO81" i="29"/>
  <c r="M81" i="29"/>
  <c r="CU81" i="29"/>
  <c r="BQ81" i="29"/>
  <c r="AN81" i="29"/>
  <c r="L81" i="29"/>
  <c r="CT81" i="29"/>
  <c r="BP81" i="29"/>
  <c r="AM81" i="29"/>
  <c r="K81" i="29"/>
  <c r="CS81" i="29"/>
  <c r="BO81" i="29"/>
  <c r="AL81" i="29"/>
  <c r="J81" i="29"/>
  <c r="CR81" i="29"/>
  <c r="BN81" i="29"/>
  <c r="AF81" i="29"/>
  <c r="CQ81" i="29"/>
  <c r="BE81" i="29"/>
  <c r="AC81" i="29"/>
  <c r="CP81" i="29"/>
  <c r="BD81" i="29"/>
  <c r="AB81" i="29"/>
  <c r="CC81" i="29"/>
  <c r="AT81" i="29"/>
  <c r="R81" i="29"/>
  <c r="CF81" i="29"/>
  <c r="CE81" i="29"/>
  <c r="CD81" i="29"/>
  <c r="BC81" i="29"/>
  <c r="BB81" i="29"/>
  <c r="BA81" i="29"/>
  <c r="AZ81" i="29"/>
  <c r="AA81" i="29"/>
  <c r="Z81" i="29"/>
  <c r="CG81" i="29"/>
  <c r="Y81" i="29"/>
  <c r="X81" i="29"/>
  <c r="CH72" i="29"/>
  <c r="BI72" i="29"/>
  <c r="CW72" i="29"/>
  <c r="BV72" i="29"/>
  <c r="CF72" i="29"/>
  <c r="BJ72" i="29"/>
  <c r="AJ72" i="29"/>
  <c r="CN72" i="29"/>
  <c r="AI72" i="29"/>
  <c r="CX72" i="29"/>
  <c r="AE72" i="29"/>
  <c r="CT72" i="29"/>
  <c r="BX72" i="29"/>
  <c r="AX72" i="29"/>
  <c r="AL72" i="29"/>
  <c r="AN72" i="29"/>
  <c r="AQ72" i="29"/>
  <c r="AU72" i="29"/>
  <c r="CP72" i="29"/>
  <c r="CR72" i="29"/>
  <c r="CG72" i="29"/>
  <c r="CL72" i="29"/>
  <c r="BL72" i="29"/>
  <c r="AZ72" i="29"/>
  <c r="BB72" i="29"/>
  <c r="AK72" i="29"/>
  <c r="AS72" i="29"/>
  <c r="AF72" i="29"/>
  <c r="CZ72" i="29"/>
  <c r="BZ72" i="29"/>
  <c r="BN72" i="29"/>
  <c r="BP72" i="29"/>
  <c r="CB72" i="28"/>
  <c r="CQ72" i="28"/>
  <c r="CL72" i="28"/>
  <c r="CF72" i="28"/>
  <c r="CH72" i="28"/>
  <c r="CJ72" i="28"/>
  <c r="CZ72" i="28"/>
  <c r="CC72" i="28"/>
  <c r="AJ72" i="28"/>
  <c r="AM72" i="28"/>
  <c r="AQ72" i="28"/>
  <c r="AZ72" i="28"/>
  <c r="BG72" i="28"/>
  <c r="BA72" i="28"/>
  <c r="BU72" i="28"/>
  <c r="BY72" i="28"/>
  <c r="BK72" i="28"/>
  <c r="DA72" i="28"/>
  <c r="CE72" i="28"/>
  <c r="CG72" i="28"/>
  <c r="CI72" i="28"/>
  <c r="BW72" i="28"/>
  <c r="CT72" i="28"/>
  <c r="BB72" i="28"/>
  <c r="AU72" i="28"/>
  <c r="AX72" i="28"/>
  <c r="BZ72" i="28"/>
  <c r="CO72" i="28"/>
  <c r="CS72" i="28"/>
  <c r="CU72" i="28"/>
  <c r="CW72" i="28"/>
  <c r="CK72" i="28"/>
  <c r="BN72" i="28"/>
  <c r="AG72" i="28"/>
  <c r="CN72" i="28"/>
  <c r="BI72" i="28"/>
  <c r="CD72" i="28"/>
  <c r="CY72" i="28"/>
  <c r="AO72" i="28"/>
  <c r="BC72" i="28"/>
  <c r="BL72" i="28"/>
  <c r="AD72" i="28"/>
  <c r="AF72" i="28"/>
  <c r="AY72" i="28"/>
  <c r="CR72" i="28"/>
  <c r="BE72" i="28"/>
  <c r="BQ72" i="28"/>
  <c r="AN72" i="28"/>
  <c r="AW72" i="28"/>
  <c r="CP72" i="28"/>
  <c r="AV72" i="28"/>
  <c r="AP72" i="28"/>
  <c r="AR72" i="28"/>
  <c r="AT72" i="28"/>
  <c r="CV72" i="28"/>
  <c r="AE72" i="28"/>
  <c r="AS72" i="28"/>
  <c r="AK72" i="28"/>
  <c r="BS72" i="28"/>
  <c r="CM72" i="28"/>
  <c r="AL72" i="28"/>
  <c r="AI72" i="28"/>
  <c r="BJ72" i="28"/>
  <c r="BD72" i="28"/>
  <c r="BF72" i="28"/>
  <c r="BH72" i="28"/>
  <c r="CX72" i="28"/>
  <c r="BO72" i="28"/>
  <c r="CA72" i="28"/>
  <c r="AH72" i="28"/>
  <c r="CP81" i="28"/>
  <c r="CB81" i="28"/>
  <c r="BN81" i="28"/>
  <c r="AZ81" i="28"/>
  <c r="AL81" i="28"/>
  <c r="X81" i="28"/>
  <c r="J81" i="28"/>
  <c r="CO81" i="28"/>
  <c r="CA81" i="28"/>
  <c r="BM81" i="28"/>
  <c r="AY81" i="28"/>
  <c r="AK81" i="28"/>
  <c r="W81" i="28"/>
  <c r="I81" i="28"/>
  <c r="CN81" i="28"/>
  <c r="BZ81" i="28"/>
  <c r="BL81" i="28"/>
  <c r="AX81" i="28"/>
  <c r="AJ81" i="28"/>
  <c r="DA81" i="28"/>
  <c r="CM81" i="28"/>
  <c r="BY81" i="28"/>
  <c r="BK81" i="28"/>
  <c r="AW81" i="28"/>
  <c r="AI81" i="28"/>
  <c r="U81" i="28"/>
  <c r="G81" i="28"/>
  <c r="CZ81" i="28"/>
  <c r="CL81" i="28"/>
  <c r="BX81" i="28"/>
  <c r="BJ81" i="28"/>
  <c r="AV81" i="28"/>
  <c r="AH81" i="28"/>
  <c r="T81" i="28"/>
  <c r="F81" i="28"/>
  <c r="CY81" i="28"/>
  <c r="CK81" i="28"/>
  <c r="BW81" i="28"/>
  <c r="BI81" i="28"/>
  <c r="AU81" i="28"/>
  <c r="AG81" i="28"/>
  <c r="S81" i="28"/>
  <c r="E81" i="28"/>
  <c r="CX81" i="28"/>
  <c r="CJ81" i="28"/>
  <c r="BV81" i="28"/>
  <c r="BH81" i="28"/>
  <c r="AT81" i="28"/>
  <c r="AF81" i="28"/>
  <c r="R81" i="28"/>
  <c r="CW81" i="28"/>
  <c r="CI81" i="28"/>
  <c r="BU81" i="28"/>
  <c r="BG81" i="28"/>
  <c r="AS81" i="28"/>
  <c r="AE81" i="28"/>
  <c r="Q81" i="28"/>
  <c r="CQ81" i="28"/>
  <c r="CC81" i="28"/>
  <c r="BO81" i="28"/>
  <c r="BA81" i="28"/>
  <c r="AM81" i="28"/>
  <c r="Y81" i="28"/>
  <c r="K81" i="28"/>
  <c r="BS81" i="28"/>
  <c r="AD81" i="28"/>
  <c r="C99" i="28"/>
  <c r="BR81" i="28"/>
  <c r="AC81" i="28"/>
  <c r="BQ81" i="28"/>
  <c r="AB81" i="28"/>
  <c r="CV81" i="28"/>
  <c r="BP81" i="28"/>
  <c r="AA81" i="28"/>
  <c r="CU81" i="28"/>
  <c r="BF81" i="28"/>
  <c r="Z81" i="28"/>
  <c r="CT81" i="28"/>
  <c r="BE81" i="28"/>
  <c r="V81" i="28"/>
  <c r="CS81" i="28"/>
  <c r="BD81" i="28"/>
  <c r="P81" i="28"/>
  <c r="CH81" i="28"/>
  <c r="BB81" i="28"/>
  <c r="N81" i="28"/>
  <c r="BT81" i="28"/>
  <c r="AN81" i="28"/>
  <c r="CG81" i="28"/>
  <c r="CF81" i="28"/>
  <c r="CE81" i="28"/>
  <c r="CD81" i="28"/>
  <c r="BC81" i="28"/>
  <c r="AR81" i="28"/>
  <c r="AO81" i="28"/>
  <c r="CR81" i="28"/>
  <c r="L81" i="28"/>
  <c r="H81" i="28"/>
  <c r="AQ81" i="28"/>
  <c r="M81" i="28"/>
  <c r="AP81" i="28"/>
  <c r="O81" i="28"/>
  <c r="BP72" i="28"/>
  <c r="BM72" i="28"/>
  <c r="BX72" i="28"/>
  <c r="BR72" i="28"/>
  <c r="BT72" i="28"/>
  <c r="BV72" i="28"/>
  <c r="J64" i="19" l="1"/>
  <c r="K60" i="19"/>
  <c r="K70" i="19" s="1"/>
  <c r="I36" i="19"/>
  <c r="K32" i="19"/>
  <c r="J36" i="19"/>
  <c r="BN89" i="30"/>
  <c r="BL89" i="30"/>
  <c r="CO89" i="30"/>
  <c r="BX89" i="30"/>
  <c r="AK89" i="30"/>
  <c r="AZ89" i="30"/>
  <c r="CD89" i="30"/>
  <c r="AS89" i="30"/>
  <c r="BR89" i="30"/>
  <c r="AY89" i="30"/>
  <c r="AH89" i="30"/>
  <c r="CY89" i="30"/>
  <c r="CP89" i="30"/>
  <c r="AO89" i="30"/>
  <c r="BH89" i="30"/>
  <c r="BM89" i="30"/>
  <c r="AE89" i="30"/>
  <c r="CB89" i="30"/>
  <c r="BT89" i="30"/>
  <c r="CK89" i="30"/>
  <c r="BV89" i="30"/>
  <c r="BF89" i="30"/>
  <c r="BC89" i="30"/>
  <c r="AT89" i="30"/>
  <c r="CF89" i="30"/>
  <c r="CJ89" i="30"/>
  <c r="CT89" i="30"/>
  <c r="BZ89" i="30"/>
  <c r="AM89" i="30"/>
  <c r="BQ89" i="30"/>
  <c r="AF89" i="30"/>
  <c r="CS89" i="30"/>
  <c r="CI89" i="30"/>
  <c r="BS89" i="30"/>
  <c r="BD89" i="30"/>
  <c r="BK89" i="30"/>
  <c r="CC89" i="30"/>
  <c r="CV89" i="30"/>
  <c r="CN89" i="30"/>
  <c r="CW89" i="30"/>
  <c r="BA89" i="30"/>
  <c r="C116" i="30"/>
  <c r="CZ98" i="30"/>
  <c r="CL98" i="30"/>
  <c r="BX98" i="30"/>
  <c r="BJ98" i="30"/>
  <c r="AV98" i="30"/>
  <c r="AH98" i="30"/>
  <c r="T98" i="30"/>
  <c r="F98" i="30"/>
  <c r="CX98" i="30"/>
  <c r="CJ98" i="30"/>
  <c r="BV98" i="30"/>
  <c r="BH98" i="30"/>
  <c r="AT98" i="30"/>
  <c r="AF98" i="30"/>
  <c r="R98" i="30"/>
  <c r="CW98" i="30"/>
  <c r="CI98" i="30"/>
  <c r="BU98" i="30"/>
  <c r="BG98" i="30"/>
  <c r="AS98" i="30"/>
  <c r="AE98" i="30"/>
  <c r="Q98" i="30"/>
  <c r="CV98" i="30"/>
  <c r="CH98" i="30"/>
  <c r="BT98" i="30"/>
  <c r="BF98" i="30"/>
  <c r="AR98" i="30"/>
  <c r="AD98" i="30"/>
  <c r="P98" i="30"/>
  <c r="CU98" i="30"/>
  <c r="CG98" i="30"/>
  <c r="BS98" i="30"/>
  <c r="BE98" i="30"/>
  <c r="AQ98" i="30"/>
  <c r="AC98" i="30"/>
  <c r="O98" i="30"/>
  <c r="CS98" i="30"/>
  <c r="BZ98" i="30"/>
  <c r="BB98" i="30"/>
  <c r="AI98" i="30"/>
  <c r="K98" i="30"/>
  <c r="CR98" i="30"/>
  <c r="BY98" i="30"/>
  <c r="BA98" i="30"/>
  <c r="AG98" i="30"/>
  <c r="J98" i="30"/>
  <c r="CQ98" i="30"/>
  <c r="BW98" i="30"/>
  <c r="AZ98" i="30"/>
  <c r="AB98" i="30"/>
  <c r="I98" i="30"/>
  <c r="CP98" i="30"/>
  <c r="BR98" i="30"/>
  <c r="AY98" i="30"/>
  <c r="AA98" i="30"/>
  <c r="H98" i="30"/>
  <c r="CO98" i="30"/>
  <c r="BQ98" i="30"/>
  <c r="AX98" i="30"/>
  <c r="Z98" i="30"/>
  <c r="G98" i="30"/>
  <c r="CN98" i="30"/>
  <c r="BP98" i="30"/>
  <c r="AW98" i="30"/>
  <c r="Y98" i="30"/>
  <c r="E98" i="30"/>
  <c r="CM98" i="30"/>
  <c r="BO98" i="30"/>
  <c r="AU98" i="30"/>
  <c r="X98" i="30"/>
  <c r="CK98" i="30"/>
  <c r="BN98" i="30"/>
  <c r="AP98" i="30"/>
  <c r="W98" i="30"/>
  <c r="CT98" i="30"/>
  <c r="CA98" i="30"/>
  <c r="BC98" i="30"/>
  <c r="AJ98" i="30"/>
  <c r="L98" i="30"/>
  <c r="BD98" i="30"/>
  <c r="AO98" i="30"/>
  <c r="AN98" i="30"/>
  <c r="DA98" i="30"/>
  <c r="AM98" i="30"/>
  <c r="CY98" i="30"/>
  <c r="AL98" i="30"/>
  <c r="CF98" i="30"/>
  <c r="AK98" i="30"/>
  <c r="CE98" i="30"/>
  <c r="V98" i="30"/>
  <c r="CC98" i="30"/>
  <c r="S98" i="30"/>
  <c r="CB98" i="30"/>
  <c r="N98" i="30"/>
  <c r="BI98" i="30"/>
  <c r="CD98" i="30"/>
  <c r="BM98" i="30"/>
  <c r="BK98" i="30"/>
  <c r="U98" i="30"/>
  <c r="M98" i="30"/>
  <c r="BL98" i="30"/>
  <c r="BO89" i="30"/>
  <c r="CL89" i="30"/>
  <c r="BW89" i="30"/>
  <c r="AJ89" i="30"/>
  <c r="BY89" i="30"/>
  <c r="CQ89" i="30"/>
  <c r="CR89" i="30"/>
  <c r="AU89" i="30"/>
  <c r="AQ89" i="30"/>
  <c r="AP89" i="30"/>
  <c r="CU89" i="30"/>
  <c r="BG89" i="30"/>
  <c r="CM89" i="30"/>
  <c r="AI89" i="30"/>
  <c r="AR89" i="30"/>
  <c r="BI89" i="30"/>
  <c r="CA89" i="30"/>
  <c r="DA89" i="30"/>
  <c r="AN89" i="30"/>
  <c r="AW89" i="30"/>
  <c r="AV89" i="30"/>
  <c r="CG89" i="30"/>
  <c r="AX89" i="30"/>
  <c r="AG89" i="30"/>
  <c r="CX89" i="30"/>
  <c r="BB89" i="30"/>
  <c r="CH89" i="30"/>
  <c r="CE89" i="30"/>
  <c r="BJ89" i="30"/>
  <c r="CZ89" i="30"/>
  <c r="BU89" i="30"/>
  <c r="BE89" i="30"/>
  <c r="AL89" i="30"/>
  <c r="BP89" i="30"/>
  <c r="BI89" i="29"/>
  <c r="BQ89" i="29"/>
  <c r="AW89" i="29"/>
  <c r="BB89" i="29"/>
  <c r="AF89" i="29"/>
  <c r="CU89" i="29"/>
  <c r="BM89" i="29"/>
  <c r="BG89" i="29"/>
  <c r="CK89" i="29"/>
  <c r="BK89" i="29"/>
  <c r="BC89" i="29"/>
  <c r="BN89" i="29"/>
  <c r="CA89" i="29"/>
  <c r="BU89" i="29"/>
  <c r="CY89" i="29"/>
  <c r="BY89" i="29"/>
  <c r="AI89" i="29"/>
  <c r="CQ89" i="29"/>
  <c r="AY89" i="29"/>
  <c r="AS89" i="29"/>
  <c r="BW89" i="29"/>
  <c r="CD89" i="29"/>
  <c r="CR89" i="29"/>
  <c r="AO89" i="29"/>
  <c r="CO89" i="29"/>
  <c r="CI89" i="29"/>
  <c r="CM89" i="29"/>
  <c r="CE89" i="29"/>
  <c r="BR89" i="29"/>
  <c r="CW89" i="29"/>
  <c r="DA89" i="29"/>
  <c r="AN89" i="29"/>
  <c r="BA89" i="29"/>
  <c r="CF89" i="29"/>
  <c r="AL89" i="29"/>
  <c r="BH89" i="29"/>
  <c r="AH89" i="29"/>
  <c r="CX98" i="29"/>
  <c r="CJ98" i="29"/>
  <c r="BV98" i="29"/>
  <c r="BH98" i="29"/>
  <c r="AT98" i="29"/>
  <c r="AF98" i="29"/>
  <c r="R98" i="29"/>
  <c r="CW98" i="29"/>
  <c r="CI98" i="29"/>
  <c r="BU98" i="29"/>
  <c r="BG98" i="29"/>
  <c r="AS98" i="29"/>
  <c r="AE98" i="29"/>
  <c r="Q98" i="29"/>
  <c r="C116" i="29"/>
  <c r="CV98" i="29"/>
  <c r="CH98" i="29"/>
  <c r="BT98" i="29"/>
  <c r="BF98" i="29"/>
  <c r="AR98" i="29"/>
  <c r="AD98" i="29"/>
  <c r="P98" i="29"/>
  <c r="CU98" i="29"/>
  <c r="CG98" i="29"/>
  <c r="BS98" i="29"/>
  <c r="BE98" i="29"/>
  <c r="AQ98" i="29"/>
  <c r="AC98" i="29"/>
  <c r="O98" i="29"/>
  <c r="CT98" i="29"/>
  <c r="CF98" i="29"/>
  <c r="BR98" i="29"/>
  <c r="BD98" i="29"/>
  <c r="AP98" i="29"/>
  <c r="AB98" i="29"/>
  <c r="N98" i="29"/>
  <c r="CS98" i="29"/>
  <c r="CE98" i="29"/>
  <c r="BQ98" i="29"/>
  <c r="BC98" i="29"/>
  <c r="AO98" i="29"/>
  <c r="AA98" i="29"/>
  <c r="M98" i="29"/>
  <c r="CR98" i="29"/>
  <c r="CD98" i="29"/>
  <c r="BP98" i="29"/>
  <c r="BB98" i="29"/>
  <c r="AN98" i="29"/>
  <c r="Z98" i="29"/>
  <c r="L98" i="29"/>
  <c r="CQ98" i="29"/>
  <c r="CC98" i="29"/>
  <c r="BO98" i="29"/>
  <c r="BA98" i="29"/>
  <c r="AM98" i="29"/>
  <c r="Y98" i="29"/>
  <c r="K98" i="29"/>
  <c r="CP98" i="29"/>
  <c r="CB98" i="29"/>
  <c r="BN98" i="29"/>
  <c r="AZ98" i="29"/>
  <c r="AL98" i="29"/>
  <c r="X98" i="29"/>
  <c r="J98" i="29"/>
  <c r="BW98" i="29"/>
  <c r="AH98" i="29"/>
  <c r="BM98" i="29"/>
  <c r="AG98" i="29"/>
  <c r="DA98" i="29"/>
  <c r="BL98" i="29"/>
  <c r="W98" i="29"/>
  <c r="CZ98" i="29"/>
  <c r="BK98" i="29"/>
  <c r="V98" i="29"/>
  <c r="CY98" i="29"/>
  <c r="BJ98" i="29"/>
  <c r="U98" i="29"/>
  <c r="CO98" i="29"/>
  <c r="BI98" i="29"/>
  <c r="T98" i="29"/>
  <c r="CN98" i="29"/>
  <c r="AY98" i="29"/>
  <c r="S98" i="29"/>
  <c r="CM98" i="29"/>
  <c r="AX98" i="29"/>
  <c r="I98" i="29"/>
  <c r="BX98" i="29"/>
  <c r="AI98" i="29"/>
  <c r="F98" i="29"/>
  <c r="E98" i="29"/>
  <c r="CL98" i="29"/>
  <c r="CK98" i="29"/>
  <c r="CA98" i="29"/>
  <c r="BZ98" i="29"/>
  <c r="BY98" i="29"/>
  <c r="AW98" i="29"/>
  <c r="AV98" i="29"/>
  <c r="G98" i="29"/>
  <c r="AU98" i="29"/>
  <c r="AJ98" i="29"/>
  <c r="H98" i="29"/>
  <c r="AK98" i="29"/>
  <c r="BO89" i="29"/>
  <c r="AP89" i="29"/>
  <c r="BV89" i="29"/>
  <c r="AV89" i="29"/>
  <c r="AT89" i="29"/>
  <c r="CS89" i="29"/>
  <c r="BS89" i="29"/>
  <c r="AR89" i="29"/>
  <c r="CJ89" i="29"/>
  <c r="BJ89" i="29"/>
  <c r="AU89" i="29"/>
  <c r="BE89" i="29"/>
  <c r="AE89" i="29"/>
  <c r="CC89" i="29"/>
  <c r="BF89" i="29"/>
  <c r="CX89" i="29"/>
  <c r="BX89" i="29"/>
  <c r="AJ89" i="29"/>
  <c r="AM89" i="29"/>
  <c r="AQ89" i="29"/>
  <c r="BT89" i="29"/>
  <c r="CL89" i="29"/>
  <c r="AX89" i="29"/>
  <c r="AZ89" i="29"/>
  <c r="AK89" i="29"/>
  <c r="CG89" i="29"/>
  <c r="BD89" i="29"/>
  <c r="BP89" i="29"/>
  <c r="CB89" i="29"/>
  <c r="CH89" i="29"/>
  <c r="CZ89" i="29"/>
  <c r="BL89" i="29"/>
  <c r="CN89" i="29"/>
  <c r="CP89" i="29"/>
  <c r="CT89" i="29"/>
  <c r="CV89" i="29"/>
  <c r="AG89" i="29"/>
  <c r="BZ89" i="29"/>
  <c r="AP89" i="28"/>
  <c r="BT89" i="28"/>
  <c r="BP89" i="28"/>
  <c r="CC89" i="28"/>
  <c r="CJ89" i="28"/>
  <c r="BJ89" i="28"/>
  <c r="BL89" i="28"/>
  <c r="AZ89" i="28"/>
  <c r="AQ89" i="28"/>
  <c r="CB89" i="28"/>
  <c r="AU89" i="28"/>
  <c r="BU89" i="28"/>
  <c r="AR89" i="28"/>
  <c r="CI89" i="28"/>
  <c r="BW89" i="28"/>
  <c r="AW89" i="28"/>
  <c r="BM89" i="28"/>
  <c r="CV89" i="28"/>
  <c r="BB89" i="28"/>
  <c r="BQ89" i="28"/>
  <c r="CR89" i="28"/>
  <c r="CS89" i="28"/>
  <c r="BC89" i="28"/>
  <c r="BE89" i="28"/>
  <c r="BS89" i="28"/>
  <c r="CW89" i="28"/>
  <c r="CK89" i="28"/>
  <c r="BK89" i="28"/>
  <c r="CA89" i="28"/>
  <c r="BX89" i="28"/>
  <c r="CZ89" i="28"/>
  <c r="BG89" i="28"/>
  <c r="AI89" i="28"/>
  <c r="CD89" i="28"/>
  <c r="CT89" i="28"/>
  <c r="CY89" i="28"/>
  <c r="BY89" i="28"/>
  <c r="CO89" i="28"/>
  <c r="BZ89" i="28"/>
  <c r="CL89" i="28"/>
  <c r="CP89" i="28"/>
  <c r="AK89" i="28"/>
  <c r="CX89" i="28"/>
  <c r="AE89" i="28"/>
  <c r="BR89" i="28"/>
  <c r="AO89" i="28"/>
  <c r="AY89" i="28"/>
  <c r="CE89" i="28"/>
  <c r="CM89" i="28"/>
  <c r="CF89" i="28"/>
  <c r="BF89" i="28"/>
  <c r="AM89" i="28"/>
  <c r="AT89" i="28"/>
  <c r="DA89" i="28"/>
  <c r="BN89" i="28"/>
  <c r="CN89" i="28"/>
  <c r="CH89" i="28"/>
  <c r="AG89" i="28"/>
  <c r="CV98" i="28"/>
  <c r="CH98" i="28"/>
  <c r="C116" i="28"/>
  <c r="CW98" i="28"/>
  <c r="CG98" i="28"/>
  <c r="BS98" i="28"/>
  <c r="BE98" i="28"/>
  <c r="AQ98" i="28"/>
  <c r="AC98" i="28"/>
  <c r="O98" i="28"/>
  <c r="CU98" i="28"/>
  <c r="CF98" i="28"/>
  <c r="BR98" i="28"/>
  <c r="BD98" i="28"/>
  <c r="AP98" i="28"/>
  <c r="AB98" i="28"/>
  <c r="N98" i="28"/>
  <c r="CT98" i="28"/>
  <c r="CE98" i="28"/>
  <c r="BQ98" i="28"/>
  <c r="BC98" i="28"/>
  <c r="AO98" i="28"/>
  <c r="AA98" i="28"/>
  <c r="M98" i="28"/>
  <c r="CS98" i="28"/>
  <c r="CD98" i="28"/>
  <c r="BP98" i="28"/>
  <c r="BB98" i="28"/>
  <c r="AN98" i="28"/>
  <c r="Z98" i="28"/>
  <c r="L98" i="28"/>
  <c r="CR98" i="28"/>
  <c r="CC98" i="28"/>
  <c r="BO98" i="28"/>
  <c r="BA98" i="28"/>
  <c r="AM98" i="28"/>
  <c r="Y98" i="28"/>
  <c r="K98" i="28"/>
  <c r="CQ98" i="28"/>
  <c r="CB98" i="28"/>
  <c r="BN98" i="28"/>
  <c r="AZ98" i="28"/>
  <c r="AL98" i="28"/>
  <c r="X98" i="28"/>
  <c r="J98" i="28"/>
  <c r="CP98" i="28"/>
  <c r="CA98" i="28"/>
  <c r="BM98" i="28"/>
  <c r="AY98" i="28"/>
  <c r="AK98" i="28"/>
  <c r="W98" i="28"/>
  <c r="I98" i="28"/>
  <c r="CO98" i="28"/>
  <c r="BZ98" i="28"/>
  <c r="BL98" i="28"/>
  <c r="AX98" i="28"/>
  <c r="AJ98" i="28"/>
  <c r="V98" i="28"/>
  <c r="H98" i="28"/>
  <c r="CX98" i="28"/>
  <c r="CI98" i="28"/>
  <c r="BT98" i="28"/>
  <c r="BF98" i="28"/>
  <c r="AR98" i="28"/>
  <c r="AD98" i="28"/>
  <c r="P98" i="28"/>
  <c r="CZ98" i="28"/>
  <c r="BI98" i="28"/>
  <c r="T98" i="28"/>
  <c r="CY98" i="28"/>
  <c r="BH98" i="28"/>
  <c r="S98" i="28"/>
  <c r="CN98" i="28"/>
  <c r="BG98" i="28"/>
  <c r="R98" i="28"/>
  <c r="CM98" i="28"/>
  <c r="AW98" i="28"/>
  <c r="Q98" i="28"/>
  <c r="CL98" i="28"/>
  <c r="AV98" i="28"/>
  <c r="G98" i="28"/>
  <c r="CK98" i="28"/>
  <c r="AU98" i="28"/>
  <c r="F98" i="28"/>
  <c r="CJ98" i="28"/>
  <c r="AT98" i="28"/>
  <c r="E98" i="28"/>
  <c r="BY98" i="28"/>
  <c r="AS98" i="28"/>
  <c r="DA98" i="28"/>
  <c r="BJ98" i="28"/>
  <c r="U98" i="28"/>
  <c r="BX98" i="28"/>
  <c r="BW98" i="28"/>
  <c r="BV98" i="28"/>
  <c r="BU98" i="28"/>
  <c r="BK98" i="28"/>
  <c r="AH98" i="28"/>
  <c r="AE98" i="28"/>
  <c r="AF98" i="28"/>
  <c r="AG98" i="28"/>
  <c r="AI98" i="28"/>
  <c r="CG89" i="28"/>
  <c r="CU89" i="28"/>
  <c r="BA89" i="28"/>
  <c r="BH89" i="28"/>
  <c r="AH89" i="28"/>
  <c r="AJ89" i="28"/>
  <c r="CQ89" i="28"/>
  <c r="AS89" i="28"/>
  <c r="BD89" i="28"/>
  <c r="BI89" i="28"/>
  <c r="AF89" i="28"/>
  <c r="AN89" i="28"/>
  <c r="BO89" i="28"/>
  <c r="BV89" i="28"/>
  <c r="AV89" i="28"/>
  <c r="AX89" i="28"/>
  <c r="AL89" i="28"/>
  <c r="K64" i="19" l="1"/>
  <c r="L60" i="19"/>
  <c r="L70" i="19" s="1"/>
  <c r="L32" i="19"/>
  <c r="K36" i="19"/>
  <c r="CE106" i="30"/>
  <c r="CA106" i="30"/>
  <c r="CN106" i="30"/>
  <c r="BW106" i="30"/>
  <c r="AQ106" i="30"/>
  <c r="AS106" i="30"/>
  <c r="AH106" i="30"/>
  <c r="CY106" i="30"/>
  <c r="BN106" i="30"/>
  <c r="BQ106" i="30"/>
  <c r="BA106" i="30"/>
  <c r="CU106" i="30"/>
  <c r="CW106" i="30"/>
  <c r="CL106" i="30"/>
  <c r="CF106" i="30"/>
  <c r="BU106" i="30"/>
  <c r="AL106" i="30"/>
  <c r="AP106" i="30"/>
  <c r="AX106" i="30"/>
  <c r="AG106" i="30"/>
  <c r="CG106" i="30"/>
  <c r="CI106" i="30"/>
  <c r="BX106" i="30"/>
  <c r="BK106" i="30"/>
  <c r="AM106" i="30"/>
  <c r="CK106" i="30"/>
  <c r="CO106" i="30"/>
  <c r="BY106" i="30"/>
  <c r="CZ106" i="30"/>
  <c r="AK106" i="30"/>
  <c r="CD106" i="30"/>
  <c r="AN106" i="30"/>
  <c r="AU106" i="30"/>
  <c r="AR106" i="30"/>
  <c r="AT106" i="30"/>
  <c r="BG106" i="30"/>
  <c r="DA106" i="30"/>
  <c r="AF106" i="30"/>
  <c r="BI106" i="30"/>
  <c r="AO106" i="30"/>
  <c r="BO106" i="30"/>
  <c r="AY106" i="30"/>
  <c r="AI106" i="30"/>
  <c r="BF106" i="30"/>
  <c r="BH106" i="30"/>
  <c r="CT106" i="30"/>
  <c r="CQ106" i="30"/>
  <c r="AV106" i="30"/>
  <c r="BL106" i="30"/>
  <c r="BS106" i="30"/>
  <c r="BM106" i="30"/>
  <c r="CR106" i="30"/>
  <c r="CM106" i="30"/>
  <c r="BR106" i="30"/>
  <c r="BB106" i="30"/>
  <c r="BT106" i="30"/>
  <c r="BV106" i="30"/>
  <c r="BE106" i="30"/>
  <c r="CB106" i="30"/>
  <c r="BD106" i="30"/>
  <c r="CP106" i="30"/>
  <c r="BZ106" i="30"/>
  <c r="CH106" i="30"/>
  <c r="CJ106" i="30"/>
  <c r="CS106" i="30"/>
  <c r="CV106" i="30"/>
  <c r="CX106" i="30"/>
  <c r="C133" i="30"/>
  <c r="CU115" i="30"/>
  <c r="CG115" i="30"/>
  <c r="BS115" i="30"/>
  <c r="BE115" i="30"/>
  <c r="AQ115" i="30"/>
  <c r="AC115" i="30"/>
  <c r="O115" i="30"/>
  <c r="CS115" i="30"/>
  <c r="CE115" i="30"/>
  <c r="BQ115" i="30"/>
  <c r="BC115" i="30"/>
  <c r="AO115" i="30"/>
  <c r="AA115" i="30"/>
  <c r="M115" i="30"/>
  <c r="CR115" i="30"/>
  <c r="CD115" i="30"/>
  <c r="BP115" i="30"/>
  <c r="BB115" i="30"/>
  <c r="AN115" i="30"/>
  <c r="Z115" i="30"/>
  <c r="L115" i="30"/>
  <c r="CQ115" i="30"/>
  <c r="CC115" i="30"/>
  <c r="BO115" i="30"/>
  <c r="BA115" i="30"/>
  <c r="AM115" i="30"/>
  <c r="Y115" i="30"/>
  <c r="K115" i="30"/>
  <c r="CP115" i="30"/>
  <c r="CB115" i="30"/>
  <c r="BN115" i="30"/>
  <c r="AZ115" i="30"/>
  <c r="AL115" i="30"/>
  <c r="X115" i="30"/>
  <c r="J115" i="30"/>
  <c r="CO115" i="30"/>
  <c r="CA115" i="30"/>
  <c r="BM115" i="30"/>
  <c r="AY115" i="30"/>
  <c r="AK115" i="30"/>
  <c r="W115" i="30"/>
  <c r="I115" i="30"/>
  <c r="CN115" i="30"/>
  <c r="BZ115" i="30"/>
  <c r="BL115" i="30"/>
  <c r="AX115" i="30"/>
  <c r="AJ115" i="30"/>
  <c r="V115" i="30"/>
  <c r="H115" i="30"/>
  <c r="CV115" i="30"/>
  <c r="CH115" i="30"/>
  <c r="BT115" i="30"/>
  <c r="BF115" i="30"/>
  <c r="AR115" i="30"/>
  <c r="AD115" i="30"/>
  <c r="P115" i="30"/>
  <c r="DA115" i="30"/>
  <c r="BW115" i="30"/>
  <c r="AS115" i="30"/>
  <c r="G115" i="30"/>
  <c r="CZ115" i="30"/>
  <c r="BV115" i="30"/>
  <c r="AP115" i="30"/>
  <c r="F115" i="30"/>
  <c r="CY115" i="30"/>
  <c r="BU115" i="30"/>
  <c r="AI115" i="30"/>
  <c r="E115" i="30"/>
  <c r="CX115" i="30"/>
  <c r="BR115" i="30"/>
  <c r="AH115" i="30"/>
  <c r="CW115" i="30"/>
  <c r="BK115" i="30"/>
  <c r="AG115" i="30"/>
  <c r="CT115" i="30"/>
  <c r="BJ115" i="30"/>
  <c r="AF115" i="30"/>
  <c r="CK115" i="30"/>
  <c r="BG115" i="30"/>
  <c r="U115" i="30"/>
  <c r="BX115" i="30"/>
  <c r="AT115" i="30"/>
  <c r="N115" i="30"/>
  <c r="AU115" i="30"/>
  <c r="AE115" i="30"/>
  <c r="AB115" i="30"/>
  <c r="CM115" i="30"/>
  <c r="T115" i="30"/>
  <c r="CL115" i="30"/>
  <c r="S115" i="30"/>
  <c r="CJ115" i="30"/>
  <c r="R115" i="30"/>
  <c r="CI115" i="30"/>
  <c r="Q115" i="30"/>
  <c r="CF115" i="30"/>
  <c r="AV115" i="30"/>
  <c r="BY115" i="30"/>
  <c r="BI115" i="30"/>
  <c r="BH115" i="30"/>
  <c r="BD115" i="30"/>
  <c r="AW115" i="30"/>
  <c r="CC106" i="30"/>
  <c r="AJ106" i="30"/>
  <c r="AW106" i="30"/>
  <c r="BJ106" i="30"/>
  <c r="BC106" i="30"/>
  <c r="BP106" i="30"/>
  <c r="AZ106" i="30"/>
  <c r="AK106" i="29"/>
  <c r="BB106" i="29"/>
  <c r="AT106" i="29"/>
  <c r="CM106" i="29"/>
  <c r="BL106" i="29"/>
  <c r="C133" i="29"/>
  <c r="CV115" i="29"/>
  <c r="CH115" i="29"/>
  <c r="BT115" i="29"/>
  <c r="BF115" i="29"/>
  <c r="AR115" i="29"/>
  <c r="AD115" i="29"/>
  <c r="P115" i="29"/>
  <c r="CU115" i="29"/>
  <c r="CG115" i="29"/>
  <c r="BS115" i="29"/>
  <c r="BE115" i="29"/>
  <c r="AQ115" i="29"/>
  <c r="AC115" i="29"/>
  <c r="O115" i="29"/>
  <c r="CT115" i="29"/>
  <c r="CF115" i="29"/>
  <c r="BR115" i="29"/>
  <c r="BD115" i="29"/>
  <c r="AP115" i="29"/>
  <c r="AB115" i="29"/>
  <c r="N115" i="29"/>
  <c r="CS115" i="29"/>
  <c r="CE115" i="29"/>
  <c r="BQ115" i="29"/>
  <c r="BC115" i="29"/>
  <c r="AO115" i="29"/>
  <c r="AA115" i="29"/>
  <c r="M115" i="29"/>
  <c r="CR115" i="29"/>
  <c r="CD115" i="29"/>
  <c r="BP115" i="29"/>
  <c r="BB115" i="29"/>
  <c r="AN115" i="29"/>
  <c r="Z115" i="29"/>
  <c r="L115" i="29"/>
  <c r="CQ115" i="29"/>
  <c r="CC115" i="29"/>
  <c r="BO115" i="29"/>
  <c r="BA115" i="29"/>
  <c r="AM115" i="29"/>
  <c r="Y115" i="29"/>
  <c r="K115" i="29"/>
  <c r="CP115" i="29"/>
  <c r="CB115" i="29"/>
  <c r="BN115" i="29"/>
  <c r="AZ115" i="29"/>
  <c r="AL115" i="29"/>
  <c r="X115" i="29"/>
  <c r="J115" i="29"/>
  <c r="CO115" i="29"/>
  <c r="CA115" i="29"/>
  <c r="BM115" i="29"/>
  <c r="AY115" i="29"/>
  <c r="AK115" i="29"/>
  <c r="W115" i="29"/>
  <c r="I115" i="29"/>
  <c r="CW115" i="29"/>
  <c r="CI115" i="29"/>
  <c r="BU115" i="29"/>
  <c r="BG115" i="29"/>
  <c r="AS115" i="29"/>
  <c r="AE115" i="29"/>
  <c r="Q115" i="29"/>
  <c r="BX115" i="29"/>
  <c r="AI115" i="29"/>
  <c r="BW115" i="29"/>
  <c r="AH115" i="29"/>
  <c r="BV115" i="29"/>
  <c r="AG115" i="29"/>
  <c r="DA115" i="29"/>
  <c r="BL115" i="29"/>
  <c r="AF115" i="29"/>
  <c r="CZ115" i="29"/>
  <c r="BK115" i="29"/>
  <c r="V115" i="29"/>
  <c r="CY115" i="29"/>
  <c r="BJ115" i="29"/>
  <c r="U115" i="29"/>
  <c r="CX115" i="29"/>
  <c r="BI115" i="29"/>
  <c r="T115" i="29"/>
  <c r="CN115" i="29"/>
  <c r="BH115" i="29"/>
  <c r="S115" i="29"/>
  <c r="CM115" i="29"/>
  <c r="AX115" i="29"/>
  <c r="R115" i="29"/>
  <c r="CL115" i="29"/>
  <c r="AW115" i="29"/>
  <c r="H115" i="29"/>
  <c r="CK115" i="29"/>
  <c r="CJ115" i="29"/>
  <c r="BZ115" i="29"/>
  <c r="BY115" i="29"/>
  <c r="AV115" i="29"/>
  <c r="AU115" i="29"/>
  <c r="AT115" i="29"/>
  <c r="AJ115" i="29"/>
  <c r="G115" i="29"/>
  <c r="F115" i="29"/>
  <c r="E115" i="29"/>
  <c r="CX106" i="29"/>
  <c r="AI106" i="29"/>
  <c r="AZ106" i="29"/>
  <c r="BF106" i="29"/>
  <c r="BP106" i="29"/>
  <c r="AJ106" i="29"/>
  <c r="AX106" i="29"/>
  <c r="CP106" i="29"/>
  <c r="CR106" i="29"/>
  <c r="CT106" i="29"/>
  <c r="CV106" i="29"/>
  <c r="AV106" i="29"/>
  <c r="DA106" i="29"/>
  <c r="AW106" i="29"/>
  <c r="AY106" i="29"/>
  <c r="AG106" i="29"/>
  <c r="AM106" i="29"/>
  <c r="AO106" i="29"/>
  <c r="AQ106" i="29"/>
  <c r="BX106" i="29"/>
  <c r="CH106" i="29"/>
  <c r="BY106" i="29"/>
  <c r="CN106" i="29"/>
  <c r="BM106" i="29"/>
  <c r="BA106" i="29"/>
  <c r="BC106" i="29"/>
  <c r="BE106" i="29"/>
  <c r="AS106" i="29"/>
  <c r="CD106" i="29"/>
  <c r="CJ106" i="29"/>
  <c r="BZ106" i="29"/>
  <c r="AH106" i="29"/>
  <c r="BO106" i="29"/>
  <c r="BQ106" i="29"/>
  <c r="BS106" i="29"/>
  <c r="BG106" i="29"/>
  <c r="BD106" i="29"/>
  <c r="BR106" i="29"/>
  <c r="BV106" i="29"/>
  <c r="CA106" i="29"/>
  <c r="BI106" i="29"/>
  <c r="BW106" i="29"/>
  <c r="CC106" i="29"/>
  <c r="CE106" i="29"/>
  <c r="CG106" i="29"/>
  <c r="BU106" i="29"/>
  <c r="CZ106" i="29"/>
  <c r="CK106" i="29"/>
  <c r="CO106" i="29"/>
  <c r="CQ106" i="29"/>
  <c r="CS106" i="29"/>
  <c r="CU106" i="29"/>
  <c r="CI106" i="29"/>
  <c r="BN106" i="29"/>
  <c r="CL106" i="29"/>
  <c r="CW106" i="29"/>
  <c r="BT106" i="29"/>
  <c r="AU106" i="29"/>
  <c r="BJ106" i="29"/>
  <c r="BK106" i="29"/>
  <c r="BH106" i="29"/>
  <c r="CB106" i="29"/>
  <c r="CF106" i="29"/>
  <c r="CY106" i="29"/>
  <c r="AL106" i="29"/>
  <c r="AN106" i="29"/>
  <c r="AP106" i="29"/>
  <c r="AR106" i="29"/>
  <c r="AF106" i="29"/>
  <c r="CK106" i="28"/>
  <c r="BU106" i="28"/>
  <c r="AU106" i="28"/>
  <c r="BL106" i="28"/>
  <c r="BN106" i="28"/>
  <c r="BP106" i="28"/>
  <c r="BR106" i="28"/>
  <c r="CD106" i="28"/>
  <c r="BW106" i="28"/>
  <c r="CO106" i="28"/>
  <c r="CU106" i="28"/>
  <c r="BX106" i="28"/>
  <c r="BZ106" i="28"/>
  <c r="CQ106" i="28"/>
  <c r="CL106" i="28"/>
  <c r="BV106" i="28"/>
  <c r="CZ106" i="28"/>
  <c r="CS106" i="28"/>
  <c r="AV106" i="28"/>
  <c r="AR106" i="28"/>
  <c r="AK106" i="28"/>
  <c r="AM106" i="28"/>
  <c r="AO106" i="28"/>
  <c r="AQ106" i="28"/>
  <c r="CB106" i="28"/>
  <c r="CM106" i="28"/>
  <c r="BI106" i="28"/>
  <c r="BF106" i="28"/>
  <c r="BC106" i="28"/>
  <c r="DA106" i="28"/>
  <c r="BS106" i="28"/>
  <c r="CA106" i="28"/>
  <c r="AG106" i="28"/>
  <c r="BG106" i="28"/>
  <c r="CR106" i="28"/>
  <c r="CW106" i="28"/>
  <c r="AF106" i="28"/>
  <c r="CN106" i="28"/>
  <c r="C133" i="28"/>
  <c r="CZ115" i="28"/>
  <c r="CL115" i="28"/>
  <c r="BX115" i="28"/>
  <c r="BJ115" i="28"/>
  <c r="AV115" i="28"/>
  <c r="AH115" i="28"/>
  <c r="T115" i="28"/>
  <c r="F115" i="28"/>
  <c r="CY115" i="28"/>
  <c r="CK115" i="28"/>
  <c r="BW115" i="28"/>
  <c r="BI115" i="28"/>
  <c r="AU115" i="28"/>
  <c r="AG115" i="28"/>
  <c r="S115" i="28"/>
  <c r="E115" i="28"/>
  <c r="CX115" i="28"/>
  <c r="CJ115" i="28"/>
  <c r="BV115" i="28"/>
  <c r="BH115" i="28"/>
  <c r="AT115" i="28"/>
  <c r="AF115" i="28"/>
  <c r="R115" i="28"/>
  <c r="CW115" i="28"/>
  <c r="CI115" i="28"/>
  <c r="CP115" i="28"/>
  <c r="BU115" i="28"/>
  <c r="BD115" i="28"/>
  <c r="AM115" i="28"/>
  <c r="V115" i="28"/>
  <c r="CO115" i="28"/>
  <c r="BT115" i="28"/>
  <c r="BC115" i="28"/>
  <c r="AL115" i="28"/>
  <c r="U115" i="28"/>
  <c r="CN115" i="28"/>
  <c r="BS115" i="28"/>
  <c r="BB115" i="28"/>
  <c r="AK115" i="28"/>
  <c r="Q115" i="28"/>
  <c r="CM115" i="28"/>
  <c r="BR115" i="28"/>
  <c r="BA115" i="28"/>
  <c r="AJ115" i="28"/>
  <c r="P115" i="28"/>
  <c r="CH115" i="28"/>
  <c r="BQ115" i="28"/>
  <c r="AZ115" i="28"/>
  <c r="AI115" i="28"/>
  <c r="O115" i="28"/>
  <c r="CG115" i="28"/>
  <c r="BP115" i="28"/>
  <c r="AY115" i="28"/>
  <c r="AE115" i="28"/>
  <c r="N115" i="28"/>
  <c r="CF115" i="28"/>
  <c r="BO115" i="28"/>
  <c r="AX115" i="28"/>
  <c r="AD115" i="28"/>
  <c r="M115" i="28"/>
  <c r="DA115" i="28"/>
  <c r="CE115" i="28"/>
  <c r="BN115" i="28"/>
  <c r="AW115" i="28"/>
  <c r="AC115" i="28"/>
  <c r="L115" i="28"/>
  <c r="CQ115" i="28"/>
  <c r="BY115" i="28"/>
  <c r="BE115" i="28"/>
  <c r="AN115" i="28"/>
  <c r="W115" i="28"/>
  <c r="CV115" i="28"/>
  <c r="BF115" i="28"/>
  <c r="H115" i="28"/>
  <c r="CU115" i="28"/>
  <c r="AS115" i="28"/>
  <c r="G115" i="28"/>
  <c r="CT115" i="28"/>
  <c r="AR115" i="28"/>
  <c r="CS115" i="28"/>
  <c r="AQ115" i="28"/>
  <c r="CR115" i="28"/>
  <c r="AP115" i="28"/>
  <c r="CD115" i="28"/>
  <c r="AO115" i="28"/>
  <c r="CC115" i="28"/>
  <c r="AB115" i="28"/>
  <c r="CB115" i="28"/>
  <c r="AA115" i="28"/>
  <c r="BG115" i="28"/>
  <c r="I115" i="28"/>
  <c r="X115" i="28"/>
  <c r="K115" i="28"/>
  <c r="J115" i="28"/>
  <c r="CA115" i="28"/>
  <c r="Y115" i="28"/>
  <c r="Z115" i="28"/>
  <c r="BK115" i="28"/>
  <c r="BL115" i="28"/>
  <c r="BZ115" i="28"/>
  <c r="BM115" i="28"/>
  <c r="AW106" i="28"/>
  <c r="BO106" i="28"/>
  <c r="AI106" i="28"/>
  <c r="CC106" i="28"/>
  <c r="CP106" i="28"/>
  <c r="AT106" i="28"/>
  <c r="CH106" i="28"/>
  <c r="CF106" i="28"/>
  <c r="BA106" i="28"/>
  <c r="BM106" i="28"/>
  <c r="CE106" i="28"/>
  <c r="BY106" i="28"/>
  <c r="CT106" i="28"/>
  <c r="AJ106" i="28"/>
  <c r="AP106" i="28"/>
  <c r="BJ106" i="28"/>
  <c r="AY106" i="28"/>
  <c r="BE106" i="28"/>
  <c r="BT106" i="28"/>
  <c r="BQ106" i="28"/>
  <c r="AS106" i="28"/>
  <c r="CI106" i="28"/>
  <c r="CG106" i="28"/>
  <c r="CX106" i="28"/>
  <c r="AH106" i="28"/>
  <c r="CJ106" i="28"/>
  <c r="BH106" i="28"/>
  <c r="AL106" i="28"/>
  <c r="AN106" i="28"/>
  <c r="CV106" i="28"/>
  <c r="BK106" i="28"/>
  <c r="CY106" i="28"/>
  <c r="AX106" i="28"/>
  <c r="AZ106" i="28"/>
  <c r="BB106" i="28"/>
  <c r="BD106" i="28"/>
  <c r="L64" i="19" l="1"/>
  <c r="M60" i="19"/>
  <c r="M70" i="19" s="1"/>
  <c r="M32" i="19"/>
  <c r="L36" i="19"/>
  <c r="AV123" i="30"/>
  <c r="AT123" i="30"/>
  <c r="AR123" i="30"/>
  <c r="AK123" i="30"/>
  <c r="BX123" i="30"/>
  <c r="AY123" i="30"/>
  <c r="BT123" i="30"/>
  <c r="BC123" i="30"/>
  <c r="CI123" i="30"/>
  <c r="BG123" i="30"/>
  <c r="CY123" i="30"/>
  <c r="CH123" i="30"/>
  <c r="CA123" i="30"/>
  <c r="BO123" i="30"/>
  <c r="BQ123" i="30"/>
  <c r="AI123" i="30"/>
  <c r="AM123" i="30"/>
  <c r="BM123" i="30"/>
  <c r="CK123" i="30"/>
  <c r="CV123" i="30"/>
  <c r="CO123" i="30"/>
  <c r="CC123" i="30"/>
  <c r="CE123" i="30"/>
  <c r="CF123" i="30"/>
  <c r="BF123" i="30"/>
  <c r="AO123" i="30"/>
  <c r="BU123" i="30"/>
  <c r="BA123" i="30"/>
  <c r="CJ123" i="30"/>
  <c r="AP123" i="30"/>
  <c r="CQ123" i="30"/>
  <c r="CS123" i="30"/>
  <c r="BV123" i="30"/>
  <c r="AX123" i="30"/>
  <c r="AW123" i="30"/>
  <c r="CM123" i="30"/>
  <c r="BK123" i="30"/>
  <c r="AS123" i="30"/>
  <c r="BL123" i="30"/>
  <c r="AZ123" i="30"/>
  <c r="BB123" i="30"/>
  <c r="BE123" i="30"/>
  <c r="AJ123" i="30"/>
  <c r="AG123" i="30"/>
  <c r="AN123" i="30"/>
  <c r="BD123" i="30"/>
  <c r="CW123" i="30"/>
  <c r="BW123" i="30"/>
  <c r="BZ123" i="30"/>
  <c r="BN123" i="30"/>
  <c r="BP123" i="30"/>
  <c r="BS123" i="30"/>
  <c r="BJ123" i="30"/>
  <c r="CL123" i="30"/>
  <c r="CZ123" i="30"/>
  <c r="AL123" i="30"/>
  <c r="AQ123" i="30"/>
  <c r="BH123" i="30"/>
  <c r="AH123" i="30"/>
  <c r="DA123" i="30"/>
  <c r="CN123" i="30"/>
  <c r="CB123" i="30"/>
  <c r="CD123" i="30"/>
  <c r="CG123" i="30"/>
  <c r="BI123" i="30"/>
  <c r="AU123" i="30"/>
  <c r="BR123" i="30"/>
  <c r="CP123" i="30"/>
  <c r="CR123" i="30"/>
  <c r="CU123" i="30"/>
  <c r="CT123" i="30"/>
  <c r="BY123" i="30"/>
  <c r="CX123" i="30"/>
  <c r="CZ132" i="30"/>
  <c r="CL132" i="30"/>
  <c r="BX132" i="30"/>
  <c r="BJ132" i="30"/>
  <c r="AV132" i="30"/>
  <c r="AH132" i="30"/>
  <c r="T132" i="30"/>
  <c r="F132" i="30"/>
  <c r="C150" i="30"/>
  <c r="CP132" i="30"/>
  <c r="CA132" i="30"/>
  <c r="BL132" i="30"/>
  <c r="AW132" i="30"/>
  <c r="AG132" i="30"/>
  <c r="R132" i="30"/>
  <c r="CO132" i="30"/>
  <c r="BZ132" i="30"/>
  <c r="BK132" i="30"/>
  <c r="AU132" i="30"/>
  <c r="AF132" i="30"/>
  <c r="Q132" i="30"/>
  <c r="CN132" i="30"/>
  <c r="BY132" i="30"/>
  <c r="BI132" i="30"/>
  <c r="AT132" i="30"/>
  <c r="AE132" i="30"/>
  <c r="P132" i="30"/>
  <c r="CM132" i="30"/>
  <c r="BW132" i="30"/>
  <c r="BH132" i="30"/>
  <c r="AS132" i="30"/>
  <c r="AD132" i="30"/>
  <c r="O132" i="30"/>
  <c r="DA132" i="30"/>
  <c r="CK132" i="30"/>
  <c r="BV132" i="30"/>
  <c r="BG132" i="30"/>
  <c r="AR132" i="30"/>
  <c r="AC132" i="30"/>
  <c r="N132" i="30"/>
  <c r="CY132" i="30"/>
  <c r="CJ132" i="30"/>
  <c r="BU132" i="30"/>
  <c r="BF132" i="30"/>
  <c r="AQ132" i="30"/>
  <c r="AB132" i="30"/>
  <c r="M132" i="30"/>
  <c r="CX132" i="30"/>
  <c r="CI132" i="30"/>
  <c r="BT132" i="30"/>
  <c r="BE132" i="30"/>
  <c r="AP132" i="30"/>
  <c r="AA132" i="30"/>
  <c r="L132" i="30"/>
  <c r="CV132" i="30"/>
  <c r="CG132" i="30"/>
  <c r="BR132" i="30"/>
  <c r="BC132" i="30"/>
  <c r="AN132" i="30"/>
  <c r="Y132" i="30"/>
  <c r="J132" i="30"/>
  <c r="CF132" i="30"/>
  <c r="AZ132" i="30"/>
  <c r="S132" i="30"/>
  <c r="CE132" i="30"/>
  <c r="AY132" i="30"/>
  <c r="K132" i="30"/>
  <c r="CD132" i="30"/>
  <c r="AX132" i="30"/>
  <c r="I132" i="30"/>
  <c r="CC132" i="30"/>
  <c r="AO132" i="30"/>
  <c r="H132" i="30"/>
  <c r="CB132" i="30"/>
  <c r="AM132" i="30"/>
  <c r="G132" i="30"/>
  <c r="BS132" i="30"/>
  <c r="AL132" i="30"/>
  <c r="E132" i="30"/>
  <c r="BQ132" i="30"/>
  <c r="AK132" i="30"/>
  <c r="CW132" i="30"/>
  <c r="BP132" i="30"/>
  <c r="AJ132" i="30"/>
  <c r="CH132" i="30"/>
  <c r="BA132" i="30"/>
  <c r="U132" i="30"/>
  <c r="Z132" i="30"/>
  <c r="X132" i="30"/>
  <c r="W132" i="30"/>
  <c r="CU132" i="30"/>
  <c r="V132" i="30"/>
  <c r="CT132" i="30"/>
  <c r="CS132" i="30"/>
  <c r="BO132" i="30"/>
  <c r="AI132" i="30"/>
  <c r="CR132" i="30"/>
  <c r="CQ132" i="30"/>
  <c r="BN132" i="30"/>
  <c r="BM132" i="30"/>
  <c r="BD132" i="30"/>
  <c r="BB132" i="30"/>
  <c r="CI123" i="29"/>
  <c r="CW123" i="29"/>
  <c r="AT123" i="29"/>
  <c r="BH123" i="29"/>
  <c r="AG123" i="29"/>
  <c r="CX132" i="29"/>
  <c r="CJ132" i="29"/>
  <c r="BV132" i="29"/>
  <c r="BH132" i="29"/>
  <c r="AT132" i="29"/>
  <c r="AF132" i="29"/>
  <c r="R132" i="29"/>
  <c r="CW132" i="29"/>
  <c r="CI132" i="29"/>
  <c r="BU132" i="29"/>
  <c r="BG132" i="29"/>
  <c r="AS132" i="29"/>
  <c r="AE132" i="29"/>
  <c r="Q132" i="29"/>
  <c r="CV132" i="29"/>
  <c r="CH132" i="29"/>
  <c r="BT132" i="29"/>
  <c r="BF132" i="29"/>
  <c r="AR132" i="29"/>
  <c r="AD132" i="29"/>
  <c r="P132" i="29"/>
  <c r="CT132" i="29"/>
  <c r="CF132" i="29"/>
  <c r="BR132" i="29"/>
  <c r="BD132" i="29"/>
  <c r="AP132" i="29"/>
  <c r="CL132" i="29"/>
  <c r="BP132" i="29"/>
  <c r="AX132" i="29"/>
  <c r="AC132" i="29"/>
  <c r="L132" i="29"/>
  <c r="CK132" i="29"/>
  <c r="BO132" i="29"/>
  <c r="AW132" i="29"/>
  <c r="AB132" i="29"/>
  <c r="K132" i="29"/>
  <c r="CG132" i="29"/>
  <c r="BN132" i="29"/>
  <c r="AV132" i="29"/>
  <c r="AA132" i="29"/>
  <c r="J132" i="29"/>
  <c r="DA132" i="29"/>
  <c r="CE132" i="29"/>
  <c r="BM132" i="29"/>
  <c r="AU132" i="29"/>
  <c r="Z132" i="29"/>
  <c r="I132" i="29"/>
  <c r="CZ132" i="29"/>
  <c r="CD132" i="29"/>
  <c r="BL132" i="29"/>
  <c r="AQ132" i="29"/>
  <c r="Y132" i="29"/>
  <c r="H132" i="29"/>
  <c r="CY132" i="29"/>
  <c r="CC132" i="29"/>
  <c r="BK132" i="29"/>
  <c r="AO132" i="29"/>
  <c r="X132" i="29"/>
  <c r="G132" i="29"/>
  <c r="CU132" i="29"/>
  <c r="CB132" i="29"/>
  <c r="BJ132" i="29"/>
  <c r="AN132" i="29"/>
  <c r="W132" i="29"/>
  <c r="F132" i="29"/>
  <c r="CS132" i="29"/>
  <c r="CA132" i="29"/>
  <c r="BI132" i="29"/>
  <c r="AM132" i="29"/>
  <c r="V132" i="29"/>
  <c r="E132" i="29"/>
  <c r="CM132" i="29"/>
  <c r="BQ132" i="29"/>
  <c r="AY132" i="29"/>
  <c r="AG132" i="29"/>
  <c r="M132" i="29"/>
  <c r="CO132" i="29"/>
  <c r="AJ132" i="29"/>
  <c r="CN132" i="29"/>
  <c r="AI132" i="29"/>
  <c r="C150" i="29"/>
  <c r="BZ132" i="29"/>
  <c r="AH132" i="29"/>
  <c r="BY132" i="29"/>
  <c r="U132" i="29"/>
  <c r="BX132" i="29"/>
  <c r="T132" i="29"/>
  <c r="BW132" i="29"/>
  <c r="S132" i="29"/>
  <c r="BS132" i="29"/>
  <c r="O132" i="29"/>
  <c r="BE132" i="29"/>
  <c r="N132" i="29"/>
  <c r="BC132" i="29"/>
  <c r="CP132" i="29"/>
  <c r="AK132" i="29"/>
  <c r="CR132" i="29"/>
  <c r="CQ132" i="29"/>
  <c r="BB132" i="29"/>
  <c r="BA132" i="29"/>
  <c r="AZ132" i="29"/>
  <c r="AL132" i="29"/>
  <c r="BB123" i="29"/>
  <c r="CV123" i="29"/>
  <c r="AU123" i="29"/>
  <c r="CN123" i="29"/>
  <c r="BV123" i="29"/>
  <c r="AK123" i="29"/>
  <c r="BF123" i="29"/>
  <c r="BN123" i="29"/>
  <c r="CT123" i="29"/>
  <c r="AV123" i="29"/>
  <c r="AH123" i="29"/>
  <c r="AY123" i="29"/>
  <c r="AM123" i="29"/>
  <c r="AO123" i="29"/>
  <c r="AQ123" i="29"/>
  <c r="BT123" i="29"/>
  <c r="CM123" i="29"/>
  <c r="BY123" i="29"/>
  <c r="BI123" i="29"/>
  <c r="BW123" i="29"/>
  <c r="BM123" i="29"/>
  <c r="BA123" i="29"/>
  <c r="BC123" i="29"/>
  <c r="BE123" i="29"/>
  <c r="CZ123" i="29"/>
  <c r="BR123" i="29"/>
  <c r="BL123" i="29"/>
  <c r="DA123" i="29"/>
  <c r="BZ123" i="29"/>
  <c r="CX123" i="29"/>
  <c r="AI123" i="29"/>
  <c r="CA123" i="29"/>
  <c r="BO123" i="29"/>
  <c r="BQ123" i="29"/>
  <c r="BS123" i="29"/>
  <c r="CB123" i="29"/>
  <c r="AJ123" i="29"/>
  <c r="CJ123" i="29"/>
  <c r="BX123" i="29"/>
  <c r="CO123" i="29"/>
  <c r="CC123" i="29"/>
  <c r="CE123" i="29"/>
  <c r="CG123" i="29"/>
  <c r="CH123" i="29"/>
  <c r="CR123" i="29"/>
  <c r="CK123" i="29"/>
  <c r="BJ123" i="29"/>
  <c r="CQ123" i="29"/>
  <c r="CS123" i="29"/>
  <c r="CU123" i="29"/>
  <c r="AZ123" i="29"/>
  <c r="AX123" i="29"/>
  <c r="CF123" i="29"/>
  <c r="CY123" i="29"/>
  <c r="BU123" i="29"/>
  <c r="AW123" i="29"/>
  <c r="AS123" i="29"/>
  <c r="BD123" i="29"/>
  <c r="BP123" i="29"/>
  <c r="CD123" i="29"/>
  <c r="CP123" i="29"/>
  <c r="CL123" i="29"/>
  <c r="BK123" i="29"/>
  <c r="BG123" i="29"/>
  <c r="AL123" i="29"/>
  <c r="AN123" i="29"/>
  <c r="AP123" i="29"/>
  <c r="AR123" i="29"/>
  <c r="BF123" i="28"/>
  <c r="CC123" i="28"/>
  <c r="BX123" i="28"/>
  <c r="BK123" i="28"/>
  <c r="CD123" i="28"/>
  <c r="AN123" i="28"/>
  <c r="CF123" i="28"/>
  <c r="BA123" i="28"/>
  <c r="AM123" i="28"/>
  <c r="CZ123" i="28"/>
  <c r="BM123" i="28"/>
  <c r="CH123" i="28"/>
  <c r="BZ123" i="28"/>
  <c r="AX123" i="28"/>
  <c r="CX123" i="28"/>
  <c r="BL123" i="28"/>
  <c r="BO123" i="28"/>
  <c r="AJ123" i="28"/>
  <c r="CL123" i="28"/>
  <c r="AP123" i="28"/>
  <c r="BE123" i="28"/>
  <c r="BR123" i="28"/>
  <c r="BD123" i="28"/>
  <c r="AG123" i="28"/>
  <c r="C150" i="28"/>
  <c r="CU132" i="28"/>
  <c r="CG132" i="28"/>
  <c r="BS132" i="28"/>
  <c r="BE132" i="28"/>
  <c r="AQ132" i="28"/>
  <c r="AC132" i="28"/>
  <c r="O132" i="28"/>
  <c r="CT132" i="28"/>
  <c r="CF132" i="28"/>
  <c r="BR132" i="28"/>
  <c r="BD132" i="28"/>
  <c r="AP132" i="28"/>
  <c r="AB132" i="28"/>
  <c r="N132" i="28"/>
  <c r="CS132" i="28"/>
  <c r="CE132" i="28"/>
  <c r="BQ132" i="28"/>
  <c r="BC132" i="28"/>
  <c r="AO132" i="28"/>
  <c r="AA132" i="28"/>
  <c r="M132" i="28"/>
  <c r="CQ132" i="28"/>
  <c r="CC132" i="28"/>
  <c r="BO132" i="28"/>
  <c r="BA132" i="28"/>
  <c r="AM132" i="28"/>
  <c r="Y132" i="28"/>
  <c r="K132" i="28"/>
  <c r="CP132" i="28"/>
  <c r="CB132" i="28"/>
  <c r="BN132" i="28"/>
  <c r="AZ132" i="28"/>
  <c r="AL132" i="28"/>
  <c r="X132" i="28"/>
  <c r="J132" i="28"/>
  <c r="CO132" i="28"/>
  <c r="CA132" i="28"/>
  <c r="BM132" i="28"/>
  <c r="AY132" i="28"/>
  <c r="AK132" i="28"/>
  <c r="W132" i="28"/>
  <c r="I132" i="28"/>
  <c r="CN132" i="28"/>
  <c r="BZ132" i="28"/>
  <c r="BL132" i="28"/>
  <c r="AX132" i="28"/>
  <c r="AJ132" i="28"/>
  <c r="V132" i="28"/>
  <c r="H132" i="28"/>
  <c r="CI132" i="28"/>
  <c r="BG132" i="28"/>
  <c r="AE132" i="28"/>
  <c r="CH132" i="28"/>
  <c r="BF132" i="28"/>
  <c r="AD132" i="28"/>
  <c r="CD132" i="28"/>
  <c r="BB132" i="28"/>
  <c r="Z132" i="28"/>
  <c r="DA132" i="28"/>
  <c r="BY132" i="28"/>
  <c r="AW132" i="28"/>
  <c r="U132" i="28"/>
  <c r="CZ132" i="28"/>
  <c r="BX132" i="28"/>
  <c r="AV132" i="28"/>
  <c r="T132" i="28"/>
  <c r="CY132" i="28"/>
  <c r="BW132" i="28"/>
  <c r="AU132" i="28"/>
  <c r="S132" i="28"/>
  <c r="CX132" i="28"/>
  <c r="BV132" i="28"/>
  <c r="AT132" i="28"/>
  <c r="R132" i="28"/>
  <c r="CW132" i="28"/>
  <c r="BU132" i="28"/>
  <c r="AS132" i="28"/>
  <c r="Q132" i="28"/>
  <c r="CJ132" i="28"/>
  <c r="BH132" i="28"/>
  <c r="AF132" i="28"/>
  <c r="BT132" i="28"/>
  <c r="E132" i="28"/>
  <c r="BP132" i="28"/>
  <c r="BK132" i="28"/>
  <c r="BJ132" i="28"/>
  <c r="BI132" i="28"/>
  <c r="AR132" i="28"/>
  <c r="AN132" i="28"/>
  <c r="AI132" i="28"/>
  <c r="CK132" i="28"/>
  <c r="F132" i="28"/>
  <c r="CV132" i="28"/>
  <c r="CR132" i="28"/>
  <c r="CM132" i="28"/>
  <c r="CL132" i="28"/>
  <c r="AH132" i="28"/>
  <c r="AG132" i="28"/>
  <c r="P132" i="28"/>
  <c r="L132" i="28"/>
  <c r="G132" i="28"/>
  <c r="CJ123" i="28"/>
  <c r="CV123" i="28"/>
  <c r="CO123" i="28"/>
  <c r="AO123" i="28"/>
  <c r="CR123" i="28"/>
  <c r="BY123" i="28"/>
  <c r="CM123" i="28"/>
  <c r="BU123" i="28"/>
  <c r="AU123" i="28"/>
  <c r="CA123" i="28"/>
  <c r="AY123" i="28"/>
  <c r="BP123" i="28"/>
  <c r="BB123" i="28"/>
  <c r="CT123" i="28"/>
  <c r="AW123" i="28"/>
  <c r="BS123" i="28"/>
  <c r="CY123" i="28"/>
  <c r="BT123" i="28"/>
  <c r="AQ123" i="28"/>
  <c r="AR123" i="28"/>
  <c r="BN123" i="28"/>
  <c r="CN123" i="28"/>
  <c r="CQ123" i="28"/>
  <c r="BI123" i="28"/>
  <c r="AK123" i="28"/>
  <c r="CG123" i="28"/>
  <c r="CW123" i="28"/>
  <c r="CK123" i="28"/>
  <c r="BG123" i="28"/>
  <c r="AS123" i="28"/>
  <c r="CE123" i="28"/>
  <c r="AI123" i="28"/>
  <c r="AT123" i="28"/>
  <c r="CS123" i="28"/>
  <c r="CI123" i="28"/>
  <c r="CU123" i="28"/>
  <c r="DA123" i="28"/>
  <c r="AZ123" i="28"/>
  <c r="AL123" i="28"/>
  <c r="BH123" i="28"/>
  <c r="AH123" i="28"/>
  <c r="BJ123" i="28"/>
  <c r="CP123" i="28"/>
  <c r="BW123" i="28"/>
  <c r="CB123" i="28"/>
  <c r="BQ123" i="28"/>
  <c r="BC123" i="28"/>
  <c r="BV123" i="28"/>
  <c r="AV123" i="28"/>
  <c r="N60" i="19" l="1"/>
  <c r="N70" i="19" s="1"/>
  <c r="M64" i="19"/>
  <c r="N32" i="19"/>
  <c r="M36" i="19"/>
  <c r="AY140" i="30"/>
  <c r="BM140" i="30"/>
  <c r="BA140" i="30"/>
  <c r="AO140" i="30"/>
  <c r="BC140" i="30"/>
  <c r="BF140" i="30"/>
  <c r="BH140" i="30"/>
  <c r="BZ140" i="30"/>
  <c r="BX140" i="30"/>
  <c r="BW140" i="30"/>
  <c r="CM140" i="30"/>
  <c r="CR140" i="30"/>
  <c r="BP140" i="30"/>
  <c r="AX140" i="30"/>
  <c r="CV140" i="30"/>
  <c r="CY140" i="30"/>
  <c r="BN140" i="30"/>
  <c r="CC140" i="30"/>
  <c r="BU140" i="30"/>
  <c r="CL140" i="30"/>
  <c r="AJ140" i="30"/>
  <c r="CG140" i="30"/>
  <c r="AI140" i="30"/>
  <c r="CW140" i="30"/>
  <c r="CD140" i="30"/>
  <c r="AW140" i="30"/>
  <c r="CH140" i="30"/>
  <c r="BR140" i="30"/>
  <c r="CO140" i="30"/>
  <c r="CQ140" i="30"/>
  <c r="CJ140" i="30"/>
  <c r="CZ140" i="30"/>
  <c r="BO140" i="30"/>
  <c r="AK140" i="30"/>
  <c r="AT140" i="30"/>
  <c r="BL140" i="30"/>
  <c r="CT140" i="30"/>
  <c r="CN140" i="30"/>
  <c r="CU140" i="30"/>
  <c r="BS140" i="30"/>
  <c r="AZ140" i="30"/>
  <c r="CI140" i="30"/>
  <c r="CK140" i="30"/>
  <c r="BI140" i="30"/>
  <c r="CF140" i="30"/>
  <c r="CX140" i="30"/>
  <c r="DA140" i="30"/>
  <c r="BQ140" i="30"/>
  <c r="AP140" i="30"/>
  <c r="CA140" i="30"/>
  <c r="BG140" i="30"/>
  <c r="BY140" i="30"/>
  <c r="CP140" i="30"/>
  <c r="AL140" i="30"/>
  <c r="BT140" i="30"/>
  <c r="BV140" i="30"/>
  <c r="C167" i="30"/>
  <c r="DA149" i="30"/>
  <c r="CY149" i="30"/>
  <c r="CS149" i="30"/>
  <c r="CE149" i="30"/>
  <c r="BQ149" i="30"/>
  <c r="BC149" i="30"/>
  <c r="AO149" i="30"/>
  <c r="AA149" i="30"/>
  <c r="M149" i="30"/>
  <c r="CR149" i="30"/>
  <c r="CD149" i="30"/>
  <c r="BP149" i="30"/>
  <c r="BB149" i="30"/>
  <c r="AN149" i="30"/>
  <c r="Z149" i="30"/>
  <c r="L149" i="30"/>
  <c r="CQ149" i="30"/>
  <c r="CC149" i="30"/>
  <c r="BO149" i="30"/>
  <c r="BA149" i="30"/>
  <c r="AM149" i="30"/>
  <c r="Y149" i="30"/>
  <c r="K149" i="30"/>
  <c r="CP149" i="30"/>
  <c r="CB149" i="30"/>
  <c r="BN149" i="30"/>
  <c r="AZ149" i="30"/>
  <c r="AL149" i="30"/>
  <c r="X149" i="30"/>
  <c r="J149" i="30"/>
  <c r="CN149" i="30"/>
  <c r="BZ149" i="30"/>
  <c r="BL149" i="30"/>
  <c r="AX149" i="30"/>
  <c r="AJ149" i="30"/>
  <c r="V149" i="30"/>
  <c r="H149" i="30"/>
  <c r="CM149" i="30"/>
  <c r="BY149" i="30"/>
  <c r="BK149" i="30"/>
  <c r="AW149" i="30"/>
  <c r="AI149" i="30"/>
  <c r="U149" i="30"/>
  <c r="G149" i="30"/>
  <c r="CK149" i="30"/>
  <c r="BM149" i="30"/>
  <c r="AQ149" i="30"/>
  <c r="Q149" i="30"/>
  <c r="CJ149" i="30"/>
  <c r="BJ149" i="30"/>
  <c r="AP149" i="30"/>
  <c r="P149" i="30"/>
  <c r="CI149" i="30"/>
  <c r="BI149" i="30"/>
  <c r="AK149" i="30"/>
  <c r="O149" i="30"/>
  <c r="CH149" i="30"/>
  <c r="BH149" i="30"/>
  <c r="AH149" i="30"/>
  <c r="N149" i="30"/>
  <c r="CG149" i="30"/>
  <c r="BG149" i="30"/>
  <c r="AG149" i="30"/>
  <c r="I149" i="30"/>
  <c r="CF149" i="30"/>
  <c r="BF149" i="30"/>
  <c r="AF149" i="30"/>
  <c r="F149" i="30"/>
  <c r="CZ149" i="30"/>
  <c r="CA149" i="30"/>
  <c r="BE149" i="30"/>
  <c r="AE149" i="30"/>
  <c r="E149" i="30"/>
  <c r="CW149" i="30"/>
  <c r="BW149" i="30"/>
  <c r="AY149" i="30"/>
  <c r="AC149" i="30"/>
  <c r="CV149" i="30"/>
  <c r="BV149" i="30"/>
  <c r="AV149" i="30"/>
  <c r="AB149" i="30"/>
  <c r="CT149" i="30"/>
  <c r="BT149" i="30"/>
  <c r="AT149" i="30"/>
  <c r="T149" i="30"/>
  <c r="W149" i="30"/>
  <c r="CX149" i="30"/>
  <c r="S149" i="30"/>
  <c r="CU149" i="30"/>
  <c r="R149" i="30"/>
  <c r="CO149" i="30"/>
  <c r="CL149" i="30"/>
  <c r="BX149" i="30"/>
  <c r="BU149" i="30"/>
  <c r="BR149" i="30"/>
  <c r="BD149" i="30"/>
  <c r="AD149" i="30"/>
  <c r="BS149" i="30"/>
  <c r="AU149" i="30"/>
  <c r="AS149" i="30"/>
  <c r="AR149" i="30"/>
  <c r="AM140" i="30"/>
  <c r="AH140" i="30"/>
  <c r="CS140" i="30"/>
  <c r="AR140" i="30"/>
  <c r="BE140" i="30"/>
  <c r="BB140" i="30"/>
  <c r="CB140" i="30"/>
  <c r="AU140" i="30"/>
  <c r="AV140" i="30"/>
  <c r="CE140" i="30"/>
  <c r="BD140" i="30"/>
  <c r="AN140" i="30"/>
  <c r="AQ140" i="30"/>
  <c r="AS140" i="30"/>
  <c r="BK140" i="30"/>
  <c r="BJ140" i="30"/>
  <c r="BB140" i="29"/>
  <c r="CR140" i="29"/>
  <c r="AH140" i="29"/>
  <c r="AM140" i="29"/>
  <c r="CC140" i="29"/>
  <c r="BP140" i="29"/>
  <c r="AZ140" i="29"/>
  <c r="BQ140" i="29"/>
  <c r="CJ140" i="29"/>
  <c r="AX140" i="29"/>
  <c r="CX140" i="29"/>
  <c r="AK140" i="29"/>
  <c r="BZ140" i="29"/>
  <c r="BI140" i="29"/>
  <c r="CY140" i="29"/>
  <c r="CL140" i="29"/>
  <c r="BF140" i="29"/>
  <c r="BM140" i="29"/>
  <c r="CP140" i="29"/>
  <c r="C167" i="29"/>
  <c r="CX149" i="29"/>
  <c r="CJ149" i="29"/>
  <c r="BV149" i="29"/>
  <c r="BH149" i="29"/>
  <c r="AT149" i="29"/>
  <c r="AF149" i="29"/>
  <c r="R149" i="29"/>
  <c r="CW149" i="29"/>
  <c r="CI149" i="29"/>
  <c r="BU149" i="29"/>
  <c r="BG149" i="29"/>
  <c r="AS149" i="29"/>
  <c r="AE149" i="29"/>
  <c r="Q149" i="29"/>
  <c r="CV149" i="29"/>
  <c r="CH149" i="29"/>
  <c r="BT149" i="29"/>
  <c r="BF149" i="29"/>
  <c r="AR149" i="29"/>
  <c r="AD149" i="29"/>
  <c r="P149" i="29"/>
  <c r="CU149" i="29"/>
  <c r="CG149" i="29"/>
  <c r="BS149" i="29"/>
  <c r="BE149" i="29"/>
  <c r="AQ149" i="29"/>
  <c r="AC149" i="29"/>
  <c r="O149" i="29"/>
  <c r="CT149" i="29"/>
  <c r="CF149" i="29"/>
  <c r="BR149" i="29"/>
  <c r="BD149" i="29"/>
  <c r="AP149" i="29"/>
  <c r="AB149" i="29"/>
  <c r="N149" i="29"/>
  <c r="CS149" i="29"/>
  <c r="CE149" i="29"/>
  <c r="BQ149" i="29"/>
  <c r="BC149" i="29"/>
  <c r="AO149" i="29"/>
  <c r="AA149" i="29"/>
  <c r="M149" i="29"/>
  <c r="CR149" i="29"/>
  <c r="CD149" i="29"/>
  <c r="BP149" i="29"/>
  <c r="BB149" i="29"/>
  <c r="AN149" i="29"/>
  <c r="Z149" i="29"/>
  <c r="L149" i="29"/>
  <c r="CQ149" i="29"/>
  <c r="CC149" i="29"/>
  <c r="BO149" i="29"/>
  <c r="BA149" i="29"/>
  <c r="AM149" i="29"/>
  <c r="Y149" i="29"/>
  <c r="K149" i="29"/>
  <c r="CP149" i="29"/>
  <c r="CB149" i="29"/>
  <c r="BN149" i="29"/>
  <c r="AZ149" i="29"/>
  <c r="BY149" i="29"/>
  <c r="AK149" i="29"/>
  <c r="G149" i="29"/>
  <c r="BX149" i="29"/>
  <c r="AJ149" i="29"/>
  <c r="F149" i="29"/>
  <c r="BW149" i="29"/>
  <c r="AI149" i="29"/>
  <c r="E149" i="29"/>
  <c r="DA149" i="29"/>
  <c r="BL149" i="29"/>
  <c r="AG149" i="29"/>
  <c r="CZ149" i="29"/>
  <c r="BK149" i="29"/>
  <c r="X149" i="29"/>
  <c r="CY149" i="29"/>
  <c r="BJ149" i="29"/>
  <c r="W149" i="29"/>
  <c r="CO149" i="29"/>
  <c r="BI149" i="29"/>
  <c r="V149" i="29"/>
  <c r="BZ149" i="29"/>
  <c r="AL149" i="29"/>
  <c r="H149" i="29"/>
  <c r="CK149" i="29"/>
  <c r="CA149" i="29"/>
  <c r="BM149" i="29"/>
  <c r="AY149" i="29"/>
  <c r="AX149" i="29"/>
  <c r="AW149" i="29"/>
  <c r="AV149" i="29"/>
  <c r="AU149" i="29"/>
  <c r="CL149" i="29"/>
  <c r="I149" i="29"/>
  <c r="CN149" i="29"/>
  <c r="CM149" i="29"/>
  <c r="AH149" i="29"/>
  <c r="U149" i="29"/>
  <c r="T149" i="29"/>
  <c r="S149" i="29"/>
  <c r="J149" i="29"/>
  <c r="CA140" i="29"/>
  <c r="AV140" i="29"/>
  <c r="AP140" i="29"/>
  <c r="AS140" i="29"/>
  <c r="BX140" i="29"/>
  <c r="CE140" i="29"/>
  <c r="BC140" i="29"/>
  <c r="AI140" i="29"/>
  <c r="CS140" i="29"/>
  <c r="BN140" i="29"/>
  <c r="BD140" i="29"/>
  <c r="BG140" i="29"/>
  <c r="BH140" i="29"/>
  <c r="BA140" i="29"/>
  <c r="BK140" i="29"/>
  <c r="CN140" i="29"/>
  <c r="AQ140" i="29"/>
  <c r="CG140" i="29"/>
  <c r="BR140" i="29"/>
  <c r="BU140" i="29"/>
  <c r="BV140" i="29"/>
  <c r="AO140" i="29"/>
  <c r="CQ140" i="29"/>
  <c r="BE140" i="29"/>
  <c r="AJ140" i="29"/>
  <c r="BL140" i="29"/>
  <c r="CF140" i="29"/>
  <c r="CI140" i="29"/>
  <c r="BY140" i="29"/>
  <c r="CO140" i="29"/>
  <c r="AN140" i="29"/>
  <c r="CD140" i="29"/>
  <c r="CT140" i="29"/>
  <c r="CW140" i="29"/>
  <c r="BT140" i="29"/>
  <c r="DA140" i="29"/>
  <c r="BS140" i="29"/>
  <c r="BJ140" i="29"/>
  <c r="CZ140" i="29"/>
  <c r="AW140" i="29"/>
  <c r="AU140" i="29"/>
  <c r="CB140" i="29"/>
  <c r="BO140" i="29"/>
  <c r="CM140" i="29"/>
  <c r="CH140" i="29"/>
  <c r="CV140" i="29"/>
  <c r="AL140" i="29"/>
  <c r="BW140" i="29"/>
  <c r="AY140" i="29"/>
  <c r="CU140" i="29"/>
  <c r="CK140" i="29"/>
  <c r="AR140" i="29"/>
  <c r="AT140" i="29"/>
  <c r="BI140" i="28"/>
  <c r="BN140" i="28"/>
  <c r="CN140" i="28"/>
  <c r="CD140" i="28"/>
  <c r="BL140" i="28"/>
  <c r="CX140" i="28"/>
  <c r="CB140" i="28"/>
  <c r="CE140" i="28"/>
  <c r="BP140" i="28"/>
  <c r="CS140" i="28"/>
  <c r="AH140" i="28"/>
  <c r="AU140" i="28"/>
  <c r="C167" i="28"/>
  <c r="CS149" i="28"/>
  <c r="CE149" i="28"/>
  <c r="BQ149" i="28"/>
  <c r="BC149" i="28"/>
  <c r="AO149" i="28"/>
  <c r="AA149" i="28"/>
  <c r="M149" i="28"/>
  <c r="CR149" i="28"/>
  <c r="CD149" i="28"/>
  <c r="BP149" i="28"/>
  <c r="CQ149" i="28"/>
  <c r="CC149" i="28"/>
  <c r="BO149" i="28"/>
  <c r="CN149" i="28"/>
  <c r="BW149" i="28"/>
  <c r="BF149" i="28"/>
  <c r="AQ149" i="28"/>
  <c r="AB149" i="28"/>
  <c r="L149" i="28"/>
  <c r="CM149" i="28"/>
  <c r="BV149" i="28"/>
  <c r="BE149" i="28"/>
  <c r="AP149" i="28"/>
  <c r="Z149" i="28"/>
  <c r="K149" i="28"/>
  <c r="CL149" i="28"/>
  <c r="BU149" i="28"/>
  <c r="BD149" i="28"/>
  <c r="AN149" i="28"/>
  <c r="Y149" i="28"/>
  <c r="J149" i="28"/>
  <c r="CK149" i="28"/>
  <c r="BT149" i="28"/>
  <c r="BB149" i="28"/>
  <c r="AM149" i="28"/>
  <c r="X149" i="28"/>
  <c r="I149" i="28"/>
  <c r="DA149" i="28"/>
  <c r="CJ149" i="28"/>
  <c r="BS149" i="28"/>
  <c r="BA149" i="28"/>
  <c r="AL149" i="28"/>
  <c r="W149" i="28"/>
  <c r="H149" i="28"/>
  <c r="CZ149" i="28"/>
  <c r="CI149" i="28"/>
  <c r="BR149" i="28"/>
  <c r="AZ149" i="28"/>
  <c r="AK149" i="28"/>
  <c r="V149" i="28"/>
  <c r="G149" i="28"/>
  <c r="CY149" i="28"/>
  <c r="CH149" i="28"/>
  <c r="BN149" i="28"/>
  <c r="AY149" i="28"/>
  <c r="AJ149" i="28"/>
  <c r="U149" i="28"/>
  <c r="F149" i="28"/>
  <c r="CX149" i="28"/>
  <c r="CG149" i="28"/>
  <c r="BM149" i="28"/>
  <c r="AX149" i="28"/>
  <c r="AI149" i="28"/>
  <c r="T149" i="28"/>
  <c r="E149" i="28"/>
  <c r="CO149" i="28"/>
  <c r="BX149" i="28"/>
  <c r="BG149" i="28"/>
  <c r="AR149" i="28"/>
  <c r="AC149" i="28"/>
  <c r="N149" i="28"/>
  <c r="CB149" i="28"/>
  <c r="AH149" i="28"/>
  <c r="CA149" i="28"/>
  <c r="AG149" i="28"/>
  <c r="BZ149" i="28"/>
  <c r="AF149" i="28"/>
  <c r="BY149" i="28"/>
  <c r="AE149" i="28"/>
  <c r="BL149" i="28"/>
  <c r="AD149" i="28"/>
  <c r="BK149" i="28"/>
  <c r="S149" i="28"/>
  <c r="BJ149" i="28"/>
  <c r="R149" i="28"/>
  <c r="BI149" i="28"/>
  <c r="Q149" i="28"/>
  <c r="CF149" i="28"/>
  <c r="AS149" i="28"/>
  <c r="AT149" i="28"/>
  <c r="P149" i="28"/>
  <c r="O149" i="28"/>
  <c r="CW149" i="28"/>
  <c r="CV149" i="28"/>
  <c r="CU149" i="28"/>
  <c r="AU149" i="28"/>
  <c r="CT149" i="28"/>
  <c r="CP149" i="28"/>
  <c r="BH149" i="28"/>
  <c r="AW149" i="28"/>
  <c r="AV149" i="28"/>
  <c r="BC140" i="28"/>
  <c r="BV140" i="28"/>
  <c r="CP140" i="28"/>
  <c r="CU140" i="28"/>
  <c r="CL140" i="28"/>
  <c r="BT140" i="28"/>
  <c r="BW140" i="28"/>
  <c r="BF140" i="28"/>
  <c r="AK140" i="28"/>
  <c r="CY140" i="28"/>
  <c r="BH140" i="28"/>
  <c r="BM140" i="28"/>
  <c r="BA140" i="28"/>
  <c r="BD140" i="28"/>
  <c r="CV140" i="28"/>
  <c r="CJ140" i="28"/>
  <c r="AV140" i="28"/>
  <c r="BG140" i="28"/>
  <c r="CA140" i="28"/>
  <c r="BO140" i="28"/>
  <c r="BR140" i="28"/>
  <c r="AZ140" i="28"/>
  <c r="BB140" i="28"/>
  <c r="CG140" i="28"/>
  <c r="AM140" i="28"/>
  <c r="BX140" i="28"/>
  <c r="CI140" i="28"/>
  <c r="CO140" i="28"/>
  <c r="CC140" i="28"/>
  <c r="CF140" i="28"/>
  <c r="BQ140" i="28"/>
  <c r="CM140" i="28"/>
  <c r="CQ140" i="28"/>
  <c r="CT140" i="28"/>
  <c r="DA140" i="28"/>
  <c r="BZ140" i="28"/>
  <c r="CH140" i="28"/>
  <c r="CK140" i="28"/>
  <c r="AS140" i="28"/>
  <c r="CZ140" i="28"/>
  <c r="AI140" i="28"/>
  <c r="BU140" i="28"/>
  <c r="AT140" i="28"/>
  <c r="BS140" i="28"/>
  <c r="AY140" i="28"/>
  <c r="AN140" i="28"/>
  <c r="CW140" i="28"/>
  <c r="AW140" i="28"/>
  <c r="AJ140" i="28"/>
  <c r="BE140" i="28"/>
  <c r="BJ140" i="28"/>
  <c r="BK140" i="28"/>
  <c r="AP140" i="28"/>
  <c r="CR140" i="28"/>
  <c r="AR140" i="28"/>
  <c r="BY140" i="28"/>
  <c r="AX140" i="28"/>
  <c r="AL140" i="28"/>
  <c r="AO140" i="28"/>
  <c r="AQ140" i="28"/>
  <c r="O60" i="19" l="1"/>
  <c r="O70" i="19" s="1"/>
  <c r="N64" i="19"/>
  <c r="N36" i="19"/>
  <c r="O32" i="19"/>
  <c r="AY157" i="30"/>
  <c r="BG157" i="30"/>
  <c r="AJ157" i="30"/>
  <c r="AM157" i="30"/>
  <c r="AO157" i="30"/>
  <c r="CU157" i="30"/>
  <c r="BW157" i="30"/>
  <c r="CG157" i="30"/>
  <c r="AQ157" i="30"/>
  <c r="BA157" i="30"/>
  <c r="BC157" i="30"/>
  <c r="CW157" i="30"/>
  <c r="BM157" i="30"/>
  <c r="BO157" i="30"/>
  <c r="BQ157" i="30"/>
  <c r="AR157" i="30"/>
  <c r="CX157" i="30"/>
  <c r="CK157" i="30"/>
  <c r="BZ157" i="30"/>
  <c r="CC157" i="30"/>
  <c r="CE157" i="30"/>
  <c r="AX157" i="30"/>
  <c r="BL157" i="30"/>
  <c r="AS157" i="30"/>
  <c r="BH157" i="30"/>
  <c r="CN157" i="30"/>
  <c r="CQ157" i="30"/>
  <c r="CS157" i="30"/>
  <c r="AU157" i="30"/>
  <c r="BE157" i="30"/>
  <c r="CH157" i="30"/>
  <c r="CY157" i="30"/>
  <c r="BS157" i="30"/>
  <c r="AI157" i="30"/>
  <c r="DA157" i="30"/>
  <c r="CZ157" i="30"/>
  <c r="AW157" i="30"/>
  <c r="CQ166" i="30"/>
  <c r="CC166" i="30"/>
  <c r="BO166" i="30"/>
  <c r="BA166" i="30"/>
  <c r="AM166" i="30"/>
  <c r="Y166" i="30"/>
  <c r="K166" i="30"/>
  <c r="CP166" i="30"/>
  <c r="CB166" i="30"/>
  <c r="BN166" i="30"/>
  <c r="AZ166" i="30"/>
  <c r="AL166" i="30"/>
  <c r="X166" i="30"/>
  <c r="J166" i="30"/>
  <c r="CO166" i="30"/>
  <c r="CA166" i="30"/>
  <c r="BM166" i="30"/>
  <c r="AY166" i="30"/>
  <c r="AK166" i="30"/>
  <c r="W166" i="30"/>
  <c r="I166" i="30"/>
  <c r="CN166" i="30"/>
  <c r="BZ166" i="30"/>
  <c r="BL166" i="30"/>
  <c r="AX166" i="30"/>
  <c r="AJ166" i="30"/>
  <c r="V166" i="30"/>
  <c r="H166" i="30"/>
  <c r="DA166" i="30"/>
  <c r="CM166" i="30"/>
  <c r="BY166" i="30"/>
  <c r="BK166" i="30"/>
  <c r="AW166" i="30"/>
  <c r="AI166" i="30"/>
  <c r="U166" i="30"/>
  <c r="G166" i="30"/>
  <c r="CZ166" i="30"/>
  <c r="CL166" i="30"/>
  <c r="BX166" i="30"/>
  <c r="BJ166" i="30"/>
  <c r="AV166" i="30"/>
  <c r="AH166" i="30"/>
  <c r="T166" i="30"/>
  <c r="F166" i="30"/>
  <c r="CY166" i="30"/>
  <c r="CK166" i="30"/>
  <c r="BW166" i="30"/>
  <c r="BI166" i="30"/>
  <c r="AU166" i="30"/>
  <c r="AG166" i="30"/>
  <c r="S166" i="30"/>
  <c r="E166" i="30"/>
  <c r="CX166" i="30"/>
  <c r="CJ166" i="30"/>
  <c r="BV166" i="30"/>
  <c r="BH166" i="30"/>
  <c r="AT166" i="30"/>
  <c r="AF166" i="30"/>
  <c r="R166" i="30"/>
  <c r="CE166" i="30"/>
  <c r="AS166" i="30"/>
  <c r="O166" i="30"/>
  <c r="CD166" i="30"/>
  <c r="AR166" i="30"/>
  <c r="N166" i="30"/>
  <c r="BU166" i="30"/>
  <c r="AQ166" i="30"/>
  <c r="M166" i="30"/>
  <c r="BT166" i="30"/>
  <c r="AP166" i="30"/>
  <c r="L166" i="30"/>
  <c r="CW166" i="30"/>
  <c r="BS166" i="30"/>
  <c r="AO166" i="30"/>
  <c r="CT166" i="30"/>
  <c r="BC166" i="30"/>
  <c r="CS166" i="30"/>
  <c r="BB166" i="30"/>
  <c r="CR166" i="30"/>
  <c r="AN166" i="30"/>
  <c r="CI166" i="30"/>
  <c r="AE166" i="30"/>
  <c r="CH166" i="30"/>
  <c r="AD166" i="30"/>
  <c r="CG166" i="30"/>
  <c r="AC166" i="30"/>
  <c r="CF166" i="30"/>
  <c r="AB166" i="30"/>
  <c r="BQ166" i="30"/>
  <c r="Z166" i="30"/>
  <c r="CV166" i="30"/>
  <c r="CU166" i="30"/>
  <c r="BR166" i="30"/>
  <c r="BP166" i="30"/>
  <c r="BG166" i="30"/>
  <c r="BF166" i="30"/>
  <c r="BD166" i="30"/>
  <c r="AA166" i="30"/>
  <c r="P166" i="30"/>
  <c r="BE166" i="30"/>
  <c r="Q166" i="30"/>
  <c r="CT157" i="30"/>
  <c r="BK157" i="30"/>
  <c r="BR157" i="30"/>
  <c r="CI157" i="30"/>
  <c r="BY157" i="30"/>
  <c r="BN157" i="30"/>
  <c r="BP157" i="30"/>
  <c r="BI157" i="30"/>
  <c r="BB157" i="30"/>
  <c r="BU157" i="30"/>
  <c r="AV157" i="30"/>
  <c r="BF157" i="30"/>
  <c r="CM157" i="30"/>
  <c r="CB157" i="30"/>
  <c r="CD157" i="30"/>
  <c r="AT157" i="30"/>
  <c r="BT157" i="30"/>
  <c r="AK157" i="30"/>
  <c r="AL157" i="30"/>
  <c r="AN157" i="30"/>
  <c r="AZ157" i="30"/>
  <c r="BX157" i="30"/>
  <c r="BV157" i="30"/>
  <c r="CF157" i="30"/>
  <c r="AP157" i="30"/>
  <c r="CP157" i="30"/>
  <c r="CR157" i="30"/>
  <c r="CA157" i="30"/>
  <c r="BD157" i="30"/>
  <c r="CL157" i="30"/>
  <c r="CV157" i="30"/>
  <c r="BJ157" i="30"/>
  <c r="CO157" i="30"/>
  <c r="CJ157" i="30"/>
  <c r="BM157" i="29"/>
  <c r="CZ157" i="29"/>
  <c r="BB157" i="29"/>
  <c r="BF157" i="29"/>
  <c r="BR157" i="29"/>
  <c r="CK157" i="29"/>
  <c r="CD157" i="29"/>
  <c r="DA157" i="29"/>
  <c r="AL157" i="29"/>
  <c r="CQ166" i="29"/>
  <c r="CC166" i="29"/>
  <c r="BO166" i="29"/>
  <c r="BA166" i="29"/>
  <c r="AM166" i="29"/>
  <c r="Y166" i="29"/>
  <c r="K166" i="29"/>
  <c r="CP166" i="29"/>
  <c r="CB166" i="29"/>
  <c r="BN166" i="29"/>
  <c r="AZ166" i="29"/>
  <c r="AL166" i="29"/>
  <c r="X166" i="29"/>
  <c r="J166" i="29"/>
  <c r="CO166" i="29"/>
  <c r="CA166" i="29"/>
  <c r="BM166" i="29"/>
  <c r="AY166" i="29"/>
  <c r="AK166" i="29"/>
  <c r="W166" i="29"/>
  <c r="I166" i="29"/>
  <c r="DA166" i="29"/>
  <c r="CM166" i="29"/>
  <c r="BY166" i="29"/>
  <c r="BK166" i="29"/>
  <c r="AW166" i="29"/>
  <c r="AI166" i="29"/>
  <c r="U166" i="29"/>
  <c r="G166" i="29"/>
  <c r="CY166" i="29"/>
  <c r="CK166" i="29"/>
  <c r="BW166" i="29"/>
  <c r="BI166" i="29"/>
  <c r="AU166" i="29"/>
  <c r="AG166" i="29"/>
  <c r="S166" i="29"/>
  <c r="E166" i="29"/>
  <c r="CX166" i="29"/>
  <c r="CJ166" i="29"/>
  <c r="BV166" i="29"/>
  <c r="BH166" i="29"/>
  <c r="AT166" i="29"/>
  <c r="AF166" i="29"/>
  <c r="R166" i="29"/>
  <c r="CN166" i="29"/>
  <c r="BQ166" i="29"/>
  <c r="AQ166" i="29"/>
  <c r="Q166" i="29"/>
  <c r="CL166" i="29"/>
  <c r="BP166" i="29"/>
  <c r="AP166" i="29"/>
  <c r="P166" i="29"/>
  <c r="CI166" i="29"/>
  <c r="BL166" i="29"/>
  <c r="AO166" i="29"/>
  <c r="O166" i="29"/>
  <c r="CG166" i="29"/>
  <c r="BG166" i="29"/>
  <c r="AJ166" i="29"/>
  <c r="M166" i="29"/>
  <c r="CF166" i="29"/>
  <c r="BF166" i="29"/>
  <c r="AH166" i="29"/>
  <c r="L166" i="29"/>
  <c r="CE166" i="29"/>
  <c r="BE166" i="29"/>
  <c r="AE166" i="29"/>
  <c r="H166" i="29"/>
  <c r="CZ166" i="29"/>
  <c r="CD166" i="29"/>
  <c r="BD166" i="29"/>
  <c r="AD166" i="29"/>
  <c r="F166" i="29"/>
  <c r="CR166" i="29"/>
  <c r="BR166" i="29"/>
  <c r="AR166" i="29"/>
  <c r="T166" i="29"/>
  <c r="CS166" i="29"/>
  <c r="AC166" i="29"/>
  <c r="CH166" i="29"/>
  <c r="AB166" i="29"/>
  <c r="BZ166" i="29"/>
  <c r="AA166" i="29"/>
  <c r="BX166" i="29"/>
  <c r="Z166" i="29"/>
  <c r="BU166" i="29"/>
  <c r="V166" i="29"/>
  <c r="BT166" i="29"/>
  <c r="N166" i="29"/>
  <c r="BS166" i="29"/>
  <c r="BJ166" i="29"/>
  <c r="BC166" i="29"/>
  <c r="AN166" i="29"/>
  <c r="CW166" i="29"/>
  <c r="CV166" i="29"/>
  <c r="AS166" i="29"/>
  <c r="BB166" i="29"/>
  <c r="AX166" i="29"/>
  <c r="AV166" i="29"/>
  <c r="CT166" i="29"/>
  <c r="CU166" i="29"/>
  <c r="BT157" i="29"/>
  <c r="CF157" i="29"/>
  <c r="CM157" i="29"/>
  <c r="BZ157" i="29"/>
  <c r="AI157" i="29"/>
  <c r="BL157" i="29"/>
  <c r="CB157" i="29"/>
  <c r="CH157" i="29"/>
  <c r="CR157" i="29"/>
  <c r="CN157" i="29"/>
  <c r="BW157" i="29"/>
  <c r="AM157" i="29"/>
  <c r="AO157" i="29"/>
  <c r="AQ157" i="29"/>
  <c r="AS157" i="29"/>
  <c r="BP157" i="29"/>
  <c r="CT157" i="29"/>
  <c r="BI157" i="29"/>
  <c r="BA157" i="29"/>
  <c r="BC157" i="29"/>
  <c r="BE157" i="29"/>
  <c r="BG157" i="29"/>
  <c r="CP157" i="29"/>
  <c r="CL157" i="29"/>
  <c r="CO157" i="29"/>
  <c r="BO157" i="29"/>
  <c r="BQ157" i="29"/>
  <c r="BS157" i="29"/>
  <c r="BU157" i="29"/>
  <c r="BH157" i="29"/>
  <c r="BV157" i="29"/>
  <c r="AU157" i="29"/>
  <c r="AJ157" i="29"/>
  <c r="CC157" i="29"/>
  <c r="CE157" i="29"/>
  <c r="CG157" i="29"/>
  <c r="CI157" i="29"/>
  <c r="AZ157" i="29"/>
  <c r="AV157" i="29"/>
  <c r="BJ157" i="29"/>
  <c r="BX157" i="29"/>
  <c r="CQ157" i="29"/>
  <c r="CS157" i="29"/>
  <c r="CU157" i="29"/>
  <c r="CW157" i="29"/>
  <c r="CJ157" i="29"/>
  <c r="AW157" i="29"/>
  <c r="CY157" i="29"/>
  <c r="BD157" i="29"/>
  <c r="CX157" i="29"/>
  <c r="AX157" i="29"/>
  <c r="AK157" i="29"/>
  <c r="CA157" i="29"/>
  <c r="BN157" i="29"/>
  <c r="CV157" i="29"/>
  <c r="AY157" i="29"/>
  <c r="BK157" i="29"/>
  <c r="BY157" i="29"/>
  <c r="AN157" i="29"/>
  <c r="AP157" i="29"/>
  <c r="AR157" i="29"/>
  <c r="AT157" i="29"/>
  <c r="CW157" i="28"/>
  <c r="BP157" i="28"/>
  <c r="BY157" i="28"/>
  <c r="CR157" i="28"/>
  <c r="BB157" i="28"/>
  <c r="AS157" i="28"/>
  <c r="BM157" i="28"/>
  <c r="BR157" i="28"/>
  <c r="BT157" i="28"/>
  <c r="CM157" i="28"/>
  <c r="AT157" i="28"/>
  <c r="AX157" i="28"/>
  <c r="CF157" i="28"/>
  <c r="CA157" i="28"/>
  <c r="CG157" i="28"/>
  <c r="CI157" i="28"/>
  <c r="CK157" i="28"/>
  <c r="AO157" i="28"/>
  <c r="CD157" i="28"/>
  <c r="AV157" i="28"/>
  <c r="CX157" i="28"/>
  <c r="AW157" i="28"/>
  <c r="BI157" i="28"/>
  <c r="CB157" i="28"/>
  <c r="AQ157" i="28"/>
  <c r="BQ157" i="28"/>
  <c r="CZ157" i="28"/>
  <c r="BC157" i="28"/>
  <c r="BH157" i="28"/>
  <c r="AN157" i="28"/>
  <c r="BF157" i="28"/>
  <c r="CE157" i="28"/>
  <c r="AM157" i="28"/>
  <c r="CP157" i="28"/>
  <c r="BJ157" i="28"/>
  <c r="AJ157" i="28"/>
  <c r="AL157" i="28"/>
  <c r="BD157" i="28"/>
  <c r="BW157" i="28"/>
  <c r="CS157" i="28"/>
  <c r="AI157" i="28"/>
  <c r="CT157" i="28"/>
  <c r="AR157" i="28"/>
  <c r="AY157" i="28"/>
  <c r="BA157" i="28"/>
  <c r="BU157" i="28"/>
  <c r="CN157" i="28"/>
  <c r="CQ166" i="28"/>
  <c r="CC166" i="28"/>
  <c r="BO166" i="28"/>
  <c r="BA166" i="28"/>
  <c r="AM166" i="28"/>
  <c r="Y166" i="28"/>
  <c r="K166" i="28"/>
  <c r="CP166" i="28"/>
  <c r="CB166" i="28"/>
  <c r="BN166" i="28"/>
  <c r="AZ166" i="28"/>
  <c r="AL166" i="28"/>
  <c r="X166" i="28"/>
  <c r="J166" i="28"/>
  <c r="CO166" i="28"/>
  <c r="CA166" i="28"/>
  <c r="BM166" i="28"/>
  <c r="AY166" i="28"/>
  <c r="AK166" i="28"/>
  <c r="W166" i="28"/>
  <c r="I166" i="28"/>
  <c r="CN166" i="28"/>
  <c r="BZ166" i="28"/>
  <c r="BL166" i="28"/>
  <c r="AX166" i="28"/>
  <c r="AJ166" i="28"/>
  <c r="V166" i="28"/>
  <c r="H166" i="28"/>
  <c r="DA166" i="28"/>
  <c r="CM166" i="28"/>
  <c r="BY166" i="28"/>
  <c r="BK166" i="28"/>
  <c r="AW166" i="28"/>
  <c r="AI166" i="28"/>
  <c r="U166" i="28"/>
  <c r="G166" i="28"/>
  <c r="CZ166" i="28"/>
  <c r="CL166" i="28"/>
  <c r="BX166" i="28"/>
  <c r="BJ166" i="28"/>
  <c r="AV166" i="28"/>
  <c r="AH166" i="28"/>
  <c r="T166" i="28"/>
  <c r="F166" i="28"/>
  <c r="CY166" i="28"/>
  <c r="CK166" i="28"/>
  <c r="BW166" i="28"/>
  <c r="BI166" i="28"/>
  <c r="AU166" i="28"/>
  <c r="AG166" i="28"/>
  <c r="S166" i="28"/>
  <c r="E166" i="28"/>
  <c r="CX166" i="28"/>
  <c r="CJ166" i="28"/>
  <c r="BV166" i="28"/>
  <c r="BH166" i="28"/>
  <c r="AT166" i="28"/>
  <c r="AF166" i="28"/>
  <c r="R166" i="28"/>
  <c r="CV166" i="28"/>
  <c r="CH166" i="28"/>
  <c r="BT166" i="28"/>
  <c r="BF166" i="28"/>
  <c r="AR166" i="28"/>
  <c r="AD166" i="28"/>
  <c r="P166" i="28"/>
  <c r="BQ166" i="28"/>
  <c r="AB166" i="28"/>
  <c r="CW166" i="28"/>
  <c r="BP166" i="28"/>
  <c r="AA166" i="28"/>
  <c r="CU166" i="28"/>
  <c r="BG166" i="28"/>
  <c r="Z166" i="28"/>
  <c r="CT166" i="28"/>
  <c r="BE166" i="28"/>
  <c r="Q166" i="28"/>
  <c r="CS166" i="28"/>
  <c r="BD166" i="28"/>
  <c r="O166" i="28"/>
  <c r="CR166" i="28"/>
  <c r="BC166" i="28"/>
  <c r="N166" i="28"/>
  <c r="CI166" i="28"/>
  <c r="BB166" i="28"/>
  <c r="M166" i="28"/>
  <c r="CG166" i="28"/>
  <c r="AS166" i="28"/>
  <c r="L166" i="28"/>
  <c r="BR166" i="28"/>
  <c r="AC166" i="28"/>
  <c r="CF166" i="28"/>
  <c r="CE166" i="28"/>
  <c r="CD166" i="28"/>
  <c r="BU166" i="28"/>
  <c r="BS166" i="28"/>
  <c r="AQ166" i="28"/>
  <c r="AP166" i="28"/>
  <c r="AO166" i="28"/>
  <c r="AN166" i="28"/>
  <c r="AE166" i="28"/>
  <c r="BZ157" i="28"/>
  <c r="AU157" i="28"/>
  <c r="BK157" i="28"/>
  <c r="BG157" i="28"/>
  <c r="BN157" i="28"/>
  <c r="BS157" i="28"/>
  <c r="CL157" i="28"/>
  <c r="BO157" i="28"/>
  <c r="BE157" i="28"/>
  <c r="AZ157" i="28"/>
  <c r="CU157" i="28"/>
  <c r="BX157" i="28"/>
  <c r="CH157" i="28"/>
  <c r="CJ157" i="28"/>
  <c r="CC157" i="28"/>
  <c r="AP157" i="28"/>
  <c r="AK157" i="28"/>
  <c r="BV157" i="28"/>
  <c r="CV157" i="28"/>
  <c r="BL157" i="28"/>
  <c r="CO157" i="28"/>
  <c r="CY157" i="28"/>
  <c r="DA157" i="28"/>
  <c r="CQ157" i="28"/>
  <c r="P60" i="19" l="1"/>
  <c r="P70" i="19" s="1"/>
  <c r="O64" i="19"/>
  <c r="O36" i="19"/>
  <c r="P32" i="19"/>
  <c r="Q60" i="19"/>
  <c r="Q70" i="19" s="1"/>
  <c r="BS174" i="30"/>
  <c r="BS190" i="30" s="1"/>
  <c r="BY174" i="30"/>
  <c r="BY190" i="30" s="1"/>
  <c r="BR174" i="30"/>
  <c r="BR190" i="30" s="1"/>
  <c r="CR174" i="30"/>
  <c r="CR190" i="30" s="1"/>
  <c r="CZ174" i="30"/>
  <c r="CZ190" i="30" s="1"/>
  <c r="BZ174" i="30"/>
  <c r="BZ190" i="30" s="1"/>
  <c r="BN174" i="30"/>
  <c r="BN190" i="30" s="1"/>
  <c r="CU174" i="30"/>
  <c r="CU190" i="30" s="1"/>
  <c r="AR174" i="30"/>
  <c r="AR190" i="30" s="1"/>
  <c r="CN174" i="30"/>
  <c r="CN190" i="30" s="1"/>
  <c r="CV174" i="30"/>
  <c r="CV190" i="30" s="1"/>
  <c r="CD174" i="30"/>
  <c r="CD190" i="30" s="1"/>
  <c r="AU174" i="30"/>
  <c r="AU190" i="30" s="1"/>
  <c r="CP174" i="30"/>
  <c r="CP190" i="30" s="1"/>
  <c r="BC174" i="30"/>
  <c r="BC190" i="30" s="1"/>
  <c r="BI174" i="30"/>
  <c r="BI190" i="30" s="1"/>
  <c r="BB174" i="30"/>
  <c r="BB190" i="30" s="1"/>
  <c r="CB174" i="30"/>
  <c r="CB190" i="30" s="1"/>
  <c r="BQ174" i="30"/>
  <c r="BQ190" i="30" s="1"/>
  <c r="CT174" i="30"/>
  <c r="CT190" i="30" s="1"/>
  <c r="AS174" i="30"/>
  <c r="AS190" i="30" s="1"/>
  <c r="BW174" i="30"/>
  <c r="BW190" i="30" s="1"/>
  <c r="AW174" i="30"/>
  <c r="AW190" i="30" s="1"/>
  <c r="AK174" i="30"/>
  <c r="AK190" i="30" s="1"/>
  <c r="CS174" i="30"/>
  <c r="CS190" i="30" s="1"/>
  <c r="AO174" i="30"/>
  <c r="AO190" i="30" s="1"/>
  <c r="CE174" i="30"/>
  <c r="CE190" i="30" s="1"/>
  <c r="CK174" i="30"/>
  <c r="CK190" i="30" s="1"/>
  <c r="BK174" i="30"/>
  <c r="BK190" i="30" s="1"/>
  <c r="AY174" i="30"/>
  <c r="AY190" i="30" s="1"/>
  <c r="AM174" i="30"/>
  <c r="AM190" i="30" s="1"/>
  <c r="CF174" i="30"/>
  <c r="CF190" i="30" s="1"/>
  <c r="CY174" i="30"/>
  <c r="CY190" i="30" s="1"/>
  <c r="BA174" i="30"/>
  <c r="BA190" i="30" s="1"/>
  <c r="BM174" i="30"/>
  <c r="BM190" i="30" s="1"/>
  <c r="CW174" i="30"/>
  <c r="CW190" i="30" s="1"/>
  <c r="CA174" i="30"/>
  <c r="CA190" i="30" s="1"/>
  <c r="CG174" i="30"/>
  <c r="CG190" i="30" s="1"/>
  <c r="AT174" i="30"/>
  <c r="AT190" i="30" s="1"/>
  <c r="DA174" i="30"/>
  <c r="DA190" i="30" s="1"/>
  <c r="CO174" i="30"/>
  <c r="CO190" i="30" s="1"/>
  <c r="CC174" i="30"/>
  <c r="CC190" i="30" s="1"/>
  <c r="AP174" i="30"/>
  <c r="AP190" i="30" s="1"/>
  <c r="BH174" i="30"/>
  <c r="BH190" i="30" s="1"/>
  <c r="CQ174" i="30"/>
  <c r="CQ190" i="30" s="1"/>
  <c r="CM174" i="30"/>
  <c r="CM190" i="30" s="1"/>
  <c r="BD174" i="30"/>
  <c r="BD190" i="30" s="1"/>
  <c r="CH174" i="30"/>
  <c r="CH190" i="30" s="1"/>
  <c r="BT174" i="30"/>
  <c r="BT190" i="30" s="1"/>
  <c r="BV174" i="30"/>
  <c r="BV190" i="30" s="1"/>
  <c r="AV174" i="30"/>
  <c r="AV190" i="30" s="1"/>
  <c r="BE174" i="30"/>
  <c r="BE190" i="30" s="1"/>
  <c r="BO174" i="30"/>
  <c r="BO190" i="30" s="1"/>
  <c r="BF174" i="30"/>
  <c r="BF190" i="30" s="1"/>
  <c r="CJ174" i="30"/>
  <c r="CJ190" i="30" s="1"/>
  <c r="BJ174" i="30"/>
  <c r="BJ190" i="30" s="1"/>
  <c r="AJ174" i="30"/>
  <c r="AJ190" i="30" s="1"/>
  <c r="BG174" i="30"/>
  <c r="BG190" i="30" s="1"/>
  <c r="CI174" i="30"/>
  <c r="CI190" i="30" s="1"/>
  <c r="AQ174" i="30"/>
  <c r="AQ190" i="30" s="1"/>
  <c r="CX174" i="30"/>
  <c r="CX190" i="30" s="1"/>
  <c r="BX174" i="30"/>
  <c r="BX190" i="30" s="1"/>
  <c r="AX174" i="30"/>
  <c r="AX190" i="30" s="1"/>
  <c r="AL174" i="30"/>
  <c r="AL190" i="30" s="1"/>
  <c r="BP174" i="30"/>
  <c r="BP190" i="30" s="1"/>
  <c r="AN174" i="30"/>
  <c r="AN190" i="30" s="1"/>
  <c r="BU174" i="30"/>
  <c r="BU190" i="30" s="1"/>
  <c r="CL174" i="30"/>
  <c r="CL190" i="30" s="1"/>
  <c r="BL174" i="30"/>
  <c r="BL190" i="30" s="1"/>
  <c r="AZ174" i="30"/>
  <c r="AZ190" i="30" s="1"/>
  <c r="CQ174" i="29"/>
  <c r="CQ190" i="29" s="1"/>
  <c r="BB174" i="29"/>
  <c r="BB190" i="29" s="1"/>
  <c r="CV174" i="29"/>
  <c r="CV190" i="29" s="1"/>
  <c r="CI174" i="29"/>
  <c r="CI190" i="29" s="1"/>
  <c r="CJ174" i="29"/>
  <c r="CJ190" i="29" s="1"/>
  <c r="BK174" i="29"/>
  <c r="BK190" i="29" s="1"/>
  <c r="AL174" i="29"/>
  <c r="AL190" i="29" s="1"/>
  <c r="CW174" i="29"/>
  <c r="CW190" i="29" s="1"/>
  <c r="CH174" i="29"/>
  <c r="CH190" i="29" s="1"/>
  <c r="BE174" i="29"/>
  <c r="BE190" i="29" s="1"/>
  <c r="CX174" i="29"/>
  <c r="CX190" i="29" s="1"/>
  <c r="BY174" i="29"/>
  <c r="BY190" i="29" s="1"/>
  <c r="AZ174" i="29"/>
  <c r="AZ190" i="29" s="1"/>
  <c r="BD174" i="29"/>
  <c r="BD190" i="29" s="1"/>
  <c r="AX174" i="29"/>
  <c r="AX190" i="29" s="1"/>
  <c r="AN174" i="29"/>
  <c r="AN190" i="29" s="1"/>
  <c r="CE174" i="29"/>
  <c r="CE190" i="29" s="1"/>
  <c r="AP174" i="29"/>
  <c r="AP190" i="29" s="1"/>
  <c r="CM174" i="29"/>
  <c r="CM190" i="29" s="1"/>
  <c r="BN174" i="29"/>
  <c r="BN190" i="29" s="1"/>
  <c r="BX174" i="29"/>
  <c r="BX190" i="29" s="1"/>
  <c r="BL174" i="29"/>
  <c r="BL190" i="29" s="1"/>
  <c r="BC174" i="29"/>
  <c r="BC190" i="29" s="1"/>
  <c r="CS174" i="29"/>
  <c r="CS190" i="29" s="1"/>
  <c r="BP174" i="29"/>
  <c r="BP190" i="29" s="1"/>
  <c r="DA174" i="29"/>
  <c r="DA190" i="29" s="1"/>
  <c r="CB174" i="29"/>
  <c r="CB190" i="29" s="1"/>
  <c r="AT174" i="29"/>
  <c r="AT190" i="29" s="1"/>
  <c r="CZ174" i="29"/>
  <c r="CZ190" i="29" s="1"/>
  <c r="AS174" i="29"/>
  <c r="AS190" i="29" s="1"/>
  <c r="BJ174" i="29"/>
  <c r="BJ190" i="29" s="1"/>
  <c r="CL174" i="29"/>
  <c r="CL190" i="29" s="1"/>
  <c r="CP174" i="29"/>
  <c r="CP190" i="29" s="1"/>
  <c r="AV174" i="29"/>
  <c r="AV190" i="29" s="1"/>
  <c r="CG174" i="29"/>
  <c r="CG190" i="29" s="1"/>
  <c r="BZ174" i="29"/>
  <c r="BZ190" i="29" s="1"/>
  <c r="BS174" i="29"/>
  <c r="BS190" i="29" s="1"/>
  <c r="AR174" i="29"/>
  <c r="AR190" i="29" s="1"/>
  <c r="BF174" i="29"/>
  <c r="BF190" i="29" s="1"/>
  <c r="AU174" i="29"/>
  <c r="AU190" i="29" s="1"/>
  <c r="CO174" i="29"/>
  <c r="CO190" i="29" s="1"/>
  <c r="BV174" i="29"/>
  <c r="BV190" i="29" s="1"/>
  <c r="BR174" i="29"/>
  <c r="BR190" i="29" s="1"/>
  <c r="CF174" i="29"/>
  <c r="CF190" i="29" s="1"/>
  <c r="AQ174" i="29"/>
  <c r="AQ190" i="29" s="1"/>
  <c r="BI174" i="29"/>
  <c r="BI190" i="29" s="1"/>
  <c r="AK174" i="29"/>
  <c r="AK190" i="29" s="1"/>
  <c r="CD174" i="29"/>
  <c r="CD190" i="29" s="1"/>
  <c r="BH174" i="29"/>
  <c r="BH190" i="29" s="1"/>
  <c r="BT174" i="29"/>
  <c r="BT190" i="29" s="1"/>
  <c r="CR174" i="29"/>
  <c r="CR190" i="29" s="1"/>
  <c r="BQ174" i="29"/>
  <c r="BQ190" i="29" s="1"/>
  <c r="BW174" i="29"/>
  <c r="BW190" i="29" s="1"/>
  <c r="AY174" i="29"/>
  <c r="AY190" i="29" s="1"/>
  <c r="AM174" i="29"/>
  <c r="AM190" i="29" s="1"/>
  <c r="CC174" i="29"/>
  <c r="CC190" i="29" s="1"/>
  <c r="AO174" i="29"/>
  <c r="AO190" i="29" s="1"/>
  <c r="CU174" i="29"/>
  <c r="CU190" i="29" s="1"/>
  <c r="AJ174" i="29"/>
  <c r="AJ190" i="29" s="1"/>
  <c r="CN174" i="29"/>
  <c r="CN190" i="29" s="1"/>
  <c r="CK174" i="29"/>
  <c r="CK190" i="29" s="1"/>
  <c r="BM174" i="29"/>
  <c r="BM190" i="29" s="1"/>
  <c r="BA174" i="29"/>
  <c r="BA190" i="29" s="1"/>
  <c r="AW174" i="29"/>
  <c r="AW190" i="29" s="1"/>
  <c r="CT174" i="29"/>
  <c r="CT190" i="29" s="1"/>
  <c r="BU174" i="29"/>
  <c r="BU190" i="29" s="1"/>
  <c r="BG174" i="29"/>
  <c r="BG190" i="29" s="1"/>
  <c r="CY174" i="29"/>
  <c r="CY190" i="29" s="1"/>
  <c r="CA174" i="29"/>
  <c r="CA190" i="29" s="1"/>
  <c r="BO174" i="29"/>
  <c r="BO190" i="29" s="1"/>
  <c r="BT174" i="28"/>
  <c r="BT190" i="28" s="1"/>
  <c r="BF174" i="28"/>
  <c r="BF190" i="28" s="1"/>
  <c r="AU174" i="28"/>
  <c r="AU190" i="28" s="1"/>
  <c r="CP174" i="28"/>
  <c r="CP190" i="28" s="1"/>
  <c r="BR174" i="28"/>
  <c r="BR190" i="28" s="1"/>
  <c r="AK174" i="28"/>
  <c r="AK190" i="28" s="1"/>
  <c r="BM174" i="28"/>
  <c r="BM190" i="28" s="1"/>
  <c r="AN174" i="28"/>
  <c r="AN190" i="28" s="1"/>
  <c r="CU174" i="28"/>
  <c r="CU190" i="28" s="1"/>
  <c r="CM174" i="28"/>
  <c r="CM190" i="28" s="1"/>
  <c r="CA174" i="28"/>
  <c r="CA190" i="28" s="1"/>
  <c r="BO174" i="28"/>
  <c r="BO190" i="28" s="1"/>
  <c r="CT174" i="28"/>
  <c r="CT190" i="28" s="1"/>
  <c r="CV174" i="28"/>
  <c r="CV190" i="28" s="1"/>
  <c r="BA174" i="28"/>
  <c r="BA190" i="28" s="1"/>
  <c r="CI174" i="28"/>
  <c r="CI190" i="28" s="1"/>
  <c r="BP174" i="28"/>
  <c r="BP190" i="28" s="1"/>
  <c r="CQ174" i="28"/>
  <c r="CQ190" i="28" s="1"/>
  <c r="BE174" i="28"/>
  <c r="BE190" i="28" s="1"/>
  <c r="CH174" i="28"/>
  <c r="CH190" i="28" s="1"/>
  <c r="AM174" i="28"/>
  <c r="AM190" i="28" s="1"/>
  <c r="AT174" i="28"/>
  <c r="AT190" i="28" s="1"/>
  <c r="CC174" i="28"/>
  <c r="CC190" i="28" s="1"/>
  <c r="AP174" i="28"/>
  <c r="AP190" i="28" s="1"/>
  <c r="BH174" i="28"/>
  <c r="BH190" i="28" s="1"/>
  <c r="AQ174" i="28"/>
  <c r="AQ190" i="28" s="1"/>
  <c r="CW174" i="28"/>
  <c r="CW190" i="28" s="1"/>
  <c r="BV174" i="28"/>
  <c r="BV190" i="28" s="1"/>
  <c r="AV174" i="28"/>
  <c r="AV190" i="28" s="1"/>
  <c r="CG174" i="28"/>
  <c r="CG190" i="28" s="1"/>
  <c r="CO174" i="28"/>
  <c r="CO190" i="28" s="1"/>
  <c r="BS174" i="28"/>
  <c r="BS190" i="28" s="1"/>
  <c r="BC174" i="28"/>
  <c r="BC190" i="28" s="1"/>
  <c r="CJ174" i="28"/>
  <c r="CJ190" i="28" s="1"/>
  <c r="BJ174" i="28"/>
  <c r="BJ190" i="28" s="1"/>
  <c r="AJ174" i="28"/>
  <c r="AJ190" i="28" s="1"/>
  <c r="AW174" i="28"/>
  <c r="AW190" i="28" s="1"/>
  <c r="BK174" i="28"/>
  <c r="BK190" i="28" s="1"/>
  <c r="BY174" i="28"/>
  <c r="BY190" i="28" s="1"/>
  <c r="BU174" i="28"/>
  <c r="BU190" i="28" s="1"/>
  <c r="CR174" i="28"/>
  <c r="CR190" i="28" s="1"/>
  <c r="BQ174" i="28"/>
  <c r="BQ190" i="28" s="1"/>
  <c r="CX174" i="28"/>
  <c r="CX190" i="28" s="1"/>
  <c r="BX174" i="28"/>
  <c r="BX190" i="28" s="1"/>
  <c r="AX174" i="28"/>
  <c r="AX190" i="28" s="1"/>
  <c r="AL174" i="28"/>
  <c r="AL190" i="28" s="1"/>
  <c r="BI174" i="28"/>
  <c r="BI190" i="28" s="1"/>
  <c r="BW174" i="28"/>
  <c r="BW190" i="28" s="1"/>
  <c r="AY174" i="28"/>
  <c r="AY190" i="28" s="1"/>
  <c r="BG174" i="28"/>
  <c r="BG190" i="28" s="1"/>
  <c r="DA174" i="28"/>
  <c r="DA190" i="28" s="1"/>
  <c r="CL174" i="28"/>
  <c r="CL190" i="28" s="1"/>
  <c r="BL174" i="28"/>
  <c r="BL190" i="28" s="1"/>
  <c r="AZ174" i="28"/>
  <c r="AZ190" i="28" s="1"/>
  <c r="AS174" i="28"/>
  <c r="AS190" i="28" s="1"/>
  <c r="CY174" i="28"/>
  <c r="CY190" i="28" s="1"/>
  <c r="BB174" i="28"/>
  <c r="BB190" i="28" s="1"/>
  <c r="CD174" i="28"/>
  <c r="CD190" i="28" s="1"/>
  <c r="CE174" i="28"/>
  <c r="CE190" i="28" s="1"/>
  <c r="BD174" i="28"/>
  <c r="BD190" i="28" s="1"/>
  <c r="CZ174" i="28"/>
  <c r="CZ190" i="28" s="1"/>
  <c r="BZ174" i="28"/>
  <c r="BZ190" i="28" s="1"/>
  <c r="BN174" i="28"/>
  <c r="BN190" i="28" s="1"/>
  <c r="CK174" i="28"/>
  <c r="CK190" i="28" s="1"/>
  <c r="AO174" i="28"/>
  <c r="AO190" i="28" s="1"/>
  <c r="CF174" i="28"/>
  <c r="CF190" i="28" s="1"/>
  <c r="CS174" i="28"/>
  <c r="CS190" i="28" s="1"/>
  <c r="AR174" i="28"/>
  <c r="AR190" i="28" s="1"/>
  <c r="CN174" i="28"/>
  <c r="CN190" i="28" s="1"/>
  <c r="CB174" i="28"/>
  <c r="CB190" i="28" s="1"/>
  <c r="P64" i="19" l="1"/>
  <c r="P36" i="19"/>
  <c r="Q32" i="19"/>
  <c r="Q64" i="19"/>
  <c r="R60" i="19"/>
  <c r="R70" i="19" s="1"/>
  <c r="Q36" i="19" l="1"/>
  <c r="R32" i="19"/>
  <c r="R64" i="19"/>
  <c r="S60" i="19"/>
  <c r="S70" i="19" s="1"/>
  <c r="S32" i="19" l="1"/>
  <c r="R36" i="19"/>
  <c r="T60" i="19"/>
  <c r="T70" i="19" s="1"/>
  <c r="S64" i="19"/>
  <c r="T32" i="19" l="1"/>
  <c r="S36" i="19"/>
  <c r="U60" i="19"/>
  <c r="U70" i="19" s="1"/>
  <c r="T64" i="19"/>
  <c r="T36" i="19" l="1"/>
  <c r="U32" i="19"/>
  <c r="U64" i="19"/>
  <c r="V60" i="19"/>
  <c r="V70" i="19" s="1"/>
  <c r="U36" i="19" l="1"/>
  <c r="V32" i="19"/>
  <c r="W60" i="19"/>
  <c r="W70" i="19" s="1"/>
  <c r="V64" i="19"/>
  <c r="V36" i="19" l="1"/>
  <c r="W32" i="19"/>
  <c r="X60" i="19"/>
  <c r="X70" i="19" s="1"/>
  <c r="W64" i="19"/>
  <c r="X32" i="19" l="1"/>
  <c r="W36" i="19"/>
  <c r="Y60" i="19"/>
  <c r="Y70" i="19" s="1"/>
  <c r="X64" i="19"/>
  <c r="Y32" i="19" l="1"/>
  <c r="X36" i="19"/>
  <c r="Z60" i="19"/>
  <c r="Z70" i="19" s="1"/>
  <c r="Y64" i="19"/>
  <c r="Z32" i="19" l="1"/>
  <c r="Y36" i="19"/>
  <c r="AA60" i="19"/>
  <c r="AA70" i="19" s="1"/>
  <c r="Z64" i="19"/>
  <c r="Z36" i="19" l="1"/>
  <c r="AA32" i="19"/>
  <c r="AA64" i="19"/>
  <c r="AB60" i="19"/>
  <c r="AB70" i="19" s="1"/>
  <c r="AA36" i="19" l="1"/>
  <c r="AB32" i="19"/>
  <c r="AC32" i="19" s="1"/>
  <c r="AD32" i="19" s="1"/>
  <c r="AC60" i="19"/>
  <c r="AC70" i="19" s="1"/>
  <c r="AD60" i="19" l="1"/>
  <c r="AD70" i="19" s="1"/>
  <c r="AE32" i="19"/>
  <c r="AE60" i="19" l="1"/>
  <c r="AE70" i="19" s="1"/>
  <c r="AF32" i="19"/>
  <c r="AF60" i="19" l="1"/>
  <c r="AF70" i="19" s="1"/>
  <c r="AG32" i="19"/>
  <c r="AG60" i="19" l="1"/>
  <c r="AG70" i="19" s="1"/>
  <c r="AH32" i="19"/>
  <c r="AH60" i="19" l="1"/>
  <c r="AH70" i="19" s="1"/>
  <c r="AI32" i="19"/>
  <c r="AI60" i="19" l="1"/>
  <c r="AI70" i="19" s="1"/>
  <c r="AJ32" i="19"/>
  <c r="AJ60" i="19" l="1"/>
  <c r="AJ70" i="19" s="1"/>
  <c r="AK32" i="19"/>
  <c r="AK60" i="19" l="1"/>
  <c r="AK70" i="19" s="1"/>
  <c r="AL32" i="19"/>
  <c r="AL60" i="19" l="1"/>
  <c r="AL70" i="19" s="1"/>
  <c r="AM32" i="19"/>
  <c r="AM60" i="19" l="1"/>
  <c r="AM70" i="19" s="1"/>
  <c r="AN32" i="19"/>
  <c r="AN60" i="19" l="1"/>
  <c r="AN70" i="19" s="1"/>
  <c r="AO32" i="19"/>
  <c r="AO60" i="19" l="1"/>
  <c r="AO70" i="19" s="1"/>
  <c r="AP32" i="19"/>
  <c r="AP60" i="19" l="1"/>
  <c r="AP70" i="19" s="1"/>
  <c r="AQ32" i="19"/>
  <c r="AQ60" i="19" l="1"/>
  <c r="AQ70" i="19" s="1"/>
  <c r="AR32" i="19"/>
  <c r="AR60" i="19" l="1"/>
  <c r="AR70" i="19" s="1"/>
  <c r="AS32" i="19"/>
  <c r="AS60" i="19" l="1"/>
  <c r="AS70" i="19" s="1"/>
  <c r="AT32" i="19"/>
  <c r="AT60" i="19" l="1"/>
  <c r="AT70" i="19" s="1"/>
  <c r="AU32" i="19"/>
  <c r="AU60" i="19" l="1"/>
  <c r="AU70" i="19" s="1"/>
  <c r="AV32" i="19"/>
  <c r="AV60" i="19" l="1"/>
  <c r="AV70" i="19" s="1"/>
  <c r="AW32" i="19"/>
  <c r="AW60" i="19" l="1"/>
  <c r="AW70" i="19" s="1"/>
  <c r="AX32" i="19"/>
  <c r="AX60" i="19" l="1"/>
  <c r="AX70" i="19" s="1"/>
  <c r="AY32" i="19"/>
  <c r="AY60" i="19" l="1"/>
  <c r="AY70" i="19" s="1"/>
  <c r="AZ32" i="19"/>
  <c r="AZ60" i="19" l="1"/>
  <c r="AZ70" i="19" s="1"/>
  <c r="BA32" i="19"/>
  <c r="BB32" i="19" s="1"/>
  <c r="BC32" i="19" l="1"/>
  <c r="BD32" i="19" s="1"/>
  <c r="BA60" i="19"/>
  <c r="BA70" i="19" s="1"/>
  <c r="BB60" i="19" l="1"/>
  <c r="BB70" i="19" s="1"/>
  <c r="BC60" i="19" l="1"/>
  <c r="BC70" i="19" s="1"/>
  <c r="BD60" i="19" l="1"/>
  <c r="BD70" i="19" s="1"/>
  <c r="BE60" i="19" l="1"/>
  <c r="BE70" i="19" s="1"/>
  <c r="BF60" i="19" l="1"/>
  <c r="BF70" i="19" s="1"/>
  <c r="BG60" i="19" l="1"/>
  <c r="BG70" i="19" s="1"/>
  <c r="BH60" i="19" l="1"/>
  <c r="BH70" i="19" s="1"/>
  <c r="BI60" i="19" l="1"/>
  <c r="BI70" i="19" s="1"/>
  <c r="BJ60" i="19" l="1"/>
  <c r="BJ70" i="19" s="1"/>
  <c r="K50" i="23" l="1"/>
  <c r="J50" i="23"/>
  <c r="J23" i="23"/>
  <c r="J29" i="23"/>
  <c r="K29" i="23"/>
  <c r="K23" i="23"/>
  <c r="K51" i="23" l="1"/>
  <c r="J51" i="23"/>
  <c r="BO55" i="8"/>
  <c r="BN55" i="8"/>
  <c r="BM55" i="8"/>
  <c r="BL55" i="8"/>
  <c r="BK55" i="8"/>
  <c r="BJ55" i="8"/>
  <c r="BI55" i="8"/>
  <c r="BH55" i="8"/>
  <c r="BG55" i="8"/>
  <c r="BF55" i="8"/>
  <c r="BE55" i="8"/>
  <c r="BD55" i="8"/>
  <c r="BC55" i="8"/>
  <c r="BB55" i="8"/>
  <c r="BA55" i="8"/>
  <c r="AZ55" i="8"/>
  <c r="AY55" i="8"/>
  <c r="AX55" i="8"/>
  <c r="AW55" i="8"/>
  <c r="AV55" i="8"/>
  <c r="AU55" i="8"/>
  <c r="AT55" i="8"/>
  <c r="AS55" i="8"/>
  <c r="AR55" i="8"/>
  <c r="AQ55" i="8"/>
  <c r="AP55" i="8"/>
  <c r="AO55" i="8"/>
  <c r="AN55" i="8"/>
  <c r="AM55" i="8"/>
  <c r="AL55" i="8"/>
  <c r="AK55" i="8"/>
  <c r="AJ55" i="8"/>
  <c r="AI55" i="8"/>
  <c r="AH55" i="8"/>
  <c r="AG55" i="8"/>
  <c r="AF55" i="8"/>
  <c r="AE55" i="8"/>
  <c r="AD55" i="8"/>
  <c r="AC55" i="8"/>
  <c r="AB55" i="8"/>
  <c r="AA55" i="8"/>
  <c r="Z55" i="8"/>
  <c r="D50" i="8" l="1"/>
  <c r="D40" i="8"/>
  <c r="L40" i="8"/>
  <c r="S40" i="8"/>
  <c r="E40" i="8"/>
  <c r="V40" i="8"/>
  <c r="H40" i="8"/>
  <c r="X40" i="8"/>
  <c r="O40" i="8"/>
  <c r="Y40" i="8"/>
  <c r="M40" i="8"/>
  <c r="K40" i="8"/>
  <c r="R40" i="8"/>
  <c r="J40" i="8"/>
  <c r="P40" i="8"/>
  <c r="W40" i="8"/>
  <c r="I40" i="8"/>
  <c r="U40" i="8"/>
  <c r="G40" i="8"/>
  <c r="T40" i="8"/>
  <c r="F40" i="8"/>
  <c r="Q40" i="8"/>
  <c r="N40" i="8"/>
  <c r="D52" i="8" l="1"/>
  <c r="C27" i="3"/>
  <c r="C24" i="45" s="1"/>
  <c r="T4" i="3"/>
  <c r="BC14" i="15"/>
  <c r="BC19" i="15" s="1"/>
  <c r="BD14" i="15"/>
  <c r="BD19" i="15" s="1"/>
  <c r="BE14" i="15"/>
  <c r="BE19" i="15" s="1"/>
  <c r="BF14" i="15"/>
  <c r="BF19" i="15" s="1"/>
  <c r="BG14" i="15"/>
  <c r="BG19" i="15" s="1"/>
  <c r="BH14" i="15"/>
  <c r="BH19" i="15" s="1"/>
  <c r="BI14" i="15"/>
  <c r="BI19" i="15" s="1"/>
  <c r="BJ14" i="15"/>
  <c r="BJ19" i="15" s="1"/>
  <c r="BK14" i="15"/>
  <c r="BK19" i="15" s="1"/>
  <c r="BL14" i="15"/>
  <c r="BL19" i="15" s="1"/>
  <c r="BM14" i="15"/>
  <c r="BM19" i="15" s="1"/>
  <c r="BN14" i="15"/>
  <c r="BN19" i="15" s="1"/>
  <c r="BO14" i="15"/>
  <c r="BO19" i="15" s="1"/>
  <c r="BC5" i="15"/>
  <c r="BC10" i="15" s="1"/>
  <c r="BD5" i="15"/>
  <c r="BD10" i="15" s="1"/>
  <c r="BE5" i="15"/>
  <c r="BE10" i="15" s="1"/>
  <c r="BF5" i="15"/>
  <c r="BF10" i="15" s="1"/>
  <c r="BG5" i="15"/>
  <c r="BG10" i="15" s="1"/>
  <c r="BH5" i="15"/>
  <c r="BH10" i="15" s="1"/>
  <c r="BI5" i="15"/>
  <c r="BI10" i="15" s="1"/>
  <c r="BJ5" i="15"/>
  <c r="BJ10" i="15" s="1"/>
  <c r="BK5" i="15"/>
  <c r="BK10" i="15" s="1"/>
  <c r="BL5" i="15"/>
  <c r="BL10" i="15" s="1"/>
  <c r="BM5" i="15"/>
  <c r="BM10" i="15" s="1"/>
  <c r="BN5" i="15"/>
  <c r="BN10" i="15" s="1"/>
  <c r="BO5" i="15"/>
  <c r="BO10" i="15" s="1"/>
  <c r="T18" i="12"/>
  <c r="T34" i="12"/>
  <c r="T22" i="12"/>
  <c r="T41" i="12"/>
  <c r="T42" i="12"/>
  <c r="T35" i="12"/>
  <c r="T43" i="12"/>
  <c r="T44" i="12"/>
  <c r="T23" i="12"/>
  <c r="V4" i="3" l="1"/>
  <c r="B23" i="21" s="1"/>
  <c r="C23" i="21" s="1"/>
  <c r="D23" i="21" s="1"/>
  <c r="E23" i="21" s="1"/>
  <c r="F23" i="21" s="1"/>
  <c r="G23" i="21" s="1"/>
  <c r="H23" i="21" s="1"/>
  <c r="I23" i="21" s="1"/>
  <c r="J23" i="21" s="1"/>
  <c r="K23" i="21" s="1"/>
  <c r="E27" i="3"/>
  <c r="H27" i="3" s="1"/>
  <c r="F6" i="29" l="1"/>
  <c r="G6" i="29" s="1"/>
  <c r="H6" i="29" s="1"/>
  <c r="I6" i="29" s="1"/>
  <c r="J6" i="29" s="1"/>
  <c r="K6" i="29" s="1"/>
  <c r="L6" i="29" s="1"/>
  <c r="M6" i="29" s="1"/>
  <c r="N6" i="29" s="1"/>
  <c r="O6" i="29" s="1"/>
  <c r="BE53" i="19"/>
  <c r="BF53" i="19"/>
  <c r="BG53" i="19"/>
  <c r="BH53" i="19"/>
  <c r="BI53" i="19"/>
  <c r="BJ53" i="19"/>
  <c r="BK53" i="19"/>
  <c r="BL53" i="19"/>
  <c r="BM53" i="19"/>
  <c r="BN53" i="19"/>
  <c r="BO53" i="19"/>
  <c r="BP53" i="19"/>
  <c r="BQ53" i="19"/>
  <c r="B63" i="2" l="1"/>
  <c r="B62" i="2"/>
  <c r="L9" i="8" l="1"/>
  <c r="K9" i="8"/>
  <c r="J9" i="8"/>
  <c r="I9" i="8"/>
  <c r="H9" i="8"/>
  <c r="G9" i="8"/>
  <c r="F9" i="8"/>
  <c r="M9" i="8"/>
  <c r="E9" i="8"/>
  <c r="N9" i="8"/>
  <c r="O9" i="8" s="1"/>
  <c r="P9" i="8" s="1"/>
  <c r="Q9" i="8" s="1"/>
  <c r="R9" i="8" s="1"/>
  <c r="S9" i="8" s="1"/>
  <c r="T9" i="8" s="1"/>
  <c r="U9" i="8" s="1"/>
  <c r="V9" i="8" s="1"/>
  <c r="W9" i="8" s="1"/>
  <c r="X9" i="8" s="1"/>
  <c r="Y9" i="8" s="1"/>
  <c r="Z9" i="8" s="1"/>
  <c r="AA9" i="8" s="1"/>
  <c r="AB9" i="8" s="1"/>
  <c r="AC9" i="8" s="1"/>
  <c r="AD9" i="8" s="1"/>
  <c r="AE9" i="8" s="1"/>
  <c r="AF9" i="8" s="1"/>
  <c r="AG9" i="8" s="1"/>
  <c r="AH9" i="8" s="1"/>
  <c r="AI9" i="8" s="1"/>
  <c r="AJ9" i="8" s="1"/>
  <c r="AK9" i="8" s="1"/>
  <c r="AL9" i="8" s="1"/>
  <c r="AM9" i="8" s="1"/>
  <c r="AN9" i="8" s="1"/>
  <c r="AO9" i="8" s="1"/>
  <c r="AP9" i="8" s="1"/>
  <c r="AQ9" i="8" s="1"/>
  <c r="AR9" i="8" s="1"/>
  <c r="AS9" i="8" s="1"/>
  <c r="AT9" i="8" s="1"/>
  <c r="AU9" i="8" s="1"/>
  <c r="AV9" i="8" s="1"/>
  <c r="AW9" i="8" s="1"/>
  <c r="AX9" i="8" s="1"/>
  <c r="AY9" i="8" s="1"/>
  <c r="L18" i="8"/>
  <c r="K18" i="8"/>
  <c r="F18" i="8"/>
  <c r="J18" i="8"/>
  <c r="I18" i="8"/>
  <c r="E18" i="8"/>
  <c r="H18" i="8"/>
  <c r="G18" i="8"/>
  <c r="N18" i="8"/>
  <c r="O18" i="8" s="1"/>
  <c r="P18" i="8" s="1"/>
  <c r="Q18" i="8" s="1"/>
  <c r="R18" i="8" s="1"/>
  <c r="S18" i="8" s="1"/>
  <c r="T18" i="8" s="1"/>
  <c r="U18" i="8" s="1"/>
  <c r="V18" i="8" s="1"/>
  <c r="W18" i="8" s="1"/>
  <c r="X18" i="8" s="1"/>
  <c r="Y18" i="8" s="1"/>
  <c r="Z18" i="8" s="1"/>
  <c r="AA18" i="8" s="1"/>
  <c r="AB18" i="8" s="1"/>
  <c r="AC18" i="8" s="1"/>
  <c r="AD18" i="8" s="1"/>
  <c r="AE18" i="8" s="1"/>
  <c r="AF18" i="8" s="1"/>
  <c r="AG18" i="8" s="1"/>
  <c r="AH18" i="8" s="1"/>
  <c r="AI18" i="8" s="1"/>
  <c r="AJ18" i="8" s="1"/>
  <c r="AK18" i="8" s="1"/>
  <c r="AL18" i="8" s="1"/>
  <c r="AM18" i="8" s="1"/>
  <c r="AN18" i="8" s="1"/>
  <c r="AO18" i="8" s="1"/>
  <c r="AP18" i="8" s="1"/>
  <c r="AQ18" i="8" s="1"/>
  <c r="AR18" i="8" s="1"/>
  <c r="AS18" i="8" s="1"/>
  <c r="AT18" i="8" s="1"/>
  <c r="AU18" i="8" s="1"/>
  <c r="AV18" i="8" s="1"/>
  <c r="AW18" i="8" s="1"/>
  <c r="AX18" i="8" s="1"/>
  <c r="AY18" i="8" s="1"/>
  <c r="M18" i="8"/>
  <c r="G17" i="21" l="1"/>
  <c r="E17" i="21"/>
  <c r="I16" i="21"/>
  <c r="H16" i="21"/>
  <c r="F17" i="21"/>
  <c r="J16" i="21"/>
  <c r="H17" i="21"/>
  <c r="I17" i="21"/>
  <c r="K16" i="21"/>
  <c r="J17" i="21"/>
  <c r="K17" i="21"/>
  <c r="C17" i="21"/>
  <c r="C16" i="21"/>
  <c r="H16" i="19" s="1"/>
  <c r="D16" i="21"/>
  <c r="B16" i="21"/>
  <c r="G16" i="19" s="1"/>
  <c r="E16" i="21"/>
  <c r="F16" i="21"/>
  <c r="D17" i="21"/>
  <c r="B17" i="21"/>
  <c r="G43" i="19" s="1"/>
  <c r="G16" i="21"/>
  <c r="K16" i="19" l="1"/>
  <c r="O16" i="19"/>
  <c r="M43" i="19"/>
  <c r="M55" i="19" s="1"/>
  <c r="K43" i="19"/>
  <c r="K55" i="19" s="1"/>
  <c r="I16" i="19"/>
  <c r="M16" i="19"/>
  <c r="L16" i="19"/>
  <c r="N43" i="19"/>
  <c r="N55" i="19" s="1"/>
  <c r="N16" i="19"/>
  <c r="O43" i="19"/>
  <c r="O55" i="19" s="1"/>
  <c r="J43" i="19"/>
  <c r="J55" i="19" s="1"/>
  <c r="L43" i="19"/>
  <c r="L55" i="19" s="1"/>
  <c r="P16" i="19"/>
  <c r="J16" i="19"/>
  <c r="H43" i="19"/>
  <c r="H55" i="19" s="1"/>
  <c r="I43" i="19"/>
  <c r="I55" i="19" s="1"/>
  <c r="P43" i="19"/>
  <c r="Q43" i="19" s="1"/>
  <c r="H28" i="19"/>
  <c r="G55" i="19"/>
  <c r="G28" i="19"/>
  <c r="O28" i="19" l="1"/>
  <c r="K28" i="19"/>
  <c r="L28" i="19"/>
  <c r="N28" i="19"/>
  <c r="M28" i="19"/>
  <c r="I28" i="19"/>
  <c r="J28" i="19"/>
  <c r="Q16" i="19"/>
  <c r="Q28" i="19" s="1"/>
  <c r="P55" i="19"/>
  <c r="R43" i="19"/>
  <c r="Q55" i="19"/>
  <c r="P28" i="19"/>
  <c r="F4" i="28"/>
  <c r="BQ42" i="19"/>
  <c r="BP42" i="19"/>
  <c r="BO42" i="19"/>
  <c r="BN42" i="19"/>
  <c r="BM42" i="19"/>
  <c r="BL42" i="19"/>
  <c r="BK42" i="19"/>
  <c r="BJ42" i="19"/>
  <c r="BI42" i="19"/>
  <c r="BH42" i="19"/>
  <c r="BG42" i="19"/>
  <c r="BF42" i="19"/>
  <c r="BE42" i="19"/>
  <c r="F4" i="29"/>
  <c r="BQ26" i="19"/>
  <c r="BP26" i="19"/>
  <c r="BO26" i="19"/>
  <c r="BN26" i="19"/>
  <c r="BM26" i="19"/>
  <c r="BL26" i="19"/>
  <c r="BK26" i="19"/>
  <c r="BJ26" i="19"/>
  <c r="BI26" i="19"/>
  <c r="BH26" i="19"/>
  <c r="BG26" i="19"/>
  <c r="BF26" i="19"/>
  <c r="BE26" i="19"/>
  <c r="T3" i="3"/>
  <c r="T5" i="3"/>
  <c r="R16" i="19" l="1"/>
  <c r="S43" i="19"/>
  <c r="R55" i="19"/>
  <c r="V3" i="3"/>
  <c r="B22" i="21" s="1"/>
  <c r="C22" i="21" s="1"/>
  <c r="D22" i="21" s="1"/>
  <c r="E22" i="21" s="1"/>
  <c r="F22" i="21" s="1"/>
  <c r="G22" i="21" s="1"/>
  <c r="H22" i="21" s="1"/>
  <c r="I22" i="21" s="1"/>
  <c r="J22" i="21" s="1"/>
  <c r="K22" i="21" s="1"/>
  <c r="BI15" i="19"/>
  <c r="BI8" i="19"/>
  <c r="BJ7" i="19" s="1"/>
  <c r="BJ15" i="19"/>
  <c r="BJ8" i="19"/>
  <c r="BK7" i="19" s="1"/>
  <c r="BK8" i="19"/>
  <c r="BL7" i="19" s="1"/>
  <c r="BK15" i="19"/>
  <c r="BL8" i="19"/>
  <c r="BM7" i="19" s="1"/>
  <c r="BL15" i="19"/>
  <c r="BM15" i="19"/>
  <c r="BM8" i="19"/>
  <c r="BN7" i="19" s="1"/>
  <c r="G4" i="28"/>
  <c r="F9" i="28"/>
  <c r="G4" i="29"/>
  <c r="F5" i="29"/>
  <c r="F9" i="29"/>
  <c r="BQ8" i="19"/>
  <c r="BQ15" i="19"/>
  <c r="BP8" i="19"/>
  <c r="BQ7" i="19" s="1"/>
  <c r="BP15" i="19"/>
  <c r="BN8" i="19"/>
  <c r="BO7" i="19" s="1"/>
  <c r="BN15" i="19"/>
  <c r="BO8" i="19"/>
  <c r="BP7" i="19" s="1"/>
  <c r="BO15" i="19"/>
  <c r="BE8" i="19"/>
  <c r="BF7" i="19" s="1"/>
  <c r="BE15" i="19"/>
  <c r="BF8" i="19"/>
  <c r="BG7" i="19" s="1"/>
  <c r="BF15" i="19"/>
  <c r="BG8" i="19"/>
  <c r="BH7" i="19" s="1"/>
  <c r="BG15" i="19"/>
  <c r="BH8" i="19"/>
  <c r="BI7" i="19" s="1"/>
  <c r="BH15" i="19"/>
  <c r="B3" i="29"/>
  <c r="B3" i="30"/>
  <c r="B3" i="28"/>
  <c r="BL17" i="28" s="1"/>
  <c r="O4" i="20"/>
  <c r="O6" i="20"/>
  <c r="O7" i="20"/>
  <c r="O9" i="20"/>
  <c r="O11" i="20"/>
  <c r="O15" i="20"/>
  <c r="O17" i="20"/>
  <c r="O19" i="20"/>
  <c r="O22" i="20"/>
  <c r="O24" i="20"/>
  <c r="O26" i="20"/>
  <c r="O28" i="20"/>
  <c r="O37" i="20"/>
  <c r="O39" i="20"/>
  <c r="O41" i="20"/>
  <c r="O43" i="20"/>
  <c r="O45" i="20"/>
  <c r="O47" i="20"/>
  <c r="O8" i="20"/>
  <c r="O12" i="20"/>
  <c r="O18" i="20"/>
  <c r="O25" i="20"/>
  <c r="O29" i="20"/>
  <c r="O40" i="20"/>
  <c r="O44" i="20"/>
  <c r="O16" i="20"/>
  <c r="O20" i="20"/>
  <c r="O27" i="20"/>
  <c r="O36" i="20"/>
  <c r="O42" i="20"/>
  <c r="O46" i="20"/>
  <c r="O5" i="20"/>
  <c r="O10" i="20"/>
  <c r="O23" i="20"/>
  <c r="O38" i="20"/>
  <c r="O48" i="20"/>
  <c r="D12" i="3"/>
  <c r="D11" i="3"/>
  <c r="D10" i="3"/>
  <c r="AS42" i="19"/>
  <c r="AE42" i="19"/>
  <c r="Q42" i="19"/>
  <c r="AQ42" i="19"/>
  <c r="AC42" i="19"/>
  <c r="O42" i="19"/>
  <c r="BD42" i="19"/>
  <c r="AP42" i="19"/>
  <c r="AB42" i="19"/>
  <c r="N42" i="19"/>
  <c r="BC42" i="19"/>
  <c r="AO42" i="19"/>
  <c r="AA42" i="19"/>
  <c r="M42" i="19"/>
  <c r="AX42" i="19"/>
  <c r="AJ42" i="19"/>
  <c r="V42" i="19"/>
  <c r="H42" i="19"/>
  <c r="AV42" i="19"/>
  <c r="Y42" i="19"/>
  <c r="AU42" i="19"/>
  <c r="X42" i="19"/>
  <c r="AT42" i="19"/>
  <c r="W42" i="19"/>
  <c r="AR42" i="19"/>
  <c r="U42" i="19"/>
  <c r="AN42" i="19"/>
  <c r="T42" i="19"/>
  <c r="AM42" i="19"/>
  <c r="S42" i="19"/>
  <c r="AL42" i="19"/>
  <c r="R42" i="19"/>
  <c r="BB42" i="19"/>
  <c r="K42" i="19"/>
  <c r="BA42" i="19"/>
  <c r="J42" i="19"/>
  <c r="AF42" i="19"/>
  <c r="AK42" i="19"/>
  <c r="P42" i="19"/>
  <c r="AH42" i="19"/>
  <c r="AG42" i="19"/>
  <c r="AZ42" i="19"/>
  <c r="I42" i="19"/>
  <c r="AI42" i="19"/>
  <c r="L42" i="19"/>
  <c r="AW42" i="19"/>
  <c r="Z42" i="19"/>
  <c r="D3" i="3" l="1"/>
  <c r="C3" i="45" s="1"/>
  <c r="C10" i="45"/>
  <c r="D44" i="45"/>
  <c r="D4" i="3"/>
  <c r="C4" i="45" s="1"/>
  <c r="D45" i="45"/>
  <c r="C11" i="45"/>
  <c r="D5" i="3"/>
  <c r="C5" i="45" s="1"/>
  <c r="C12" i="45"/>
  <c r="D46" i="45"/>
  <c r="BN88" i="19"/>
  <c r="BM88" i="19"/>
  <c r="BL88" i="19"/>
  <c r="BK88" i="19"/>
  <c r="BH88" i="19"/>
  <c r="BG88" i="19"/>
  <c r="BJ88" i="19"/>
  <c r="BE88" i="19"/>
  <c r="BF88" i="19"/>
  <c r="BI88" i="19"/>
  <c r="S16" i="19"/>
  <c r="R28" i="19"/>
  <c r="D13" i="3"/>
  <c r="T43" i="19"/>
  <c r="S55" i="19"/>
  <c r="E16" i="29"/>
  <c r="E185" i="29" s="1"/>
  <c r="B29" i="21"/>
  <c r="E16" i="28"/>
  <c r="E185" i="28" s="1"/>
  <c r="B30" i="21"/>
  <c r="F6" i="30"/>
  <c r="CK170" i="28"/>
  <c r="CQ51" i="28"/>
  <c r="CL15" i="28"/>
  <c r="CD168" i="28"/>
  <c r="BZ68" i="28"/>
  <c r="CI134" i="28"/>
  <c r="CW134" i="28"/>
  <c r="CC136" i="28"/>
  <c r="BR134" i="28"/>
  <c r="BU117" i="28"/>
  <c r="CI117" i="28"/>
  <c r="DA85" i="28"/>
  <c r="BP83" i="28"/>
  <c r="CH83" i="28"/>
  <c r="CX85" i="28"/>
  <c r="CU17" i="28"/>
  <c r="CT168" i="28"/>
  <c r="CW119" i="28"/>
  <c r="CV68" i="28"/>
  <c r="CU168" i="28"/>
  <c r="CN119" i="28"/>
  <c r="CG66" i="28"/>
  <c r="CR68" i="28"/>
  <c r="BR153" i="28"/>
  <c r="CI119" i="28"/>
  <c r="CY66" i="28"/>
  <c r="CP151" i="28"/>
  <c r="CU102" i="28"/>
  <c r="CN49" i="28"/>
  <c r="CQ153" i="28"/>
  <c r="CT102" i="28"/>
  <c r="BS51" i="28"/>
  <c r="BV151" i="28"/>
  <c r="CJ102" i="28"/>
  <c r="CD49" i="28"/>
  <c r="CH151" i="28"/>
  <c r="CP102" i="28"/>
  <c r="BV51" i="28"/>
  <c r="CT136" i="28"/>
  <c r="CS85" i="28"/>
  <c r="CE51" i="28"/>
  <c r="CI168" i="28"/>
  <c r="CO168" i="28"/>
  <c r="BV153" i="28"/>
  <c r="BZ136" i="28"/>
  <c r="CJ119" i="28"/>
  <c r="CI102" i="28"/>
  <c r="CC85" i="28"/>
  <c r="CJ66" i="28"/>
  <c r="BQ66" i="28"/>
  <c r="BQ32" i="28"/>
  <c r="BX17" i="28"/>
  <c r="CD170" i="28"/>
  <c r="CS151" i="28"/>
  <c r="CA136" i="28"/>
  <c r="CU117" i="28"/>
  <c r="BP117" i="28"/>
  <c r="CN100" i="28"/>
  <c r="CA83" i="28"/>
  <c r="DA66" i="28"/>
  <c r="CS49" i="28"/>
  <c r="BY32" i="28"/>
  <c r="BY168" i="28"/>
  <c r="CE153" i="28"/>
  <c r="CQ134" i="28"/>
  <c r="CU119" i="28"/>
  <c r="CM119" i="28"/>
  <c r="CK100" i="28"/>
  <c r="BY83" i="28"/>
  <c r="BU66" i="28"/>
  <c r="CJ49" i="28"/>
  <c r="BX49" i="28"/>
  <c r="CR170" i="28"/>
  <c r="CD153" i="28"/>
  <c r="CF136" i="28"/>
  <c r="CZ117" i="28"/>
  <c r="CL119" i="28"/>
  <c r="CY100" i="28"/>
  <c r="CQ85" i="28"/>
  <c r="CC66" i="28"/>
  <c r="BT51" i="28"/>
  <c r="CQ49" i="28"/>
  <c r="BZ168" i="28"/>
  <c r="CS153" i="28"/>
  <c r="CP136" i="28"/>
  <c r="CC119" i="28"/>
  <c r="BV102" i="28"/>
  <c r="BO100" i="28"/>
  <c r="CE85" i="28"/>
  <c r="CJ68" i="28"/>
  <c r="CF49" i="28"/>
  <c r="CZ51" i="28"/>
  <c r="CY170" i="28"/>
  <c r="CR153" i="28"/>
  <c r="CH134" i="28"/>
  <c r="BX117" i="28"/>
  <c r="BZ102" i="28"/>
  <c r="BY85" i="28"/>
  <c r="CO85" i="28"/>
  <c r="CN66" i="28"/>
  <c r="CE49" i="28"/>
  <c r="BL49" i="28"/>
  <c r="CJ168" i="28"/>
  <c r="CV151" i="28"/>
  <c r="BQ134" i="28"/>
  <c r="BY117" i="28"/>
  <c r="BR100" i="28"/>
  <c r="CT85" i="28"/>
  <c r="CE83" i="28"/>
  <c r="CP66" i="28"/>
  <c r="BT49" i="28"/>
  <c r="CW51" i="28"/>
  <c r="CN168" i="28"/>
  <c r="CY151" i="28"/>
  <c r="CZ134" i="28"/>
  <c r="BQ117" i="28"/>
  <c r="BV100" i="28"/>
  <c r="CZ83" i="28"/>
  <c r="BN83" i="28"/>
  <c r="CI66" i="28"/>
  <c r="CG51" i="28"/>
  <c r="CH34" i="28"/>
  <c r="BS32" i="28"/>
  <c r="CZ170" i="28"/>
  <c r="BS151" i="28"/>
  <c r="BS136" i="28"/>
  <c r="CS117" i="28"/>
  <c r="CZ102" i="28"/>
  <c r="CV83" i="28"/>
  <c r="BS66" i="28"/>
  <c r="CX68" i="28"/>
  <c r="CT32" i="28"/>
  <c r="CU49" i="28"/>
  <c r="CH168" i="28"/>
  <c r="DA168" i="28"/>
  <c r="CY153" i="28"/>
  <c r="BR136" i="28"/>
  <c r="CK117" i="28"/>
  <c r="BO102" i="28"/>
  <c r="CS83" i="28"/>
  <c r="CO66" i="28"/>
  <c r="CM66" i="28"/>
  <c r="CF34" i="28"/>
  <c r="CN34" i="28"/>
  <c r="CT151" i="28"/>
  <c r="CD117" i="28"/>
  <c r="CF85" i="28"/>
  <c r="CE66" i="28"/>
  <c r="BX51" i="28"/>
  <c r="BV168" i="28"/>
  <c r="CQ170" i="28"/>
  <c r="CP168" i="28"/>
  <c r="CM168" i="28"/>
  <c r="CV168" i="28"/>
  <c r="CZ151" i="28"/>
  <c r="CN153" i="28"/>
  <c r="CN151" i="28"/>
  <c r="BY151" i="28"/>
  <c r="CI153" i="28"/>
  <c r="CA134" i="28"/>
  <c r="CZ136" i="28"/>
  <c r="CU134" i="28"/>
  <c r="CG136" i="28"/>
  <c r="CK134" i="28"/>
  <c r="CY119" i="28"/>
  <c r="CV117" i="28"/>
  <c r="CF117" i="28"/>
  <c r="CP117" i="28"/>
  <c r="BW117" i="28"/>
  <c r="CB119" i="28"/>
  <c r="CA100" i="28"/>
  <c r="BS102" i="28"/>
  <c r="CT100" i="28"/>
  <c r="CM102" i="28"/>
  <c r="CS102" i="28"/>
  <c r="CP85" i="28"/>
  <c r="BX83" i="28"/>
  <c r="BP85" i="28"/>
  <c r="CH85" i="28"/>
  <c r="BZ83" i="28"/>
  <c r="BO85" i="28"/>
  <c r="CQ66" i="28"/>
  <c r="BY66" i="28"/>
  <c r="CT68" i="28"/>
  <c r="BN68" i="28"/>
  <c r="CO68" i="28"/>
  <c r="BO66" i="28"/>
  <c r="BP51" i="28"/>
  <c r="CD51" i="28"/>
  <c r="BP34" i="28"/>
  <c r="CR49" i="28"/>
  <c r="CR34" i="28"/>
  <c r="CZ49" i="28"/>
  <c r="CY51" i="28"/>
  <c r="BS34" i="28"/>
  <c r="BP49" i="28"/>
  <c r="CV17" i="28"/>
  <c r="BT34" i="28"/>
  <c r="CW170" i="28"/>
  <c r="CU170" i="28"/>
  <c r="CL170" i="28"/>
  <c r="BZ170" i="28"/>
  <c r="BV170" i="28"/>
  <c r="CC151" i="28"/>
  <c r="CA153" i="28"/>
  <c r="BW151" i="28"/>
  <c r="CH153" i="28"/>
  <c r="BS153" i="28"/>
  <c r="CE134" i="28"/>
  <c r="CB134" i="28"/>
  <c r="CN134" i="28"/>
  <c r="CJ136" i="28"/>
  <c r="CJ134" i="28"/>
  <c r="CA119" i="28"/>
  <c r="CF119" i="28"/>
  <c r="CR117" i="28"/>
  <c r="CS119" i="28"/>
  <c r="CQ119" i="28"/>
  <c r="BX119" i="28"/>
  <c r="CH102" i="28"/>
  <c r="BQ100" i="28"/>
  <c r="DA102" i="28"/>
  <c r="CB100" i="28"/>
  <c r="CY102" i="28"/>
  <c r="CK85" i="28"/>
  <c r="BV85" i="28"/>
  <c r="CU85" i="28"/>
  <c r="BZ85" i="28"/>
  <c r="BW85" i="28"/>
  <c r="CO83" i="28"/>
  <c r="BM68" i="28"/>
  <c r="CA66" i="28"/>
  <c r="CF66" i="28"/>
  <c r="CR66" i="28"/>
  <c r="CM68" i="28"/>
  <c r="CS68" i="28"/>
  <c r="CF32" i="28"/>
  <c r="BY51" i="28"/>
  <c r="CP51" i="28"/>
  <c r="BY49" i="28"/>
  <c r="CH49" i="28"/>
  <c r="BO49" i="28"/>
  <c r="CM34" i="28"/>
  <c r="BQ34" i="28"/>
  <c r="DA34" i="28"/>
  <c r="BU32" i="28"/>
  <c r="DA32" i="28"/>
  <c r="CN51" i="28"/>
  <c r="CC15" i="28"/>
  <c r="BU170" i="28"/>
  <c r="BX170" i="28"/>
  <c r="BW168" i="28"/>
  <c r="CE168" i="28"/>
  <c r="CI170" i="28"/>
  <c r="CA151" i="28"/>
  <c r="CR151" i="28"/>
  <c r="BY153" i="28"/>
  <c r="BZ151" i="28"/>
  <c r="BZ153" i="28"/>
  <c r="CD136" i="28"/>
  <c r="CN136" i="28"/>
  <c r="CR134" i="28"/>
  <c r="CL134" i="28"/>
  <c r="CL136" i="28"/>
  <c r="CZ119" i="28"/>
  <c r="BW119" i="28"/>
  <c r="CJ117" i="28"/>
  <c r="CK119" i="28"/>
  <c r="DA119" i="28"/>
  <c r="CQ100" i="28"/>
  <c r="CD102" i="28"/>
  <c r="BT100" i="28"/>
  <c r="CL100" i="28"/>
  <c r="BW100" i="28"/>
  <c r="CV102" i="28"/>
  <c r="CI85" i="28"/>
  <c r="CP83" i="28"/>
  <c r="CG85" i="28"/>
  <c r="BS85" i="28"/>
  <c r="CJ83" i="28"/>
  <c r="CT83" i="28"/>
  <c r="CK68" i="28"/>
  <c r="CW66" i="28"/>
  <c r="CY68" i="28"/>
  <c r="CH68" i="28"/>
  <c r="BQ68" i="28"/>
  <c r="BW68" i="28"/>
  <c r="CS51" i="28"/>
  <c r="CU34" i="28"/>
  <c r="BN49" i="28"/>
  <c r="CR51" i="28"/>
  <c r="CM49" i="28"/>
  <c r="CM51" i="28"/>
  <c r="BY34" i="28"/>
  <c r="BQ49" i="28"/>
  <c r="CP34" i="28"/>
  <c r="CB32" i="28"/>
  <c r="CI151" i="28"/>
  <c r="BY119" i="28"/>
  <c r="BY102" i="28"/>
  <c r="CH66" i="28"/>
  <c r="BM49" i="28"/>
  <c r="CC168" i="28"/>
  <c r="CQ168" i="28"/>
  <c r="CR168" i="28"/>
  <c r="CA170" i="28"/>
  <c r="CM170" i="28"/>
  <c r="CO153" i="28"/>
  <c r="BR151" i="28"/>
  <c r="CC153" i="28"/>
  <c r="CP153" i="28"/>
  <c r="BW153" i="28"/>
  <c r="CB153" i="28"/>
  <c r="CY136" i="28"/>
  <c r="CI136" i="28"/>
  <c r="CB136" i="28"/>
  <c r="CM134" i="28"/>
  <c r="DA136" i="28"/>
  <c r="CO117" i="28"/>
  <c r="CD119" i="28"/>
  <c r="CL117" i="28"/>
  <c r="BP119" i="28"/>
  <c r="CQ117" i="28"/>
  <c r="CC100" i="28"/>
  <c r="CC102" i="28"/>
  <c r="CU100" i="28"/>
  <c r="CB102" i="28"/>
  <c r="BU102" i="28"/>
  <c r="CF102" i="28"/>
  <c r="CI83" i="28"/>
  <c r="BV83" i="28"/>
  <c r="CL83" i="28"/>
  <c r="CN85" i="28"/>
  <c r="CA85" i="28"/>
  <c r="BU83" i="28"/>
  <c r="BV68" i="28"/>
  <c r="BU68" i="28"/>
  <c r="CP68" i="28"/>
  <c r="BT66" i="28"/>
  <c r="BS68" i="28"/>
  <c r="BR32" i="28"/>
  <c r="BR34" i="28"/>
  <c r="CK49" i="28"/>
  <c r="CR32" i="28"/>
  <c r="CH51" i="28"/>
  <c r="CS34" i="28"/>
  <c r="CB49" i="28"/>
  <c r="BO51" i="28"/>
  <c r="CV51" i="28"/>
  <c r="CV32" i="28"/>
  <c r="BO15" i="28"/>
  <c r="CX168" i="28"/>
  <c r="BT151" i="28"/>
  <c r="BU153" i="28"/>
  <c r="DA134" i="28"/>
  <c r="CS134" i="28"/>
  <c r="CT117" i="28"/>
  <c r="CV100" i="28"/>
  <c r="CH100" i="28"/>
  <c r="CI100" i="28"/>
  <c r="CX83" i="28"/>
  <c r="BS83" i="28"/>
  <c r="CZ85" i="28"/>
  <c r="CN68" i="28"/>
  <c r="BV66" i="28"/>
  <c r="CZ66" i="28"/>
  <c r="CZ68" i="28"/>
  <c r="BO32" i="28"/>
  <c r="BW51" i="28"/>
  <c r="BM32" i="28"/>
  <c r="CB168" i="28"/>
  <c r="CS170" i="28"/>
  <c r="CF168" i="28"/>
  <c r="CP170" i="28"/>
  <c r="BT170" i="28"/>
  <c r="CT153" i="28"/>
  <c r="CZ153" i="28"/>
  <c r="CG153" i="28"/>
  <c r="CD151" i="28"/>
  <c r="CK151" i="28"/>
  <c r="CX153" i="28"/>
  <c r="CT134" i="28"/>
  <c r="CP134" i="28"/>
  <c r="CG134" i="28"/>
  <c r="BV134" i="28"/>
  <c r="BX136" i="28"/>
  <c r="CX119" i="28"/>
  <c r="CC117" i="28"/>
  <c r="BV117" i="28"/>
  <c r="BU119" i="28"/>
  <c r="CT119" i="28"/>
  <c r="BX100" i="28"/>
  <c r="CA102" i="28"/>
  <c r="CE100" i="28"/>
  <c r="CL102" i="28"/>
  <c r="CR102" i="28"/>
  <c r="CP100" i="28"/>
  <c r="CU83" i="28"/>
  <c r="BR83" i="28"/>
  <c r="CW83" i="28"/>
  <c r="CQ83" i="28"/>
  <c r="BN85" i="28"/>
  <c r="CC83" i="28"/>
  <c r="BP68" i="28"/>
  <c r="CF68" i="28"/>
  <c r="BM66" i="28"/>
  <c r="CU66" i="28"/>
  <c r="BY68" i="28"/>
  <c r="CL49" i="28"/>
  <c r="CC51" i="28"/>
  <c r="CU51" i="28"/>
  <c r="CL51" i="28"/>
  <c r="CG49" i="28"/>
  <c r="CI49" i="28"/>
  <c r="CH32" i="28"/>
  <c r="CE32" i="28"/>
  <c r="BK34" i="28"/>
  <c r="CY34" i="28"/>
  <c r="BQ15" i="28"/>
  <c r="CG168" i="28"/>
  <c r="CW151" i="28"/>
  <c r="CR119" i="28"/>
  <c r="BX85" i="28"/>
  <c r="CK51" i="28"/>
  <c r="BU168" i="28"/>
  <c r="CT170" i="28"/>
  <c r="CY168" i="28"/>
  <c r="CB170" i="28"/>
  <c r="CW168" i="28"/>
  <c r="CB151" i="28"/>
  <c r="CV153" i="28"/>
  <c r="CQ151" i="28"/>
  <c r="CJ153" i="28"/>
  <c r="CF153" i="28"/>
  <c r="BU136" i="28"/>
  <c r="BW136" i="28"/>
  <c r="CF134" i="28"/>
  <c r="CM136" i="28"/>
  <c r="CY134" i="28"/>
  <c r="CR136" i="28"/>
  <c r="DA117" i="28"/>
  <c r="BQ119" i="28"/>
  <c r="BZ117" i="28"/>
  <c r="BR117" i="28"/>
  <c r="BR119" i="28"/>
  <c r="CE102" i="28"/>
  <c r="BX102" i="28"/>
  <c r="CG102" i="28"/>
  <c r="BW102" i="28"/>
  <c r="CO102" i="28"/>
  <c r="CN102" i="28"/>
  <c r="DA83" i="28"/>
  <c r="CY83" i="28"/>
  <c r="CR85" i="28"/>
  <c r="CN83" i="28"/>
  <c r="BQ85" i="28"/>
  <c r="BX66" i="28"/>
  <c r="CX66" i="28"/>
  <c r="CV66" i="28"/>
  <c r="CU68" i="28"/>
  <c r="BW66" i="28"/>
  <c r="BZ66" i="28"/>
  <c r="CX49" i="28"/>
  <c r="CG32" i="28"/>
  <c r="BK32" i="28"/>
  <c r="CX51" i="28"/>
  <c r="CP49" i="28"/>
  <c r="CW49" i="28"/>
  <c r="BQ51" i="28"/>
  <c r="BM51" i="28"/>
  <c r="BL51" i="28"/>
  <c r="BW34" i="28"/>
  <c r="CL32" i="28"/>
  <c r="CW117" i="28"/>
  <c r="BL34" i="28"/>
  <c r="CS168" i="28"/>
  <c r="CC170" i="28"/>
  <c r="CL168" i="28"/>
  <c r="CF170" i="28"/>
  <c r="CK168" i="28"/>
  <c r="CK153" i="28"/>
  <c r="CE151" i="28"/>
  <c r="DA151" i="28"/>
  <c r="BU151" i="28"/>
  <c r="CM151" i="28"/>
  <c r="CO134" i="28"/>
  <c r="CD134" i="28"/>
  <c r="BT136" i="28"/>
  <c r="CC134" i="28"/>
  <c r="BX134" i="28"/>
  <c r="BY134" i="28"/>
  <c r="CM117" i="28"/>
  <c r="CP119" i="28"/>
  <c r="BV119" i="28"/>
  <c r="CH117" i="28"/>
  <c r="CH119" i="28"/>
  <c r="BZ100" i="28"/>
  <c r="BR102" i="28"/>
  <c r="CM100" i="28"/>
  <c r="CZ100" i="28"/>
  <c r="CO100" i="28"/>
  <c r="CS100" i="28"/>
  <c r="CF83" i="28"/>
  <c r="CW85" i="28"/>
  <c r="CB83" i="28"/>
  <c r="BQ83" i="28"/>
  <c r="BW83" i="28"/>
  <c r="BN66" i="28"/>
  <c r="CD66" i="28"/>
  <c r="CK66" i="28"/>
  <c r="CT66" i="28"/>
  <c r="CC68" i="28"/>
  <c r="CG68" i="28"/>
  <c r="DA51" i="28"/>
  <c r="CF51" i="28"/>
  <c r="CO51" i="28"/>
  <c r="CT51" i="28"/>
  <c r="CC34" i="28"/>
  <c r="BS49" i="28"/>
  <c r="BV49" i="28"/>
  <c r="BU51" i="28"/>
  <c r="CE34" i="28"/>
  <c r="CW15" i="28"/>
  <c r="DA17" i="28"/>
  <c r="BS170" i="28"/>
  <c r="CH136" i="28"/>
  <c r="BS100" i="28"/>
  <c r="CM83" i="28"/>
  <c r="CU32" i="28"/>
  <c r="DA170" i="28"/>
  <c r="CN170" i="28"/>
  <c r="BW170" i="28"/>
  <c r="CX170" i="28"/>
  <c r="CZ168" i="28"/>
  <c r="BT153" i="28"/>
  <c r="CU151" i="28"/>
  <c r="CJ151" i="28"/>
  <c r="CX151" i="28"/>
  <c r="CW153" i="28"/>
  <c r="CV136" i="28"/>
  <c r="CU136" i="28"/>
  <c r="BY136" i="28"/>
  <c r="BT134" i="28"/>
  <c r="BQ136" i="28"/>
  <c r="BS134" i="28"/>
  <c r="CG117" i="28"/>
  <c r="BT117" i="28"/>
  <c r="BS119" i="28"/>
  <c r="CE117" i="28"/>
  <c r="CE119" i="28"/>
  <c r="CX100" i="28"/>
  <c r="CX102" i="28"/>
  <c r="BP100" i="28"/>
  <c r="DA100" i="28"/>
  <c r="CJ100" i="28"/>
  <c r="CQ102" i="28"/>
  <c r="CL85" i="28"/>
  <c r="CR83" i="28"/>
  <c r="BT85" i="28"/>
  <c r="CJ85" i="28"/>
  <c r="BU85" i="28"/>
  <c r="BR66" i="28"/>
  <c r="CW68" i="28"/>
  <c r="CD68" i="28"/>
  <c r="DA68" i="28"/>
  <c r="CL68" i="28"/>
  <c r="CB68" i="28"/>
  <c r="CT49" i="28"/>
  <c r="CT34" i="28"/>
  <c r="CJ51" i="28"/>
  <c r="BR49" i="28"/>
  <c r="BN51" i="28"/>
  <c r="CV49" i="28"/>
  <c r="BO34" i="28"/>
  <c r="CB51" i="28"/>
  <c r="DA49" i="28"/>
  <c r="BZ34" i="28"/>
  <c r="BU34" i="28"/>
  <c r="CX134" i="28"/>
  <c r="BZ49" i="28"/>
  <c r="CJ170" i="28"/>
  <c r="BX168" i="28"/>
  <c r="BY170" i="28"/>
  <c r="BS168" i="28"/>
  <c r="CE170" i="28"/>
  <c r="CO151" i="28"/>
  <c r="DA153" i="28"/>
  <c r="CU153" i="28"/>
  <c r="CF151" i="28"/>
  <c r="BX153" i="28"/>
  <c r="BV136" i="28"/>
  <c r="BW134" i="28"/>
  <c r="CO136" i="28"/>
  <c r="CX136" i="28"/>
  <c r="CW136" i="28"/>
  <c r="CK136" i="28"/>
  <c r="BS117" i="28"/>
  <c r="BZ119" i="28"/>
  <c r="CN117" i="28"/>
  <c r="CO119" i="28"/>
  <c r="CG119" i="28"/>
  <c r="BQ102" i="28"/>
  <c r="BT102" i="28"/>
  <c r="CG100" i="28"/>
  <c r="BP102" i="28"/>
  <c r="BY100" i="28"/>
  <c r="CD100" i="28"/>
  <c r="CY85" i="28"/>
  <c r="CV85" i="28"/>
  <c r="CK83" i="28"/>
  <c r="CD83" i="28"/>
  <c r="BR85" i="28"/>
  <c r="CS66" i="28"/>
  <c r="CE68" i="28"/>
  <c r="BP66" i="28"/>
  <c r="CL66" i="28"/>
  <c r="CI68" i="28"/>
  <c r="BT68" i="28"/>
  <c r="BU49" i="28"/>
  <c r="CD32" i="28"/>
  <c r="CO49" i="28"/>
  <c r="BZ51" i="28"/>
  <c r="CS32" i="28"/>
  <c r="BW49" i="28"/>
  <c r="CG34" i="28"/>
  <c r="CQ34" i="28"/>
  <c r="CQ32" i="28"/>
  <c r="BV15" i="28"/>
  <c r="BW17" i="28"/>
  <c r="BT168" i="28"/>
  <c r="CQ136" i="28"/>
  <c r="CK102" i="28"/>
  <c r="CC32" i="28"/>
  <c r="CO170" i="28"/>
  <c r="CG170" i="28"/>
  <c r="CA168" i="28"/>
  <c r="CV170" i="28"/>
  <c r="CH170" i="28"/>
  <c r="CG151" i="28"/>
  <c r="CL153" i="28"/>
  <c r="CL151" i="28"/>
  <c r="CM153" i="28"/>
  <c r="BX151" i="28"/>
  <c r="CS136" i="28"/>
  <c r="CE136" i="28"/>
  <c r="BU134" i="28"/>
  <c r="CV134" i="28"/>
  <c r="BZ134" i="28"/>
  <c r="CY117" i="28"/>
  <c r="CA117" i="28"/>
  <c r="CB117" i="28"/>
  <c r="BT119" i="28"/>
  <c r="CX117" i="28"/>
  <c r="CV119" i="28"/>
  <c r="CW102" i="28"/>
  <c r="CW100" i="28"/>
  <c r="BU100" i="28"/>
  <c r="CR100" i="28"/>
  <c r="CF100" i="28"/>
  <c r="BO83" i="28"/>
  <c r="CD85" i="28"/>
  <c r="CB85" i="28"/>
  <c r="CG83" i="28"/>
  <c r="CM85" i="28"/>
  <c r="BT83" i="28"/>
  <c r="CQ68" i="28"/>
  <c r="CB66" i="28"/>
  <c r="CA68" i="28"/>
  <c r="BO68" i="28"/>
  <c r="BX68" i="28"/>
  <c r="BR68" i="28"/>
  <c r="BR51" i="28"/>
  <c r="BP32" i="28"/>
  <c r="CD34" i="28"/>
  <c r="CC49" i="28"/>
  <c r="CI51" i="28"/>
  <c r="CM32" i="28"/>
  <c r="CY49" i="28"/>
  <c r="CA49" i="28"/>
  <c r="CA51" i="28"/>
  <c r="CH17" i="28"/>
  <c r="BY17" i="28"/>
  <c r="G66" i="19"/>
  <c r="G63" i="19"/>
  <c r="H33" i="19"/>
  <c r="H35" i="19" s="1"/>
  <c r="I34" i="19" s="1"/>
  <c r="X33" i="19"/>
  <c r="X35" i="19" s="1"/>
  <c r="Y34" i="19" s="1"/>
  <c r="I33" i="19"/>
  <c r="I35" i="19" s="1"/>
  <c r="J34" i="19" s="1"/>
  <c r="V33" i="19"/>
  <c r="V35" i="19" s="1"/>
  <c r="W34" i="19" s="1"/>
  <c r="J33" i="19"/>
  <c r="J35" i="19" s="1"/>
  <c r="K34" i="19" s="1"/>
  <c r="W33" i="19"/>
  <c r="W35" i="19" s="1"/>
  <c r="X34" i="19" s="1"/>
  <c r="N33" i="19"/>
  <c r="N35" i="19" s="1"/>
  <c r="O34" i="19" s="1"/>
  <c r="S33" i="19"/>
  <c r="S35" i="19" s="1"/>
  <c r="T34" i="19" s="1"/>
  <c r="O33" i="19"/>
  <c r="O35" i="19" s="1"/>
  <c r="P34" i="19" s="1"/>
  <c r="R33" i="19"/>
  <c r="R35" i="19" s="1"/>
  <c r="S34" i="19" s="1"/>
  <c r="AC33" i="19"/>
  <c r="AC35" i="19" s="1"/>
  <c r="AD34" i="19" s="1"/>
  <c r="P33" i="19"/>
  <c r="P35" i="19" s="1"/>
  <c r="Q34" i="19" s="1"/>
  <c r="AA33" i="19"/>
  <c r="AA35" i="19" s="1"/>
  <c r="AB34" i="19" s="1"/>
  <c r="L33" i="19"/>
  <c r="L35" i="19" s="1"/>
  <c r="M34" i="19" s="1"/>
  <c r="U33" i="19"/>
  <c r="U35" i="19" s="1"/>
  <c r="V34" i="19" s="1"/>
  <c r="Q33" i="19"/>
  <c r="Q35" i="19" s="1"/>
  <c r="R34" i="19" s="1"/>
  <c r="T33" i="19"/>
  <c r="T35" i="19" s="1"/>
  <c r="U34" i="19" s="1"/>
  <c r="Z33" i="19"/>
  <c r="Z35" i="19" s="1"/>
  <c r="AA34" i="19" s="1"/>
  <c r="M33" i="19"/>
  <c r="M35" i="19" s="1"/>
  <c r="N34" i="19" s="1"/>
  <c r="Y33" i="19"/>
  <c r="Y35" i="19" s="1"/>
  <c r="Z34" i="19" s="1"/>
  <c r="AB33" i="19"/>
  <c r="AB35" i="19" s="1"/>
  <c r="AC34" i="19" s="1"/>
  <c r="K33" i="19"/>
  <c r="K35" i="19" s="1"/>
  <c r="L34" i="19" s="1"/>
  <c r="AY42" i="19"/>
  <c r="AD42" i="19"/>
  <c r="G38" i="19"/>
  <c r="G33" i="19"/>
  <c r="G35" i="19" s="1"/>
  <c r="H4" i="28"/>
  <c r="G9" i="28"/>
  <c r="BB15" i="19"/>
  <c r="BD15" i="19"/>
  <c r="BD88" i="19" s="1"/>
  <c r="F10" i="29"/>
  <c r="BC15" i="19"/>
  <c r="H4" i="29"/>
  <c r="G5" i="29"/>
  <c r="G9" i="29"/>
  <c r="CV15" i="28"/>
  <c r="BO17" i="28"/>
  <c r="CF15" i="28"/>
  <c r="BQ17" i="28"/>
  <c r="CX32" i="28"/>
  <c r="BW32" i="28"/>
  <c r="BX32" i="28"/>
  <c r="CO34" i="28"/>
  <c r="CB17" i="28"/>
  <c r="BM34" i="28"/>
  <c r="CO32" i="28"/>
  <c r="BN32" i="28"/>
  <c r="CS17" i="28"/>
  <c r="BT32" i="28"/>
  <c r="CQ17" i="28"/>
  <c r="CC17" i="28"/>
  <c r="CY32" i="28"/>
  <c r="BN34" i="28"/>
  <c r="BP17" i="28"/>
  <c r="CT15" i="28"/>
  <c r="CL17" i="28"/>
  <c r="CQ15" i="28"/>
  <c r="CI32" i="28"/>
  <c r="CZ17" i="28"/>
  <c r="CT17" i="28"/>
  <c r="CJ34" i="28"/>
  <c r="CX34" i="28"/>
  <c r="BM15" i="28"/>
  <c r="BR15" i="28"/>
  <c r="CK15" i="28"/>
  <c r="CG17" i="28"/>
  <c r="CR17" i="28"/>
  <c r="BR17" i="28"/>
  <c r="BN15" i="28"/>
  <c r="BJ17" i="28"/>
  <c r="BU15" i="28"/>
  <c r="CI15" i="28"/>
  <c r="CX17" i="28"/>
  <c r="CV34" i="28"/>
  <c r="CD17" i="28"/>
  <c r="CN32" i="28"/>
  <c r="CY17" i="28"/>
  <c r="CZ15" i="28"/>
  <c r="CJ32" i="28"/>
  <c r="CK17" i="28"/>
  <c r="CK32" i="28"/>
  <c r="BK15" i="28"/>
  <c r="BZ32" i="28"/>
  <c r="CY15" i="28"/>
  <c r="CJ15" i="28"/>
  <c r="BL15" i="28"/>
  <c r="CS15" i="28"/>
  <c r="CZ34" i="28"/>
  <c r="BX34" i="28"/>
  <c r="BW15" i="28"/>
  <c r="BV17" i="28"/>
  <c r="CX15" i="28"/>
  <c r="CB34" i="28"/>
  <c r="CA15" i="28"/>
  <c r="BS17" i="28"/>
  <c r="CP17" i="28"/>
  <c r="CP32" i="28"/>
  <c r="CA34" i="28"/>
  <c r="BP15" i="28"/>
  <c r="CB15" i="28"/>
  <c r="CZ32" i="28"/>
  <c r="BM17" i="28"/>
  <c r="BY15" i="28"/>
  <c r="CD15" i="28"/>
  <c r="CA17" i="28"/>
  <c r="CR15" i="28"/>
  <c r="CM15" i="28"/>
  <c r="BL32" i="28"/>
  <c r="CA32" i="28"/>
  <c r="CH15" i="28"/>
  <c r="BV32" i="28"/>
  <c r="CO15" i="28"/>
  <c r="CM17" i="28"/>
  <c r="CL34" i="28"/>
  <c r="CE17" i="28"/>
  <c r="CE15" i="28"/>
  <c r="BT15" i="28"/>
  <c r="CW32" i="28"/>
  <c r="CJ17" i="28"/>
  <c r="BZ15" i="28"/>
  <c r="BJ15" i="28"/>
  <c r="CK34" i="28"/>
  <c r="CF17" i="28"/>
  <c r="BV34" i="28"/>
  <c r="CI34" i="28"/>
  <c r="CW34" i="28"/>
  <c r="BN17" i="28"/>
  <c r="DA15" i="28"/>
  <c r="CP15" i="28"/>
  <c r="BX15" i="28"/>
  <c r="BK17" i="28"/>
  <c r="CN15" i="28"/>
  <c r="DA15" i="30"/>
  <c r="CM15" i="30"/>
  <c r="BY15" i="30"/>
  <c r="BK15" i="30"/>
  <c r="CN32" i="30"/>
  <c r="CZ15" i="30"/>
  <c r="CL15" i="30"/>
  <c r="BX15" i="30"/>
  <c r="BJ15" i="30"/>
  <c r="BM15" i="30"/>
  <c r="CM17" i="30"/>
  <c r="CL17" i="30"/>
  <c r="CP15" i="30"/>
  <c r="BF17" i="30"/>
  <c r="CX17" i="30"/>
  <c r="CW17" i="30"/>
  <c r="CA15" i="30"/>
  <c r="BZ32" i="30"/>
  <c r="BG17" i="30"/>
  <c r="CG17" i="30"/>
  <c r="CI17" i="30"/>
  <c r="BO15" i="30"/>
  <c r="BL32" i="30"/>
  <c r="CZ17" i="30"/>
  <c r="CR15" i="30"/>
  <c r="CD15" i="30"/>
  <c r="BP15" i="30"/>
  <c r="CQ15" i="30"/>
  <c r="BN15" i="30"/>
  <c r="CY17" i="30"/>
  <c r="CC15" i="30"/>
  <c r="CH17" i="30"/>
  <c r="CB15" i="30"/>
  <c r="CN15" i="30"/>
  <c r="BZ15" i="30"/>
  <c r="BL15" i="30"/>
  <c r="CO15" i="30"/>
  <c r="BG15" i="30"/>
  <c r="BT51" i="30"/>
  <c r="CA32" i="30"/>
  <c r="CJ49" i="30"/>
  <c r="CP32" i="30"/>
  <c r="CA17" i="30"/>
  <c r="CU17" i="30"/>
  <c r="BD17" i="30"/>
  <c r="CD32" i="30"/>
  <c r="BW15" i="30"/>
  <c r="BZ17" i="30"/>
  <c r="BU49" i="30"/>
  <c r="BU15" i="30"/>
  <c r="BK17" i="30"/>
  <c r="BP17" i="30"/>
  <c r="BT49" i="30"/>
  <c r="CM51" i="30"/>
  <c r="BS15" i="30"/>
  <c r="BU51" i="30"/>
  <c r="CO17" i="30"/>
  <c r="BL34" i="30"/>
  <c r="CK51" i="30"/>
  <c r="BF15" i="30"/>
  <c r="BW17" i="30"/>
  <c r="BT17" i="30"/>
  <c r="BT15" i="30"/>
  <c r="BQ17" i="30"/>
  <c r="BQ51" i="30"/>
  <c r="CC17" i="30"/>
  <c r="CW15" i="30"/>
  <c r="BY17" i="30"/>
  <c r="CF17" i="30"/>
  <c r="CB34" i="30"/>
  <c r="BE17" i="30"/>
  <c r="CM49" i="30"/>
  <c r="BJ17" i="30"/>
  <c r="CR34" i="30"/>
  <c r="CR17" i="30"/>
  <c r="BM32" i="30"/>
  <c r="CK49" i="30"/>
  <c r="CN34" i="30"/>
  <c r="CO34" i="30"/>
  <c r="BL17" i="30"/>
  <c r="BQ49" i="30"/>
  <c r="CH15" i="30"/>
  <c r="CO32" i="30"/>
  <c r="CQ34" i="30"/>
  <c r="CD34" i="30"/>
  <c r="BH15" i="30"/>
  <c r="DA17" i="30"/>
  <c r="CB32" i="30"/>
  <c r="BU17" i="30"/>
  <c r="CI15" i="30"/>
  <c r="CR32" i="30"/>
  <c r="BM34" i="30"/>
  <c r="BI17" i="30"/>
  <c r="CK15" i="30"/>
  <c r="CD17" i="30"/>
  <c r="CU15" i="30"/>
  <c r="CF15" i="30"/>
  <c r="BI15" i="30"/>
  <c r="CK17" i="30"/>
  <c r="CE17" i="30"/>
  <c r="CY15" i="30"/>
  <c r="BO34" i="30"/>
  <c r="BZ34" i="30"/>
  <c r="CL49" i="30"/>
  <c r="CV15" i="30"/>
  <c r="BP32" i="30"/>
  <c r="CN17" i="30"/>
  <c r="CQ32" i="30"/>
  <c r="BE15" i="30"/>
  <c r="BN32" i="30"/>
  <c r="CS17" i="30"/>
  <c r="BV15" i="30"/>
  <c r="BP34" i="30"/>
  <c r="CT15" i="30"/>
  <c r="BN34" i="30"/>
  <c r="CX15" i="30"/>
  <c r="CL51" i="30"/>
  <c r="BR17" i="30"/>
  <c r="BN17" i="30"/>
  <c r="CP17" i="30"/>
  <c r="BO32" i="30"/>
  <c r="BQ15" i="30"/>
  <c r="CC34" i="30"/>
  <c r="CG15" i="30"/>
  <c r="CB17" i="30"/>
  <c r="BV17" i="30"/>
  <c r="BH17" i="30"/>
  <c r="CV17" i="30"/>
  <c r="BO17" i="30"/>
  <c r="CQ17" i="30"/>
  <c r="BS17" i="30"/>
  <c r="CE15" i="30"/>
  <c r="CC32" i="30"/>
  <c r="BR15" i="30"/>
  <c r="CJ15" i="30"/>
  <c r="CT17" i="30"/>
  <c r="BS49" i="30"/>
  <c r="CS15" i="30"/>
  <c r="BS51" i="30"/>
  <c r="CJ17" i="30"/>
  <c r="BD15" i="30"/>
  <c r="CA34" i="30"/>
  <c r="CJ51" i="30"/>
  <c r="BX17" i="30"/>
  <c r="CP34" i="30"/>
  <c r="BM17" i="30"/>
  <c r="CU49" i="30"/>
  <c r="CA51" i="30"/>
  <c r="CH51" i="30"/>
  <c r="BH49" i="30"/>
  <c r="BN51" i="30"/>
  <c r="CM32" i="30"/>
  <c r="BF34" i="30"/>
  <c r="BX32" i="30"/>
  <c r="CH34" i="30"/>
  <c r="CN51" i="30"/>
  <c r="BO51" i="30"/>
  <c r="DA32" i="30"/>
  <c r="BQ32" i="30"/>
  <c r="BX51" i="30"/>
  <c r="CA49" i="30"/>
  <c r="CW51" i="30"/>
  <c r="CS32" i="30"/>
  <c r="CH49" i="30"/>
  <c r="BN49" i="30"/>
  <c r="CL34" i="30"/>
  <c r="CR49" i="30"/>
  <c r="BW34" i="30"/>
  <c r="CN49" i="30"/>
  <c r="CV34" i="30"/>
  <c r="CY34" i="30"/>
  <c r="CQ51" i="30"/>
  <c r="CD51" i="30"/>
  <c r="BY51" i="30"/>
  <c r="CW49" i="30"/>
  <c r="CU32" i="30"/>
  <c r="CR51" i="30"/>
  <c r="CY32" i="30"/>
  <c r="CX34" i="30"/>
  <c r="BX49" i="30"/>
  <c r="CS34" i="30"/>
  <c r="CG49" i="30"/>
  <c r="BK51" i="30"/>
  <c r="CF32" i="30"/>
  <c r="CL32" i="30"/>
  <c r="BW32" i="30"/>
  <c r="CP51" i="30"/>
  <c r="BK34" i="30"/>
  <c r="BL51" i="30"/>
  <c r="CG32" i="30"/>
  <c r="CX32" i="30"/>
  <c r="BY49" i="30"/>
  <c r="CB51" i="30"/>
  <c r="BK49" i="30"/>
  <c r="CU34" i="30"/>
  <c r="BV34" i="30"/>
  <c r="CP49" i="30"/>
  <c r="BK32" i="30"/>
  <c r="BL49" i="30"/>
  <c r="BT32" i="30"/>
  <c r="CT32" i="30"/>
  <c r="BM51" i="30"/>
  <c r="CU51" i="30"/>
  <c r="CM34" i="30"/>
  <c r="CV32" i="30"/>
  <c r="CZ51" i="30"/>
  <c r="CB49" i="30"/>
  <c r="CG51" i="30"/>
  <c r="CF34" i="30"/>
  <c r="CK34" i="30"/>
  <c r="CI49" i="30"/>
  <c r="BP49" i="30"/>
  <c r="BJ34" i="30"/>
  <c r="CF49" i="30"/>
  <c r="BT34" i="30"/>
  <c r="CG34" i="30"/>
  <c r="BW49" i="30"/>
  <c r="CZ49" i="30"/>
  <c r="BF51" i="30"/>
  <c r="BJ51" i="30"/>
  <c r="BR32" i="30"/>
  <c r="CK32" i="30"/>
  <c r="BE32" i="30"/>
  <c r="BV32" i="30"/>
  <c r="BP51" i="30"/>
  <c r="CF51" i="30"/>
  <c r="BG49" i="30"/>
  <c r="CE51" i="30"/>
  <c r="BF49" i="30"/>
  <c r="BJ49" i="30"/>
  <c r="BR34" i="30"/>
  <c r="BS32" i="30"/>
  <c r="BE34" i="30"/>
  <c r="CI51" i="30"/>
  <c r="BJ32" i="30"/>
  <c r="BH51" i="30"/>
  <c r="BO49" i="30"/>
  <c r="CT49" i="30"/>
  <c r="CY51" i="30"/>
  <c r="BG51" i="30"/>
  <c r="CE49" i="30"/>
  <c r="BQ34" i="30"/>
  <c r="BS34" i="30"/>
  <c r="CJ34" i="30"/>
  <c r="DA51" i="30"/>
  <c r="BG32" i="30"/>
  <c r="CZ34" i="30"/>
  <c r="BI34" i="30"/>
  <c r="CD49" i="30"/>
  <c r="BM49" i="30"/>
  <c r="CQ49" i="30"/>
  <c r="CY49" i="30"/>
  <c r="CV51" i="30"/>
  <c r="CC49" i="30"/>
  <c r="CT34" i="30"/>
  <c r="CO51" i="30"/>
  <c r="BI51" i="30"/>
  <c r="CJ32" i="30"/>
  <c r="DA49" i="30"/>
  <c r="BG34" i="30"/>
  <c r="CZ32" i="30"/>
  <c r="BV51" i="30"/>
  <c r="CW32" i="30"/>
  <c r="CS49" i="30"/>
  <c r="CX49" i="30"/>
  <c r="CV49" i="30"/>
  <c r="CE32" i="30"/>
  <c r="CO49" i="30"/>
  <c r="BI49" i="30"/>
  <c r="BY34" i="30"/>
  <c r="BI32" i="30"/>
  <c r="CW34" i="30"/>
  <c r="CS51" i="30"/>
  <c r="CX51" i="30"/>
  <c r="CC51" i="30"/>
  <c r="BU32" i="30"/>
  <c r="BY32" i="30"/>
  <c r="BR49" i="30"/>
  <c r="CI32" i="30"/>
  <c r="BH34" i="30"/>
  <c r="BV49" i="30"/>
  <c r="BW51" i="30"/>
  <c r="CE34" i="30"/>
  <c r="BU34" i="30"/>
  <c r="BX34" i="30"/>
  <c r="BR51" i="30"/>
  <c r="CH32" i="30"/>
  <c r="CI34" i="30"/>
  <c r="BH32" i="30"/>
  <c r="BZ51" i="30"/>
  <c r="CT51" i="30"/>
  <c r="BF32" i="30"/>
  <c r="BZ49" i="30"/>
  <c r="DA34" i="30"/>
  <c r="BU68" i="30"/>
  <c r="CW68" i="30"/>
  <c r="CE68" i="30"/>
  <c r="CF68" i="30"/>
  <c r="CG68" i="30"/>
  <c r="CJ68" i="30"/>
  <c r="BT68" i="30"/>
  <c r="BX66" i="30"/>
  <c r="BL66" i="30"/>
  <c r="BN68" i="30"/>
  <c r="CE66" i="30"/>
  <c r="BY66" i="30"/>
  <c r="CR66" i="30"/>
  <c r="BX68" i="30"/>
  <c r="CO68" i="30"/>
  <c r="BN66" i="30"/>
  <c r="CB68" i="30"/>
  <c r="CK66" i="30"/>
  <c r="BY68" i="30"/>
  <c r="CR68" i="30"/>
  <c r="CF66" i="30"/>
  <c r="BV66" i="30"/>
  <c r="CU68" i="30"/>
  <c r="CG66" i="30"/>
  <c r="CO66" i="30"/>
  <c r="CN68" i="30"/>
  <c r="BR68" i="30"/>
  <c r="CB66" i="30"/>
  <c r="CK68" i="30"/>
  <c r="CQ66" i="30"/>
  <c r="BV68" i="30"/>
  <c r="BZ68" i="30"/>
  <c r="BH66" i="30"/>
  <c r="CY66" i="30"/>
  <c r="BM68" i="30"/>
  <c r="CZ66" i="30"/>
  <c r="BR66" i="30"/>
  <c r="BO68" i="30"/>
  <c r="CQ68" i="30"/>
  <c r="DA66" i="30"/>
  <c r="CI66" i="30"/>
  <c r="BK68" i="30"/>
  <c r="BG68" i="30"/>
  <c r="CD68" i="30"/>
  <c r="CI68" i="30"/>
  <c r="CX66" i="30"/>
  <c r="CT66" i="30"/>
  <c r="CC68" i="30"/>
  <c r="CM68" i="30"/>
  <c r="BM66" i="30"/>
  <c r="CZ68" i="30"/>
  <c r="CN66" i="30"/>
  <c r="BK66" i="30"/>
  <c r="BO66" i="30"/>
  <c r="DA68" i="30"/>
  <c r="CU66" i="30"/>
  <c r="BG66" i="30"/>
  <c r="BI68" i="30"/>
  <c r="BS66" i="30"/>
  <c r="CD66" i="30"/>
  <c r="BJ66" i="30"/>
  <c r="CP68" i="30"/>
  <c r="BH68" i="30"/>
  <c r="CL68" i="30"/>
  <c r="CV66" i="30"/>
  <c r="BQ68" i="30"/>
  <c r="BZ66" i="30"/>
  <c r="CS68" i="30"/>
  <c r="CA68" i="30"/>
  <c r="BW66" i="30"/>
  <c r="BJ68" i="30"/>
  <c r="CP66" i="30"/>
  <c r="CM66" i="30"/>
  <c r="BP68" i="30"/>
  <c r="CV68" i="30"/>
  <c r="CL66" i="30"/>
  <c r="BQ66" i="30"/>
  <c r="CH66" i="30"/>
  <c r="CS66" i="30"/>
  <c r="BS68" i="30"/>
  <c r="CA66" i="30"/>
  <c r="BW68" i="30"/>
  <c r="CT68" i="30"/>
  <c r="BP66" i="30"/>
  <c r="CH68" i="30"/>
  <c r="BI66" i="30"/>
  <c r="CX68" i="30"/>
  <c r="BL68" i="30"/>
  <c r="BU66" i="30"/>
  <c r="CW66" i="30"/>
  <c r="CC66" i="30"/>
  <c r="CY68" i="30"/>
  <c r="CJ66" i="30"/>
  <c r="BT66" i="30"/>
  <c r="BN83" i="30"/>
  <c r="CP83" i="30"/>
  <c r="BV83" i="30"/>
  <c r="CF85" i="30"/>
  <c r="BZ85" i="30"/>
  <c r="CW83" i="30"/>
  <c r="CA85" i="30"/>
  <c r="CG85" i="30"/>
  <c r="CE85" i="30"/>
  <c r="CC83" i="30"/>
  <c r="BO83" i="30"/>
  <c r="BN85" i="30"/>
  <c r="CP85" i="30"/>
  <c r="CB83" i="30"/>
  <c r="BV85" i="30"/>
  <c r="BS83" i="30"/>
  <c r="BJ85" i="30"/>
  <c r="BT85" i="30"/>
  <c r="BW85" i="30"/>
  <c r="BR85" i="30"/>
  <c r="CB85" i="30"/>
  <c r="CF83" i="30"/>
  <c r="BY83" i="30"/>
  <c r="CG83" i="30"/>
  <c r="CI83" i="30"/>
  <c r="BL83" i="30"/>
  <c r="CS83" i="30"/>
  <c r="CV85" i="30"/>
  <c r="DA83" i="30"/>
  <c r="BJ83" i="30"/>
  <c r="BH83" i="30"/>
  <c r="CT83" i="30"/>
  <c r="CU85" i="30"/>
  <c r="CY85" i="30"/>
  <c r="BL85" i="30"/>
  <c r="CD83" i="30"/>
  <c r="BR83" i="30"/>
  <c r="CS85" i="30"/>
  <c r="BY85" i="30"/>
  <c r="CM83" i="30"/>
  <c r="BI85" i="30"/>
  <c r="DA85" i="30"/>
  <c r="CK83" i="30"/>
  <c r="CC85" i="30"/>
  <c r="CD85" i="30"/>
  <c r="CJ83" i="30"/>
  <c r="CV83" i="30"/>
  <c r="CQ83" i="30"/>
  <c r="CM85" i="30"/>
  <c r="BI83" i="30"/>
  <c r="CZ85" i="30"/>
  <c r="BP83" i="30"/>
  <c r="CN83" i="30"/>
  <c r="CK85" i="30"/>
  <c r="BW83" i="30"/>
  <c r="CX83" i="30"/>
  <c r="CO83" i="30"/>
  <c r="CJ85" i="30"/>
  <c r="CN85" i="30"/>
  <c r="CQ85" i="30"/>
  <c r="CH85" i="30"/>
  <c r="CZ83" i="30"/>
  <c r="BP85" i="30"/>
  <c r="CO85" i="30"/>
  <c r="BH85" i="30"/>
  <c r="BQ83" i="30"/>
  <c r="BK83" i="30"/>
  <c r="CL85" i="30"/>
  <c r="CR85" i="30"/>
  <c r="CH83" i="30"/>
  <c r="BU83" i="30"/>
  <c r="BX83" i="30"/>
  <c r="BM85" i="30"/>
  <c r="BM83" i="30"/>
  <c r="BT83" i="30"/>
  <c r="CT85" i="30"/>
  <c r="BQ85" i="30"/>
  <c r="BK85" i="30"/>
  <c r="CL83" i="30"/>
  <c r="CR83" i="30"/>
  <c r="CX85" i="30"/>
  <c r="BU85" i="30"/>
  <c r="CI85" i="30"/>
  <c r="BZ83" i="30"/>
  <c r="CY83" i="30"/>
  <c r="BS85" i="30"/>
  <c r="CW85" i="30"/>
  <c r="BO85" i="30"/>
  <c r="CU83" i="30"/>
  <c r="CA83" i="30"/>
  <c r="CE83" i="30"/>
  <c r="BX85" i="30"/>
  <c r="BW102" i="30"/>
  <c r="CY100" i="30"/>
  <c r="CG100" i="30"/>
  <c r="CL102" i="30"/>
  <c r="CF100" i="30"/>
  <c r="CS102" i="30"/>
  <c r="CY102" i="30"/>
  <c r="CW100" i="30"/>
  <c r="CG102" i="30"/>
  <c r="CK100" i="30"/>
  <c r="BL102" i="30"/>
  <c r="BV100" i="30"/>
  <c r="BZ102" i="30"/>
  <c r="BP102" i="30"/>
  <c r="BN102" i="30"/>
  <c r="CW102" i="30"/>
  <c r="CK102" i="30"/>
  <c r="CZ100" i="30"/>
  <c r="DA100" i="30"/>
  <c r="BL100" i="30"/>
  <c r="CM100" i="30"/>
  <c r="BV102" i="30"/>
  <c r="BS102" i="30"/>
  <c r="CH100" i="30"/>
  <c r="BQ102" i="30"/>
  <c r="CT102" i="30"/>
  <c r="CH102" i="30"/>
  <c r="BY102" i="30"/>
  <c r="CD102" i="30"/>
  <c r="BM102" i="30"/>
  <c r="CE100" i="30"/>
  <c r="BN100" i="30"/>
  <c r="CI100" i="30"/>
  <c r="CO102" i="30"/>
  <c r="CZ102" i="30"/>
  <c r="DA102" i="30"/>
  <c r="BO102" i="30"/>
  <c r="CM102" i="30"/>
  <c r="BZ100" i="30"/>
  <c r="BJ100" i="30"/>
  <c r="BP100" i="30"/>
  <c r="BR102" i="30"/>
  <c r="CS100" i="30"/>
  <c r="CA102" i="30"/>
  <c r="BY100" i="30"/>
  <c r="BS100" i="30"/>
  <c r="CB102" i="30"/>
  <c r="BX100" i="30"/>
  <c r="CC102" i="30"/>
  <c r="CE102" i="30"/>
  <c r="CL100" i="30"/>
  <c r="CI102" i="30"/>
  <c r="CO100" i="30"/>
  <c r="BO100" i="30"/>
  <c r="BJ102" i="30"/>
  <c r="BQ100" i="30"/>
  <c r="CA100" i="30"/>
  <c r="CF102" i="30"/>
  <c r="BK100" i="30"/>
  <c r="CT100" i="30"/>
  <c r="BM100" i="30"/>
  <c r="CB100" i="30"/>
  <c r="CJ100" i="30"/>
  <c r="CQ100" i="30"/>
  <c r="BI100" i="30"/>
  <c r="CP102" i="30"/>
  <c r="CN102" i="30"/>
  <c r="BK102" i="30"/>
  <c r="CD100" i="30"/>
  <c r="CQ102" i="30"/>
  <c r="CJ102" i="30"/>
  <c r="CV100" i="30"/>
  <c r="CC100" i="30"/>
  <c r="CN100" i="30"/>
  <c r="BU100" i="30"/>
  <c r="CR102" i="30"/>
  <c r="CV102" i="30"/>
  <c r="BU102" i="30"/>
  <c r="CU102" i="30"/>
  <c r="CR100" i="30"/>
  <c r="BT100" i="30"/>
  <c r="CX100" i="30"/>
  <c r="BW100" i="30"/>
  <c r="CU100" i="30"/>
  <c r="BI102" i="30"/>
  <c r="BT102" i="30"/>
  <c r="CP100" i="30"/>
  <c r="CX102" i="30"/>
  <c r="BX102" i="30"/>
  <c r="BR100" i="30"/>
  <c r="CI117" i="30"/>
  <c r="BO119" i="30"/>
  <c r="CO119" i="30"/>
  <c r="BW119" i="30"/>
  <c r="CN117" i="30"/>
  <c r="CR117" i="30"/>
  <c r="CX119" i="30"/>
  <c r="BO117" i="30"/>
  <c r="BM119" i="30"/>
  <c r="CO117" i="30"/>
  <c r="BW117" i="30"/>
  <c r="BJ119" i="30"/>
  <c r="CN119" i="30"/>
  <c r="CX117" i="30"/>
  <c r="CL117" i="30"/>
  <c r="BM117" i="30"/>
  <c r="BL119" i="30"/>
  <c r="BJ117" i="30"/>
  <c r="CU119" i="30"/>
  <c r="CE119" i="30"/>
  <c r="CQ119" i="30"/>
  <c r="BN119" i="30"/>
  <c r="CD119" i="30"/>
  <c r="BR119" i="30"/>
  <c r="CT119" i="30"/>
  <c r="CE117" i="30"/>
  <c r="CQ117" i="30"/>
  <c r="BN117" i="30"/>
  <c r="CL119" i="30"/>
  <c r="CD117" i="30"/>
  <c r="BQ119" i="30"/>
  <c r="CC119" i="30"/>
  <c r="BU119" i="30"/>
  <c r="BL117" i="30"/>
  <c r="BZ119" i="30"/>
  <c r="CB119" i="30"/>
  <c r="CU117" i="30"/>
  <c r="CY117" i="30"/>
  <c r="BQ117" i="30"/>
  <c r="CC117" i="30"/>
  <c r="BU117" i="30"/>
  <c r="BZ117" i="30"/>
  <c r="CB117" i="30"/>
  <c r="BR117" i="30"/>
  <c r="CY119" i="30"/>
  <c r="CT117" i="30"/>
  <c r="BT117" i="30"/>
  <c r="CK119" i="30"/>
  <c r="CS119" i="30"/>
  <c r="CM117" i="30"/>
  <c r="BP117" i="30"/>
  <c r="BY117" i="30"/>
  <c r="BX117" i="30"/>
  <c r="CV119" i="30"/>
  <c r="BV117" i="30"/>
  <c r="BK117" i="30"/>
  <c r="CW117" i="30"/>
  <c r="CP117" i="30"/>
  <c r="BX119" i="30"/>
  <c r="BV119" i="30"/>
  <c r="BS117" i="30"/>
  <c r="DA119" i="30"/>
  <c r="BT119" i="30"/>
  <c r="CH119" i="30"/>
  <c r="CK117" i="30"/>
  <c r="CF119" i="30"/>
  <c r="CS117" i="30"/>
  <c r="CM119" i="30"/>
  <c r="CZ119" i="30"/>
  <c r="CG119" i="30"/>
  <c r="BY119" i="30"/>
  <c r="CJ119" i="30"/>
  <c r="DA117" i="30"/>
  <c r="CA119" i="30"/>
  <c r="CV117" i="30"/>
  <c r="CH117" i="30"/>
  <c r="CF117" i="30"/>
  <c r="CJ117" i="30"/>
  <c r="BK119" i="30"/>
  <c r="CW119" i="30"/>
  <c r="BP119" i="30"/>
  <c r="CZ117" i="30"/>
  <c r="CG117" i="30"/>
  <c r="CP119" i="30"/>
  <c r="CI119" i="30"/>
  <c r="CA117" i="30"/>
  <c r="BS119" i="30"/>
  <c r="CR119" i="30"/>
  <c r="BW136" i="30"/>
  <c r="BN136" i="30"/>
  <c r="CH134" i="30"/>
  <c r="CZ134" i="30"/>
  <c r="CU136" i="30"/>
  <c r="CA136" i="30"/>
  <c r="CE136" i="30"/>
  <c r="BW134" i="30"/>
  <c r="CV136" i="30"/>
  <c r="CC134" i="30"/>
  <c r="CD136" i="30"/>
  <c r="CZ136" i="30"/>
  <c r="BS136" i="30"/>
  <c r="BT136" i="30"/>
  <c r="CR134" i="30"/>
  <c r="CV134" i="30"/>
  <c r="CC136" i="30"/>
  <c r="CG134" i="30"/>
  <c r="CD134" i="30"/>
  <c r="BR136" i="30"/>
  <c r="BO136" i="30"/>
  <c r="BS134" i="30"/>
  <c r="BT134" i="30"/>
  <c r="CO136" i="30"/>
  <c r="CF134" i="30"/>
  <c r="BY136" i="30"/>
  <c r="BK134" i="30"/>
  <c r="CF136" i="30"/>
  <c r="BY134" i="30"/>
  <c r="BM134" i="30"/>
  <c r="CM136" i="30"/>
  <c r="BR134" i="30"/>
  <c r="BO134" i="30"/>
  <c r="CR136" i="30"/>
  <c r="CM134" i="30"/>
  <c r="CY136" i="30"/>
  <c r="CG136" i="30"/>
  <c r="CO134" i="30"/>
  <c r="BL134" i="30"/>
  <c r="BV136" i="30"/>
  <c r="BM136" i="30"/>
  <c r="CY134" i="30"/>
  <c r="BU136" i="30"/>
  <c r="BL136" i="30"/>
  <c r="BV134" i="30"/>
  <c r="CS136" i="30"/>
  <c r="BU134" i="30"/>
  <c r="CT134" i="30"/>
  <c r="BK136" i="30"/>
  <c r="BZ136" i="30"/>
  <c r="BP136" i="30"/>
  <c r="CL136" i="30"/>
  <c r="CQ136" i="30"/>
  <c r="CT136" i="30"/>
  <c r="CI136" i="30"/>
  <c r="BQ136" i="30"/>
  <c r="BZ134" i="30"/>
  <c r="BP134" i="30"/>
  <c r="CL134" i="30"/>
  <c r="CQ134" i="30"/>
  <c r="CI134" i="30"/>
  <c r="CX136" i="30"/>
  <c r="BQ134" i="30"/>
  <c r="CP136" i="30"/>
  <c r="CB136" i="30"/>
  <c r="BX136" i="30"/>
  <c r="CN136" i="30"/>
  <c r="CX134" i="30"/>
  <c r="CP134" i="30"/>
  <c r="CB134" i="30"/>
  <c r="CJ136" i="30"/>
  <c r="CN134" i="30"/>
  <c r="CK136" i="30"/>
  <c r="BX134" i="30"/>
  <c r="BN134" i="30"/>
  <c r="CW136" i="30"/>
  <c r="CJ134" i="30"/>
  <c r="CK134" i="30"/>
  <c r="DA134" i="30"/>
  <c r="CW134" i="30"/>
  <c r="CH136" i="30"/>
  <c r="CU134" i="30"/>
  <c r="DA136" i="30"/>
  <c r="CA134" i="30"/>
  <c r="CE134" i="30"/>
  <c r="CS134" i="30"/>
  <c r="CZ151" i="30"/>
  <c r="BR153" i="30"/>
  <c r="BY151" i="30"/>
  <c r="CG153" i="30"/>
  <c r="CW151" i="30"/>
  <c r="CC151" i="30"/>
  <c r="CY151" i="30"/>
  <c r="BN151" i="30"/>
  <c r="CM153" i="30"/>
  <c r="CP151" i="30"/>
  <c r="CX153" i="30"/>
  <c r="CC153" i="30"/>
  <c r="CY153" i="30"/>
  <c r="BR151" i="30"/>
  <c r="BU153" i="30"/>
  <c r="CM151" i="30"/>
  <c r="BM153" i="30"/>
  <c r="CV151" i="30"/>
  <c r="CW153" i="30"/>
  <c r="CX151" i="30"/>
  <c r="CE151" i="30"/>
  <c r="BL153" i="30"/>
  <c r="BN153" i="30"/>
  <c r="CL153" i="30"/>
  <c r="CO151" i="30"/>
  <c r="BT151" i="30"/>
  <c r="CU151" i="30"/>
  <c r="BL151" i="30"/>
  <c r="CN153" i="30"/>
  <c r="BS153" i="30"/>
  <c r="BP151" i="30"/>
  <c r="BU151" i="30"/>
  <c r="CB153" i="30"/>
  <c r="BT153" i="30"/>
  <c r="CP153" i="30"/>
  <c r="CO153" i="30"/>
  <c r="BM151" i="30"/>
  <c r="CE153" i="30"/>
  <c r="BS151" i="30"/>
  <c r="CB151" i="30"/>
  <c r="BX153" i="30"/>
  <c r="CL151" i="30"/>
  <c r="CN151" i="30"/>
  <c r="BP153" i="30"/>
  <c r="CD151" i="30"/>
  <c r="CR153" i="30"/>
  <c r="BX151" i="30"/>
  <c r="CU153" i="30"/>
  <c r="BO151" i="30"/>
  <c r="CK153" i="30"/>
  <c r="CQ151" i="30"/>
  <c r="CH153" i="30"/>
  <c r="CT151" i="30"/>
  <c r="CD153" i="30"/>
  <c r="BV153" i="30"/>
  <c r="CR151" i="30"/>
  <c r="CV153" i="30"/>
  <c r="DA151" i="30"/>
  <c r="BW151" i="30"/>
  <c r="CJ151" i="30"/>
  <c r="BO153" i="30"/>
  <c r="CQ153" i="30"/>
  <c r="CH151" i="30"/>
  <c r="CT153" i="30"/>
  <c r="BQ153" i="30"/>
  <c r="CS153" i="30"/>
  <c r="CZ153" i="30"/>
  <c r="BW153" i="30"/>
  <c r="BQ151" i="30"/>
  <c r="CK151" i="30"/>
  <c r="DA153" i="30"/>
  <c r="CI153" i="30"/>
  <c r="BV151" i="30"/>
  <c r="CA151" i="30"/>
  <c r="BZ153" i="30"/>
  <c r="CS151" i="30"/>
  <c r="CI151" i="30"/>
  <c r="CF151" i="30"/>
  <c r="CA153" i="30"/>
  <c r="CJ153" i="30"/>
  <c r="CG151" i="30"/>
  <c r="BZ151" i="30"/>
  <c r="BY153" i="30"/>
  <c r="CF153" i="30"/>
  <c r="BS170" i="30"/>
  <c r="CU168" i="30"/>
  <c r="BM168" i="30"/>
  <c r="BT168" i="30"/>
  <c r="CJ168" i="30"/>
  <c r="BS168" i="30"/>
  <c r="CK168" i="30"/>
  <c r="CJ170" i="30"/>
  <c r="BX170" i="30"/>
  <c r="CV170" i="30"/>
  <c r="CD170" i="30"/>
  <c r="CS170" i="30"/>
  <c r="CK170" i="30"/>
  <c r="CY170" i="30"/>
  <c r="CQ170" i="30"/>
  <c r="BT170" i="30"/>
  <c r="BX168" i="30"/>
  <c r="BU168" i="30"/>
  <c r="CR170" i="30"/>
  <c r="CT170" i="30"/>
  <c r="CS168" i="30"/>
  <c r="CY168" i="30"/>
  <c r="CW168" i="30"/>
  <c r="CQ168" i="30"/>
  <c r="BU170" i="30"/>
  <c r="CO170" i="30"/>
  <c r="BP170" i="30"/>
  <c r="CE170" i="30"/>
  <c r="CE168" i="30"/>
  <c r="BY170" i="30"/>
  <c r="CZ168" i="30"/>
  <c r="CB170" i="30"/>
  <c r="CW170" i="30"/>
  <c r="BV170" i="30"/>
  <c r="BO170" i="30"/>
  <c r="BN170" i="30"/>
  <c r="CR168" i="30"/>
  <c r="CG168" i="30"/>
  <c r="CC170" i="30"/>
  <c r="BY168" i="30"/>
  <c r="CZ170" i="30"/>
  <c r="CN170" i="30"/>
  <c r="CB168" i="30"/>
  <c r="BW170" i="30"/>
  <c r="CA170" i="30"/>
  <c r="BV168" i="30"/>
  <c r="BO168" i="30"/>
  <c r="CL168" i="30"/>
  <c r="CG170" i="30"/>
  <c r="CH168" i="30"/>
  <c r="CX170" i="30"/>
  <c r="BZ170" i="30"/>
  <c r="CP170" i="30"/>
  <c r="BW168" i="30"/>
  <c r="CA168" i="30"/>
  <c r="CM170" i="30"/>
  <c r="CI168" i="30"/>
  <c r="CL170" i="30"/>
  <c r="BQ170" i="30"/>
  <c r="CN168" i="30"/>
  <c r="CP168" i="30"/>
  <c r="DA170" i="30"/>
  <c r="CM168" i="30"/>
  <c r="CI170" i="30"/>
  <c r="BQ168" i="30"/>
  <c r="CF170" i="30"/>
  <c r="BR170" i="30"/>
  <c r="BZ168" i="30"/>
  <c r="CV168" i="30"/>
  <c r="DA168" i="30"/>
  <c r="BR168" i="30"/>
  <c r="BN168" i="30"/>
  <c r="CO168" i="30"/>
  <c r="BP168" i="30"/>
  <c r="CD168" i="30"/>
  <c r="CU170" i="30"/>
  <c r="CT168" i="30"/>
  <c r="CF168" i="30"/>
  <c r="BM170" i="30"/>
  <c r="CC168" i="30"/>
  <c r="CH170" i="30"/>
  <c r="CX168" i="30"/>
  <c r="BT17" i="28"/>
  <c r="CW17" i="28"/>
  <c r="BU17" i="28"/>
  <c r="CI17" i="28"/>
  <c r="CO17" i="28"/>
  <c r="BZ17" i="28"/>
  <c r="BS15" i="28"/>
  <c r="CG15" i="28"/>
  <c r="CU15" i="28"/>
  <c r="CN17" i="28"/>
  <c r="CB34" i="29"/>
  <c r="CE32" i="29"/>
  <c r="CA34" i="29"/>
  <c r="CD32" i="29"/>
  <c r="CO15" i="29"/>
  <c r="CA15" i="29"/>
  <c r="BM15" i="29"/>
  <c r="BZ34" i="29"/>
  <c r="CC32" i="29"/>
  <c r="CN15" i="29"/>
  <c r="BZ15" i="29"/>
  <c r="BL15" i="29"/>
  <c r="BY34" i="29"/>
  <c r="CB32" i="29"/>
  <c r="DA15" i="29"/>
  <c r="CM15" i="29"/>
  <c r="BY15" i="29"/>
  <c r="BK15" i="29"/>
  <c r="BO34" i="29"/>
  <c r="BN34" i="29"/>
  <c r="BQ32" i="29"/>
  <c r="BM34" i="29"/>
  <c r="BP32" i="29"/>
  <c r="DA34" i="29"/>
  <c r="BL34" i="29"/>
  <c r="BO32" i="29"/>
  <c r="CQ34" i="29"/>
  <c r="BK34" i="29"/>
  <c r="CT32" i="29"/>
  <c r="BN32" i="29"/>
  <c r="CP34" i="29"/>
  <c r="CS32" i="29"/>
  <c r="CL17" i="29"/>
  <c r="CQ15" i="29"/>
  <c r="DA17" i="29"/>
  <c r="BK17" i="29"/>
  <c r="BJ17" i="29"/>
  <c r="CB17" i="29"/>
  <c r="CA17" i="29"/>
  <c r="CF15" i="29"/>
  <c r="BO15" i="29"/>
  <c r="BZ17" i="29"/>
  <c r="CE15" i="29"/>
  <c r="BY17" i="29"/>
  <c r="CD15" i="29"/>
  <c r="CN34" i="29"/>
  <c r="BX17" i="29"/>
  <c r="CC15" i="29"/>
  <c r="CU15" i="29"/>
  <c r="CM34" i="29"/>
  <c r="BN17" i="29"/>
  <c r="CP51" i="29"/>
  <c r="CC34" i="29"/>
  <c r="BM17" i="29"/>
  <c r="BR15" i="29"/>
  <c r="BQ15" i="29"/>
  <c r="CR32" i="29"/>
  <c r="CP32" i="29"/>
  <c r="CN17" i="29"/>
  <c r="CS15" i="29"/>
  <c r="BL17" i="29"/>
  <c r="CZ17" i="29"/>
  <c r="BP15" i="29"/>
  <c r="CQ32" i="29"/>
  <c r="CO17" i="29"/>
  <c r="CT15" i="29"/>
  <c r="CF32" i="29"/>
  <c r="CM17" i="29"/>
  <c r="CR15" i="29"/>
  <c r="CP17" i="29"/>
  <c r="CU17" i="29"/>
  <c r="CY17" i="29"/>
  <c r="CM32" i="29"/>
  <c r="CL15" i="29"/>
  <c r="CN32" i="29"/>
  <c r="CV15" i="29"/>
  <c r="CT17" i="29"/>
  <c r="CB51" i="29"/>
  <c r="CU34" i="29"/>
  <c r="CG34" i="29"/>
  <c r="BT32" i="29"/>
  <c r="CR34" i="29"/>
  <c r="CI34" i="29"/>
  <c r="CS17" i="29"/>
  <c r="CI17" i="29"/>
  <c r="CY15" i="29"/>
  <c r="CZ15" i="29"/>
  <c r="CB49" i="29"/>
  <c r="BL32" i="29"/>
  <c r="BP17" i="29"/>
  <c r="CU32" i="29"/>
  <c r="CG32" i="29"/>
  <c r="CX15" i="29"/>
  <c r="BS32" i="29"/>
  <c r="BU17" i="29"/>
  <c r="BQ17" i="29"/>
  <c r="BR32" i="29"/>
  <c r="CI15" i="29"/>
  <c r="CD17" i="29"/>
  <c r="CX34" i="29"/>
  <c r="CJ34" i="29"/>
  <c r="CV34" i="29"/>
  <c r="CK17" i="29"/>
  <c r="BU34" i="29"/>
  <c r="BU32" i="29"/>
  <c r="CD34" i="29"/>
  <c r="BO51" i="29"/>
  <c r="BV17" i="29"/>
  <c r="BS15" i="29"/>
  <c r="BT17" i="29"/>
  <c r="CR17" i="29"/>
  <c r="CQ51" i="29"/>
  <c r="CX32" i="29"/>
  <c r="CN51" i="29"/>
  <c r="CJ32" i="29"/>
  <c r="BO49" i="29"/>
  <c r="BV15" i="29"/>
  <c r="BT15" i="29"/>
  <c r="CQ49" i="29"/>
  <c r="CK15" i="29"/>
  <c r="CE17" i="29"/>
  <c r="CA51" i="29"/>
  <c r="BO17" i="29"/>
  <c r="CN49" i="29"/>
  <c r="BR34" i="29"/>
  <c r="CF17" i="29"/>
  <c r="CW17" i="29"/>
  <c r="CJ17" i="29"/>
  <c r="CA49" i="29"/>
  <c r="CG17" i="29"/>
  <c r="BZ32" i="29"/>
  <c r="CC17" i="29"/>
  <c r="CH34" i="29"/>
  <c r="BQ34" i="29"/>
  <c r="CG15" i="29"/>
  <c r="BZ51" i="29"/>
  <c r="BZ49" i="29"/>
  <c r="BM32" i="29"/>
  <c r="CW15" i="29"/>
  <c r="CJ15" i="29"/>
  <c r="BN15" i="29"/>
  <c r="BK32" i="29"/>
  <c r="CQ17" i="29"/>
  <c r="CP49" i="29"/>
  <c r="CF34" i="29"/>
  <c r="CH32" i="29"/>
  <c r="CO51" i="29"/>
  <c r="CE34" i="29"/>
  <c r="CV32" i="29"/>
  <c r="CI32" i="29"/>
  <c r="BP34" i="29"/>
  <c r="BT34" i="29"/>
  <c r="BW17" i="29"/>
  <c r="CB15" i="29"/>
  <c r="CC51" i="29"/>
  <c r="CW34" i="29"/>
  <c r="CS34" i="29"/>
  <c r="BP51" i="29"/>
  <c r="BS17" i="29"/>
  <c r="BJ15" i="29"/>
  <c r="BX15" i="29"/>
  <c r="CV17" i="29"/>
  <c r="BR17" i="29"/>
  <c r="CX17" i="29"/>
  <c r="BW15" i="29"/>
  <c r="CP15" i="29"/>
  <c r="CC49" i="29"/>
  <c r="CO49" i="29"/>
  <c r="CW32" i="29"/>
  <c r="DA32" i="29"/>
  <c r="BS34" i="29"/>
  <c r="CH17" i="29"/>
  <c r="BV34" i="29"/>
  <c r="BP49" i="29"/>
  <c r="CH15" i="29"/>
  <c r="BV32" i="29"/>
  <c r="BU15" i="29"/>
  <c r="BY32" i="29"/>
  <c r="CT34" i="29"/>
  <c r="CA32" i="29"/>
  <c r="BL51" i="29"/>
  <c r="CH51" i="29"/>
  <c r="CZ51" i="29"/>
  <c r="BQ51" i="29"/>
  <c r="CI51" i="29"/>
  <c r="CS51" i="29"/>
  <c r="CY51" i="29"/>
  <c r="CL49" i="29"/>
  <c r="BY51" i="29"/>
  <c r="CL34" i="29"/>
  <c r="CO32" i="29"/>
  <c r="BN51" i="29"/>
  <c r="CG51" i="29"/>
  <c r="CS49" i="29"/>
  <c r="CJ51" i="29"/>
  <c r="BQ49" i="29"/>
  <c r="BW51" i="29"/>
  <c r="CT49" i="29"/>
  <c r="BY49" i="29"/>
  <c r="BX32" i="29"/>
  <c r="BM49" i="29"/>
  <c r="BL49" i="29"/>
  <c r="CZ49" i="29"/>
  <c r="CJ49" i="29"/>
  <c r="CT51" i="29"/>
  <c r="CU49" i="29"/>
  <c r="CY49" i="29"/>
  <c r="BX34" i="29"/>
  <c r="CG49" i="29"/>
  <c r="BM51" i="29"/>
  <c r="CH49" i="29"/>
  <c r="CF51" i="29"/>
  <c r="CI49" i="29"/>
  <c r="CY34" i="29"/>
  <c r="BS49" i="29"/>
  <c r="BW49" i="29"/>
  <c r="CU51" i="29"/>
  <c r="BV49" i="29"/>
  <c r="BR51" i="29"/>
  <c r="CX51" i="29"/>
  <c r="CY32" i="29"/>
  <c r="BS51" i="29"/>
  <c r="BX51" i="29"/>
  <c r="CZ32" i="29"/>
  <c r="DA51" i="29"/>
  <c r="CD49" i="29"/>
  <c r="BW34" i="29"/>
  <c r="CO34" i="29"/>
  <c r="CF49" i="29"/>
  <c r="BN49" i="29"/>
  <c r="CR51" i="29"/>
  <c r="CL51" i="29"/>
  <c r="BR49" i="29"/>
  <c r="CV49" i="29"/>
  <c r="CX49" i="29"/>
  <c r="BX49" i="29"/>
  <c r="CW49" i="29"/>
  <c r="CZ34" i="29"/>
  <c r="DA49" i="29"/>
  <c r="CV51" i="29"/>
  <c r="BU49" i="29"/>
  <c r="CW51" i="29"/>
  <c r="CM51" i="29"/>
  <c r="CD51" i="29"/>
  <c r="BW32" i="29"/>
  <c r="BT49" i="29"/>
  <c r="CK34" i="29"/>
  <c r="BU51" i="29"/>
  <c r="CE49" i="29"/>
  <c r="CK51" i="29"/>
  <c r="CM49" i="29"/>
  <c r="CL32" i="29"/>
  <c r="BT51" i="29"/>
  <c r="CK32" i="29"/>
  <c r="CE51" i="29"/>
  <c r="BV51" i="29"/>
  <c r="CK49" i="29"/>
  <c r="CR49" i="29"/>
  <c r="BO68" i="29"/>
  <c r="CO68" i="29"/>
  <c r="CQ66" i="29"/>
  <c r="BR66" i="29"/>
  <c r="CP66" i="29"/>
  <c r="BO66" i="29"/>
  <c r="CO66" i="29"/>
  <c r="CU68" i="29"/>
  <c r="BS66" i="29"/>
  <c r="CQ68" i="29"/>
  <c r="CW66" i="29"/>
  <c r="CX66" i="29"/>
  <c r="CP68" i="29"/>
  <c r="CA68" i="29"/>
  <c r="BP68" i="29"/>
  <c r="CU66" i="29"/>
  <c r="BS68" i="29"/>
  <c r="BT66" i="29"/>
  <c r="BQ68" i="29"/>
  <c r="CC66" i="29"/>
  <c r="CW68" i="29"/>
  <c r="BM66" i="29"/>
  <c r="CJ66" i="29"/>
  <c r="BT68" i="29"/>
  <c r="CC68" i="29"/>
  <c r="CS68" i="29"/>
  <c r="BV66" i="29"/>
  <c r="CX68" i="29"/>
  <c r="CR66" i="29"/>
  <c r="CZ66" i="29"/>
  <c r="BM68" i="29"/>
  <c r="BP66" i="29"/>
  <c r="CJ68" i="29"/>
  <c r="BQ66" i="29"/>
  <c r="BV68" i="29"/>
  <c r="CR68" i="29"/>
  <c r="CZ68" i="29"/>
  <c r="CY66" i="29"/>
  <c r="CE68" i="29"/>
  <c r="BU66" i="29"/>
  <c r="CS66" i="29"/>
  <c r="CH66" i="29"/>
  <c r="CL66" i="29"/>
  <c r="CB66" i="29"/>
  <c r="CK66" i="29"/>
  <c r="CY68" i="29"/>
  <c r="CI66" i="29"/>
  <c r="BU68" i="29"/>
  <c r="CD66" i="29"/>
  <c r="CH68" i="29"/>
  <c r="BZ66" i="29"/>
  <c r="BN66" i="29"/>
  <c r="DA68" i="29"/>
  <c r="CL68" i="29"/>
  <c r="CB68" i="29"/>
  <c r="CK68" i="29"/>
  <c r="CI68" i="29"/>
  <c r="CM66" i="29"/>
  <c r="CE66" i="29"/>
  <c r="CD68" i="29"/>
  <c r="CV66" i="29"/>
  <c r="CF68" i="29"/>
  <c r="CN66" i="29"/>
  <c r="BZ68" i="29"/>
  <c r="CG68" i="29"/>
  <c r="BY66" i="29"/>
  <c r="CM68" i="29"/>
  <c r="CV68" i="29"/>
  <c r="CF66" i="29"/>
  <c r="CN68" i="29"/>
  <c r="CT68" i="29"/>
  <c r="BW66" i="29"/>
  <c r="BY68" i="29"/>
  <c r="CT66" i="29"/>
  <c r="BW68" i="29"/>
  <c r="CA66" i="29"/>
  <c r="DA66" i="29"/>
  <c r="BX66" i="29"/>
  <c r="CG66" i="29"/>
  <c r="BN68" i="29"/>
  <c r="BX68" i="29"/>
  <c r="BR68" i="29"/>
  <c r="CA85" i="29"/>
  <c r="BW85" i="29"/>
  <c r="CI83" i="29"/>
  <c r="CB85" i="29"/>
  <c r="CP85" i="29"/>
  <c r="CW83" i="29"/>
  <c r="CT83" i="29"/>
  <c r="CK85" i="29"/>
  <c r="CU83" i="29"/>
  <c r="CA83" i="29"/>
  <c r="CI85" i="29"/>
  <c r="CW85" i="29"/>
  <c r="CS83" i="29"/>
  <c r="CB83" i="29"/>
  <c r="CT85" i="29"/>
  <c r="CJ85" i="29"/>
  <c r="BR85" i="29"/>
  <c r="BP83" i="29"/>
  <c r="CU85" i="29"/>
  <c r="BU83" i="29"/>
  <c r="CD85" i="29"/>
  <c r="CM83" i="29"/>
  <c r="BV83" i="29"/>
  <c r="CS85" i="29"/>
  <c r="BT83" i="29"/>
  <c r="BQ83" i="29"/>
  <c r="CQ85" i="29"/>
  <c r="CD83" i="29"/>
  <c r="CM85" i="29"/>
  <c r="BV85" i="29"/>
  <c r="CX83" i="29"/>
  <c r="BT85" i="29"/>
  <c r="CH83" i="29"/>
  <c r="CV83" i="29"/>
  <c r="BQ85" i="29"/>
  <c r="BU85" i="29"/>
  <c r="BS83" i="29"/>
  <c r="CC85" i="29"/>
  <c r="CX85" i="29"/>
  <c r="CL83" i="29"/>
  <c r="CH85" i="29"/>
  <c r="CV85" i="29"/>
  <c r="CO85" i="29"/>
  <c r="BP85" i="29"/>
  <c r="CY83" i="29"/>
  <c r="CQ83" i="29"/>
  <c r="CR85" i="29"/>
  <c r="DA83" i="29"/>
  <c r="CF85" i="29"/>
  <c r="BS85" i="29"/>
  <c r="BX83" i="29"/>
  <c r="CL85" i="29"/>
  <c r="CG83" i="29"/>
  <c r="CN83" i="29"/>
  <c r="BN83" i="29"/>
  <c r="BR83" i="29"/>
  <c r="CY85" i="29"/>
  <c r="CR83" i="29"/>
  <c r="CE85" i="29"/>
  <c r="DA85" i="29"/>
  <c r="CF83" i="29"/>
  <c r="CC83" i="29"/>
  <c r="BX85" i="29"/>
  <c r="CG85" i="29"/>
  <c r="CN85" i="29"/>
  <c r="BY85" i="29"/>
  <c r="BN85" i="29"/>
  <c r="CE83" i="29"/>
  <c r="BO85" i="29"/>
  <c r="CK83" i="29"/>
  <c r="BO83" i="29"/>
  <c r="CZ85" i="29"/>
  <c r="BZ85" i="29"/>
  <c r="BW83" i="29"/>
  <c r="BY83" i="29"/>
  <c r="CZ83" i="29"/>
  <c r="BZ83" i="29"/>
  <c r="CJ83" i="29"/>
  <c r="CO83" i="29"/>
  <c r="CP83" i="29"/>
  <c r="CX100" i="29"/>
  <c r="BX102" i="29"/>
  <c r="CD100" i="29"/>
  <c r="BU102" i="29"/>
  <c r="CS100" i="29"/>
  <c r="CL100" i="29"/>
  <c r="CW100" i="29"/>
  <c r="BS102" i="29"/>
  <c r="CX102" i="29"/>
  <c r="CP100" i="29"/>
  <c r="CD102" i="29"/>
  <c r="BW100" i="29"/>
  <c r="CS102" i="29"/>
  <c r="CW102" i="29"/>
  <c r="CY100" i="29"/>
  <c r="CF100" i="29"/>
  <c r="BP100" i="29"/>
  <c r="CR100" i="29"/>
  <c r="BX100" i="29"/>
  <c r="CJ100" i="29"/>
  <c r="BW102" i="29"/>
  <c r="CY102" i="29"/>
  <c r="BP102" i="29"/>
  <c r="CR102" i="29"/>
  <c r="BO100" i="29"/>
  <c r="CZ102" i="29"/>
  <c r="CU100" i="29"/>
  <c r="CV102" i="29"/>
  <c r="CN102" i="29"/>
  <c r="CG100" i="29"/>
  <c r="CL102" i="29"/>
  <c r="DA102" i="29"/>
  <c r="CH100" i="29"/>
  <c r="CJ102" i="29"/>
  <c r="BO102" i="29"/>
  <c r="BR100" i="29"/>
  <c r="CZ100" i="29"/>
  <c r="CT100" i="29"/>
  <c r="DA100" i="29"/>
  <c r="CH102" i="29"/>
  <c r="BR102" i="29"/>
  <c r="CC100" i="29"/>
  <c r="CK100" i="29"/>
  <c r="CU102" i="29"/>
  <c r="BQ100" i="29"/>
  <c r="BV100" i="29"/>
  <c r="CC102" i="29"/>
  <c r="BT100" i="29"/>
  <c r="CA102" i="29"/>
  <c r="CO100" i="29"/>
  <c r="CM100" i="29"/>
  <c r="CN100" i="29"/>
  <c r="CA100" i="29"/>
  <c r="CQ100" i="29"/>
  <c r="CP102" i="29"/>
  <c r="CT102" i="29"/>
  <c r="BY102" i="29"/>
  <c r="BZ102" i="29"/>
  <c r="BQ102" i="29"/>
  <c r="BV102" i="29"/>
  <c r="CK102" i="29"/>
  <c r="CI100" i="29"/>
  <c r="BT102" i="29"/>
  <c r="CB100" i="29"/>
  <c r="CG102" i="29"/>
  <c r="BY100" i="29"/>
  <c r="CE100" i="29"/>
  <c r="CI102" i="29"/>
  <c r="CB102" i="29"/>
  <c r="CQ102" i="29"/>
  <c r="CF102" i="29"/>
  <c r="CV100" i="29"/>
  <c r="BZ100" i="29"/>
  <c r="BS100" i="29"/>
  <c r="CE102" i="29"/>
  <c r="CO102" i="29"/>
  <c r="CM102" i="29"/>
  <c r="BU100" i="29"/>
  <c r="CI117" i="29"/>
  <c r="CN119" i="29"/>
  <c r="DA119" i="29"/>
  <c r="CA117" i="29"/>
  <c r="CI119" i="29"/>
  <c r="BV119" i="29"/>
  <c r="DA117" i="29"/>
  <c r="CC119" i="29"/>
  <c r="CH117" i="29"/>
  <c r="BP119" i="29"/>
  <c r="BV117" i="29"/>
  <c r="CJ117" i="29"/>
  <c r="CC117" i="29"/>
  <c r="CH119" i="29"/>
  <c r="BP117" i="29"/>
  <c r="BY119" i="29"/>
  <c r="CW117" i="29"/>
  <c r="CJ119" i="29"/>
  <c r="CE119" i="29"/>
  <c r="CW119" i="29"/>
  <c r="BT119" i="29"/>
  <c r="BW119" i="29"/>
  <c r="CZ119" i="29"/>
  <c r="BZ119" i="29"/>
  <c r="BQ119" i="29"/>
  <c r="CE117" i="29"/>
  <c r="CD119" i="29"/>
  <c r="CL117" i="29"/>
  <c r="BT117" i="29"/>
  <c r="BW117" i="29"/>
  <c r="BZ117" i="29"/>
  <c r="CR117" i="29"/>
  <c r="CQ117" i="29"/>
  <c r="CF117" i="29"/>
  <c r="CD117" i="29"/>
  <c r="CN117" i="29"/>
  <c r="CV117" i="29"/>
  <c r="CZ117" i="29"/>
  <c r="CX117" i="29"/>
  <c r="BQ117" i="29"/>
  <c r="CG119" i="29"/>
  <c r="CR119" i="29"/>
  <c r="CQ119" i="29"/>
  <c r="CF119" i="29"/>
  <c r="CK117" i="29"/>
  <c r="BU119" i="29"/>
  <c r="CV119" i="29"/>
  <c r="CX119" i="29"/>
  <c r="BS119" i="29"/>
  <c r="CG117" i="29"/>
  <c r="CS119" i="29"/>
  <c r="CP117" i="29"/>
  <c r="CT119" i="29"/>
  <c r="CO117" i="29"/>
  <c r="CU117" i="29"/>
  <c r="BY117" i="29"/>
  <c r="CY117" i="29"/>
  <c r="CM119" i="29"/>
  <c r="BR119" i="29"/>
  <c r="BX119" i="29"/>
  <c r="CP119" i="29"/>
  <c r="CK119" i="29"/>
  <c r="CA119" i="29"/>
  <c r="CO119" i="29"/>
  <c r="CT117" i="29"/>
  <c r="CM117" i="29"/>
  <c r="BR117" i="29"/>
  <c r="BS117" i="29"/>
  <c r="BX117" i="29"/>
  <c r="CS117" i="29"/>
  <c r="CL119" i="29"/>
  <c r="CU119" i="29"/>
  <c r="CB119" i="29"/>
  <c r="CB117" i="29"/>
  <c r="CY119" i="29"/>
  <c r="BU117" i="29"/>
  <c r="BX136" i="29"/>
  <c r="BV136" i="29"/>
  <c r="BY134" i="29"/>
  <c r="CD136" i="29"/>
  <c r="DA134" i="29"/>
  <c r="BX134" i="29"/>
  <c r="CX134" i="29"/>
  <c r="CA136" i="29"/>
  <c r="CE134" i="29"/>
  <c r="BV134" i="29"/>
  <c r="CD134" i="29"/>
  <c r="CI134" i="29"/>
  <c r="CZ134" i="29"/>
  <c r="BQ134" i="29"/>
  <c r="CA134" i="29"/>
  <c r="CG136" i="29"/>
  <c r="BY136" i="29"/>
  <c r="DA136" i="29"/>
  <c r="CY134" i="29"/>
  <c r="CX136" i="29"/>
  <c r="BQ136" i="29"/>
  <c r="CE136" i="29"/>
  <c r="CG134" i="29"/>
  <c r="CK134" i="29"/>
  <c r="CI136" i="29"/>
  <c r="CV134" i="29"/>
  <c r="CC136" i="29"/>
  <c r="CL134" i="29"/>
  <c r="BS136" i="29"/>
  <c r="CK136" i="29"/>
  <c r="CU136" i="29"/>
  <c r="CC134" i="29"/>
  <c r="CL136" i="29"/>
  <c r="BR136" i="29"/>
  <c r="BS134" i="29"/>
  <c r="CM134" i="29"/>
  <c r="BW134" i="29"/>
  <c r="CS134" i="29"/>
  <c r="BT136" i="29"/>
  <c r="CV136" i="29"/>
  <c r="BR134" i="29"/>
  <c r="CQ136" i="29"/>
  <c r="CT136" i="29"/>
  <c r="CM136" i="29"/>
  <c r="CY136" i="29"/>
  <c r="BT134" i="29"/>
  <c r="CU134" i="29"/>
  <c r="CJ134" i="29"/>
  <c r="BZ134" i="29"/>
  <c r="CP136" i="29"/>
  <c r="BU134" i="29"/>
  <c r="CQ134" i="29"/>
  <c r="CT134" i="29"/>
  <c r="BW136" i="29"/>
  <c r="BZ136" i="29"/>
  <c r="CP134" i="29"/>
  <c r="CO136" i="29"/>
  <c r="CW134" i="29"/>
  <c r="CB136" i="29"/>
  <c r="CN136" i="29"/>
  <c r="CW136" i="29"/>
  <c r="CR136" i="29"/>
  <c r="CJ136" i="29"/>
  <c r="CN134" i="29"/>
  <c r="BU136" i="29"/>
  <c r="CF136" i="29"/>
  <c r="CO134" i="29"/>
  <c r="CB134" i="29"/>
  <c r="CH136" i="29"/>
  <c r="CR134" i="29"/>
  <c r="CS136" i="29"/>
  <c r="CF134" i="29"/>
  <c r="CH134" i="29"/>
  <c r="CZ136" i="29"/>
  <c r="CR153" i="29"/>
  <c r="CT151" i="29"/>
  <c r="CS153" i="29"/>
  <c r="CY151" i="29"/>
  <c r="CX151" i="29"/>
  <c r="CR151" i="29"/>
  <c r="CC153" i="29"/>
  <c r="CS151" i="29"/>
  <c r="CA151" i="29"/>
  <c r="CI153" i="29"/>
  <c r="CK151" i="29"/>
  <c r="BV151" i="29"/>
  <c r="CC151" i="29"/>
  <c r="CY153" i="29"/>
  <c r="CX153" i="29"/>
  <c r="BY151" i="29"/>
  <c r="BZ153" i="29"/>
  <c r="CO151" i="29"/>
  <c r="CZ151" i="29"/>
  <c r="CK153" i="29"/>
  <c r="BT151" i="29"/>
  <c r="CN151" i="29"/>
  <c r="BV153" i="29"/>
  <c r="CU153" i="29"/>
  <c r="BY153" i="29"/>
  <c r="CT153" i="29"/>
  <c r="CD153" i="29"/>
  <c r="BT153" i="29"/>
  <c r="CN153" i="29"/>
  <c r="CE153" i="29"/>
  <c r="CU151" i="29"/>
  <c r="CH153" i="29"/>
  <c r="CZ153" i="29"/>
  <c r="CF153" i="29"/>
  <c r="CE151" i="29"/>
  <c r="CA153" i="29"/>
  <c r="CD151" i="29"/>
  <c r="CW153" i="29"/>
  <c r="CV153" i="29"/>
  <c r="CF151" i="29"/>
  <c r="CP153" i="29"/>
  <c r="CG153" i="29"/>
  <c r="BX151" i="29"/>
  <c r="CW151" i="29"/>
  <c r="CV151" i="29"/>
  <c r="BR153" i="29"/>
  <c r="CP151" i="29"/>
  <c r="BS151" i="29"/>
  <c r="CG151" i="29"/>
  <c r="BX153" i="29"/>
  <c r="DA151" i="29"/>
  <c r="CM153" i="29"/>
  <c r="CB151" i="29"/>
  <c r="CL151" i="29"/>
  <c r="CI151" i="29"/>
  <c r="CJ153" i="29"/>
  <c r="CL153" i="29"/>
  <c r="DA153" i="29"/>
  <c r="BZ151" i="29"/>
  <c r="CH151" i="29"/>
  <c r="BU153" i="29"/>
  <c r="CQ151" i="29"/>
  <c r="CM151" i="29"/>
  <c r="CB153" i="29"/>
  <c r="BW151" i="29"/>
  <c r="BS153" i="29"/>
  <c r="CJ151" i="29"/>
  <c r="BW153" i="29"/>
  <c r="BU151" i="29"/>
  <c r="CQ153" i="29"/>
  <c r="CO153" i="29"/>
  <c r="BR151" i="29"/>
  <c r="CQ170" i="29"/>
  <c r="CB168" i="29"/>
  <c r="CP170" i="29"/>
  <c r="BW170" i="29"/>
  <c r="CN170" i="29"/>
  <c r="DA170" i="29"/>
  <c r="CQ168" i="29"/>
  <c r="CB170" i="29"/>
  <c r="BS170" i="29"/>
  <c r="CN168" i="29"/>
  <c r="CT170" i="29"/>
  <c r="DA168" i="29"/>
  <c r="CX170" i="29"/>
  <c r="CM170" i="29"/>
  <c r="CS170" i="29"/>
  <c r="BS168" i="29"/>
  <c r="CT168" i="29"/>
  <c r="CM168" i="29"/>
  <c r="BT168" i="29"/>
  <c r="CY168" i="29"/>
  <c r="CP168" i="29"/>
  <c r="CX168" i="29"/>
  <c r="CS168" i="29"/>
  <c r="CF170" i="29"/>
  <c r="BT170" i="29"/>
  <c r="CK168" i="29"/>
  <c r="CY170" i="29"/>
  <c r="CE168" i="29"/>
  <c r="CI168" i="29"/>
  <c r="CW170" i="29"/>
  <c r="CG170" i="29"/>
  <c r="CO170" i="29"/>
  <c r="CF168" i="29"/>
  <c r="CU170" i="29"/>
  <c r="CK170" i="29"/>
  <c r="BU168" i="29"/>
  <c r="CA170" i="29"/>
  <c r="BZ168" i="29"/>
  <c r="CI170" i="29"/>
  <c r="CW168" i="29"/>
  <c r="BY170" i="29"/>
  <c r="CG168" i="29"/>
  <c r="CO168" i="29"/>
  <c r="CR168" i="29"/>
  <c r="CU168" i="29"/>
  <c r="BU170" i="29"/>
  <c r="CA168" i="29"/>
  <c r="BV168" i="29"/>
  <c r="CC170" i="29"/>
  <c r="CH168" i="29"/>
  <c r="BY168" i="29"/>
  <c r="CZ170" i="29"/>
  <c r="CR170" i="29"/>
  <c r="BW168" i="29"/>
  <c r="CJ168" i="29"/>
  <c r="BX170" i="29"/>
  <c r="CZ168" i="29"/>
  <c r="CL168" i="29"/>
  <c r="CD168" i="29"/>
  <c r="CV168" i="29"/>
  <c r="CJ170" i="29"/>
  <c r="CH170" i="29"/>
  <c r="CE170" i="29"/>
  <c r="BX168" i="29"/>
  <c r="CL170" i="29"/>
  <c r="CD170" i="29"/>
  <c r="CV170" i="29"/>
  <c r="BZ170" i="29"/>
  <c r="BV170" i="29"/>
  <c r="CC168" i="29"/>
  <c r="D47" i="45" l="1"/>
  <c r="C13" i="45"/>
  <c r="D6" i="3"/>
  <c r="C6" i="45" s="1"/>
  <c r="BC88" i="19"/>
  <c r="T16" i="19"/>
  <c r="S28" i="19"/>
  <c r="BB88" i="19"/>
  <c r="B35" i="21"/>
  <c r="B50" i="21" s="1"/>
  <c r="U43" i="19"/>
  <c r="T55" i="19"/>
  <c r="BT186" i="28"/>
  <c r="CY186" i="28"/>
  <c r="CN184" i="28"/>
  <c r="BU186" i="28"/>
  <c r="BW184" i="28"/>
  <c r="CS186" i="28"/>
  <c r="CH184" i="29"/>
  <c r="CT186" i="29"/>
  <c r="DA186" i="29"/>
  <c r="BX184" i="29"/>
  <c r="CE184" i="29"/>
  <c r="CZ186" i="28"/>
  <c r="CQ184" i="28"/>
  <c r="CW184" i="28"/>
  <c r="CY184" i="30"/>
  <c r="CC184" i="30"/>
  <c r="CA184" i="30"/>
  <c r="BY184" i="30"/>
  <c r="CK184" i="28"/>
  <c r="CC186" i="28"/>
  <c r="CW186" i="28"/>
  <c r="CR184" i="28"/>
  <c r="BW186" i="29"/>
  <c r="CW184" i="29"/>
  <c r="CR186" i="29"/>
  <c r="CR184" i="29"/>
  <c r="CU184" i="28"/>
  <c r="CJ184" i="30"/>
  <c r="CN186" i="30"/>
  <c r="CO184" i="30"/>
  <c r="CM186" i="28"/>
  <c r="CJ184" i="28"/>
  <c r="BU184" i="28"/>
  <c r="CC184" i="28"/>
  <c r="DA186" i="30"/>
  <c r="CD186" i="29"/>
  <c r="CI186" i="29"/>
  <c r="CD186" i="30"/>
  <c r="CW184" i="30"/>
  <c r="CM186" i="30"/>
  <c r="CE186" i="28"/>
  <c r="CX186" i="28"/>
  <c r="CP184" i="29"/>
  <c r="BT186" i="29"/>
  <c r="CM186" i="29"/>
  <c r="CF184" i="29"/>
  <c r="CG184" i="28"/>
  <c r="BR184" i="30"/>
  <c r="CP186" i="30"/>
  <c r="BQ186" i="30"/>
  <c r="BU184" i="30"/>
  <c r="BO184" i="30"/>
  <c r="BX184" i="30"/>
  <c r="CO184" i="28"/>
  <c r="CY184" i="28"/>
  <c r="CL186" i="28"/>
  <c r="BY186" i="28"/>
  <c r="BX186" i="28"/>
  <c r="BO186" i="30"/>
  <c r="BW184" i="29"/>
  <c r="BS184" i="29"/>
  <c r="BU186" i="29"/>
  <c r="CA186" i="29"/>
  <c r="BZ184" i="29"/>
  <c r="BS184" i="28"/>
  <c r="BN186" i="30"/>
  <c r="CV184" i="30"/>
  <c r="BT184" i="30"/>
  <c r="BZ184" i="30"/>
  <c r="CI186" i="30"/>
  <c r="CL184" i="30"/>
  <c r="CT184" i="28"/>
  <c r="F16" i="29"/>
  <c r="F21" i="29" s="1"/>
  <c r="CH186" i="28"/>
  <c r="CX186" i="29"/>
  <c r="BV186" i="29"/>
  <c r="CT184" i="29"/>
  <c r="BZ186" i="28"/>
  <c r="BM186" i="30"/>
  <c r="CE184" i="30"/>
  <c r="BR186" i="30"/>
  <c r="CI184" i="30"/>
  <c r="BT186" i="30"/>
  <c r="BZ186" i="30"/>
  <c r="CN184" i="30"/>
  <c r="CG186" i="30"/>
  <c r="CP186" i="28"/>
  <c r="CB186" i="29"/>
  <c r="CH184" i="28"/>
  <c r="BU184" i="29"/>
  <c r="CG184" i="29"/>
  <c r="CE186" i="29"/>
  <c r="CX184" i="29"/>
  <c r="CO186" i="29"/>
  <c r="CO186" i="28"/>
  <c r="BS186" i="30"/>
  <c r="BU186" i="30"/>
  <c r="CR186" i="30"/>
  <c r="BW186" i="30"/>
  <c r="BW184" i="30"/>
  <c r="CB184" i="30"/>
  <c r="CF186" i="28"/>
  <c r="BS186" i="28"/>
  <c r="CR186" i="28"/>
  <c r="CN184" i="29"/>
  <c r="CZ184" i="30"/>
  <c r="CV186" i="29"/>
  <c r="CK184" i="29"/>
  <c r="CI186" i="28"/>
  <c r="BX186" i="30"/>
  <c r="CQ186" i="30"/>
  <c r="CX184" i="30"/>
  <c r="CH186" i="30"/>
  <c r="CA184" i="28"/>
  <c r="CK186" i="28"/>
  <c r="CG186" i="28"/>
  <c r="CF184" i="28"/>
  <c r="DA186" i="28"/>
  <c r="CM184" i="28"/>
  <c r="CC186" i="29"/>
  <c r="BT184" i="29"/>
  <c r="CV184" i="29"/>
  <c r="CZ186" i="29"/>
  <c r="CC184" i="29"/>
  <c r="CQ184" i="29"/>
  <c r="CA184" i="29"/>
  <c r="CV186" i="30"/>
  <c r="CT184" i="30"/>
  <c r="CE186" i="30"/>
  <c r="CU186" i="30"/>
  <c r="CY186" i="30"/>
  <c r="CW186" i="30"/>
  <c r="CM184" i="30"/>
  <c r="BZ184" i="28"/>
  <c r="CX184" i="28"/>
  <c r="CZ184" i="28"/>
  <c r="CQ186" i="28"/>
  <c r="CV184" i="28"/>
  <c r="F16" i="28"/>
  <c r="F21" i="28" s="1"/>
  <c r="BS186" i="29"/>
  <c r="BV184" i="29"/>
  <c r="CK186" i="29"/>
  <c r="BX186" i="29"/>
  <c r="CL186" i="29"/>
  <c r="CO184" i="29"/>
  <c r="CK186" i="30"/>
  <c r="CO186" i="30"/>
  <c r="CA186" i="30"/>
  <c r="BN184" i="30"/>
  <c r="CX186" i="30"/>
  <c r="DA184" i="30"/>
  <c r="CJ186" i="28"/>
  <c r="CA186" i="28"/>
  <c r="BV186" i="28"/>
  <c r="CL184" i="28"/>
  <c r="CL184" i="29"/>
  <c r="BV186" i="30"/>
  <c r="CQ184" i="30"/>
  <c r="CQ186" i="29"/>
  <c r="CZ184" i="29"/>
  <c r="CN186" i="29"/>
  <c r="CD184" i="29"/>
  <c r="BY184" i="29"/>
  <c r="CB186" i="30"/>
  <c r="CS186" i="30"/>
  <c r="CF184" i="30"/>
  <c r="CF186" i="30"/>
  <c r="BS184" i="30"/>
  <c r="BP184" i="30"/>
  <c r="CP184" i="30"/>
  <c r="BT184" i="28"/>
  <c r="BY184" i="28"/>
  <c r="CD186" i="28"/>
  <c r="CV186" i="28"/>
  <c r="CH186" i="29"/>
  <c r="CG186" i="29"/>
  <c r="CS184" i="29"/>
  <c r="CJ186" i="30"/>
  <c r="BV184" i="30"/>
  <c r="CD184" i="28"/>
  <c r="CU186" i="28"/>
  <c r="CJ186" i="29"/>
  <c r="CY184" i="29"/>
  <c r="CY186" i="29"/>
  <c r="BY186" i="29"/>
  <c r="CM184" i="29"/>
  <c r="CS184" i="30"/>
  <c r="CG184" i="30"/>
  <c r="CU184" i="30"/>
  <c r="CH184" i="30"/>
  <c r="BY186" i="30"/>
  <c r="CD184" i="30"/>
  <c r="CL186" i="30"/>
  <c r="BX184" i="28"/>
  <c r="CE184" i="28"/>
  <c r="CT186" i="28"/>
  <c r="CU184" i="29"/>
  <c r="CW186" i="29"/>
  <c r="CU186" i="29"/>
  <c r="DA184" i="29"/>
  <c r="CR184" i="30"/>
  <c r="CP184" i="28"/>
  <c r="CS184" i="28"/>
  <c r="BW186" i="28"/>
  <c r="CB184" i="29"/>
  <c r="CJ184" i="29"/>
  <c r="CF186" i="29"/>
  <c r="CI184" i="29"/>
  <c r="CS186" i="29"/>
  <c r="CP186" i="29"/>
  <c r="BZ186" i="29"/>
  <c r="CN186" i="28"/>
  <c r="CT186" i="30"/>
  <c r="BQ184" i="30"/>
  <c r="CK184" i="30"/>
  <c r="CC186" i="30"/>
  <c r="BP186" i="30"/>
  <c r="CZ186" i="30"/>
  <c r="BM184" i="30"/>
  <c r="DA184" i="28"/>
  <c r="CB184" i="28"/>
  <c r="CI184" i="28"/>
  <c r="CB186" i="28"/>
  <c r="BV184" i="28"/>
  <c r="C30" i="21"/>
  <c r="C29" i="21"/>
  <c r="F33" i="28"/>
  <c r="G33" i="28" s="1"/>
  <c r="G32" i="28" s="1"/>
  <c r="F33" i="29"/>
  <c r="G33" i="29" s="1"/>
  <c r="G32" i="29" s="1"/>
  <c r="G34" i="29" s="1"/>
  <c r="G6" i="30"/>
  <c r="BD33" i="19"/>
  <c r="BD35" i="19" s="1"/>
  <c r="BE34" i="19" s="1"/>
  <c r="AR33" i="19"/>
  <c r="AR35" i="19" s="1"/>
  <c r="AS34" i="19" s="1"/>
  <c r="BT67" i="18"/>
  <c r="BB33" i="19"/>
  <c r="BB35" i="19" s="1"/>
  <c r="BC34" i="19" s="1"/>
  <c r="BC33" i="19"/>
  <c r="BC35" i="19" s="1"/>
  <c r="BD34" i="19" s="1"/>
  <c r="AZ33" i="19"/>
  <c r="AZ35" i="19" s="1"/>
  <c r="BA34" i="19" s="1"/>
  <c r="AN33" i="19"/>
  <c r="AN35" i="19" s="1"/>
  <c r="AO34" i="19" s="1"/>
  <c r="AV33" i="19"/>
  <c r="AV35" i="19" s="1"/>
  <c r="AW34" i="19" s="1"/>
  <c r="BA33" i="19"/>
  <c r="BA35" i="19" s="1"/>
  <c r="BB34" i="19" s="1"/>
  <c r="AO33" i="19"/>
  <c r="AO35" i="19" s="1"/>
  <c r="AP34" i="19" s="1"/>
  <c r="AI33" i="19"/>
  <c r="AI35" i="19" s="1"/>
  <c r="AJ34" i="19" s="1"/>
  <c r="AH33" i="19"/>
  <c r="AH35" i="19" s="1"/>
  <c r="AI34" i="19" s="1"/>
  <c r="K61" i="19"/>
  <c r="K63" i="19" s="1"/>
  <c r="L62" i="19" s="1"/>
  <c r="Y61" i="19"/>
  <c r="Y63" i="19" s="1"/>
  <c r="Z62" i="19" s="1"/>
  <c r="AZ61" i="19"/>
  <c r="AZ63" i="19" s="1"/>
  <c r="BA62" i="19" s="1"/>
  <c r="AK61" i="19"/>
  <c r="AK63" i="19" s="1"/>
  <c r="AL62" i="19" s="1"/>
  <c r="V61" i="19"/>
  <c r="V63" i="19" s="1"/>
  <c r="W62" i="19" s="1"/>
  <c r="AM61" i="19"/>
  <c r="AM63" i="19" s="1"/>
  <c r="AN62" i="19" s="1"/>
  <c r="X61" i="19"/>
  <c r="X63" i="19" s="1"/>
  <c r="Y62" i="19" s="1"/>
  <c r="AY61" i="19"/>
  <c r="AY63" i="19" s="1"/>
  <c r="AZ62" i="19" s="1"/>
  <c r="I61" i="19"/>
  <c r="I63" i="19" s="1"/>
  <c r="J62" i="19" s="1"/>
  <c r="AX61" i="19"/>
  <c r="AX63" i="19" s="1"/>
  <c r="AY62" i="19" s="1"/>
  <c r="H61" i="19"/>
  <c r="H63" i="19" s="1"/>
  <c r="I62" i="19" s="1"/>
  <c r="BA61" i="19"/>
  <c r="BA63" i="19" s="1"/>
  <c r="BB62" i="19" s="1"/>
  <c r="AL61" i="19"/>
  <c r="AL63" i="19" s="1"/>
  <c r="AM62" i="19" s="1"/>
  <c r="J61" i="19"/>
  <c r="J63" i="19" s="1"/>
  <c r="K62" i="19" s="1"/>
  <c r="W61" i="19"/>
  <c r="W63" i="19" s="1"/>
  <c r="X62" i="19" s="1"/>
  <c r="AJ61" i="19"/>
  <c r="AJ63" i="19" s="1"/>
  <c r="AK62" i="19" s="1"/>
  <c r="AW61" i="19"/>
  <c r="AW63" i="19" s="1"/>
  <c r="AX62" i="19" s="1"/>
  <c r="M61" i="19"/>
  <c r="M63" i="19" s="1"/>
  <c r="N62" i="19" s="1"/>
  <c r="AR61" i="19"/>
  <c r="AR63" i="19" s="1"/>
  <c r="AS62" i="19" s="1"/>
  <c r="BI61" i="19"/>
  <c r="BI63" i="19" s="1"/>
  <c r="BJ62" i="19" s="1"/>
  <c r="AO61" i="19"/>
  <c r="AO63" i="19" s="1"/>
  <c r="AP62" i="19" s="1"/>
  <c r="AH61" i="19"/>
  <c r="AH63" i="19" s="1"/>
  <c r="AI62" i="19" s="1"/>
  <c r="AA61" i="19"/>
  <c r="AA63" i="19" s="1"/>
  <c r="AB62" i="19" s="1"/>
  <c r="BF61" i="19"/>
  <c r="BF63" i="19" s="1"/>
  <c r="BG62" i="19" s="1"/>
  <c r="T61" i="19"/>
  <c r="T63" i="19" s="1"/>
  <c r="U62" i="19" s="1"/>
  <c r="AU61" i="19"/>
  <c r="AU63" i="19" s="1"/>
  <c r="AV62" i="19" s="1"/>
  <c r="BC61" i="19"/>
  <c r="BC63" i="19" s="1"/>
  <c r="BD62" i="19" s="1"/>
  <c r="Q61" i="19"/>
  <c r="Q63" i="19" s="1"/>
  <c r="R62" i="19" s="1"/>
  <c r="AV61" i="19"/>
  <c r="AV63" i="19" s="1"/>
  <c r="AW62" i="19" s="1"/>
  <c r="S61" i="19"/>
  <c r="S63" i="19" s="1"/>
  <c r="T62" i="19" s="1"/>
  <c r="N61" i="19"/>
  <c r="N63" i="19" s="1"/>
  <c r="O62" i="19" s="1"/>
  <c r="AE61" i="19"/>
  <c r="AE63" i="19" s="1"/>
  <c r="AF62" i="19" s="1"/>
  <c r="AB61" i="19"/>
  <c r="AB63" i="19" s="1"/>
  <c r="AC62" i="19" s="1"/>
  <c r="AS61" i="19"/>
  <c r="AS63" i="19" s="1"/>
  <c r="AT62" i="19" s="1"/>
  <c r="U61" i="19"/>
  <c r="U63" i="19" s="1"/>
  <c r="V62" i="19" s="1"/>
  <c r="AP61" i="19"/>
  <c r="AP63" i="19" s="1"/>
  <c r="AQ62" i="19" s="1"/>
  <c r="BG61" i="19"/>
  <c r="BG63" i="19" s="1"/>
  <c r="BH62" i="19" s="1"/>
  <c r="AI61" i="19"/>
  <c r="AI63" i="19" s="1"/>
  <c r="AJ62" i="19" s="1"/>
  <c r="BD61" i="19"/>
  <c r="BD63" i="19" s="1"/>
  <c r="BE62" i="19" s="1"/>
  <c r="R61" i="19"/>
  <c r="R63" i="19" s="1"/>
  <c r="S62" i="19" s="1"/>
  <c r="BH61" i="19"/>
  <c r="BH63" i="19" s="1"/>
  <c r="BI62" i="19" s="1"/>
  <c r="AG61" i="19"/>
  <c r="AG63" i="19" s="1"/>
  <c r="AH62" i="19" s="1"/>
  <c r="L61" i="19"/>
  <c r="L63" i="19" s="1"/>
  <c r="M62" i="19" s="1"/>
  <c r="O61" i="19"/>
  <c r="O63" i="19" s="1"/>
  <c r="P62" i="19" s="1"/>
  <c r="AF61" i="19"/>
  <c r="AF63" i="19" s="1"/>
  <c r="AG62" i="19" s="1"/>
  <c r="AQ61" i="19"/>
  <c r="AQ63" i="19" s="1"/>
  <c r="AR62" i="19" s="1"/>
  <c r="BE61" i="19"/>
  <c r="BE63" i="19" s="1"/>
  <c r="BF62" i="19" s="1"/>
  <c r="P61" i="19"/>
  <c r="P63" i="19" s="1"/>
  <c r="Q62" i="19" s="1"/>
  <c r="AD61" i="19"/>
  <c r="AD63" i="19" s="1"/>
  <c r="AE62" i="19" s="1"/>
  <c r="Z61" i="19"/>
  <c r="Z63" i="19" s="1"/>
  <c r="AA62" i="19" s="1"/>
  <c r="AC61" i="19"/>
  <c r="AC63" i="19" s="1"/>
  <c r="AD62" i="19" s="1"/>
  <c r="AT61" i="19"/>
  <c r="AT63" i="19" s="1"/>
  <c r="AU62" i="19" s="1"/>
  <c r="AN61" i="19"/>
  <c r="AN63" i="19" s="1"/>
  <c r="AO62" i="19" s="1"/>
  <c r="BB61" i="19"/>
  <c r="BB63" i="19" s="1"/>
  <c r="BC62" i="19" s="1"/>
  <c r="G67" i="19"/>
  <c r="G69" i="19" s="1"/>
  <c r="H62" i="19"/>
  <c r="H65" i="19"/>
  <c r="H66" i="19"/>
  <c r="AX33" i="19"/>
  <c r="AX35" i="19" s="1"/>
  <c r="AY34" i="19" s="1"/>
  <c r="G39" i="19"/>
  <c r="G41" i="19" s="1"/>
  <c r="H34" i="19"/>
  <c r="H37" i="19"/>
  <c r="H38" i="19"/>
  <c r="AS33" i="19"/>
  <c r="AS35" i="19" s="1"/>
  <c r="AT34" i="19" s="1"/>
  <c r="AQ33" i="19"/>
  <c r="AQ35" i="19" s="1"/>
  <c r="AR34" i="19" s="1"/>
  <c r="AY33" i="19"/>
  <c r="AY35" i="19" s="1"/>
  <c r="AZ34" i="19" s="1"/>
  <c r="AM33" i="19"/>
  <c r="AM35" i="19" s="1"/>
  <c r="AN34" i="19" s="1"/>
  <c r="AU33" i="19"/>
  <c r="AU35" i="19" s="1"/>
  <c r="AV34" i="19" s="1"/>
  <c r="AD33" i="19"/>
  <c r="AD35" i="19" s="1"/>
  <c r="AE34" i="19" s="1"/>
  <c r="AG33" i="19"/>
  <c r="AG35" i="19" s="1"/>
  <c r="AH34" i="19" s="1"/>
  <c r="AJ33" i="19"/>
  <c r="AJ35" i="19" s="1"/>
  <c r="AK34" i="19" s="1"/>
  <c r="AP33" i="19"/>
  <c r="AP35" i="19" s="1"/>
  <c r="AQ34" i="19" s="1"/>
  <c r="AK33" i="19"/>
  <c r="AK35" i="19" s="1"/>
  <c r="AL34" i="19" s="1"/>
  <c r="AW33" i="19"/>
  <c r="AW35" i="19" s="1"/>
  <c r="AX34" i="19" s="1"/>
  <c r="AL33" i="19"/>
  <c r="AL35" i="19" s="1"/>
  <c r="AM34" i="19" s="1"/>
  <c r="AF33" i="19"/>
  <c r="AF35" i="19" s="1"/>
  <c r="AG34" i="19" s="1"/>
  <c r="AT33" i="19"/>
  <c r="AT35" i="19" s="1"/>
  <c r="AU34" i="19" s="1"/>
  <c r="AE33" i="19"/>
  <c r="AE35" i="19" s="1"/>
  <c r="AF34" i="19" s="1"/>
  <c r="E19" i="28"/>
  <c r="E19" i="29"/>
  <c r="H9" i="28"/>
  <c r="I4" i="28"/>
  <c r="G10" i="29"/>
  <c r="I4" i="29"/>
  <c r="H9" i="29"/>
  <c r="H5" i="29"/>
  <c r="BO14" i="18"/>
  <c r="BQ14" i="18"/>
  <c r="BP14" i="18"/>
  <c r="BN14" i="18"/>
  <c r="BK85" i="29"/>
  <c r="BI85" i="29"/>
  <c r="BL85" i="29"/>
  <c r="BH85" i="29"/>
  <c r="BJ85" i="29"/>
  <c r="BM85" i="29"/>
  <c r="CJ22" i="20" l="1"/>
  <c r="B42" i="21"/>
  <c r="B56" i="21" s="1"/>
  <c r="CT22" i="20"/>
  <c r="CJ5" i="20"/>
  <c r="CJ35" i="20"/>
  <c r="CT35" i="20"/>
  <c r="CT5" i="20"/>
  <c r="CJ34" i="20"/>
  <c r="CT34" i="20"/>
  <c r="CJ30" i="20"/>
  <c r="CT30" i="20"/>
  <c r="CT47" i="20"/>
  <c r="U16" i="19"/>
  <c r="T28" i="19"/>
  <c r="V43" i="19"/>
  <c r="U55" i="19"/>
  <c r="C35" i="21"/>
  <c r="C50" i="21" s="1"/>
  <c r="F18" i="29"/>
  <c r="F187" i="29" s="1"/>
  <c r="E188" i="29"/>
  <c r="F190" i="29"/>
  <c r="F190" i="28"/>
  <c r="F15" i="28"/>
  <c r="F185" i="28"/>
  <c r="G74" i="18" s="1"/>
  <c r="F18" i="28"/>
  <c r="F187" i="28" s="1"/>
  <c r="E188" i="28"/>
  <c r="F15" i="29"/>
  <c r="F23" i="29" s="1"/>
  <c r="F185" i="29"/>
  <c r="G47" i="18" s="1"/>
  <c r="D29" i="21"/>
  <c r="D30" i="21"/>
  <c r="H6" i="30"/>
  <c r="G50" i="29"/>
  <c r="H50" i="29" s="1"/>
  <c r="H49" i="29" s="1"/>
  <c r="G50" i="28"/>
  <c r="H50" i="28" s="1"/>
  <c r="H49" i="28" s="1"/>
  <c r="H32" i="28"/>
  <c r="I32" i="28" s="1"/>
  <c r="J32" i="28" s="1"/>
  <c r="K32" i="28" s="1"/>
  <c r="L32" i="28" s="1"/>
  <c r="M32" i="28" s="1"/>
  <c r="N32" i="28" s="1"/>
  <c r="O32" i="28" s="1"/>
  <c r="P32" i="28" s="1"/>
  <c r="Q32" i="28" s="1"/>
  <c r="G34" i="28"/>
  <c r="H33" i="28" s="1"/>
  <c r="H32" i="29"/>
  <c r="I32" i="29" s="1"/>
  <c r="I34" i="29" s="1"/>
  <c r="H33" i="29"/>
  <c r="H39" i="19"/>
  <c r="H41" i="19" s="1"/>
  <c r="H52" i="19" s="1"/>
  <c r="BJ61" i="19"/>
  <c r="BJ63" i="19" s="1"/>
  <c r="BK62" i="19" s="1"/>
  <c r="I65" i="19"/>
  <c r="I66" i="19"/>
  <c r="H67" i="19"/>
  <c r="H69" i="19" s="1"/>
  <c r="I37" i="19"/>
  <c r="I38" i="19"/>
  <c r="F36" i="28"/>
  <c r="G35" i="28" s="1"/>
  <c r="H10" i="29"/>
  <c r="J4" i="29"/>
  <c r="I9" i="29"/>
  <c r="I5" i="29"/>
  <c r="F36" i="29"/>
  <c r="G35" i="29" s="1"/>
  <c r="G38" i="29"/>
  <c r="G40" i="29" s="1"/>
  <c r="H39" i="29" s="1"/>
  <c r="J4" i="28"/>
  <c r="I9" i="28"/>
  <c r="G80" i="19"/>
  <c r="G52" i="19"/>
  <c r="B11" i="21" l="1"/>
  <c r="G41" i="18" s="1"/>
  <c r="G53" i="18" s="1"/>
  <c r="V16" i="19"/>
  <c r="U28" i="19"/>
  <c r="W43" i="19"/>
  <c r="V55" i="19"/>
  <c r="CU22" i="20"/>
  <c r="CK34" i="20"/>
  <c r="CK5" i="20"/>
  <c r="CU47" i="20"/>
  <c r="CU30" i="20"/>
  <c r="CK22" i="20"/>
  <c r="CU34" i="20"/>
  <c r="CK30" i="20"/>
  <c r="CU5" i="20"/>
  <c r="CK35" i="20"/>
  <c r="CU35" i="20"/>
  <c r="C42" i="21"/>
  <c r="C56" i="21" s="1"/>
  <c r="D35" i="21"/>
  <c r="D50" i="21" s="1"/>
  <c r="F192" i="29"/>
  <c r="G22" i="29"/>
  <c r="G191" i="29" s="1"/>
  <c r="G15" i="28"/>
  <c r="G17" i="28" s="1"/>
  <c r="F184" i="28"/>
  <c r="G67" i="18"/>
  <c r="F17" i="28"/>
  <c r="F23" i="28"/>
  <c r="G40" i="18"/>
  <c r="F184" i="29"/>
  <c r="G15" i="29"/>
  <c r="F17" i="29"/>
  <c r="E30" i="21"/>
  <c r="E29" i="21"/>
  <c r="H67" i="28"/>
  <c r="I67" i="28" s="1"/>
  <c r="I66" i="28" s="1"/>
  <c r="H67" i="29"/>
  <c r="I67" i="29" s="1"/>
  <c r="I66" i="29" s="1"/>
  <c r="I6" i="30"/>
  <c r="H34" i="29"/>
  <c r="I33" i="29" s="1"/>
  <c r="J33" i="29" s="1"/>
  <c r="H34" i="28"/>
  <c r="I33" i="28" s="1"/>
  <c r="I34" i="28"/>
  <c r="I39" i="19"/>
  <c r="I41" i="19" s="1"/>
  <c r="J65" i="19"/>
  <c r="J66" i="19"/>
  <c r="I67" i="19"/>
  <c r="I69" i="19" s="1"/>
  <c r="J37" i="19"/>
  <c r="J38" i="19"/>
  <c r="G36" i="29"/>
  <c r="H35" i="29" s="1"/>
  <c r="J9" i="28"/>
  <c r="K4" i="28"/>
  <c r="G53" i="29"/>
  <c r="H52" i="29" s="1"/>
  <c r="H51" i="29"/>
  <c r="I50" i="29" s="1"/>
  <c r="I49" i="29"/>
  <c r="J49" i="29" s="1"/>
  <c r="J51" i="29" s="1"/>
  <c r="G38" i="28"/>
  <c r="G40" i="28" s="1"/>
  <c r="H39" i="28" s="1"/>
  <c r="G36" i="28"/>
  <c r="H35" i="28" s="1"/>
  <c r="I49" i="28"/>
  <c r="I51" i="28" s="1"/>
  <c r="H51" i="28"/>
  <c r="I50" i="28" s="1"/>
  <c r="I10" i="29"/>
  <c r="G53" i="28"/>
  <c r="H52" i="28" s="1"/>
  <c r="J9" i="29"/>
  <c r="J5" i="29"/>
  <c r="K4" i="29"/>
  <c r="P34" i="28"/>
  <c r="K34" i="28"/>
  <c r="M34" i="28"/>
  <c r="J32" i="29"/>
  <c r="N34" i="28"/>
  <c r="R32" i="28"/>
  <c r="Q34" i="28"/>
  <c r="J34" i="28"/>
  <c r="L34" i="28"/>
  <c r="O34" i="28"/>
  <c r="W16" i="19" l="1"/>
  <c r="V28" i="19"/>
  <c r="C11" i="21"/>
  <c r="H41" i="18" s="1"/>
  <c r="H53" i="18" s="1"/>
  <c r="X43" i="19"/>
  <c r="W55" i="19"/>
  <c r="CV22" i="20"/>
  <c r="CV47" i="20"/>
  <c r="CL34" i="20"/>
  <c r="CL5" i="20"/>
  <c r="CV30" i="20"/>
  <c r="CV34" i="20"/>
  <c r="CL22" i="20"/>
  <c r="CV5" i="20"/>
  <c r="CL30" i="20"/>
  <c r="CV35" i="20"/>
  <c r="CL35" i="20"/>
  <c r="D42" i="21"/>
  <c r="D56" i="21" s="1"/>
  <c r="E35" i="21"/>
  <c r="E42" i="21" s="1"/>
  <c r="E56" i="21" s="1"/>
  <c r="G22" i="28"/>
  <c r="G191" i="28" s="1"/>
  <c r="F192" i="28"/>
  <c r="G186" i="28"/>
  <c r="G16" i="28"/>
  <c r="F186" i="28"/>
  <c r="F19" i="28"/>
  <c r="G16" i="29"/>
  <c r="F186" i="29"/>
  <c r="F19" i="29"/>
  <c r="G184" i="29"/>
  <c r="G17" i="29"/>
  <c r="H15" i="29"/>
  <c r="H40" i="18"/>
  <c r="G184" i="28"/>
  <c r="H15" i="28"/>
  <c r="H17" i="28" s="1"/>
  <c r="H67" i="18"/>
  <c r="F30" i="21"/>
  <c r="J33" i="28"/>
  <c r="K33" i="28" s="1"/>
  <c r="L33" i="28" s="1"/>
  <c r="M33" i="28" s="1"/>
  <c r="N33" i="28" s="1"/>
  <c r="O33" i="28" s="1"/>
  <c r="P33" i="28" s="1"/>
  <c r="Q33" i="28" s="1"/>
  <c r="R33" i="28" s="1"/>
  <c r="F29" i="21"/>
  <c r="I84" i="28"/>
  <c r="J84" i="28" s="1"/>
  <c r="J83" i="28" s="1"/>
  <c r="J6" i="30"/>
  <c r="I84" i="29"/>
  <c r="J84" i="29" s="1"/>
  <c r="J83" i="29" s="1"/>
  <c r="I36" i="29"/>
  <c r="J35" i="29" s="1"/>
  <c r="J50" i="28"/>
  <c r="G42" i="29"/>
  <c r="G44" i="29" s="1"/>
  <c r="K49" i="29"/>
  <c r="K51" i="29" s="1"/>
  <c r="H38" i="29"/>
  <c r="H40" i="29" s="1"/>
  <c r="I39" i="29" s="1"/>
  <c r="H36" i="29"/>
  <c r="I35" i="29" s="1"/>
  <c r="K65" i="19"/>
  <c r="K66" i="19"/>
  <c r="J67" i="19"/>
  <c r="J69" i="19" s="1"/>
  <c r="K37" i="19"/>
  <c r="K38" i="19"/>
  <c r="J39" i="19"/>
  <c r="J41" i="19" s="1"/>
  <c r="I55" i="29"/>
  <c r="I51" i="29"/>
  <c r="J50" i="29" s="1"/>
  <c r="K50" i="29" s="1"/>
  <c r="J10" i="29"/>
  <c r="H55" i="29"/>
  <c r="H57" i="29" s="1"/>
  <c r="I56" i="29" s="1"/>
  <c r="H53" i="29"/>
  <c r="I52" i="29" s="1"/>
  <c r="G42" i="28"/>
  <c r="G44" i="28" s="1"/>
  <c r="K9" i="28"/>
  <c r="L4" i="28"/>
  <c r="I68" i="29"/>
  <c r="J67" i="29" s="1"/>
  <c r="J66" i="29"/>
  <c r="K66" i="29" s="1"/>
  <c r="L66" i="29" s="1"/>
  <c r="H70" i="29"/>
  <c r="I69" i="29" s="1"/>
  <c r="J66" i="28"/>
  <c r="J68" i="28" s="1"/>
  <c r="I68" i="28"/>
  <c r="J67" i="28" s="1"/>
  <c r="H70" i="28"/>
  <c r="I69" i="28" s="1"/>
  <c r="H38" i="28"/>
  <c r="H40" i="28" s="1"/>
  <c r="I39" i="28" s="1"/>
  <c r="H36" i="28"/>
  <c r="H55" i="28"/>
  <c r="H57" i="28" s="1"/>
  <c r="I56" i="28" s="1"/>
  <c r="H53" i="28"/>
  <c r="L4" i="29"/>
  <c r="K5" i="29"/>
  <c r="K9" i="29"/>
  <c r="J49" i="28"/>
  <c r="J38" i="29"/>
  <c r="I38" i="29"/>
  <c r="K32" i="29"/>
  <c r="K34" i="29" s="1"/>
  <c r="J34" i="29"/>
  <c r="K33" i="29" s="1"/>
  <c r="S32" i="28"/>
  <c r="R34" i="28"/>
  <c r="I52" i="19"/>
  <c r="H80" i="19"/>
  <c r="I80" i="19"/>
  <c r="X16" i="19" l="1"/>
  <c r="W28" i="19"/>
  <c r="E50" i="21"/>
  <c r="D11" i="21"/>
  <c r="I41" i="18" s="1"/>
  <c r="I53" i="18" s="1"/>
  <c r="Y43" i="19"/>
  <c r="X55" i="19"/>
  <c r="H186" i="28"/>
  <c r="G185" i="28"/>
  <c r="H74" i="18" s="1"/>
  <c r="G21" i="28"/>
  <c r="G19" i="28"/>
  <c r="H16" i="28"/>
  <c r="H184" i="28"/>
  <c r="I15" i="28"/>
  <c r="I17" i="28" s="1"/>
  <c r="I67" i="18"/>
  <c r="H184" i="29"/>
  <c r="I15" i="29"/>
  <c r="H17" i="29"/>
  <c r="I40" i="18"/>
  <c r="H16" i="29"/>
  <c r="G186" i="29"/>
  <c r="F188" i="29"/>
  <c r="G18" i="29"/>
  <c r="F25" i="29"/>
  <c r="G185" i="29"/>
  <c r="H47" i="18" s="1"/>
  <c r="G19" i="29"/>
  <c r="G21" i="29"/>
  <c r="F188" i="28"/>
  <c r="G18" i="28"/>
  <c r="F25" i="28"/>
  <c r="G30" i="21"/>
  <c r="F35" i="21"/>
  <c r="F42" i="21" s="1"/>
  <c r="F56" i="21" s="1"/>
  <c r="G29" i="21"/>
  <c r="J101" i="28"/>
  <c r="K101" i="28" s="1"/>
  <c r="K100" i="28" s="1"/>
  <c r="K6" i="30"/>
  <c r="J101" i="29"/>
  <c r="K101" i="29" s="1"/>
  <c r="K100" i="29" s="1"/>
  <c r="E11" i="21"/>
  <c r="J41" i="18" s="1"/>
  <c r="J53" i="18" s="1"/>
  <c r="L50" i="29"/>
  <c r="L33" i="29"/>
  <c r="L38" i="29" s="1"/>
  <c r="I40" i="29"/>
  <c r="J40" i="29" s="1"/>
  <c r="K67" i="28"/>
  <c r="S33" i="28"/>
  <c r="H42" i="29"/>
  <c r="H44" i="29" s="1"/>
  <c r="L49" i="29"/>
  <c r="L51" i="29" s="1"/>
  <c r="J53" i="29"/>
  <c r="K52" i="29" s="1"/>
  <c r="L66" i="19"/>
  <c r="L65" i="19"/>
  <c r="K67" i="19"/>
  <c r="K69" i="19" s="1"/>
  <c r="L38" i="19"/>
  <c r="L37" i="19"/>
  <c r="K39" i="19"/>
  <c r="K41" i="19" s="1"/>
  <c r="I53" i="29"/>
  <c r="J52" i="29" s="1"/>
  <c r="K10" i="29"/>
  <c r="L9" i="28"/>
  <c r="M4" i="28"/>
  <c r="I52" i="28"/>
  <c r="H59" i="28"/>
  <c r="H61" i="28" s="1"/>
  <c r="I72" i="29"/>
  <c r="I74" i="29" s="1"/>
  <c r="J73" i="29" s="1"/>
  <c r="I70" i="29"/>
  <c r="J69" i="29" s="1"/>
  <c r="M4" i="29"/>
  <c r="L9" i="29"/>
  <c r="L5" i="29"/>
  <c r="H59" i="29"/>
  <c r="H61" i="29" s="1"/>
  <c r="I35" i="28"/>
  <c r="H42" i="28"/>
  <c r="H44" i="28" s="1"/>
  <c r="I38" i="28"/>
  <c r="I40" i="28" s="1"/>
  <c r="J39" i="28" s="1"/>
  <c r="I36" i="28"/>
  <c r="J35" i="28" s="1"/>
  <c r="K66" i="28"/>
  <c r="J89" i="28"/>
  <c r="J91" i="28" s="1"/>
  <c r="K90" i="28" s="1"/>
  <c r="I87" i="28"/>
  <c r="J86" i="28" s="1"/>
  <c r="K49" i="28"/>
  <c r="J51" i="28"/>
  <c r="K50" i="28" s="1"/>
  <c r="K68" i="29"/>
  <c r="J68" i="29"/>
  <c r="K67" i="29" s="1"/>
  <c r="I72" i="28"/>
  <c r="I74" i="28" s="1"/>
  <c r="J73" i="28" s="1"/>
  <c r="I70" i="28"/>
  <c r="J69" i="28" s="1"/>
  <c r="L68" i="29"/>
  <c r="M66" i="29"/>
  <c r="J85" i="29"/>
  <c r="K84" i="29" s="1"/>
  <c r="K83" i="29"/>
  <c r="L83" i="29" s="1"/>
  <c r="M83" i="29" s="1"/>
  <c r="N83" i="29" s="1"/>
  <c r="O83" i="29" s="1"/>
  <c r="P83" i="29" s="1"/>
  <c r="Q83" i="29" s="1"/>
  <c r="R83" i="29" s="1"/>
  <c r="S83" i="29" s="1"/>
  <c r="T83" i="29" s="1"/>
  <c r="U83" i="29" s="1"/>
  <c r="V83" i="29" s="1"/>
  <c r="W83" i="29" s="1"/>
  <c r="X83" i="29" s="1"/>
  <c r="Y83" i="29" s="1"/>
  <c r="Z83" i="29" s="1"/>
  <c r="AA83" i="29" s="1"/>
  <c r="AB83" i="29" s="1"/>
  <c r="AC83" i="29" s="1"/>
  <c r="AD83" i="29" s="1"/>
  <c r="AE83" i="29" s="1"/>
  <c r="AF83" i="29" s="1"/>
  <c r="AG83" i="29" s="1"/>
  <c r="AH83" i="29" s="1"/>
  <c r="AI83" i="29" s="1"/>
  <c r="AJ83" i="29" s="1"/>
  <c r="AK83" i="29" s="1"/>
  <c r="AL83" i="29" s="1"/>
  <c r="AM83" i="29" s="1"/>
  <c r="AN83" i="29" s="1"/>
  <c r="AO83" i="29" s="1"/>
  <c r="AP83" i="29" s="1"/>
  <c r="AQ83" i="29" s="1"/>
  <c r="AR83" i="29" s="1"/>
  <c r="AS83" i="29" s="1"/>
  <c r="AT83" i="29" s="1"/>
  <c r="AU83" i="29" s="1"/>
  <c r="AV83" i="29" s="1"/>
  <c r="AW83" i="29" s="1"/>
  <c r="AX83" i="29" s="1"/>
  <c r="AY83" i="29" s="1"/>
  <c r="AZ83" i="29" s="1"/>
  <c r="BA83" i="29" s="1"/>
  <c r="BB83" i="29" s="1"/>
  <c r="BC83" i="29" s="1"/>
  <c r="BD83" i="29" s="1"/>
  <c r="BE83" i="29" s="1"/>
  <c r="BF83" i="29" s="1"/>
  <c r="BG83" i="29" s="1"/>
  <c r="BH83" i="29" s="1"/>
  <c r="BI83" i="29" s="1"/>
  <c r="BJ83" i="29" s="1"/>
  <c r="BK83" i="29" s="1"/>
  <c r="BL83" i="29" s="1"/>
  <c r="BM83" i="29" s="1"/>
  <c r="I57" i="29"/>
  <c r="I87" i="29"/>
  <c r="J86" i="29" s="1"/>
  <c r="I53" i="28"/>
  <c r="J52" i="28" s="1"/>
  <c r="I55" i="28"/>
  <c r="I57" i="28" s="1"/>
  <c r="J56" i="28" s="1"/>
  <c r="K83" i="28"/>
  <c r="L83" i="28" s="1"/>
  <c r="M83" i="28" s="1"/>
  <c r="N83" i="28" s="1"/>
  <c r="J85" i="28"/>
  <c r="K84" i="28" s="1"/>
  <c r="L32" i="29"/>
  <c r="L34" i="29" s="1"/>
  <c r="J36" i="29"/>
  <c r="T32" i="28"/>
  <c r="S34" i="28"/>
  <c r="J52" i="19"/>
  <c r="J80" i="19"/>
  <c r="CW30" i="20" l="1"/>
  <c r="CM34" i="20"/>
  <c r="CW47" i="20"/>
  <c r="CM30" i="20"/>
  <c r="CW35" i="20"/>
  <c r="CM22" i="20"/>
  <c r="CW5" i="20"/>
  <c r="CM35" i="20"/>
  <c r="CW34" i="20"/>
  <c r="CM5" i="20"/>
  <c r="CW22" i="20"/>
  <c r="Y16" i="19"/>
  <c r="X28" i="19"/>
  <c r="Z43" i="19"/>
  <c r="Y55" i="19"/>
  <c r="I186" i="28"/>
  <c r="I184" i="29"/>
  <c r="J15" i="29"/>
  <c r="J40" i="18"/>
  <c r="I17" i="29"/>
  <c r="F27" i="29"/>
  <c r="F194" i="29"/>
  <c r="G187" i="29"/>
  <c r="F27" i="28"/>
  <c r="F194" i="28"/>
  <c r="G187" i="28"/>
  <c r="I184" i="28"/>
  <c r="J15" i="28"/>
  <c r="J17" i="28" s="1"/>
  <c r="J67" i="18"/>
  <c r="H185" i="28"/>
  <c r="I74" i="18" s="1"/>
  <c r="H19" i="28"/>
  <c r="H21" i="28"/>
  <c r="H18" i="28"/>
  <c r="G188" i="28"/>
  <c r="H185" i="29"/>
  <c r="I47" i="18" s="1"/>
  <c r="H21" i="29"/>
  <c r="H190" i="29" s="1"/>
  <c r="H19" i="29"/>
  <c r="G23" i="28"/>
  <c r="G190" i="28"/>
  <c r="G23" i="29"/>
  <c r="G190" i="29"/>
  <c r="I16" i="28"/>
  <c r="H18" i="29"/>
  <c r="G188" i="29"/>
  <c r="I16" i="29"/>
  <c r="H186" i="29"/>
  <c r="H30" i="21"/>
  <c r="H29" i="21"/>
  <c r="F50" i="21"/>
  <c r="G35" i="21"/>
  <c r="G50" i="21" s="1"/>
  <c r="K118" i="28"/>
  <c r="L118" i="28" s="1"/>
  <c r="L117" i="28" s="1"/>
  <c r="K118" i="29"/>
  <c r="L118" i="29" s="1"/>
  <c r="L117" i="29" s="1"/>
  <c r="L6" i="30"/>
  <c r="I42" i="29"/>
  <c r="I44" i="29" s="1"/>
  <c r="M33" i="29"/>
  <c r="F11" i="21"/>
  <c r="K41" i="18" s="1"/>
  <c r="K53" i="18" s="1"/>
  <c r="J39" i="29"/>
  <c r="J42" i="29" s="1"/>
  <c r="J44" i="29" s="1"/>
  <c r="M50" i="29"/>
  <c r="BG85" i="29"/>
  <c r="L67" i="29"/>
  <c r="M67" i="29" s="1"/>
  <c r="T33" i="28"/>
  <c r="J55" i="29"/>
  <c r="J57" i="29" s="1"/>
  <c r="BF85" i="29"/>
  <c r="M49" i="29"/>
  <c r="N49" i="29" s="1"/>
  <c r="O49" i="29" s="1"/>
  <c r="P49" i="29" s="1"/>
  <c r="BE85" i="29"/>
  <c r="K55" i="29"/>
  <c r="L67" i="19"/>
  <c r="L69" i="19" s="1"/>
  <c r="L39" i="19"/>
  <c r="L41" i="19" s="1"/>
  <c r="M85" i="28"/>
  <c r="J72" i="28"/>
  <c r="J74" i="28" s="1"/>
  <c r="K73" i="28" s="1"/>
  <c r="J70" i="28"/>
  <c r="K69" i="28" s="1"/>
  <c r="M66" i="19"/>
  <c r="M65" i="19"/>
  <c r="M38" i="19"/>
  <c r="M37" i="19"/>
  <c r="L53" i="29"/>
  <c r="M52" i="29" s="1"/>
  <c r="M85" i="29"/>
  <c r="K55" i="28"/>
  <c r="K85" i="28"/>
  <c r="L84" i="28" s="1"/>
  <c r="AK85" i="29"/>
  <c r="V85" i="29"/>
  <c r="AH85" i="29"/>
  <c r="AW85" i="29"/>
  <c r="AD85" i="29"/>
  <c r="AB85" i="29"/>
  <c r="AO85" i="29"/>
  <c r="K85" i="29"/>
  <c r="L84" i="29" s="1"/>
  <c r="AA85" i="29"/>
  <c r="O85" i="29"/>
  <c r="S85" i="29"/>
  <c r="AR85" i="29"/>
  <c r="Q85" i="29"/>
  <c r="AC85" i="29"/>
  <c r="AI85" i="29"/>
  <c r="AV85" i="29"/>
  <c r="K38" i="29"/>
  <c r="K40" i="29" s="1"/>
  <c r="BB85" i="29"/>
  <c r="T85" i="29"/>
  <c r="L85" i="29"/>
  <c r="AE85" i="29"/>
  <c r="AZ85" i="29"/>
  <c r="AN85" i="29"/>
  <c r="AF85" i="29"/>
  <c r="AY85" i="29"/>
  <c r="AQ85" i="29"/>
  <c r="W85" i="29"/>
  <c r="U85" i="29"/>
  <c r="AS85" i="29"/>
  <c r="X85" i="29"/>
  <c r="Y85" i="29"/>
  <c r="P85" i="29"/>
  <c r="AP85" i="29"/>
  <c r="BC85" i="29"/>
  <c r="AU85" i="29"/>
  <c r="AT85" i="29"/>
  <c r="BD85" i="29"/>
  <c r="AM85" i="29"/>
  <c r="Z85" i="29"/>
  <c r="N85" i="29"/>
  <c r="AG85" i="29"/>
  <c r="I76" i="29"/>
  <c r="I78" i="29" s="1"/>
  <c r="J89" i="29"/>
  <c r="J91" i="29" s="1"/>
  <c r="K90" i="29" s="1"/>
  <c r="J87" i="29"/>
  <c r="K86" i="29" s="1"/>
  <c r="M68" i="29"/>
  <c r="N66" i="29"/>
  <c r="N68" i="29" s="1"/>
  <c r="J104" i="28"/>
  <c r="K103" i="28" s="1"/>
  <c r="J72" i="29"/>
  <c r="J74" i="29" s="1"/>
  <c r="J70" i="29"/>
  <c r="K69" i="29" s="1"/>
  <c r="M9" i="28"/>
  <c r="N4" i="28"/>
  <c r="J56" i="29"/>
  <c r="I59" i="29"/>
  <c r="I61" i="29" s="1"/>
  <c r="L10" i="29"/>
  <c r="K36" i="29"/>
  <c r="L35" i="29" s="1"/>
  <c r="I76" i="28"/>
  <c r="I78" i="28" s="1"/>
  <c r="J38" i="28"/>
  <c r="J40" i="28" s="1"/>
  <c r="K39" i="28" s="1"/>
  <c r="J36" i="28"/>
  <c r="K35" i="28" s="1"/>
  <c r="N4" i="29"/>
  <c r="M9" i="29"/>
  <c r="M5" i="29"/>
  <c r="K72" i="28"/>
  <c r="K51" i="28"/>
  <c r="L50" i="28" s="1"/>
  <c r="L49" i="28"/>
  <c r="L51" i="28" s="1"/>
  <c r="J87" i="28"/>
  <c r="K86" i="28" s="1"/>
  <c r="L100" i="29"/>
  <c r="K102" i="29"/>
  <c r="L101" i="29" s="1"/>
  <c r="J104" i="29"/>
  <c r="K103" i="29" s="1"/>
  <c r="K106" i="29"/>
  <c r="K108" i="29" s="1"/>
  <c r="L107" i="29" s="1"/>
  <c r="L66" i="28"/>
  <c r="M66" i="28" s="1"/>
  <c r="N66" i="28" s="1"/>
  <c r="O66" i="28" s="1"/>
  <c r="P66" i="28" s="1"/>
  <c r="K68" i="28"/>
  <c r="L67" i="28" s="1"/>
  <c r="L85" i="28"/>
  <c r="N85" i="28"/>
  <c r="O83" i="28"/>
  <c r="I59" i="28"/>
  <c r="I61" i="28" s="1"/>
  <c r="I42" i="28"/>
  <c r="I44" i="28" s="1"/>
  <c r="J55" i="28"/>
  <c r="J57" i="28" s="1"/>
  <c r="K56" i="28" s="1"/>
  <c r="J53" i="28"/>
  <c r="BA85" i="29"/>
  <c r="AX85" i="29"/>
  <c r="R85" i="29"/>
  <c r="AJ85" i="29"/>
  <c r="AL85" i="29"/>
  <c r="K102" i="28"/>
  <c r="L101" i="28" s="1"/>
  <c r="L100" i="28"/>
  <c r="L102" i="28" s="1"/>
  <c r="L36" i="29"/>
  <c r="M35" i="29" s="1"/>
  <c r="K39" i="29"/>
  <c r="M32" i="29"/>
  <c r="K35" i="29"/>
  <c r="U32" i="28"/>
  <c r="T34" i="28"/>
  <c r="K52" i="19"/>
  <c r="Z16" i="19" l="1"/>
  <c r="Y28" i="19"/>
  <c r="AA43" i="19"/>
  <c r="Z55" i="19"/>
  <c r="CO35" i="20"/>
  <c r="CY30" i="20"/>
  <c r="CY34" i="20"/>
  <c r="CY5" i="20"/>
  <c r="CO34" i="20"/>
  <c r="CO5" i="20"/>
  <c r="CY35" i="20"/>
  <c r="CO22" i="20"/>
  <c r="CY22" i="20"/>
  <c r="CO30" i="20"/>
  <c r="CY47" i="20"/>
  <c r="CX47" i="20"/>
  <c r="CX30" i="20"/>
  <c r="CX34" i="20"/>
  <c r="CN34" i="20"/>
  <c r="CN5" i="20"/>
  <c r="CX5" i="20"/>
  <c r="CX35" i="20"/>
  <c r="CN22" i="20"/>
  <c r="CN30" i="20"/>
  <c r="CX22" i="20"/>
  <c r="CN35" i="20"/>
  <c r="J186" i="28"/>
  <c r="H22" i="28"/>
  <c r="H191" i="28" s="1"/>
  <c r="G192" i="28"/>
  <c r="I185" i="29"/>
  <c r="J47" i="18" s="1"/>
  <c r="I21" i="29"/>
  <c r="I190" i="29" s="1"/>
  <c r="I19" i="29"/>
  <c r="I18" i="29"/>
  <c r="H188" i="29"/>
  <c r="G39" i="18"/>
  <c r="G50" i="18" s="1"/>
  <c r="F196" i="29"/>
  <c r="J16" i="29"/>
  <c r="I186" i="29"/>
  <c r="K15" i="28"/>
  <c r="J184" i="28"/>
  <c r="K67" i="18"/>
  <c r="H187" i="29"/>
  <c r="H187" i="28"/>
  <c r="J184" i="29"/>
  <c r="K40" i="18"/>
  <c r="K15" i="29"/>
  <c r="J17" i="29"/>
  <c r="I185" i="28"/>
  <c r="J74" i="18" s="1"/>
  <c r="I19" i="28"/>
  <c r="I21" i="28"/>
  <c r="G25" i="28"/>
  <c r="G192" i="29"/>
  <c r="H23" i="29"/>
  <c r="H22" i="29"/>
  <c r="H191" i="29" s="1"/>
  <c r="H23" i="28"/>
  <c r="H190" i="28"/>
  <c r="J16" i="28"/>
  <c r="K16" i="28" s="1"/>
  <c r="K21" i="28" s="1"/>
  <c r="H188" i="28"/>
  <c r="I18" i="28"/>
  <c r="G66" i="18"/>
  <c r="G77" i="18" s="1"/>
  <c r="F196" i="28"/>
  <c r="G25" i="29"/>
  <c r="I29" i="21"/>
  <c r="I30" i="21"/>
  <c r="H35" i="21"/>
  <c r="H50" i="21" s="1"/>
  <c r="G42" i="21"/>
  <c r="G56" i="21" s="1"/>
  <c r="L135" i="28"/>
  <c r="M135" i="28" s="1"/>
  <c r="M134" i="28" s="1"/>
  <c r="L135" i="29"/>
  <c r="M135" i="29" s="1"/>
  <c r="M134" i="29" s="1"/>
  <c r="M6" i="30"/>
  <c r="N67" i="29"/>
  <c r="O67" i="29" s="1"/>
  <c r="M51" i="29"/>
  <c r="N50" i="29" s="1"/>
  <c r="M84" i="29"/>
  <c r="N84" i="29" s="1"/>
  <c r="O84" i="29" s="1"/>
  <c r="P84" i="29" s="1"/>
  <c r="Q84" i="29" s="1"/>
  <c r="R84" i="29" s="1"/>
  <c r="S84" i="29" s="1"/>
  <c r="T84" i="29" s="1"/>
  <c r="U84" i="29" s="1"/>
  <c r="V84" i="29" s="1"/>
  <c r="W84" i="29" s="1"/>
  <c r="X84" i="29" s="1"/>
  <c r="Y84" i="29" s="1"/>
  <c r="Z84" i="29" s="1"/>
  <c r="AA84" i="29" s="1"/>
  <c r="AB84" i="29" s="1"/>
  <c r="AC84" i="29" s="1"/>
  <c r="AD84" i="29" s="1"/>
  <c r="AE84" i="29" s="1"/>
  <c r="AF84" i="29" s="1"/>
  <c r="AG84" i="29" s="1"/>
  <c r="AH84" i="29" s="1"/>
  <c r="AI84" i="29" s="1"/>
  <c r="AJ84" i="29" s="1"/>
  <c r="AK84" i="29" s="1"/>
  <c r="AL84" i="29" s="1"/>
  <c r="AM84" i="29" s="1"/>
  <c r="AN84" i="29" s="1"/>
  <c r="AO84" i="29" s="1"/>
  <c r="AP84" i="29" s="1"/>
  <c r="AQ84" i="29" s="1"/>
  <c r="AR84" i="29" s="1"/>
  <c r="AS84" i="29" s="1"/>
  <c r="AT84" i="29" s="1"/>
  <c r="AU84" i="29" s="1"/>
  <c r="AV84" i="29" s="1"/>
  <c r="AW84" i="29" s="1"/>
  <c r="AX84" i="29" s="1"/>
  <c r="AY84" i="29" s="1"/>
  <c r="AZ84" i="29" s="1"/>
  <c r="BA84" i="29" s="1"/>
  <c r="BB84" i="29" s="1"/>
  <c r="BC84" i="29" s="1"/>
  <c r="BD84" i="29" s="1"/>
  <c r="BE84" i="29" s="1"/>
  <c r="BF84" i="29" s="1"/>
  <c r="BG84" i="29" s="1"/>
  <c r="BH84" i="29" s="1"/>
  <c r="BI84" i="29" s="1"/>
  <c r="BJ84" i="29" s="1"/>
  <c r="BK84" i="29" s="1"/>
  <c r="BL84" i="29" s="1"/>
  <c r="BM84" i="29" s="1"/>
  <c r="BN84" i="29" s="1"/>
  <c r="BO84" i="29" s="1"/>
  <c r="BP84" i="29" s="1"/>
  <c r="BQ84" i="29" s="1"/>
  <c r="BR84" i="29" s="1"/>
  <c r="BS84" i="29" s="1"/>
  <c r="BT84" i="29" s="1"/>
  <c r="BU84" i="29" s="1"/>
  <c r="BV84" i="29" s="1"/>
  <c r="BW84" i="29" s="1"/>
  <c r="BX84" i="29" s="1"/>
  <c r="BY84" i="29" s="1"/>
  <c r="BZ84" i="29" s="1"/>
  <c r="CA84" i="29" s="1"/>
  <c r="CB84" i="29" s="1"/>
  <c r="CC84" i="29" s="1"/>
  <c r="CD84" i="29" s="1"/>
  <c r="CE84" i="29" s="1"/>
  <c r="CF84" i="29" s="1"/>
  <c r="CG84" i="29" s="1"/>
  <c r="CH84" i="29" s="1"/>
  <c r="CI84" i="29" s="1"/>
  <c r="CJ84" i="29" s="1"/>
  <c r="CK84" i="29" s="1"/>
  <c r="CL84" i="29" s="1"/>
  <c r="CM84" i="29" s="1"/>
  <c r="CN84" i="29" s="1"/>
  <c r="CO84" i="29" s="1"/>
  <c r="CP84" i="29" s="1"/>
  <c r="CQ84" i="29" s="1"/>
  <c r="CR84" i="29" s="1"/>
  <c r="CS84" i="29" s="1"/>
  <c r="CT84" i="29" s="1"/>
  <c r="CU84" i="29" s="1"/>
  <c r="CV84" i="29" s="1"/>
  <c r="CW84" i="29" s="1"/>
  <c r="CX84" i="29" s="1"/>
  <c r="CY84" i="29" s="1"/>
  <c r="CZ84" i="29" s="1"/>
  <c r="DA84" i="29" s="1"/>
  <c r="M101" i="28"/>
  <c r="M84" i="28"/>
  <c r="N84" i="28" s="1"/>
  <c r="O84" i="28" s="1"/>
  <c r="M50" i="28"/>
  <c r="U33" i="28"/>
  <c r="L55" i="29"/>
  <c r="K53" i="29"/>
  <c r="L52" i="29" s="1"/>
  <c r="M39" i="19"/>
  <c r="M41" i="19" s="1"/>
  <c r="M67" i="19"/>
  <c r="M69" i="19" s="1"/>
  <c r="L89" i="29"/>
  <c r="N68" i="28"/>
  <c r="N66" i="19"/>
  <c r="N65" i="19"/>
  <c r="L89" i="28"/>
  <c r="N38" i="19"/>
  <c r="N37" i="19"/>
  <c r="O68" i="28"/>
  <c r="J76" i="29"/>
  <c r="J78" i="29" s="1"/>
  <c r="J76" i="28"/>
  <c r="J78" i="28" s="1"/>
  <c r="L68" i="28"/>
  <c r="M67" i="28" s="1"/>
  <c r="M68" i="28"/>
  <c r="P83" i="28"/>
  <c r="O85" i="28"/>
  <c r="J59" i="29"/>
  <c r="J61" i="29" s="1"/>
  <c r="O66" i="29"/>
  <c r="O68" i="29" s="1"/>
  <c r="J93" i="29"/>
  <c r="J95" i="29" s="1"/>
  <c r="K57" i="28"/>
  <c r="L56" i="28" s="1"/>
  <c r="K57" i="29"/>
  <c r="L56" i="29" s="1"/>
  <c r="K56" i="29"/>
  <c r="M49" i="28"/>
  <c r="N9" i="28"/>
  <c r="O4" i="28"/>
  <c r="K106" i="28"/>
  <c r="K108" i="28" s="1"/>
  <c r="L107" i="28" s="1"/>
  <c r="K104" i="28"/>
  <c r="L103" i="28" s="1"/>
  <c r="K104" i="29"/>
  <c r="L103" i="29" s="1"/>
  <c r="K53" i="28"/>
  <c r="L52" i="28" s="1"/>
  <c r="L119" i="29"/>
  <c r="M118" i="29" s="1"/>
  <c r="M117" i="29"/>
  <c r="K121" i="28"/>
  <c r="L120" i="28" s="1"/>
  <c r="L102" i="29"/>
  <c r="M101" i="29" s="1"/>
  <c r="M100" i="29"/>
  <c r="K74" i="28"/>
  <c r="L73" i="28" s="1"/>
  <c r="M100" i="28"/>
  <c r="M102" i="28" s="1"/>
  <c r="K70" i="28"/>
  <c r="K121" i="29"/>
  <c r="L120" i="29" s="1"/>
  <c r="J93" i="28"/>
  <c r="J95" i="28" s="1"/>
  <c r="M10" i="29"/>
  <c r="K87" i="29"/>
  <c r="L86" i="29" s="1"/>
  <c r="K89" i="29"/>
  <c r="K91" i="29" s="1"/>
  <c r="L72" i="28"/>
  <c r="N9" i="29"/>
  <c r="N5" i="29"/>
  <c r="O4" i="29"/>
  <c r="K73" i="29"/>
  <c r="J42" i="28"/>
  <c r="J44" i="28" s="1"/>
  <c r="K36" i="28"/>
  <c r="L35" i="28" s="1"/>
  <c r="K38" i="28"/>
  <c r="K40" i="28" s="1"/>
  <c r="L119" i="28"/>
  <c r="M118" i="28" s="1"/>
  <c r="M117" i="28"/>
  <c r="M119" i="28" s="1"/>
  <c r="K70" i="29"/>
  <c r="L69" i="29" s="1"/>
  <c r="K72" i="29"/>
  <c r="K74" i="29" s="1"/>
  <c r="J59" i="28"/>
  <c r="J61" i="28" s="1"/>
  <c r="K52" i="28"/>
  <c r="P68" i="28"/>
  <c r="Q66" i="28"/>
  <c r="K89" i="28"/>
  <c r="K91" i="28" s="1"/>
  <c r="L90" i="28" s="1"/>
  <c r="K87" i="28"/>
  <c r="L86" i="28" s="1"/>
  <c r="O51" i="29"/>
  <c r="K42" i="29"/>
  <c r="K44" i="29" s="1"/>
  <c r="M55" i="29"/>
  <c r="L40" i="29"/>
  <c r="L39" i="29"/>
  <c r="N32" i="29"/>
  <c r="M34" i="29"/>
  <c r="N33" i="29" s="1"/>
  <c r="N51" i="29"/>
  <c r="Q49" i="29"/>
  <c r="P51" i="29"/>
  <c r="M38" i="29"/>
  <c r="V32" i="28"/>
  <c r="U34" i="28"/>
  <c r="L52" i="19"/>
  <c r="L80" i="19"/>
  <c r="K80" i="19"/>
  <c r="AA16" i="19" l="1"/>
  <c r="Z28" i="19"/>
  <c r="AB43" i="19"/>
  <c r="AA55" i="19"/>
  <c r="CZ30" i="20"/>
  <c r="CP35" i="20"/>
  <c r="CZ34" i="20"/>
  <c r="CZ5" i="20"/>
  <c r="CZ35" i="20"/>
  <c r="CP34" i="20"/>
  <c r="CP5" i="20"/>
  <c r="CZ22" i="20"/>
  <c r="CP22" i="20"/>
  <c r="CZ47" i="20"/>
  <c r="CP30" i="20"/>
  <c r="H42" i="21"/>
  <c r="H56" i="21" s="1"/>
  <c r="I35" i="21"/>
  <c r="I50" i="21" s="1"/>
  <c r="I22" i="28"/>
  <c r="I191" i="28" s="1"/>
  <c r="H192" i="28"/>
  <c r="H25" i="29"/>
  <c r="I187" i="29"/>
  <c r="J18" i="29"/>
  <c r="I188" i="29"/>
  <c r="H192" i="29"/>
  <c r="I22" i="29"/>
  <c r="I191" i="29" s="1"/>
  <c r="I23" i="29"/>
  <c r="G27" i="29"/>
  <c r="G194" i="29"/>
  <c r="I23" i="28"/>
  <c r="I190" i="28"/>
  <c r="J18" i="28"/>
  <c r="I188" i="28"/>
  <c r="K184" i="28"/>
  <c r="L15" i="28"/>
  <c r="L17" i="28" s="1"/>
  <c r="L67" i="18"/>
  <c r="I187" i="28"/>
  <c r="G27" i="28"/>
  <c r="G194" i="28"/>
  <c r="J185" i="29"/>
  <c r="K47" i="18" s="1"/>
  <c r="J21" i="29"/>
  <c r="J190" i="29" s="1"/>
  <c r="J19" i="29"/>
  <c r="K190" i="28"/>
  <c r="K16" i="29"/>
  <c r="J186" i="29"/>
  <c r="K184" i="29"/>
  <c r="L40" i="18"/>
  <c r="L15" i="29"/>
  <c r="K17" i="29"/>
  <c r="K185" i="28"/>
  <c r="L74" i="18" s="1"/>
  <c r="J185" i="28"/>
  <c r="K74" i="18" s="1"/>
  <c r="J21" i="28"/>
  <c r="J19" i="28"/>
  <c r="H25" i="28"/>
  <c r="K17" i="28"/>
  <c r="L16" i="28" s="1"/>
  <c r="L185" i="28" s="1"/>
  <c r="M74" i="18" s="1"/>
  <c r="J29" i="21"/>
  <c r="J30" i="21"/>
  <c r="G11" i="21"/>
  <c r="L41" i="18" s="1"/>
  <c r="L53" i="18" s="1"/>
  <c r="M152" i="28"/>
  <c r="N152" i="28" s="1"/>
  <c r="N151" i="28" s="1"/>
  <c r="M152" i="29"/>
  <c r="N152" i="29" s="1"/>
  <c r="N151" i="29" s="1"/>
  <c r="N6" i="30"/>
  <c r="O50" i="29"/>
  <c r="P50" i="29" s="1"/>
  <c r="Q50" i="29" s="1"/>
  <c r="M53" i="29"/>
  <c r="N52" i="29" s="1"/>
  <c r="N101" i="28"/>
  <c r="P67" i="29"/>
  <c r="N67" i="28"/>
  <c r="O67" i="28" s="1"/>
  <c r="P67" i="28" s="1"/>
  <c r="Q67" i="28" s="1"/>
  <c r="P84" i="28"/>
  <c r="V33" i="28"/>
  <c r="N118" i="28"/>
  <c r="N123" i="28" s="1"/>
  <c r="L87" i="29"/>
  <c r="M86" i="29" s="1"/>
  <c r="N67" i="19"/>
  <c r="N69" i="19" s="1"/>
  <c r="N87" i="28"/>
  <c r="O86" i="28" s="1"/>
  <c r="L87" i="28"/>
  <c r="M86" i="28" s="1"/>
  <c r="K59" i="29"/>
  <c r="K61" i="29" s="1"/>
  <c r="N39" i="19"/>
  <c r="N41" i="19" s="1"/>
  <c r="K42" i="28"/>
  <c r="K44" i="28" s="1"/>
  <c r="O66" i="19"/>
  <c r="O65" i="19"/>
  <c r="L70" i="28"/>
  <c r="M69" i="28" s="1"/>
  <c r="O38" i="19"/>
  <c r="O37" i="19"/>
  <c r="L57" i="29"/>
  <c r="M56" i="29" s="1"/>
  <c r="K110" i="29"/>
  <c r="K112" i="29" s="1"/>
  <c r="K59" i="28"/>
  <c r="K61" i="28" s="1"/>
  <c r="M104" i="28"/>
  <c r="N103" i="28" s="1"/>
  <c r="M106" i="28"/>
  <c r="L138" i="29"/>
  <c r="M137" i="29" s="1"/>
  <c r="N10" i="29"/>
  <c r="M102" i="29"/>
  <c r="N101" i="29" s="1"/>
  <c r="N100" i="29"/>
  <c r="M119" i="29"/>
  <c r="N118" i="29" s="1"/>
  <c r="N117" i="29"/>
  <c r="M70" i="28"/>
  <c r="N69" i="28" s="1"/>
  <c r="M72" i="28"/>
  <c r="L39" i="28"/>
  <c r="Q68" i="28"/>
  <c r="R66" i="28"/>
  <c r="R68" i="28" s="1"/>
  <c r="L123" i="29"/>
  <c r="L125" i="29" s="1"/>
  <c r="M124" i="29" s="1"/>
  <c r="L121" i="29"/>
  <c r="M120" i="29" s="1"/>
  <c r="K93" i="28"/>
  <c r="K95" i="28" s="1"/>
  <c r="O9" i="29"/>
  <c r="O5" i="29"/>
  <c r="L69" i="28"/>
  <c r="K76" i="28"/>
  <c r="K78" i="28" s="1"/>
  <c r="L55" i="28"/>
  <c r="L57" i="28" s="1"/>
  <c r="M56" i="28" s="1"/>
  <c r="L53" i="28"/>
  <c r="L72" i="29"/>
  <c r="L74" i="29" s="1"/>
  <c r="L70" i="29"/>
  <c r="M69" i="29" s="1"/>
  <c r="L74" i="28"/>
  <c r="M73" i="28" s="1"/>
  <c r="L104" i="29"/>
  <c r="M103" i="29" s="1"/>
  <c r="L106" i="29"/>
  <c r="L108" i="29" s="1"/>
  <c r="K93" i="29"/>
  <c r="K95" i="29" s="1"/>
  <c r="L91" i="28"/>
  <c r="L90" i="29"/>
  <c r="L91" i="29"/>
  <c r="P66" i="29"/>
  <c r="P68" i="29" s="1"/>
  <c r="O9" i="28"/>
  <c r="L38" i="28"/>
  <c r="L40" i="28" s="1"/>
  <c r="L36" i="28"/>
  <c r="M35" i="28" s="1"/>
  <c r="L123" i="28"/>
  <c r="L125" i="28" s="1"/>
  <c r="M124" i="28" s="1"/>
  <c r="L121" i="28"/>
  <c r="L73" i="29"/>
  <c r="K76" i="29"/>
  <c r="K78" i="29" s="1"/>
  <c r="M89" i="29"/>
  <c r="M87" i="29"/>
  <c r="N86" i="29" s="1"/>
  <c r="M136" i="28"/>
  <c r="N135" i="28" s="1"/>
  <c r="N134" i="28"/>
  <c r="M51" i="28"/>
  <c r="N50" i="28" s="1"/>
  <c r="N49" i="28"/>
  <c r="N51" i="28" s="1"/>
  <c r="N117" i="28"/>
  <c r="N134" i="29"/>
  <c r="N136" i="29" s="1"/>
  <c r="M136" i="29"/>
  <c r="N135" i="29" s="1"/>
  <c r="L106" i="28"/>
  <c r="L108" i="28" s="1"/>
  <c r="M107" i="28" s="1"/>
  <c r="L104" i="28"/>
  <c r="M103" i="28" s="1"/>
  <c r="K110" i="28"/>
  <c r="K112" i="28" s="1"/>
  <c r="N100" i="28"/>
  <c r="L138" i="28"/>
  <c r="M137" i="28" s="1"/>
  <c r="P85" i="28"/>
  <c r="Q83" i="28"/>
  <c r="L42" i="29"/>
  <c r="L44" i="29" s="1"/>
  <c r="M36" i="29"/>
  <c r="N35" i="29" s="1"/>
  <c r="N53" i="29"/>
  <c r="O52" i="29" s="1"/>
  <c r="N55" i="29"/>
  <c r="M40" i="29"/>
  <c r="M39" i="29"/>
  <c r="R49" i="29"/>
  <c r="Q51" i="29"/>
  <c r="N38" i="29"/>
  <c r="O32" i="29"/>
  <c r="N34" i="29"/>
  <c r="O33" i="29" s="1"/>
  <c r="W32" i="28"/>
  <c r="V34" i="28"/>
  <c r="M52" i="19"/>
  <c r="M80" i="19"/>
  <c r="AB16" i="19" l="1"/>
  <c r="AA28" i="19"/>
  <c r="H11" i="21"/>
  <c r="M41" i="18" s="1"/>
  <c r="M53" i="18" s="1"/>
  <c r="AC43" i="19"/>
  <c r="AB55" i="19"/>
  <c r="DA34" i="20"/>
  <c r="CQ35" i="20"/>
  <c r="DA5" i="20"/>
  <c r="DA35" i="20"/>
  <c r="CQ34" i="20"/>
  <c r="CQ5" i="20"/>
  <c r="DA22" i="20"/>
  <c r="DA47" i="20"/>
  <c r="CQ22" i="20"/>
  <c r="DA30" i="20"/>
  <c r="CQ30" i="20"/>
  <c r="I42" i="21"/>
  <c r="I56" i="21" s="1"/>
  <c r="J35" i="21"/>
  <c r="J50" i="21" s="1"/>
  <c r="K18" i="29"/>
  <c r="J188" i="29"/>
  <c r="L16" i="29"/>
  <c r="K186" i="29"/>
  <c r="J187" i="28"/>
  <c r="L184" i="29"/>
  <c r="M15" i="29"/>
  <c r="L17" i="29"/>
  <c r="M40" i="18"/>
  <c r="J22" i="28"/>
  <c r="J191" i="28" s="1"/>
  <c r="I192" i="28"/>
  <c r="I25" i="29"/>
  <c r="G196" i="28"/>
  <c r="H66" i="18"/>
  <c r="H77" i="18" s="1"/>
  <c r="K186" i="28"/>
  <c r="K19" i="28"/>
  <c r="I25" i="28"/>
  <c r="G196" i="29"/>
  <c r="H39" i="18"/>
  <c r="H50" i="18" s="1"/>
  <c r="H27" i="29"/>
  <c r="H194" i="29"/>
  <c r="H27" i="28"/>
  <c r="H194" i="28"/>
  <c r="I192" i="29"/>
  <c r="J23" i="29"/>
  <c r="J22" i="29"/>
  <c r="J191" i="29" s="1"/>
  <c r="J188" i="28"/>
  <c r="K18" i="28"/>
  <c r="L19" i="28"/>
  <c r="L188" i="28" s="1"/>
  <c r="L21" i="28"/>
  <c r="J23" i="28"/>
  <c r="J190" i="28"/>
  <c r="J187" i="29"/>
  <c r="K185" i="29"/>
  <c r="L47" i="18" s="1"/>
  <c r="K21" i="29"/>
  <c r="K190" i="29" s="1"/>
  <c r="K19" i="29"/>
  <c r="L186" i="28"/>
  <c r="M16" i="28"/>
  <c r="M21" i="28" s="1"/>
  <c r="L184" i="28"/>
  <c r="M15" i="28"/>
  <c r="M67" i="18"/>
  <c r="K30" i="21"/>
  <c r="K29" i="21"/>
  <c r="N169" i="28"/>
  <c r="O169" i="28" s="1"/>
  <c r="O168" i="28" s="1"/>
  <c r="N169" i="29"/>
  <c r="O169" i="29" s="1"/>
  <c r="O168" i="29" s="1"/>
  <c r="O6" i="30"/>
  <c r="Q67" i="29"/>
  <c r="J4" i="3"/>
  <c r="N72" i="28"/>
  <c r="R50" i="29"/>
  <c r="R67" i="28"/>
  <c r="S67" i="28" s="1"/>
  <c r="W33" i="28"/>
  <c r="Q84" i="28"/>
  <c r="O135" i="29"/>
  <c r="O50" i="28"/>
  <c r="M89" i="28"/>
  <c r="M91" i="28" s="1"/>
  <c r="O87" i="28"/>
  <c r="P86" i="28" s="1"/>
  <c r="N89" i="28"/>
  <c r="M87" i="28"/>
  <c r="N86" i="28" s="1"/>
  <c r="L93" i="28"/>
  <c r="L95" i="28" s="1"/>
  <c r="M123" i="28"/>
  <c r="M125" i="28" s="1"/>
  <c r="N124" i="28" s="1"/>
  <c r="N70" i="28"/>
  <c r="O69" i="28" s="1"/>
  <c r="O72" i="28"/>
  <c r="M121" i="28"/>
  <c r="N120" i="28" s="1"/>
  <c r="O39" i="19"/>
  <c r="O41" i="19" s="1"/>
  <c r="M57" i="29"/>
  <c r="M59" i="29" s="1"/>
  <c r="M61" i="29" s="1"/>
  <c r="O67" i="19"/>
  <c r="O69" i="19" s="1"/>
  <c r="L59" i="29"/>
  <c r="L61" i="29" s="1"/>
  <c r="P66" i="19"/>
  <c r="P65" i="19"/>
  <c r="P38" i="19"/>
  <c r="P37" i="19"/>
  <c r="L93" i="29"/>
  <c r="L95" i="29" s="1"/>
  <c r="N106" i="29"/>
  <c r="N55" i="28"/>
  <c r="L110" i="29"/>
  <c r="L112" i="29" s="1"/>
  <c r="M39" i="28"/>
  <c r="S66" i="28"/>
  <c r="T66" i="28" s="1"/>
  <c r="U66" i="28" s="1"/>
  <c r="V66" i="28" s="1"/>
  <c r="W66" i="28" s="1"/>
  <c r="X66" i="28" s="1"/>
  <c r="Y66" i="28" s="1"/>
  <c r="N102" i="29"/>
  <c r="O101" i="29" s="1"/>
  <c r="O100" i="29"/>
  <c r="M73" i="29"/>
  <c r="M52" i="28"/>
  <c r="L59" i="28"/>
  <c r="L61" i="28" s="1"/>
  <c r="O100" i="28"/>
  <c r="P100" i="28" s="1"/>
  <c r="N102" i="28"/>
  <c r="O101" i="28" s="1"/>
  <c r="L127" i="28"/>
  <c r="L129" i="28" s="1"/>
  <c r="M120" i="28"/>
  <c r="N106" i="28"/>
  <c r="M53" i="28"/>
  <c r="N52" i="28" s="1"/>
  <c r="M55" i="28"/>
  <c r="M57" i="28" s="1"/>
  <c r="N56" i="28" s="1"/>
  <c r="M72" i="29"/>
  <c r="M74" i="29" s="1"/>
  <c r="M70" i="29"/>
  <c r="N69" i="29" s="1"/>
  <c r="M121" i="29"/>
  <c r="N120" i="29" s="1"/>
  <c r="M123" i="29"/>
  <c r="M125" i="29" s="1"/>
  <c r="O151" i="29"/>
  <c r="O153" i="29" s="1"/>
  <c r="N153" i="29"/>
  <c r="O152" i="29" s="1"/>
  <c r="O134" i="29"/>
  <c r="O136" i="29" s="1"/>
  <c r="M90" i="28"/>
  <c r="L76" i="29"/>
  <c r="L78" i="29" s="1"/>
  <c r="M155" i="29"/>
  <c r="N154" i="29" s="1"/>
  <c r="Q66" i="29"/>
  <c r="L76" i="28"/>
  <c r="L78" i="28" s="1"/>
  <c r="M107" i="29"/>
  <c r="O10" i="29"/>
  <c r="M74" i="28"/>
  <c r="N73" i="28" s="1"/>
  <c r="N136" i="28"/>
  <c r="O135" i="28" s="1"/>
  <c r="O134" i="28"/>
  <c r="R83" i="28"/>
  <c r="Q85" i="28"/>
  <c r="O117" i="28"/>
  <c r="O119" i="28" s="1"/>
  <c r="N119" i="28"/>
  <c r="O118" i="28" s="1"/>
  <c r="N87" i="29"/>
  <c r="O86" i="29" s="1"/>
  <c r="N89" i="29"/>
  <c r="M90" i="29"/>
  <c r="M91" i="29"/>
  <c r="M106" i="29"/>
  <c r="M108" i="29" s="1"/>
  <c r="M104" i="29"/>
  <c r="N103" i="29" s="1"/>
  <c r="L42" i="28"/>
  <c r="L44" i="28" s="1"/>
  <c r="M140" i="29"/>
  <c r="M142" i="29" s="1"/>
  <c r="N141" i="29" s="1"/>
  <c r="M138" i="29"/>
  <c r="N137" i="29" s="1"/>
  <c r="L110" i="28"/>
  <c r="L112" i="28" s="1"/>
  <c r="N119" i="29"/>
  <c r="O118" i="29" s="1"/>
  <c r="O117" i="29"/>
  <c r="M140" i="28"/>
  <c r="M142" i="28" s="1"/>
  <c r="N141" i="28" s="1"/>
  <c r="M138" i="28"/>
  <c r="N137" i="28" s="1"/>
  <c r="O151" i="28"/>
  <c r="P151" i="28" s="1"/>
  <c r="Q151" i="28" s="1"/>
  <c r="R151" i="28" s="1"/>
  <c r="S151" i="28" s="1"/>
  <c r="N153" i="28"/>
  <c r="O152" i="28" s="1"/>
  <c r="M36" i="28"/>
  <c r="N35" i="28" s="1"/>
  <c r="M38" i="28"/>
  <c r="M40" i="28" s="1"/>
  <c r="L127" i="29"/>
  <c r="L129" i="29" s="1"/>
  <c r="M108" i="28"/>
  <c r="M110" i="28" s="1"/>
  <c r="M112" i="28" s="1"/>
  <c r="O49" i="28"/>
  <c r="O51" i="28" s="1"/>
  <c r="M155" i="28"/>
  <c r="N154" i="28" s="1"/>
  <c r="M42" i="29"/>
  <c r="M44" i="29" s="1"/>
  <c r="P32" i="29"/>
  <c r="O34" i="29"/>
  <c r="P33" i="29" s="1"/>
  <c r="O53" i="29"/>
  <c r="P52" i="29" s="1"/>
  <c r="O55" i="29"/>
  <c r="N36" i="29"/>
  <c r="O38" i="29"/>
  <c r="N39" i="29"/>
  <c r="N40" i="29"/>
  <c r="S49" i="29"/>
  <c r="R51" i="29"/>
  <c r="X32" i="28"/>
  <c r="W34" i="28"/>
  <c r="N52" i="19"/>
  <c r="I19" i="3" l="1"/>
  <c r="E29" i="45" s="1"/>
  <c r="I4" i="45"/>
  <c r="AC16" i="19"/>
  <c r="AB28" i="19"/>
  <c r="I11" i="21"/>
  <c r="N41" i="18" s="1"/>
  <c r="N53" i="18" s="1"/>
  <c r="AD43" i="19"/>
  <c r="AC55" i="19"/>
  <c r="J42" i="21"/>
  <c r="J56" i="21" s="1"/>
  <c r="DB34" i="20"/>
  <c r="CR30" i="20"/>
  <c r="DB5" i="20"/>
  <c r="CR35" i="20"/>
  <c r="DB35" i="20"/>
  <c r="DB22" i="20"/>
  <c r="CR34" i="20"/>
  <c r="CR5" i="20"/>
  <c r="DB47" i="20"/>
  <c r="DB30" i="20"/>
  <c r="CR22" i="20"/>
  <c r="K35" i="21"/>
  <c r="K50" i="21" s="1"/>
  <c r="M18" i="28"/>
  <c r="M187" i="28" s="1"/>
  <c r="J25" i="29"/>
  <c r="J194" i="29" s="1"/>
  <c r="L18" i="29"/>
  <c r="K188" i="29"/>
  <c r="H196" i="28"/>
  <c r="I66" i="18"/>
  <c r="I77" i="18" s="1"/>
  <c r="M190" i="28"/>
  <c r="K187" i="28"/>
  <c r="M16" i="29"/>
  <c r="L186" i="29"/>
  <c r="I27" i="28"/>
  <c r="I194" i="28"/>
  <c r="M184" i="29"/>
  <c r="N15" i="29"/>
  <c r="M17" i="29"/>
  <c r="N40" i="18"/>
  <c r="M17" i="28"/>
  <c r="N16" i="28" s="1"/>
  <c r="M184" i="28"/>
  <c r="N15" i="28"/>
  <c r="N67" i="18"/>
  <c r="J25" i="28"/>
  <c r="H196" i="29"/>
  <c r="I39" i="18"/>
  <c r="I50" i="18" s="1"/>
  <c r="M185" i="28"/>
  <c r="N74" i="18" s="1"/>
  <c r="L18" i="28"/>
  <c r="K188" i="28"/>
  <c r="J192" i="29"/>
  <c r="K23" i="29"/>
  <c r="K22" i="29"/>
  <c r="K191" i="29" s="1"/>
  <c r="J192" i="28"/>
  <c r="K22" i="28"/>
  <c r="K191" i="28" s="1"/>
  <c r="K23" i="28"/>
  <c r="L185" i="29"/>
  <c r="M47" i="18" s="1"/>
  <c r="L21" i="29"/>
  <c r="L190" i="29" s="1"/>
  <c r="L19" i="29"/>
  <c r="L190" i="28"/>
  <c r="I27" i="29"/>
  <c r="I194" i="29"/>
  <c r="K187" i="29"/>
  <c r="X33" i="28"/>
  <c r="S50" i="29"/>
  <c r="R84" i="28"/>
  <c r="P118" i="28"/>
  <c r="P152" i="29"/>
  <c r="P50" i="28"/>
  <c r="P135" i="29"/>
  <c r="O89" i="28"/>
  <c r="P89" i="28"/>
  <c r="N140" i="29"/>
  <c r="N142" i="29" s="1"/>
  <c r="O141" i="29" s="1"/>
  <c r="N138" i="29"/>
  <c r="O137" i="29" s="1"/>
  <c r="P72" i="28"/>
  <c r="O70" i="28"/>
  <c r="P69" i="28" s="1"/>
  <c r="O102" i="28"/>
  <c r="O104" i="28" s="1"/>
  <c r="P103" i="28" s="1"/>
  <c r="N57" i="29"/>
  <c r="O56" i="29" s="1"/>
  <c r="N56" i="29"/>
  <c r="P67" i="19"/>
  <c r="P69" i="19" s="1"/>
  <c r="N104" i="28"/>
  <c r="O103" i="28" s="1"/>
  <c r="T68" i="28"/>
  <c r="X68" i="28"/>
  <c r="S68" i="28"/>
  <c r="T67" i="28" s="1"/>
  <c r="M127" i="29"/>
  <c r="M129" i="29" s="1"/>
  <c r="Q66" i="19"/>
  <c r="Q65" i="19"/>
  <c r="P39" i="19"/>
  <c r="P41" i="19" s="1"/>
  <c r="Q38" i="19"/>
  <c r="Q37" i="19"/>
  <c r="N104" i="29"/>
  <c r="O103" i="29" s="1"/>
  <c r="U68" i="28"/>
  <c r="M76" i="28"/>
  <c r="M78" i="28" s="1"/>
  <c r="M144" i="28"/>
  <c r="M146" i="28" s="1"/>
  <c r="M93" i="29"/>
  <c r="M95" i="29" s="1"/>
  <c r="P87" i="28"/>
  <c r="Q86" i="28" s="1"/>
  <c r="N53" i="28"/>
  <c r="O52" i="28" s="1"/>
  <c r="O55" i="28"/>
  <c r="O106" i="29"/>
  <c r="N108" i="29"/>
  <c r="N107" i="29"/>
  <c r="M110" i="29"/>
  <c r="M112" i="29" s="1"/>
  <c r="N73" i="29"/>
  <c r="M76" i="29"/>
  <c r="M78" i="29" s="1"/>
  <c r="N39" i="28"/>
  <c r="O153" i="28"/>
  <c r="P152" i="28" s="1"/>
  <c r="N157" i="28"/>
  <c r="N159" i="28" s="1"/>
  <c r="O158" i="28" s="1"/>
  <c r="N155" i="28"/>
  <c r="O154" i="28" s="1"/>
  <c r="N157" i="29"/>
  <c r="N159" i="29" s="1"/>
  <c r="O158" i="29" s="1"/>
  <c r="N155" i="29"/>
  <c r="O154" i="29" s="1"/>
  <c r="N36" i="28"/>
  <c r="O35" i="28" s="1"/>
  <c r="N38" i="28"/>
  <c r="N40" i="28" s="1"/>
  <c r="O138" i="29"/>
  <c r="P137" i="29" s="1"/>
  <c r="O140" i="29"/>
  <c r="N125" i="28"/>
  <c r="P102" i="28"/>
  <c r="Q100" i="28"/>
  <c r="O170" i="28"/>
  <c r="P169" i="28" s="1"/>
  <c r="P168" i="28"/>
  <c r="P170" i="28" s="1"/>
  <c r="N90" i="28"/>
  <c r="N91" i="28"/>
  <c r="N121" i="28"/>
  <c r="M93" i="28"/>
  <c r="M95" i="28" s="1"/>
  <c r="N57" i="28"/>
  <c r="S153" i="28"/>
  <c r="T151" i="28"/>
  <c r="U151" i="28" s="1"/>
  <c r="V151" i="28" s="1"/>
  <c r="W151" i="28" s="1"/>
  <c r="X151" i="28" s="1"/>
  <c r="Y151" i="28" s="1"/>
  <c r="Z151" i="28" s="1"/>
  <c r="AA151" i="28" s="1"/>
  <c r="P117" i="28"/>
  <c r="N172" i="28"/>
  <c r="O171" i="28" s="1"/>
  <c r="P49" i="28"/>
  <c r="P51" i="28" s="1"/>
  <c r="R66" i="29"/>
  <c r="N72" i="29"/>
  <c r="N74" i="29" s="1"/>
  <c r="N70" i="29"/>
  <c r="O69" i="29" s="1"/>
  <c r="R85" i="28"/>
  <c r="M144" i="29"/>
  <c r="M146" i="29" s="1"/>
  <c r="O157" i="29"/>
  <c r="W68" i="28"/>
  <c r="O119" i="29"/>
  <c r="P118" i="29" s="1"/>
  <c r="P151" i="29"/>
  <c r="M59" i="28"/>
  <c r="M61" i="28" s="1"/>
  <c r="N108" i="28"/>
  <c r="N107" i="28"/>
  <c r="R153" i="28"/>
  <c r="N91" i="29"/>
  <c r="N90" i="29"/>
  <c r="S83" i="28"/>
  <c r="P168" i="29"/>
  <c r="P170" i="29" s="1"/>
  <c r="O170" i="29"/>
  <c r="P169" i="29" s="1"/>
  <c r="M127" i="28"/>
  <c r="M129" i="28" s="1"/>
  <c r="N123" i="29"/>
  <c r="N125" i="29" s="1"/>
  <c r="N121" i="29"/>
  <c r="O120" i="29" s="1"/>
  <c r="Q153" i="28"/>
  <c r="P117" i="29"/>
  <c r="N138" i="28"/>
  <c r="O137" i="28" s="1"/>
  <c r="N140" i="28"/>
  <c r="N142" i="28" s="1"/>
  <c r="P153" i="28"/>
  <c r="O87" i="29"/>
  <c r="P86" i="29" s="1"/>
  <c r="O89" i="29"/>
  <c r="N172" i="29"/>
  <c r="O171" i="29" s="1"/>
  <c r="N74" i="28"/>
  <c r="P100" i="29"/>
  <c r="O102" i="29"/>
  <c r="P101" i="29" s="1"/>
  <c r="M42" i="28"/>
  <c r="M44" i="28" s="1"/>
  <c r="O136" i="28"/>
  <c r="P135" i="28" s="1"/>
  <c r="P134" i="28"/>
  <c r="P134" i="29"/>
  <c r="N124" i="29"/>
  <c r="O106" i="28"/>
  <c r="V68" i="28"/>
  <c r="Q68" i="29"/>
  <c r="R67" i="29" s="1"/>
  <c r="O36" i="29"/>
  <c r="P35" i="29" s="1"/>
  <c r="O39" i="29"/>
  <c r="O40" i="29"/>
  <c r="T49" i="29"/>
  <c r="S51" i="29"/>
  <c r="O35" i="29"/>
  <c r="N42" i="29"/>
  <c r="N44" i="29" s="1"/>
  <c r="P38" i="29"/>
  <c r="P53" i="29"/>
  <c r="Q52" i="29" s="1"/>
  <c r="P55" i="29"/>
  <c r="Q32" i="29"/>
  <c r="P34" i="29"/>
  <c r="Q33" i="29" s="1"/>
  <c r="Y32" i="28"/>
  <c r="X34" i="28"/>
  <c r="Z66" i="28"/>
  <c r="Y68" i="28"/>
  <c r="O52" i="19"/>
  <c r="O80" i="19"/>
  <c r="N80" i="19"/>
  <c r="AD16" i="19" l="1"/>
  <c r="AC28" i="19"/>
  <c r="J11" i="21"/>
  <c r="O41" i="18" s="1"/>
  <c r="O53" i="18" s="1"/>
  <c r="K42" i="21"/>
  <c r="K56" i="21" s="1"/>
  <c r="AE43" i="19"/>
  <c r="AD55" i="19"/>
  <c r="J27" i="29"/>
  <c r="K39" i="18" s="1"/>
  <c r="K50" i="18" s="1"/>
  <c r="DC5" i="20"/>
  <c r="CS30" i="20"/>
  <c r="DC35" i="20"/>
  <c r="CS35" i="20"/>
  <c r="DC22" i="20"/>
  <c r="DC47" i="20"/>
  <c r="CS34" i="20"/>
  <c r="CS5" i="20"/>
  <c r="DC30" i="20"/>
  <c r="DC34" i="20"/>
  <c r="CS22" i="20"/>
  <c r="K25" i="29"/>
  <c r="K194" i="29" s="1"/>
  <c r="N185" i="28"/>
  <c r="O74" i="18" s="1"/>
  <c r="N21" i="28"/>
  <c r="L187" i="28"/>
  <c r="M185" i="29"/>
  <c r="N47" i="18" s="1"/>
  <c r="M21" i="29"/>
  <c r="M190" i="29" s="1"/>
  <c r="M19" i="29"/>
  <c r="L188" i="29"/>
  <c r="M18" i="29"/>
  <c r="N184" i="28"/>
  <c r="O15" i="28"/>
  <c r="N17" i="28"/>
  <c r="O67" i="18"/>
  <c r="M186" i="28"/>
  <c r="M19" i="28"/>
  <c r="K192" i="28"/>
  <c r="L22" i="28"/>
  <c r="L191" i="28" s="1"/>
  <c r="N16" i="29"/>
  <c r="M186" i="29"/>
  <c r="K25" i="28"/>
  <c r="I196" i="29"/>
  <c r="J39" i="18"/>
  <c r="J50" i="18" s="1"/>
  <c r="N184" i="29"/>
  <c r="O15" i="29"/>
  <c r="N17" i="29"/>
  <c r="O40" i="18"/>
  <c r="J27" i="28"/>
  <c r="J194" i="28"/>
  <c r="I196" i="28"/>
  <c r="J66" i="18"/>
  <c r="J77" i="18" s="1"/>
  <c r="L23" i="28"/>
  <c r="K192" i="29"/>
  <c r="L23" i="29"/>
  <c r="L22" i="29"/>
  <c r="L191" i="29" s="1"/>
  <c r="L187" i="29"/>
  <c r="Y33" i="28"/>
  <c r="S84" i="28"/>
  <c r="T50" i="29"/>
  <c r="Q169" i="29"/>
  <c r="U67" i="28"/>
  <c r="V67" i="28" s="1"/>
  <c r="W67" i="28" s="1"/>
  <c r="X67" i="28" s="1"/>
  <c r="Y67" i="28" s="1"/>
  <c r="Z67" i="28" s="1"/>
  <c r="Q152" i="28"/>
  <c r="R152" i="28" s="1"/>
  <c r="S152" i="28" s="1"/>
  <c r="T152" i="28" s="1"/>
  <c r="Q169" i="28"/>
  <c r="Q50" i="28"/>
  <c r="P101" i="28"/>
  <c r="Q101" i="28" s="1"/>
  <c r="Q106" i="28" s="1"/>
  <c r="P70" i="28"/>
  <c r="Q69" i="28" s="1"/>
  <c r="O57" i="29"/>
  <c r="P56" i="29" s="1"/>
  <c r="N59" i="29"/>
  <c r="N61" i="29" s="1"/>
  <c r="Z153" i="28"/>
  <c r="Q67" i="19"/>
  <c r="Q69" i="19" s="1"/>
  <c r="N144" i="29"/>
  <c r="N146" i="29" s="1"/>
  <c r="X153" i="28"/>
  <c r="W153" i="28"/>
  <c r="P140" i="28"/>
  <c r="O53" i="28"/>
  <c r="P52" i="28" s="1"/>
  <c r="R66" i="19"/>
  <c r="R65" i="19"/>
  <c r="O57" i="28"/>
  <c r="P56" i="28" s="1"/>
  <c r="Q39" i="19"/>
  <c r="Q41" i="19" s="1"/>
  <c r="R38" i="19"/>
  <c r="R37" i="19"/>
  <c r="P106" i="29"/>
  <c r="P157" i="29"/>
  <c r="O155" i="29"/>
  <c r="P154" i="29" s="1"/>
  <c r="N161" i="28"/>
  <c r="N163" i="28" s="1"/>
  <c r="N110" i="29"/>
  <c r="N112" i="29" s="1"/>
  <c r="N76" i="29"/>
  <c r="N78" i="29" s="1"/>
  <c r="O142" i="29"/>
  <c r="P141" i="29" s="1"/>
  <c r="N93" i="29"/>
  <c r="N95" i="29" s="1"/>
  <c r="V153" i="28"/>
  <c r="O159" i="29"/>
  <c r="P158" i="29" s="1"/>
  <c r="Y153" i="28"/>
  <c r="Q89" i="28"/>
  <c r="Q87" i="28"/>
  <c r="R86" i="28" s="1"/>
  <c r="T153" i="28"/>
  <c r="U153" i="28"/>
  <c r="O124" i="29"/>
  <c r="O39" i="28"/>
  <c r="O155" i="28"/>
  <c r="P154" i="28" s="1"/>
  <c r="O157" i="28"/>
  <c r="O159" i="28" s="1"/>
  <c r="P158" i="28" s="1"/>
  <c r="O174" i="28"/>
  <c r="O176" i="28" s="1"/>
  <c r="P175" i="28" s="1"/>
  <c r="O172" i="28"/>
  <c r="P171" i="28" s="1"/>
  <c r="P136" i="29"/>
  <c r="Q135" i="29" s="1"/>
  <c r="N144" i="28"/>
  <c r="N146" i="28" s="1"/>
  <c r="O174" i="29"/>
  <c r="O176" i="29" s="1"/>
  <c r="P175" i="29" s="1"/>
  <c r="O172" i="29"/>
  <c r="P171" i="29" s="1"/>
  <c r="P119" i="29"/>
  <c r="Q118" i="29" s="1"/>
  <c r="Q117" i="29"/>
  <c r="O56" i="28"/>
  <c r="N59" i="28"/>
  <c r="N61" i="28" s="1"/>
  <c r="N93" i="28"/>
  <c r="N95" i="28" s="1"/>
  <c r="N127" i="29"/>
  <c r="N129" i="29" s="1"/>
  <c r="Q134" i="29"/>
  <c r="P140" i="29"/>
  <c r="N161" i="29"/>
  <c r="N163" i="29" s="1"/>
  <c r="O140" i="28"/>
  <c r="O142" i="28" s="1"/>
  <c r="O138" i="28"/>
  <c r="P137" i="28" s="1"/>
  <c r="O73" i="28"/>
  <c r="N76" i="28"/>
  <c r="N78" i="28" s="1"/>
  <c r="O91" i="29"/>
  <c r="O90" i="29"/>
  <c r="R100" i="28"/>
  <c r="S100" i="28" s="1"/>
  <c r="T100" i="28" s="1"/>
  <c r="U100" i="28" s="1"/>
  <c r="V100" i="28" s="1"/>
  <c r="W100" i="28" s="1"/>
  <c r="X100" i="28" s="1"/>
  <c r="Y100" i="28" s="1"/>
  <c r="Q102" i="28"/>
  <c r="Q100" i="29"/>
  <c r="Q102" i="29" s="1"/>
  <c r="O108" i="29"/>
  <c r="O107" i="29"/>
  <c r="O90" i="28"/>
  <c r="O91" i="28"/>
  <c r="P119" i="28"/>
  <c r="Q118" i="28" s="1"/>
  <c r="Q117" i="28"/>
  <c r="Q119" i="28" s="1"/>
  <c r="N110" i="28"/>
  <c r="N112" i="28" s="1"/>
  <c r="Q49" i="28"/>
  <c r="P102" i="29"/>
  <c r="Q101" i="29" s="1"/>
  <c r="O123" i="29"/>
  <c r="O125" i="29" s="1"/>
  <c r="O121" i="29"/>
  <c r="P120" i="29" s="1"/>
  <c r="O108" i="28"/>
  <c r="O107" i="28"/>
  <c r="O72" i="29"/>
  <c r="O74" i="29" s="1"/>
  <c r="O70" i="29"/>
  <c r="P69" i="29" s="1"/>
  <c r="P89" i="29"/>
  <c r="P87" i="29"/>
  <c r="Q86" i="29" s="1"/>
  <c r="O74" i="28"/>
  <c r="P73" i="28" s="1"/>
  <c r="Q72" i="28"/>
  <c r="Q70" i="28"/>
  <c r="O120" i="28"/>
  <c r="N127" i="28"/>
  <c r="N129" i="28" s="1"/>
  <c r="S85" i="28"/>
  <c r="O121" i="28"/>
  <c r="P120" i="28" s="1"/>
  <c r="O123" i="28"/>
  <c r="O125" i="28" s="1"/>
  <c r="P124" i="28" s="1"/>
  <c r="O124" i="28"/>
  <c r="N42" i="28"/>
  <c r="N44" i="28" s="1"/>
  <c r="Q168" i="28"/>
  <c r="O38" i="28"/>
  <c r="O40" i="28" s="1"/>
  <c r="O36" i="28"/>
  <c r="P35" i="28" s="1"/>
  <c r="O141" i="28"/>
  <c r="P136" i="28"/>
  <c r="Q135" i="28" s="1"/>
  <c r="Q134" i="28"/>
  <c r="S66" i="29"/>
  <c r="R68" i="29"/>
  <c r="S67" i="29" s="1"/>
  <c r="T83" i="28"/>
  <c r="O73" i="29"/>
  <c r="O104" i="29"/>
  <c r="Q168" i="29"/>
  <c r="Q151" i="29"/>
  <c r="Q153" i="29" s="1"/>
  <c r="P153" i="29"/>
  <c r="Q152" i="29" s="1"/>
  <c r="P36" i="29"/>
  <c r="P40" i="29"/>
  <c r="P39" i="29"/>
  <c r="Q38" i="29"/>
  <c r="R32" i="29"/>
  <c r="Q34" i="29"/>
  <c r="R33" i="29" s="1"/>
  <c r="Q53" i="29"/>
  <c r="R52" i="29" s="1"/>
  <c r="Q55" i="29"/>
  <c r="O42" i="29"/>
  <c r="O44" i="29" s="1"/>
  <c r="U49" i="29"/>
  <c r="T51" i="29"/>
  <c r="AA66" i="28"/>
  <c r="Z68" i="28"/>
  <c r="AB151" i="28"/>
  <c r="AA153" i="28"/>
  <c r="Z32" i="28"/>
  <c r="Y34" i="28"/>
  <c r="P52" i="19"/>
  <c r="P80" i="19"/>
  <c r="AE16" i="19" l="1"/>
  <c r="AD28" i="19"/>
  <c r="J196" i="29"/>
  <c r="K11" i="21"/>
  <c r="P41" i="18" s="1"/>
  <c r="Q41" i="18" s="1"/>
  <c r="R41" i="18" s="1"/>
  <c r="AF43" i="19"/>
  <c r="AE55" i="19"/>
  <c r="K27" i="29"/>
  <c r="L39" i="18" s="1"/>
  <c r="L50" i="18" s="1"/>
  <c r="L25" i="29"/>
  <c r="L27" i="29" s="1"/>
  <c r="J196" i="28"/>
  <c r="K66" i="18"/>
  <c r="K77" i="18" s="1"/>
  <c r="O184" i="28"/>
  <c r="P15" i="28"/>
  <c r="P17" i="28" s="1"/>
  <c r="P67" i="18"/>
  <c r="O17" i="28"/>
  <c r="N18" i="28"/>
  <c r="M188" i="28"/>
  <c r="M187" i="29"/>
  <c r="O16" i="29"/>
  <c r="N186" i="29"/>
  <c r="N18" i="29"/>
  <c r="M188" i="29"/>
  <c r="L192" i="29"/>
  <c r="M23" i="29"/>
  <c r="M22" i="29"/>
  <c r="M191" i="29" s="1"/>
  <c r="O184" i="29"/>
  <c r="P15" i="29"/>
  <c r="O17" i="29"/>
  <c r="P40" i="18"/>
  <c r="L192" i="28"/>
  <c r="M22" i="28"/>
  <c r="M191" i="28" s="1"/>
  <c r="M23" i="28"/>
  <c r="N23" i="28" s="1"/>
  <c r="L25" i="28"/>
  <c r="K27" i="28"/>
  <c r="K194" i="28"/>
  <c r="N185" i="29"/>
  <c r="O47" i="18" s="1"/>
  <c r="N21" i="29"/>
  <c r="N190" i="29" s="1"/>
  <c r="N19" i="29"/>
  <c r="N190" i="28"/>
  <c r="O16" i="28"/>
  <c r="N186" i="28"/>
  <c r="N19" i="28"/>
  <c r="Z33" i="28"/>
  <c r="T84" i="28"/>
  <c r="U50" i="29"/>
  <c r="AA67" i="28"/>
  <c r="U152" i="28"/>
  <c r="V152" i="28" s="1"/>
  <c r="W152" i="28" s="1"/>
  <c r="X152" i="28" s="1"/>
  <c r="Y152" i="28" s="1"/>
  <c r="Z152" i="28" s="1"/>
  <c r="AA152" i="28" s="1"/>
  <c r="AB152" i="28" s="1"/>
  <c r="P104" i="28"/>
  <c r="Q103" i="28" s="1"/>
  <c r="P106" i="28"/>
  <c r="P108" i="28" s="1"/>
  <c r="R101" i="29"/>
  <c r="R152" i="29"/>
  <c r="R157" i="29" s="1"/>
  <c r="R118" i="28"/>
  <c r="R101" i="28"/>
  <c r="R106" i="28" s="1"/>
  <c r="O59" i="29"/>
  <c r="O61" i="29" s="1"/>
  <c r="P57" i="29"/>
  <c r="P59" i="29" s="1"/>
  <c r="P61" i="29" s="1"/>
  <c r="Q140" i="28"/>
  <c r="P159" i="29"/>
  <c r="Q158" i="29" s="1"/>
  <c r="R67" i="19"/>
  <c r="R69" i="19" s="1"/>
  <c r="O59" i="28"/>
  <c r="O61" i="28" s="1"/>
  <c r="Q106" i="29"/>
  <c r="S66" i="19"/>
  <c r="S65" i="19"/>
  <c r="O161" i="29"/>
  <c r="O163" i="29" s="1"/>
  <c r="R39" i="19"/>
  <c r="R41" i="19" s="1"/>
  <c r="S38" i="19"/>
  <c r="S37" i="19"/>
  <c r="O144" i="29"/>
  <c r="O146" i="29" s="1"/>
  <c r="X102" i="28"/>
  <c r="P142" i="29"/>
  <c r="Q141" i="29" s="1"/>
  <c r="W102" i="28"/>
  <c r="R102" i="28"/>
  <c r="O93" i="29"/>
  <c r="O95" i="29" s="1"/>
  <c r="O93" i="28"/>
  <c r="O95" i="28" s="1"/>
  <c r="P138" i="29"/>
  <c r="Q137" i="29" s="1"/>
  <c r="O161" i="28"/>
  <c r="O163" i="28" s="1"/>
  <c r="T102" i="28"/>
  <c r="R89" i="28"/>
  <c r="V102" i="28"/>
  <c r="S102" i="28"/>
  <c r="P55" i="28"/>
  <c r="P57" i="28" s="1"/>
  <c r="Q56" i="28" s="1"/>
  <c r="P53" i="28"/>
  <c r="Q55" i="28"/>
  <c r="R87" i="28"/>
  <c r="S86" i="28" s="1"/>
  <c r="P138" i="28"/>
  <c r="Q137" i="28" s="1"/>
  <c r="O76" i="28"/>
  <c r="O78" i="28" s="1"/>
  <c r="P124" i="29"/>
  <c r="O127" i="29"/>
  <c r="O129" i="29" s="1"/>
  <c r="P39" i="28"/>
  <c r="Q174" i="28"/>
  <c r="P172" i="29"/>
  <c r="Q171" i="29" s="1"/>
  <c r="P174" i="29"/>
  <c r="P176" i="29" s="1"/>
  <c r="Q175" i="29" s="1"/>
  <c r="R49" i="28"/>
  <c r="R51" i="28" s="1"/>
  <c r="R117" i="28"/>
  <c r="R100" i="29"/>
  <c r="R70" i="28"/>
  <c r="S69" i="28" s="1"/>
  <c r="R72" i="28"/>
  <c r="O144" i="28"/>
  <c r="O146" i="28" s="1"/>
  <c r="P121" i="29"/>
  <c r="Q120" i="29" s="1"/>
  <c r="P123" i="29"/>
  <c r="P125" i="29" s="1"/>
  <c r="O42" i="28"/>
  <c r="O44" i="28" s="1"/>
  <c r="P73" i="29"/>
  <c r="Q119" i="29"/>
  <c r="R118" i="29" s="1"/>
  <c r="P103" i="29"/>
  <c r="O110" i="29"/>
  <c r="O112" i="29" s="1"/>
  <c r="Q104" i="28"/>
  <c r="P36" i="28"/>
  <c r="Q35" i="28" s="1"/>
  <c r="P38" i="28"/>
  <c r="P40" i="28" s="1"/>
  <c r="P123" i="28"/>
  <c r="P125" i="28" s="1"/>
  <c r="P121" i="28"/>
  <c r="Q120" i="28" s="1"/>
  <c r="P72" i="29"/>
  <c r="P74" i="29" s="1"/>
  <c r="P70" i="29"/>
  <c r="Q69" i="29" s="1"/>
  <c r="P90" i="28"/>
  <c r="P91" i="28"/>
  <c r="P155" i="28"/>
  <c r="Q154" i="28" s="1"/>
  <c r="P157" i="28"/>
  <c r="P159" i="28" s="1"/>
  <c r="Q140" i="29"/>
  <c r="U83" i="28"/>
  <c r="T85" i="28"/>
  <c r="Q136" i="28"/>
  <c r="R135" i="28" s="1"/>
  <c r="R134" i="29"/>
  <c r="R136" i="29" s="1"/>
  <c r="Q136" i="29"/>
  <c r="R135" i="29" s="1"/>
  <c r="R168" i="28"/>
  <c r="Q170" i="28"/>
  <c r="R169" i="28" s="1"/>
  <c r="O110" i="28"/>
  <c r="O112" i="28" s="1"/>
  <c r="P107" i="29"/>
  <c r="P108" i="29"/>
  <c r="U102" i="28"/>
  <c r="O178" i="28"/>
  <c r="O180" i="28" s="1"/>
  <c r="P141" i="28"/>
  <c r="P142" i="28"/>
  <c r="R117" i="29"/>
  <c r="Q155" i="29"/>
  <c r="R154" i="29" s="1"/>
  <c r="Q157" i="29"/>
  <c r="P174" i="28"/>
  <c r="P176" i="28" s="1"/>
  <c r="Q175" i="28" s="1"/>
  <c r="P172" i="28"/>
  <c r="Q171" i="28" s="1"/>
  <c r="Q89" i="29"/>
  <c r="Q87" i="29"/>
  <c r="R86" i="29" s="1"/>
  <c r="P107" i="28"/>
  <c r="O178" i="29"/>
  <c r="O180" i="29" s="1"/>
  <c r="P155" i="29"/>
  <c r="R134" i="28"/>
  <c r="P104" i="29"/>
  <c r="Q103" i="29" s="1"/>
  <c r="R69" i="28"/>
  <c r="R151" i="29"/>
  <c r="O127" i="28"/>
  <c r="O129" i="28" s="1"/>
  <c r="P91" i="29"/>
  <c r="P90" i="29"/>
  <c r="Q174" i="29"/>
  <c r="Q170" i="29"/>
  <c r="R169" i="29" s="1"/>
  <c r="R168" i="29"/>
  <c r="R170" i="29" s="1"/>
  <c r="T66" i="29"/>
  <c r="S68" i="29"/>
  <c r="T67" i="29" s="1"/>
  <c r="P74" i="28"/>
  <c r="Q73" i="28" s="1"/>
  <c r="O76" i="29"/>
  <c r="O78" i="29" s="1"/>
  <c r="Q51" i="28"/>
  <c r="R50" i="28" s="1"/>
  <c r="Q36" i="29"/>
  <c r="R35" i="29" s="1"/>
  <c r="S32" i="29"/>
  <c r="R34" i="29"/>
  <c r="S33" i="29" s="1"/>
  <c r="R53" i="29"/>
  <c r="S52" i="29" s="1"/>
  <c r="R55" i="29"/>
  <c r="Q35" i="29"/>
  <c r="P42" i="29"/>
  <c r="P44" i="29" s="1"/>
  <c r="V49" i="29"/>
  <c r="U51" i="29"/>
  <c r="Q39" i="29"/>
  <c r="Q40" i="29"/>
  <c r="R38" i="29"/>
  <c r="AC151" i="28"/>
  <c r="AB153" i="28"/>
  <c r="AB66" i="28"/>
  <c r="AA68" i="28"/>
  <c r="Z100" i="28"/>
  <c r="Y102" i="28"/>
  <c r="AA32" i="28"/>
  <c r="Z34" i="28"/>
  <c r="Q52" i="19"/>
  <c r="Q80" i="19"/>
  <c r="P53" i="18" l="1"/>
  <c r="AF16" i="19"/>
  <c r="AE28" i="19"/>
  <c r="Q53" i="18"/>
  <c r="K196" i="29"/>
  <c r="AG43" i="19"/>
  <c r="AF55" i="19"/>
  <c r="L194" i="29"/>
  <c r="U84" i="28"/>
  <c r="N192" i="28"/>
  <c r="O22" i="28"/>
  <c r="O191" i="28" s="1"/>
  <c r="K196" i="28"/>
  <c r="L66" i="18"/>
  <c r="L77" i="18" s="1"/>
  <c r="P16" i="29"/>
  <c r="O186" i="29"/>
  <c r="N187" i="28"/>
  <c r="N188" i="29"/>
  <c r="O18" i="29"/>
  <c r="P184" i="29"/>
  <c r="P17" i="29"/>
  <c r="Q40" i="18"/>
  <c r="Q15" i="29"/>
  <c r="P16" i="28"/>
  <c r="Q16" i="28" s="1"/>
  <c r="O186" i="28"/>
  <c r="L196" i="29"/>
  <c r="M39" i="18"/>
  <c r="M50" i="18" s="1"/>
  <c r="M192" i="29"/>
  <c r="N22" i="29"/>
  <c r="N191" i="29" s="1"/>
  <c r="N23" i="29"/>
  <c r="L27" i="28"/>
  <c r="L194" i="28"/>
  <c r="P184" i="28"/>
  <c r="Q15" i="28"/>
  <c r="Q67" i="18"/>
  <c r="P186" i="28"/>
  <c r="N188" i="28"/>
  <c r="O18" i="28"/>
  <c r="N187" i="29"/>
  <c r="M192" i="28"/>
  <c r="N22" i="28"/>
  <c r="N191" i="28" s="1"/>
  <c r="O185" i="28"/>
  <c r="P74" i="18" s="1"/>
  <c r="O19" i="28"/>
  <c r="O21" i="28"/>
  <c r="O185" i="29"/>
  <c r="P47" i="18" s="1"/>
  <c r="O21" i="29"/>
  <c r="O190" i="29" s="1"/>
  <c r="O19" i="29"/>
  <c r="M25" i="29"/>
  <c r="M25" i="28"/>
  <c r="AA33" i="28"/>
  <c r="V50" i="29"/>
  <c r="AB67" i="28"/>
  <c r="R53" i="18"/>
  <c r="S41" i="18"/>
  <c r="AC152" i="28"/>
  <c r="S135" i="29"/>
  <c r="S50" i="28"/>
  <c r="S101" i="28"/>
  <c r="S106" i="28" s="1"/>
  <c r="S169" i="29"/>
  <c r="S174" i="29" s="1"/>
  <c r="Q159" i="29"/>
  <c r="R158" i="29" s="1"/>
  <c r="R140" i="28"/>
  <c r="Q57" i="29"/>
  <c r="R56" i="29" s="1"/>
  <c r="Q56" i="29"/>
  <c r="Q104" i="29"/>
  <c r="R103" i="29" s="1"/>
  <c r="R106" i="29"/>
  <c r="S39" i="19"/>
  <c r="S41" i="19" s="1"/>
  <c r="S67" i="19"/>
  <c r="S69" i="19" s="1"/>
  <c r="P144" i="29"/>
  <c r="P146" i="29" s="1"/>
  <c r="R104" i="28"/>
  <c r="S103" i="28" s="1"/>
  <c r="T66" i="19"/>
  <c r="T65" i="19"/>
  <c r="T38" i="19"/>
  <c r="T37" i="19"/>
  <c r="Q142" i="29"/>
  <c r="R141" i="29" s="1"/>
  <c r="P144" i="28"/>
  <c r="P146" i="28" s="1"/>
  <c r="Q176" i="29"/>
  <c r="R175" i="29" s="1"/>
  <c r="Q138" i="28"/>
  <c r="R137" i="28" s="1"/>
  <c r="P110" i="28"/>
  <c r="P112" i="28" s="1"/>
  <c r="P93" i="29"/>
  <c r="P95" i="29" s="1"/>
  <c r="Q172" i="28"/>
  <c r="R171" i="28" s="1"/>
  <c r="Q52" i="28"/>
  <c r="P59" i="28"/>
  <c r="P61" i="28" s="1"/>
  <c r="S89" i="28"/>
  <c r="T87" i="28"/>
  <c r="U86" i="28" s="1"/>
  <c r="S87" i="28"/>
  <c r="T86" i="28" s="1"/>
  <c r="P127" i="29"/>
  <c r="P129" i="29" s="1"/>
  <c r="Q172" i="29"/>
  <c r="R171" i="29" s="1"/>
  <c r="R123" i="29"/>
  <c r="P161" i="28"/>
  <c r="P163" i="28" s="1"/>
  <c r="Q57" i="28"/>
  <c r="R56" i="28" s="1"/>
  <c r="Q73" i="29"/>
  <c r="Q39" i="28"/>
  <c r="R153" i="29"/>
  <c r="S152" i="29" s="1"/>
  <c r="S151" i="29"/>
  <c r="Q124" i="28"/>
  <c r="R136" i="28"/>
  <c r="S135" i="28" s="1"/>
  <c r="S134" i="28"/>
  <c r="S134" i="29"/>
  <c r="Q138" i="29"/>
  <c r="Q123" i="28"/>
  <c r="Q125" i="28" s="1"/>
  <c r="Q121" i="28"/>
  <c r="R120" i="28" s="1"/>
  <c r="P110" i="29"/>
  <c r="P112" i="29" s="1"/>
  <c r="Q124" i="29"/>
  <c r="R140" i="29"/>
  <c r="R138" i="29"/>
  <c r="S137" i="29" s="1"/>
  <c r="Q176" i="28"/>
  <c r="Q154" i="29"/>
  <c r="P161" i="29"/>
  <c r="P163" i="29" s="1"/>
  <c r="Q36" i="28"/>
  <c r="R35" i="28" s="1"/>
  <c r="Q38" i="28"/>
  <c r="Q40" i="28" s="1"/>
  <c r="Q123" i="29"/>
  <c r="Q125" i="29" s="1"/>
  <c r="Q121" i="29"/>
  <c r="R120" i="29" s="1"/>
  <c r="S49" i="28"/>
  <c r="P76" i="28"/>
  <c r="P78" i="28" s="1"/>
  <c r="S117" i="29"/>
  <c r="S119" i="29" s="1"/>
  <c r="Q90" i="28"/>
  <c r="Q91" i="28"/>
  <c r="S70" i="28"/>
  <c r="S72" i="28"/>
  <c r="Q74" i="28"/>
  <c r="R73" i="28" s="1"/>
  <c r="Q142" i="28"/>
  <c r="Q141" i="28"/>
  <c r="P93" i="28"/>
  <c r="P95" i="28" s="1"/>
  <c r="Q158" i="28"/>
  <c r="R103" i="28"/>
  <c r="S117" i="28"/>
  <c r="R119" i="28"/>
  <c r="S118" i="28" s="1"/>
  <c r="U66" i="29"/>
  <c r="T68" i="29"/>
  <c r="U67" i="29" s="1"/>
  <c r="Q91" i="29"/>
  <c r="Q90" i="29"/>
  <c r="Q107" i="28"/>
  <c r="Q108" i="28"/>
  <c r="R123" i="28"/>
  <c r="V83" i="28"/>
  <c r="U85" i="28"/>
  <c r="P42" i="28"/>
  <c r="P44" i="28" s="1"/>
  <c r="R119" i="29"/>
  <c r="S118" i="29" s="1"/>
  <c r="Q53" i="28"/>
  <c r="P178" i="28"/>
  <c r="P180" i="28" s="1"/>
  <c r="Q157" i="28"/>
  <c r="Q159" i="28" s="1"/>
  <c r="Q155" i="28"/>
  <c r="R154" i="28" s="1"/>
  <c r="Q72" i="29"/>
  <c r="Q74" i="29" s="1"/>
  <c r="Q70" i="29"/>
  <c r="R69" i="29" s="1"/>
  <c r="R174" i="28"/>
  <c r="P76" i="29"/>
  <c r="P78" i="29" s="1"/>
  <c r="S168" i="29"/>
  <c r="P127" i="28"/>
  <c r="P129" i="28" s="1"/>
  <c r="R87" i="29"/>
  <c r="S86" i="29" s="1"/>
  <c r="R89" i="29"/>
  <c r="R170" i="28"/>
  <c r="S169" i="28" s="1"/>
  <c r="S168" i="28"/>
  <c r="R172" i="29"/>
  <c r="S171" i="29" s="1"/>
  <c r="R174" i="29"/>
  <c r="Q107" i="29"/>
  <c r="Q108" i="29"/>
  <c r="P178" i="29"/>
  <c r="P180" i="29" s="1"/>
  <c r="S100" i="29"/>
  <c r="R102" i="29"/>
  <c r="S101" i="29" s="1"/>
  <c r="R36" i="29"/>
  <c r="S35" i="29" s="1"/>
  <c r="Q42" i="29"/>
  <c r="Q44" i="29" s="1"/>
  <c r="S53" i="29"/>
  <c r="T52" i="29" s="1"/>
  <c r="S55" i="29"/>
  <c r="W49" i="29"/>
  <c r="V51" i="29"/>
  <c r="S38" i="29"/>
  <c r="R39" i="29"/>
  <c r="R40" i="29"/>
  <c r="T32" i="29"/>
  <c r="S34" i="29"/>
  <c r="T33" i="29" s="1"/>
  <c r="AB32" i="28"/>
  <c r="AA34" i="28"/>
  <c r="AC66" i="28"/>
  <c r="AB68" i="28"/>
  <c r="AD151" i="28"/>
  <c r="AC153" i="28"/>
  <c r="AA100" i="28"/>
  <c r="Z102" i="28"/>
  <c r="R52" i="19"/>
  <c r="R80" i="19"/>
  <c r="AG16" i="19" l="1"/>
  <c r="AF28" i="19"/>
  <c r="V84" i="28"/>
  <c r="AH43" i="19"/>
  <c r="AG55" i="19"/>
  <c r="AB33" i="28"/>
  <c r="Q185" i="28"/>
  <c r="R74" i="18" s="1"/>
  <c r="Q21" i="28"/>
  <c r="Q190" i="28" s="1"/>
  <c r="N25" i="29"/>
  <c r="N27" i="29" s="1"/>
  <c r="W50" i="29"/>
  <c r="N25" i="28"/>
  <c r="N27" i="28" s="1"/>
  <c r="Q16" i="29"/>
  <c r="P186" i="29"/>
  <c r="M27" i="29"/>
  <c r="M194" i="29"/>
  <c r="L196" i="28"/>
  <c r="M66" i="18"/>
  <c r="M77" i="18" s="1"/>
  <c r="O187" i="29"/>
  <c r="O187" i="28"/>
  <c r="M27" i="28"/>
  <c r="M194" i="28"/>
  <c r="N192" i="29"/>
  <c r="O23" i="29"/>
  <c r="O22" i="29"/>
  <c r="O191" i="29" s="1"/>
  <c r="P18" i="29"/>
  <c r="O188" i="29"/>
  <c r="P185" i="29"/>
  <c r="Q47" i="18" s="1"/>
  <c r="P21" i="29"/>
  <c r="P190" i="29" s="1"/>
  <c r="P19" i="29"/>
  <c r="O23" i="28"/>
  <c r="O25" i="28" s="1"/>
  <c r="O190" i="28"/>
  <c r="P18" i="28"/>
  <c r="O188" i="28"/>
  <c r="P185" i="28"/>
  <c r="Q74" i="18" s="1"/>
  <c r="P21" i="28"/>
  <c r="P19" i="28"/>
  <c r="Q17" i="28"/>
  <c r="Q184" i="28"/>
  <c r="R15" i="28"/>
  <c r="R67" i="18"/>
  <c r="Q184" i="29"/>
  <c r="R40" i="18"/>
  <c r="R15" i="29"/>
  <c r="Q17" i="29"/>
  <c r="AC67" i="28"/>
  <c r="AD152" i="28"/>
  <c r="T41" i="18"/>
  <c r="S53" i="18"/>
  <c r="S104" i="28"/>
  <c r="T103" i="28" s="1"/>
  <c r="Q161" i="29"/>
  <c r="Q163" i="29" s="1"/>
  <c r="R159" i="29"/>
  <c r="S158" i="29" s="1"/>
  <c r="T101" i="28"/>
  <c r="U101" i="28" s="1"/>
  <c r="V101" i="28" s="1"/>
  <c r="W101" i="28" s="1"/>
  <c r="X101" i="28" s="1"/>
  <c r="Y101" i="28" s="1"/>
  <c r="Z101" i="28" s="1"/>
  <c r="AA101" i="28" s="1"/>
  <c r="T118" i="29"/>
  <c r="T123" i="29" s="1"/>
  <c r="Q59" i="29"/>
  <c r="Q61" i="29" s="1"/>
  <c r="R57" i="29"/>
  <c r="T67" i="19"/>
  <c r="T69" i="19" s="1"/>
  <c r="T39" i="19"/>
  <c r="T41" i="19" s="1"/>
  <c r="R142" i="29"/>
  <c r="S141" i="29" s="1"/>
  <c r="U66" i="19"/>
  <c r="U65" i="19"/>
  <c r="Q144" i="28"/>
  <c r="Q146" i="28" s="1"/>
  <c r="R172" i="28"/>
  <c r="S171" i="28" s="1"/>
  <c r="U37" i="19"/>
  <c r="U38" i="19"/>
  <c r="R176" i="29"/>
  <c r="S175" i="29" s="1"/>
  <c r="Q110" i="29"/>
  <c r="Q112" i="29" s="1"/>
  <c r="Q178" i="28"/>
  <c r="Q180" i="28" s="1"/>
  <c r="Q110" i="28"/>
  <c r="Q112" i="28" s="1"/>
  <c r="Q93" i="29"/>
  <c r="Q95" i="29" s="1"/>
  <c r="T89" i="28"/>
  <c r="R138" i="28"/>
  <c r="S137" i="28" s="1"/>
  <c r="R121" i="28"/>
  <c r="S120" i="28" s="1"/>
  <c r="Q178" i="29"/>
  <c r="Q180" i="29" s="1"/>
  <c r="R39" i="28"/>
  <c r="Q42" i="28"/>
  <c r="Q44" i="28" s="1"/>
  <c r="R124" i="28"/>
  <c r="R125" i="28"/>
  <c r="R73" i="29"/>
  <c r="R125" i="29"/>
  <c r="R124" i="29"/>
  <c r="T49" i="28"/>
  <c r="T51" i="28" s="1"/>
  <c r="S140" i="29"/>
  <c r="W83" i="28"/>
  <c r="R90" i="28"/>
  <c r="R91" i="28"/>
  <c r="R157" i="28"/>
  <c r="R159" i="28" s="1"/>
  <c r="R155" i="28"/>
  <c r="S154" i="28" s="1"/>
  <c r="Q93" i="28"/>
  <c r="Q95" i="28" s="1"/>
  <c r="T151" i="29"/>
  <c r="R158" i="28"/>
  <c r="R121" i="29"/>
  <c r="S120" i="29" s="1"/>
  <c r="R155" i="29"/>
  <c r="R108" i="28"/>
  <c r="R107" i="28"/>
  <c r="S123" i="28"/>
  <c r="R74" i="28"/>
  <c r="S73" i="28" s="1"/>
  <c r="R137" i="29"/>
  <c r="Q144" i="29"/>
  <c r="Q146" i="29" s="1"/>
  <c r="V66" i="29"/>
  <c r="V68" i="29" s="1"/>
  <c r="T168" i="29"/>
  <c r="T170" i="29" s="1"/>
  <c r="S170" i="29"/>
  <c r="T169" i="29" s="1"/>
  <c r="R108" i="29"/>
  <c r="R107" i="29"/>
  <c r="Q76" i="29"/>
  <c r="Q78" i="29" s="1"/>
  <c r="R176" i="28"/>
  <c r="S175" i="28" s="1"/>
  <c r="R175" i="28"/>
  <c r="T134" i="29"/>
  <c r="S136" i="29"/>
  <c r="T135" i="29" s="1"/>
  <c r="U68" i="29"/>
  <c r="V67" i="29" s="1"/>
  <c r="T117" i="29"/>
  <c r="U117" i="29" s="1"/>
  <c r="V117" i="29" s="1"/>
  <c r="W117" i="29" s="1"/>
  <c r="X117" i="29" s="1"/>
  <c r="Y117" i="29" s="1"/>
  <c r="Z117" i="29" s="1"/>
  <c r="S119" i="28"/>
  <c r="T118" i="28" s="1"/>
  <c r="T117" i="28"/>
  <c r="Q127" i="28"/>
  <c r="Q129" i="28" s="1"/>
  <c r="R53" i="28"/>
  <c r="S52" i="28" s="1"/>
  <c r="R55" i="28"/>
  <c r="R57" i="28" s="1"/>
  <c r="S56" i="28" s="1"/>
  <c r="Q127" i="29"/>
  <c r="Q129" i="29" s="1"/>
  <c r="R52" i="28"/>
  <c r="Q59" i="28"/>
  <c r="Q61" i="28" s="1"/>
  <c r="T70" i="28"/>
  <c r="U69" i="28" s="1"/>
  <c r="T72" i="28"/>
  <c r="R104" i="29"/>
  <c r="T100" i="29"/>
  <c r="S102" i="29"/>
  <c r="T101" i="29" s="1"/>
  <c r="T168" i="28"/>
  <c r="S170" i="28"/>
  <c r="T169" i="28" s="1"/>
  <c r="R142" i="28"/>
  <c r="R141" i="28"/>
  <c r="S136" i="28"/>
  <c r="T135" i="28" s="1"/>
  <c r="T134" i="28"/>
  <c r="Q76" i="28"/>
  <c r="Q78" i="28" s="1"/>
  <c r="S174" i="28"/>
  <c r="R91" i="29"/>
  <c r="R90" i="29"/>
  <c r="T69" i="28"/>
  <c r="S51" i="28"/>
  <c r="T50" i="28" s="1"/>
  <c r="R36" i="28"/>
  <c r="S35" i="28" s="1"/>
  <c r="R38" i="28"/>
  <c r="R40" i="28" s="1"/>
  <c r="S140" i="28"/>
  <c r="V85" i="28"/>
  <c r="W84" i="28" s="1"/>
  <c r="Q161" i="28"/>
  <c r="Q163" i="28" s="1"/>
  <c r="S87" i="29"/>
  <c r="T86" i="29" s="1"/>
  <c r="S89" i="29"/>
  <c r="R72" i="29"/>
  <c r="R74" i="29" s="1"/>
  <c r="R70" i="29"/>
  <c r="S69" i="29" s="1"/>
  <c r="S153" i="29"/>
  <c r="T152" i="29" s="1"/>
  <c r="R42" i="29"/>
  <c r="R44" i="29" s="1"/>
  <c r="T38" i="29"/>
  <c r="U32" i="29"/>
  <c r="T34" i="29"/>
  <c r="U33" i="29" s="1"/>
  <c r="S39" i="29"/>
  <c r="S40" i="29"/>
  <c r="X49" i="29"/>
  <c r="W51" i="29"/>
  <c r="S36" i="29"/>
  <c r="T53" i="29"/>
  <c r="U52" i="29" s="1"/>
  <c r="T55" i="29"/>
  <c r="AD66" i="28"/>
  <c r="AC68" i="28"/>
  <c r="AE151" i="28"/>
  <c r="AD153" i="28"/>
  <c r="AC32" i="28"/>
  <c r="AB34" i="28"/>
  <c r="AB100" i="28"/>
  <c r="AA102" i="28"/>
  <c r="S52" i="19"/>
  <c r="S80" i="19"/>
  <c r="AC33" i="28" l="1"/>
  <c r="AH16" i="19"/>
  <c r="AG28" i="19"/>
  <c r="X50" i="29"/>
  <c r="AI43" i="19"/>
  <c r="AH55" i="19"/>
  <c r="N194" i="29"/>
  <c r="N194" i="28"/>
  <c r="AD67" i="28"/>
  <c r="M196" i="28"/>
  <c r="N66" i="18"/>
  <c r="N77" i="18" s="1"/>
  <c r="N196" i="29"/>
  <c r="O39" i="18"/>
  <c r="O50" i="18" s="1"/>
  <c r="R16" i="29"/>
  <c r="Q186" i="29"/>
  <c r="P187" i="28"/>
  <c r="P187" i="29"/>
  <c r="N196" i="28"/>
  <c r="O66" i="18"/>
  <c r="O77" i="18" s="1"/>
  <c r="R184" i="29"/>
  <c r="S40" i="18"/>
  <c r="S15" i="29"/>
  <c r="R17" i="29"/>
  <c r="O27" i="28"/>
  <c r="O194" i="28"/>
  <c r="O192" i="28"/>
  <c r="P22" i="28"/>
  <c r="P191" i="28" s="1"/>
  <c r="M196" i="29"/>
  <c r="N39" i="18"/>
  <c r="N50" i="18" s="1"/>
  <c r="O192" i="29"/>
  <c r="P23" i="29"/>
  <c r="P22" i="29"/>
  <c r="P191" i="29" s="1"/>
  <c r="Q185" i="29"/>
  <c r="R47" i="18" s="1"/>
  <c r="Q21" i="29"/>
  <c r="Q190" i="29" s="1"/>
  <c r="Q19" i="29"/>
  <c r="R184" i="28"/>
  <c r="S15" i="28"/>
  <c r="R17" i="28"/>
  <c r="S67" i="18"/>
  <c r="O25" i="29"/>
  <c r="Q186" i="28"/>
  <c r="R16" i="28"/>
  <c r="Q19" i="28"/>
  <c r="P188" i="28"/>
  <c r="Q18" i="28"/>
  <c r="Q18" i="29"/>
  <c r="P188" i="29"/>
  <c r="P23" i="28"/>
  <c r="P190" i="28"/>
  <c r="AE152" i="28"/>
  <c r="U41" i="18"/>
  <c r="T53" i="18"/>
  <c r="U106" i="28"/>
  <c r="T106" i="28"/>
  <c r="U104" i="28"/>
  <c r="V103" i="28" s="1"/>
  <c r="T104" i="28"/>
  <c r="U103" i="28" s="1"/>
  <c r="U169" i="29"/>
  <c r="U50" i="28"/>
  <c r="W67" i="29"/>
  <c r="AB101" i="28"/>
  <c r="S142" i="29"/>
  <c r="T141" i="29" s="1"/>
  <c r="R144" i="29"/>
  <c r="R146" i="29" s="1"/>
  <c r="S56" i="29"/>
  <c r="R59" i="29"/>
  <c r="R61" i="29" s="1"/>
  <c r="S121" i="29"/>
  <c r="T120" i="29" s="1"/>
  <c r="S57" i="29"/>
  <c r="T56" i="29" s="1"/>
  <c r="S123" i="29"/>
  <c r="S125" i="29" s="1"/>
  <c r="V104" i="28"/>
  <c r="W103" i="28" s="1"/>
  <c r="U67" i="19"/>
  <c r="U69" i="19" s="1"/>
  <c r="S172" i="28"/>
  <c r="T171" i="28" s="1"/>
  <c r="R178" i="29"/>
  <c r="R180" i="29" s="1"/>
  <c r="S176" i="29"/>
  <c r="T175" i="29" s="1"/>
  <c r="V106" i="28"/>
  <c r="R144" i="28"/>
  <c r="R146" i="28" s="1"/>
  <c r="V65" i="19"/>
  <c r="V66" i="19"/>
  <c r="S74" i="28"/>
  <c r="T73" i="28" s="1"/>
  <c r="T55" i="28"/>
  <c r="R127" i="28"/>
  <c r="R129" i="28" s="1"/>
  <c r="V37" i="19"/>
  <c r="V38" i="19"/>
  <c r="U39" i="19"/>
  <c r="U41" i="19" s="1"/>
  <c r="R93" i="29"/>
  <c r="R95" i="29" s="1"/>
  <c r="R178" i="28"/>
  <c r="R180" i="28" s="1"/>
  <c r="R127" i="29"/>
  <c r="R129" i="29" s="1"/>
  <c r="R59" i="28"/>
  <c r="R61" i="28" s="1"/>
  <c r="R110" i="28"/>
  <c r="R112" i="28" s="1"/>
  <c r="U89" i="28"/>
  <c r="U87" i="28"/>
  <c r="V86" i="28" s="1"/>
  <c r="T157" i="29"/>
  <c r="S138" i="28"/>
  <c r="T137" i="28" s="1"/>
  <c r="X119" i="29"/>
  <c r="S176" i="28"/>
  <c r="R76" i="28"/>
  <c r="R78" i="28" s="1"/>
  <c r="V89" i="28"/>
  <c r="T123" i="28"/>
  <c r="S73" i="29"/>
  <c r="S39" i="28"/>
  <c r="R42" i="28"/>
  <c r="R44" i="28" s="1"/>
  <c r="S158" i="28"/>
  <c r="R93" i="28"/>
  <c r="R95" i="28" s="1"/>
  <c r="Y119" i="29"/>
  <c r="S106" i="29"/>
  <c r="S108" i="29" s="1"/>
  <c r="S104" i="29"/>
  <c r="T103" i="29" s="1"/>
  <c r="U151" i="29"/>
  <c r="T153" i="29"/>
  <c r="U152" i="29" s="1"/>
  <c r="X83" i="28"/>
  <c r="W85" i="28"/>
  <c r="X84" i="28" s="1"/>
  <c r="S125" i="28"/>
  <c r="S124" i="28"/>
  <c r="T87" i="29"/>
  <c r="U86" i="29" s="1"/>
  <c r="T89" i="29"/>
  <c r="T170" i="28"/>
  <c r="U169" i="28" s="1"/>
  <c r="S107" i="29"/>
  <c r="U119" i="29"/>
  <c r="S36" i="28"/>
  <c r="T35" i="28" s="1"/>
  <c r="S38" i="28"/>
  <c r="S40" i="28" s="1"/>
  <c r="U134" i="28"/>
  <c r="T136" i="28"/>
  <c r="U135" i="28" s="1"/>
  <c r="S154" i="29"/>
  <c r="R161" i="29"/>
  <c r="R163" i="29" s="1"/>
  <c r="S138" i="29"/>
  <c r="T140" i="28"/>
  <c r="T174" i="28"/>
  <c r="U117" i="28"/>
  <c r="T119" i="28"/>
  <c r="U118" i="28" s="1"/>
  <c r="T140" i="29"/>
  <c r="S157" i="29"/>
  <c r="S159" i="29" s="1"/>
  <c r="S155" i="29"/>
  <c r="T154" i="29" s="1"/>
  <c r="S103" i="29"/>
  <c r="R110" i="29"/>
  <c r="R112" i="29" s="1"/>
  <c r="S90" i="28"/>
  <c r="S91" i="28"/>
  <c r="S53" i="28"/>
  <c r="S55" i="28"/>
  <c r="S57" i="28" s="1"/>
  <c r="T56" i="28" s="1"/>
  <c r="S172" i="29"/>
  <c r="U168" i="29"/>
  <c r="S121" i="28"/>
  <c r="S157" i="28"/>
  <c r="S159" i="28" s="1"/>
  <c r="S155" i="28"/>
  <c r="T154" i="28" s="1"/>
  <c r="U100" i="29"/>
  <c r="V100" i="29" s="1"/>
  <c r="W100" i="29" s="1"/>
  <c r="X100" i="29" s="1"/>
  <c r="Y100" i="29" s="1"/>
  <c r="Z100" i="29" s="1"/>
  <c r="AA100" i="29" s="1"/>
  <c r="T119" i="29"/>
  <c r="U118" i="29" s="1"/>
  <c r="S124" i="29"/>
  <c r="U70" i="28"/>
  <c r="U72" i="28"/>
  <c r="U134" i="29"/>
  <c r="T136" i="29"/>
  <c r="U135" i="29" s="1"/>
  <c r="W66" i="29"/>
  <c r="S107" i="28"/>
  <c r="S108" i="28"/>
  <c r="U49" i="28"/>
  <c r="S142" i="28"/>
  <c r="S141" i="28"/>
  <c r="U168" i="28"/>
  <c r="U170" i="28" s="1"/>
  <c r="S72" i="29"/>
  <c r="S74" i="29" s="1"/>
  <c r="S70" i="29"/>
  <c r="T69" i="29" s="1"/>
  <c r="W106" i="28"/>
  <c r="W104" i="28"/>
  <c r="X103" i="28" s="1"/>
  <c r="V119" i="29"/>
  <c r="S91" i="29"/>
  <c r="S90" i="29"/>
  <c r="T102" i="29"/>
  <c r="U101" i="29" s="1"/>
  <c r="W119" i="29"/>
  <c r="R161" i="28"/>
  <c r="R163" i="28" s="1"/>
  <c r="R76" i="29"/>
  <c r="R78" i="29" s="1"/>
  <c r="T36" i="29"/>
  <c r="U35" i="29" s="1"/>
  <c r="U53" i="29"/>
  <c r="V52" i="29" s="1"/>
  <c r="U55" i="29"/>
  <c r="Y49" i="29"/>
  <c r="X51" i="29"/>
  <c r="T40" i="29"/>
  <c r="T39" i="29"/>
  <c r="AA117" i="29"/>
  <c r="Z119" i="29"/>
  <c r="T35" i="29"/>
  <c r="S42" i="29"/>
  <c r="S44" i="29" s="1"/>
  <c r="U38" i="29"/>
  <c r="V32" i="29"/>
  <c r="U34" i="29"/>
  <c r="V33" i="29" s="1"/>
  <c r="AF151" i="28"/>
  <c r="AE153" i="28"/>
  <c r="AD32" i="28"/>
  <c r="AC34" i="28"/>
  <c r="AD33" i="28" s="1"/>
  <c r="AE66" i="28"/>
  <c r="AD68" i="28"/>
  <c r="AC100" i="28"/>
  <c r="AB102" i="28"/>
  <c r="T52" i="19"/>
  <c r="Y50" i="29" l="1"/>
  <c r="AI16" i="19"/>
  <c r="AH28" i="19"/>
  <c r="AE67" i="28"/>
  <c r="AJ43" i="19"/>
  <c r="AI55" i="19"/>
  <c r="AF152" i="28"/>
  <c r="R18" i="28"/>
  <c r="Q188" i="28"/>
  <c r="S16" i="28"/>
  <c r="R186" i="28"/>
  <c r="R185" i="28"/>
  <c r="S74" i="18" s="1"/>
  <c r="R21" i="28"/>
  <c r="R19" i="28"/>
  <c r="S17" i="28"/>
  <c r="S184" i="28"/>
  <c r="T15" i="28"/>
  <c r="T17" i="28" s="1"/>
  <c r="T67" i="18"/>
  <c r="R185" i="29"/>
  <c r="S47" i="18" s="1"/>
  <c r="R21" i="29"/>
  <c r="R190" i="29" s="1"/>
  <c r="R19" i="29"/>
  <c r="R18" i="29"/>
  <c r="Q188" i="29"/>
  <c r="P192" i="28"/>
  <c r="Q22" i="28"/>
  <c r="Q191" i="28" s="1"/>
  <c r="Q23" i="28"/>
  <c r="O196" i="28"/>
  <c r="P66" i="18"/>
  <c r="P77" i="18" s="1"/>
  <c r="S16" i="29"/>
  <c r="R186" i="29"/>
  <c r="S184" i="29"/>
  <c r="T40" i="18"/>
  <c r="T15" i="29"/>
  <c r="Q187" i="29"/>
  <c r="P192" i="29"/>
  <c r="Q23" i="29"/>
  <c r="Q22" i="29"/>
  <c r="Q191" i="29" s="1"/>
  <c r="Q187" i="28"/>
  <c r="O27" i="29"/>
  <c r="O194" i="29"/>
  <c r="P25" i="29"/>
  <c r="P25" i="28"/>
  <c r="S17" i="29"/>
  <c r="U53" i="18"/>
  <c r="V41" i="18"/>
  <c r="V118" i="29"/>
  <c r="W118" i="29" s="1"/>
  <c r="X118" i="29" s="1"/>
  <c r="Y118" i="29" s="1"/>
  <c r="Z118" i="29" s="1"/>
  <c r="AA118" i="29" s="1"/>
  <c r="V169" i="28"/>
  <c r="V174" i="28" s="1"/>
  <c r="AC101" i="28"/>
  <c r="T142" i="29"/>
  <c r="U141" i="29" s="1"/>
  <c r="T57" i="29"/>
  <c r="U57" i="29" s="1"/>
  <c r="V56" i="29" s="1"/>
  <c r="S59" i="29"/>
  <c r="S61" i="29" s="1"/>
  <c r="S76" i="28"/>
  <c r="S78" i="28" s="1"/>
  <c r="U157" i="29"/>
  <c r="T74" i="28"/>
  <c r="U73" i="28" s="1"/>
  <c r="T53" i="28"/>
  <c r="U52" i="28" s="1"/>
  <c r="U55" i="28"/>
  <c r="W66" i="19"/>
  <c r="W65" i="19"/>
  <c r="V67" i="19"/>
  <c r="V69" i="19" s="1"/>
  <c r="T57" i="28"/>
  <c r="U56" i="28" s="1"/>
  <c r="T172" i="28"/>
  <c r="U171" i="28" s="1"/>
  <c r="T176" i="28"/>
  <c r="U175" i="28" s="1"/>
  <c r="T138" i="28"/>
  <c r="U137" i="28" s="1"/>
  <c r="W37" i="19"/>
  <c r="W38" i="19"/>
  <c r="V39" i="19"/>
  <c r="V41" i="19" s="1"/>
  <c r="Z102" i="29"/>
  <c r="S42" i="28"/>
  <c r="S44" i="28" s="1"/>
  <c r="X102" i="29"/>
  <c r="S110" i="28"/>
  <c r="S112" i="28" s="1"/>
  <c r="S110" i="29"/>
  <c r="S112" i="29" s="1"/>
  <c r="T138" i="29"/>
  <c r="U137" i="29" s="1"/>
  <c r="S144" i="28"/>
  <c r="S146" i="28" s="1"/>
  <c r="U102" i="29"/>
  <c r="V101" i="29" s="1"/>
  <c r="T175" i="28"/>
  <c r="S178" i="28"/>
  <c r="S180" i="28" s="1"/>
  <c r="S127" i="29"/>
  <c r="S129" i="29" s="1"/>
  <c r="V87" i="28"/>
  <c r="W86" i="28" s="1"/>
  <c r="S93" i="29"/>
  <c r="S95" i="29" s="1"/>
  <c r="W102" i="29"/>
  <c r="V102" i="29"/>
  <c r="T158" i="28"/>
  <c r="T73" i="29"/>
  <c r="S76" i="29"/>
  <c r="S78" i="29" s="1"/>
  <c r="V49" i="28"/>
  <c r="U51" i="28"/>
  <c r="V50" i="28" s="1"/>
  <c r="V70" i="28"/>
  <c r="W69" i="28" s="1"/>
  <c r="V72" i="28"/>
  <c r="V151" i="29"/>
  <c r="V153" i="29" s="1"/>
  <c r="U153" i="29"/>
  <c r="V152" i="29" s="1"/>
  <c r="T72" i="29"/>
  <c r="T74" i="29" s="1"/>
  <c r="T70" i="29"/>
  <c r="U69" i="29" s="1"/>
  <c r="T107" i="28"/>
  <c r="T108" i="28"/>
  <c r="T157" i="28"/>
  <c r="T159" i="28" s="1"/>
  <c r="T155" i="28"/>
  <c r="U154" i="28" s="1"/>
  <c r="T137" i="29"/>
  <c r="S144" i="29"/>
  <c r="S146" i="29" s="1"/>
  <c r="T36" i="28"/>
  <c r="U35" i="28" s="1"/>
  <c r="T38" i="28"/>
  <c r="T40" i="28" s="1"/>
  <c r="U89" i="29"/>
  <c r="U87" i="29"/>
  <c r="V86" i="29" s="1"/>
  <c r="V69" i="28"/>
  <c r="U119" i="28"/>
  <c r="V118" i="28" s="1"/>
  <c r="T107" i="29"/>
  <c r="T52" i="28"/>
  <c r="S59" i="28"/>
  <c r="S61" i="28" s="1"/>
  <c r="S161" i="29"/>
  <c r="S163" i="29" s="1"/>
  <c r="X106" i="28"/>
  <c r="X104" i="28"/>
  <c r="Y103" i="28" s="1"/>
  <c r="T158" i="29"/>
  <c r="T159" i="29"/>
  <c r="V134" i="29"/>
  <c r="V136" i="29" s="1"/>
  <c r="V134" i="28"/>
  <c r="V136" i="28" s="1"/>
  <c r="U136" i="28"/>
  <c r="V135" i="28" s="1"/>
  <c r="X66" i="29"/>
  <c r="W68" i="29"/>
  <c r="X67" i="29" s="1"/>
  <c r="U123" i="28"/>
  <c r="U136" i="29"/>
  <c r="V135" i="29" s="1"/>
  <c r="U174" i="28"/>
  <c r="U172" i="28"/>
  <c r="V171" i="28" s="1"/>
  <c r="T120" i="28"/>
  <c r="S127" i="28"/>
  <c r="S129" i="28" s="1"/>
  <c r="T90" i="28"/>
  <c r="T91" i="28"/>
  <c r="V117" i="28"/>
  <c r="T39" i="28"/>
  <c r="S93" i="28"/>
  <c r="S95" i="28" s="1"/>
  <c r="T155" i="29"/>
  <c r="U154" i="29" s="1"/>
  <c r="V168" i="28"/>
  <c r="V168" i="29"/>
  <c r="V170" i="29" s="1"/>
  <c r="U170" i="29"/>
  <c r="V169" i="29" s="1"/>
  <c r="T124" i="28"/>
  <c r="T125" i="28"/>
  <c r="T90" i="29"/>
  <c r="T91" i="29"/>
  <c r="T125" i="29"/>
  <c r="T124" i="29"/>
  <c r="T171" i="29"/>
  <c r="S178" i="29"/>
  <c r="S180" i="29" s="1"/>
  <c r="T142" i="28"/>
  <c r="T141" i="28"/>
  <c r="T121" i="29"/>
  <c r="T172" i="29"/>
  <c r="U171" i="29" s="1"/>
  <c r="T174" i="29"/>
  <c r="T176" i="29" s="1"/>
  <c r="T121" i="28"/>
  <c r="U120" i="28" s="1"/>
  <c r="Y83" i="28"/>
  <c r="Y85" i="28" s="1"/>
  <c r="X85" i="28"/>
  <c r="Y84" i="28" s="1"/>
  <c r="Y102" i="29"/>
  <c r="T106" i="29"/>
  <c r="T108" i="29" s="1"/>
  <c r="T104" i="29"/>
  <c r="U103" i="29" s="1"/>
  <c r="S161" i="28"/>
  <c r="S163" i="28" s="1"/>
  <c r="U140" i="28"/>
  <c r="U140" i="29"/>
  <c r="U36" i="29"/>
  <c r="V35" i="29" s="1"/>
  <c r="U40" i="29"/>
  <c r="U39" i="29"/>
  <c r="V53" i="29"/>
  <c r="W52" i="29" s="1"/>
  <c r="V55" i="29"/>
  <c r="T42" i="29"/>
  <c r="T44" i="29" s="1"/>
  <c r="V38" i="29"/>
  <c r="Z49" i="29"/>
  <c r="Y51" i="29"/>
  <c r="Z50" i="29" s="1"/>
  <c r="W32" i="29"/>
  <c r="V34" i="29"/>
  <c r="W33" i="29" s="1"/>
  <c r="AB117" i="29"/>
  <c r="AA119" i="29"/>
  <c r="AB100" i="29"/>
  <c r="AA102" i="29"/>
  <c r="AG151" i="28"/>
  <c r="AF153" i="28"/>
  <c r="AE32" i="28"/>
  <c r="AD34" i="28"/>
  <c r="AE33" i="28" s="1"/>
  <c r="AD100" i="28"/>
  <c r="AC102" i="28"/>
  <c r="AF66" i="28"/>
  <c r="AE68" i="28"/>
  <c r="AF67" i="28" s="1"/>
  <c r="U52" i="19"/>
  <c r="U80" i="19"/>
  <c r="T80" i="19"/>
  <c r="AJ16" i="19" l="1"/>
  <c r="AI28" i="19"/>
  <c r="AG152" i="28"/>
  <c r="AK43" i="19"/>
  <c r="AJ55" i="19"/>
  <c r="Q192" i="29"/>
  <c r="R22" i="29"/>
  <c r="R191" i="29" s="1"/>
  <c r="R23" i="29"/>
  <c r="P27" i="29"/>
  <c r="P194" i="29"/>
  <c r="T184" i="28"/>
  <c r="U15" i="28"/>
  <c r="U67" i="18"/>
  <c r="O196" i="29"/>
  <c r="P39" i="18"/>
  <c r="P50" i="18" s="1"/>
  <c r="Q192" i="28"/>
  <c r="R22" i="28"/>
  <c r="R191" i="28" s="1"/>
  <c r="S186" i="28"/>
  <c r="T16" i="28"/>
  <c r="Q25" i="29"/>
  <c r="R188" i="28"/>
  <c r="S18" i="28"/>
  <c r="R23" i="28"/>
  <c r="R190" i="28"/>
  <c r="T184" i="29"/>
  <c r="U15" i="29"/>
  <c r="T17" i="29"/>
  <c r="U40" i="18"/>
  <c r="T16" i="29"/>
  <c r="S186" i="29"/>
  <c r="P27" i="28"/>
  <c r="P194" i="28"/>
  <c r="S185" i="28"/>
  <c r="T74" i="18" s="1"/>
  <c r="S19" i="28"/>
  <c r="S21" i="28"/>
  <c r="T186" i="28"/>
  <c r="R187" i="29"/>
  <c r="S185" i="29"/>
  <c r="T47" i="18" s="1"/>
  <c r="S21" i="29"/>
  <c r="S190" i="29" s="1"/>
  <c r="S19" i="29"/>
  <c r="R188" i="29"/>
  <c r="S18" i="29"/>
  <c r="R187" i="28"/>
  <c r="Q25" i="28"/>
  <c r="U142" i="29"/>
  <c r="V141" i="29" s="1"/>
  <c r="W41" i="18"/>
  <c r="V53" i="18"/>
  <c r="AB118" i="29"/>
  <c r="Z84" i="28"/>
  <c r="W152" i="29"/>
  <c r="W157" i="29" s="1"/>
  <c r="W135" i="28"/>
  <c r="W169" i="29"/>
  <c r="W101" i="29"/>
  <c r="X101" i="29" s="1"/>
  <c r="Y101" i="29" s="1"/>
  <c r="Z101" i="29" s="1"/>
  <c r="AA101" i="29" s="1"/>
  <c r="AB101" i="29" s="1"/>
  <c r="W135" i="29"/>
  <c r="AD101" i="28"/>
  <c r="V57" i="29"/>
  <c r="V59" i="29" s="1"/>
  <c r="V61" i="29" s="1"/>
  <c r="U176" i="28"/>
  <c r="V175" i="28" s="1"/>
  <c r="T76" i="28"/>
  <c r="T78" i="28" s="1"/>
  <c r="T59" i="29"/>
  <c r="T61" i="29" s="1"/>
  <c r="U56" i="29"/>
  <c r="U59" i="29" s="1"/>
  <c r="U61" i="29" s="1"/>
  <c r="U74" i="28"/>
  <c r="V73" i="28" s="1"/>
  <c r="T144" i="29"/>
  <c r="T146" i="29" s="1"/>
  <c r="W67" i="19"/>
  <c r="W69" i="19" s="1"/>
  <c r="U57" i="28"/>
  <c r="V56" i="28" s="1"/>
  <c r="T59" i="28"/>
  <c r="T61" i="28" s="1"/>
  <c r="T178" i="28"/>
  <c r="T180" i="28" s="1"/>
  <c r="X65" i="19"/>
  <c r="X66" i="19"/>
  <c r="X37" i="19"/>
  <c r="X38" i="19"/>
  <c r="W39" i="19"/>
  <c r="W41" i="19" s="1"/>
  <c r="T144" i="28"/>
  <c r="T146" i="28" s="1"/>
  <c r="T42" i="28"/>
  <c r="T44" i="28" s="1"/>
  <c r="U138" i="29"/>
  <c r="V137" i="29" s="1"/>
  <c r="U121" i="28"/>
  <c r="V120" i="28" s="1"/>
  <c r="W89" i="28"/>
  <c r="W87" i="28"/>
  <c r="X86" i="28" s="1"/>
  <c r="T93" i="28"/>
  <c r="T95" i="28" s="1"/>
  <c r="T93" i="29"/>
  <c r="T95" i="29" s="1"/>
  <c r="U73" i="29"/>
  <c r="T76" i="29"/>
  <c r="T78" i="29" s="1"/>
  <c r="U124" i="29"/>
  <c r="U172" i="29"/>
  <c r="V171" i="29" s="1"/>
  <c r="U174" i="29"/>
  <c r="U176" i="29" s="1"/>
  <c r="U120" i="29"/>
  <c r="T127" i="29"/>
  <c r="T129" i="29" s="1"/>
  <c r="T127" i="28"/>
  <c r="T129" i="28" s="1"/>
  <c r="V140" i="28"/>
  <c r="V138" i="28"/>
  <c r="W137" i="28" s="1"/>
  <c r="V123" i="29"/>
  <c r="V121" i="29"/>
  <c r="W120" i="29" s="1"/>
  <c r="U157" i="28"/>
  <c r="U159" i="28" s="1"/>
  <c r="U155" i="28"/>
  <c r="V154" i="28" s="1"/>
  <c r="U123" i="29"/>
  <c r="U125" i="29" s="1"/>
  <c r="U121" i="29"/>
  <c r="V120" i="29" s="1"/>
  <c r="U90" i="29"/>
  <c r="U91" i="29"/>
  <c r="W134" i="28"/>
  <c r="W49" i="28"/>
  <c r="W51" i="28" s="1"/>
  <c r="V51" i="28"/>
  <c r="W50" i="28" s="1"/>
  <c r="V157" i="29"/>
  <c r="V155" i="29"/>
  <c r="W154" i="29" s="1"/>
  <c r="U106" i="29"/>
  <c r="U108" i="29" s="1"/>
  <c r="U104" i="29"/>
  <c r="V103" i="29" s="1"/>
  <c r="U141" i="28"/>
  <c r="U142" i="28"/>
  <c r="U39" i="28"/>
  <c r="U107" i="28"/>
  <c r="U108" i="28"/>
  <c r="W151" i="29"/>
  <c r="W153" i="29" s="1"/>
  <c r="U175" i="29"/>
  <c r="U138" i="28"/>
  <c r="Z83" i="28"/>
  <c r="W168" i="29"/>
  <c r="T110" i="28"/>
  <c r="T112" i="28" s="1"/>
  <c r="Y66" i="29"/>
  <c r="Y68" i="29" s="1"/>
  <c r="W134" i="29"/>
  <c r="W136" i="29" s="1"/>
  <c r="T110" i="29"/>
  <c r="T112" i="29" s="1"/>
  <c r="V87" i="29"/>
  <c r="W86" i="29" s="1"/>
  <c r="V89" i="29"/>
  <c r="U72" i="29"/>
  <c r="U74" i="29" s="1"/>
  <c r="U70" i="29"/>
  <c r="V69" i="29" s="1"/>
  <c r="U125" i="28"/>
  <c r="U124" i="28"/>
  <c r="U107" i="29"/>
  <c r="X68" i="29"/>
  <c r="Y67" i="29" s="1"/>
  <c r="U158" i="28"/>
  <c r="W168" i="28"/>
  <c r="U38" i="28"/>
  <c r="U40" i="28" s="1"/>
  <c r="U36" i="28"/>
  <c r="V35" i="28" s="1"/>
  <c r="U53" i="28"/>
  <c r="U158" i="29"/>
  <c r="U159" i="29"/>
  <c r="V123" i="28"/>
  <c r="U155" i="29"/>
  <c r="V154" i="29" s="1"/>
  <c r="V170" i="28"/>
  <c r="W169" i="28" s="1"/>
  <c r="T161" i="29"/>
  <c r="T163" i="29" s="1"/>
  <c r="T178" i="29"/>
  <c r="T180" i="29" s="1"/>
  <c r="W70" i="28"/>
  <c r="W72" i="28"/>
  <c r="V140" i="29"/>
  <c r="V138" i="29"/>
  <c r="W137" i="29" s="1"/>
  <c r="W117" i="28"/>
  <c r="V119" i="28"/>
  <c r="W118" i="28" s="1"/>
  <c r="Y106" i="28"/>
  <c r="Y104" i="28"/>
  <c r="Z103" i="28" s="1"/>
  <c r="U90" i="28"/>
  <c r="U91" i="28"/>
  <c r="T161" i="28"/>
  <c r="T163" i="28" s="1"/>
  <c r="AC100" i="29"/>
  <c r="AB102" i="29"/>
  <c r="AA49" i="29"/>
  <c r="Z51" i="29"/>
  <c r="AA50" i="29" s="1"/>
  <c r="AC117" i="29"/>
  <c r="AB119" i="29"/>
  <c r="V36" i="29"/>
  <c r="W53" i="29"/>
  <c r="X52" i="29" s="1"/>
  <c r="W55" i="29"/>
  <c r="W38" i="29"/>
  <c r="U42" i="29"/>
  <c r="U44" i="29" s="1"/>
  <c r="X32" i="29"/>
  <c r="W34" i="29"/>
  <c r="X33" i="29" s="1"/>
  <c r="V40" i="29"/>
  <c r="V39" i="29"/>
  <c r="AF32" i="28"/>
  <c r="AE34" i="28"/>
  <c r="AF33" i="28" s="1"/>
  <c r="AE100" i="28"/>
  <c r="AD102" i="28"/>
  <c r="AH151" i="28"/>
  <c r="AG153" i="28"/>
  <c r="AG66" i="28"/>
  <c r="AF68" i="28"/>
  <c r="AG67" i="28" s="1"/>
  <c r="V52" i="19"/>
  <c r="AH152" i="28" l="1"/>
  <c r="AK16" i="19"/>
  <c r="AJ28" i="19"/>
  <c r="AL43" i="19"/>
  <c r="AK55" i="19"/>
  <c r="V142" i="29"/>
  <c r="W141" i="29" s="1"/>
  <c r="R25" i="29"/>
  <c r="R27" i="29" s="1"/>
  <c r="R25" i="28"/>
  <c r="R194" i="28" s="1"/>
  <c r="S187" i="28"/>
  <c r="P196" i="28"/>
  <c r="Q66" i="18"/>
  <c r="Q77" i="18" s="1"/>
  <c r="Q27" i="29"/>
  <c r="Q194" i="29"/>
  <c r="U184" i="28"/>
  <c r="V15" i="28"/>
  <c r="U17" i="28"/>
  <c r="V67" i="18"/>
  <c r="Q27" i="28"/>
  <c r="Q194" i="28"/>
  <c r="T185" i="29"/>
  <c r="U47" i="18" s="1"/>
  <c r="T21" i="29"/>
  <c r="T190" i="29" s="1"/>
  <c r="T19" i="29"/>
  <c r="T185" i="28"/>
  <c r="U74" i="18" s="1"/>
  <c r="T19" i="28"/>
  <c r="T21" i="28"/>
  <c r="P196" i="29"/>
  <c r="Q39" i="18"/>
  <c r="Q50" i="18" s="1"/>
  <c r="U16" i="28"/>
  <c r="R192" i="29"/>
  <c r="S23" i="29"/>
  <c r="S22" i="29"/>
  <c r="S191" i="29" s="1"/>
  <c r="S23" i="28"/>
  <c r="S190" i="28"/>
  <c r="U16" i="29"/>
  <c r="T186" i="29"/>
  <c r="S187" i="29"/>
  <c r="T18" i="28"/>
  <c r="S188" i="28"/>
  <c r="U184" i="29"/>
  <c r="V40" i="18"/>
  <c r="U17" i="29"/>
  <c r="V15" i="29"/>
  <c r="T18" i="29"/>
  <c r="S188" i="29"/>
  <c r="R192" i="28"/>
  <c r="S22" i="28"/>
  <c r="S191" i="28" s="1"/>
  <c r="AC118" i="29"/>
  <c r="X41" i="18"/>
  <c r="W53" i="18"/>
  <c r="X152" i="29"/>
  <c r="X157" i="29" s="1"/>
  <c r="Z67" i="29"/>
  <c r="X135" i="29"/>
  <c r="X140" i="29" s="1"/>
  <c r="X50" i="28"/>
  <c r="AC101" i="29"/>
  <c r="W56" i="29"/>
  <c r="V176" i="28"/>
  <c r="W175" i="28" s="1"/>
  <c r="W57" i="29"/>
  <c r="X56" i="29" s="1"/>
  <c r="AE101" i="28"/>
  <c r="U178" i="28"/>
  <c r="U180" i="28" s="1"/>
  <c r="V74" i="28"/>
  <c r="W73" i="28" s="1"/>
  <c r="U76" i="28"/>
  <c r="U78" i="28" s="1"/>
  <c r="U144" i="29"/>
  <c r="U146" i="29" s="1"/>
  <c r="Y65" i="19"/>
  <c r="Y66" i="19"/>
  <c r="X67" i="19"/>
  <c r="X69" i="19" s="1"/>
  <c r="Y37" i="19"/>
  <c r="Y38" i="19"/>
  <c r="X39" i="19"/>
  <c r="X41" i="19" s="1"/>
  <c r="Y89" i="28"/>
  <c r="Z89" i="28"/>
  <c r="Y87" i="28"/>
  <c r="Z86" i="28" s="1"/>
  <c r="U110" i="28"/>
  <c r="U112" i="28" s="1"/>
  <c r="U161" i="28"/>
  <c r="U163" i="28" s="1"/>
  <c r="W55" i="28"/>
  <c r="U93" i="29"/>
  <c r="U95" i="29" s="1"/>
  <c r="V121" i="28"/>
  <c r="W120" i="28" s="1"/>
  <c r="U127" i="28"/>
  <c r="U129" i="28" s="1"/>
  <c r="X89" i="28"/>
  <c r="X87" i="28"/>
  <c r="Y86" i="28" s="1"/>
  <c r="W155" i="29"/>
  <c r="X154" i="29" s="1"/>
  <c r="U178" i="29"/>
  <c r="U180" i="29" s="1"/>
  <c r="U161" i="29"/>
  <c r="U163" i="29" s="1"/>
  <c r="V124" i="29"/>
  <c r="V125" i="29"/>
  <c r="V107" i="29"/>
  <c r="V39" i="28"/>
  <c r="U42" i="28"/>
  <c r="U44" i="28" s="1"/>
  <c r="V73" i="29"/>
  <c r="U76" i="29"/>
  <c r="U78" i="29" s="1"/>
  <c r="X70" i="28"/>
  <c r="Y69" i="28" s="1"/>
  <c r="X72" i="28"/>
  <c r="V36" i="28"/>
  <c r="W35" i="28" s="1"/>
  <c r="V38" i="28"/>
  <c r="V40" i="28" s="1"/>
  <c r="V90" i="29"/>
  <c r="V91" i="29"/>
  <c r="V125" i="28"/>
  <c r="V124" i="28"/>
  <c r="U127" i="29"/>
  <c r="U129" i="29" s="1"/>
  <c r="V158" i="29"/>
  <c r="V159" i="29"/>
  <c r="W140" i="29"/>
  <c r="W138" i="29"/>
  <c r="X137" i="29" s="1"/>
  <c r="X168" i="29"/>
  <c r="W170" i="29"/>
  <c r="X169" i="29" s="1"/>
  <c r="X151" i="29"/>
  <c r="X153" i="29" s="1"/>
  <c r="X49" i="28"/>
  <c r="X51" i="28" s="1"/>
  <c r="V158" i="28"/>
  <c r="V107" i="28"/>
  <c r="V108" i="28"/>
  <c r="W123" i="29"/>
  <c r="W121" i="29"/>
  <c r="X120" i="29" s="1"/>
  <c r="AA83" i="28"/>
  <c r="AA85" i="28" s="1"/>
  <c r="Z85" i="28"/>
  <c r="AA84" i="28" s="1"/>
  <c r="V157" i="28"/>
  <c r="V159" i="28" s="1"/>
  <c r="V155" i="28"/>
  <c r="W154" i="28" s="1"/>
  <c r="W123" i="28"/>
  <c r="V137" i="28"/>
  <c r="U144" i="28"/>
  <c r="U146" i="28" s="1"/>
  <c r="X117" i="28"/>
  <c r="W119" i="28"/>
  <c r="X118" i="28" s="1"/>
  <c r="V90" i="28"/>
  <c r="V91" i="28"/>
  <c r="V106" i="29"/>
  <c r="V108" i="29" s="1"/>
  <c r="V104" i="29"/>
  <c r="W103" i="29" s="1"/>
  <c r="U110" i="29"/>
  <c r="U112" i="29" s="1"/>
  <c r="X168" i="28"/>
  <c r="W170" i="28"/>
  <c r="X169" i="28" s="1"/>
  <c r="W140" i="28"/>
  <c r="U93" i="28"/>
  <c r="U95" i="28" s="1"/>
  <c r="V52" i="28"/>
  <c r="U59" i="28"/>
  <c r="U61" i="28" s="1"/>
  <c r="V72" i="29"/>
  <c r="V74" i="29" s="1"/>
  <c r="V70" i="29"/>
  <c r="W69" i="29" s="1"/>
  <c r="X134" i="29"/>
  <c r="W174" i="29"/>
  <c r="X134" i="28"/>
  <c r="W136" i="28"/>
  <c r="X135" i="28" s="1"/>
  <c r="V55" i="28"/>
  <c r="V57" i="28" s="1"/>
  <c r="W56" i="28" s="1"/>
  <c r="V53" i="28"/>
  <c r="W52" i="28" s="1"/>
  <c r="Z106" i="28"/>
  <c r="Z104" i="28"/>
  <c r="AA103" i="28" s="1"/>
  <c r="V172" i="28"/>
  <c r="Z66" i="29"/>
  <c r="V175" i="29"/>
  <c r="X69" i="28"/>
  <c r="W87" i="29"/>
  <c r="X86" i="29" s="1"/>
  <c r="W89" i="29"/>
  <c r="V141" i="28"/>
  <c r="V142" i="28"/>
  <c r="V172" i="29"/>
  <c r="W171" i="29" s="1"/>
  <c r="V174" i="29"/>
  <c r="V176" i="29" s="1"/>
  <c r="W80" i="19"/>
  <c r="W36" i="29"/>
  <c r="X35" i="29" s="1"/>
  <c r="X53" i="29"/>
  <c r="Y52" i="29" s="1"/>
  <c r="X55" i="29"/>
  <c r="W40" i="29"/>
  <c r="W39" i="29"/>
  <c r="AD117" i="29"/>
  <c r="AC119" i="29"/>
  <c r="Y32" i="29"/>
  <c r="X34" i="29"/>
  <c r="Y33" i="29" s="1"/>
  <c r="X38" i="29"/>
  <c r="AD100" i="29"/>
  <c r="AC102" i="29"/>
  <c r="W35" i="29"/>
  <c r="V42" i="29"/>
  <c r="V44" i="29" s="1"/>
  <c r="AB49" i="29"/>
  <c r="AA51" i="29"/>
  <c r="AB50" i="29" s="1"/>
  <c r="AF100" i="28"/>
  <c r="AE102" i="28"/>
  <c r="AI151" i="28"/>
  <c r="AH153" i="28"/>
  <c r="AI152" i="28" s="1"/>
  <c r="AH66" i="28"/>
  <c r="AG68" i="28"/>
  <c r="AH67" i="28" s="1"/>
  <c r="AG32" i="28"/>
  <c r="AF34" i="28"/>
  <c r="AG33" i="28" s="1"/>
  <c r="W52" i="19"/>
  <c r="V80" i="19"/>
  <c r="AL16" i="19" l="1"/>
  <c r="AK28" i="19"/>
  <c r="W142" i="29"/>
  <c r="W144" i="29" s="1"/>
  <c r="W146" i="29" s="1"/>
  <c r="V144" i="29"/>
  <c r="V146" i="29" s="1"/>
  <c r="R27" i="28"/>
  <c r="R196" i="28" s="1"/>
  <c r="AM43" i="19"/>
  <c r="AL55" i="19"/>
  <c r="R194" i="29"/>
  <c r="T188" i="28"/>
  <c r="U18" i="28"/>
  <c r="V184" i="28"/>
  <c r="W15" i="28"/>
  <c r="W67" i="18"/>
  <c r="V17" i="28"/>
  <c r="U185" i="29"/>
  <c r="V47" i="18" s="1"/>
  <c r="U21" i="29"/>
  <c r="U190" i="29" s="1"/>
  <c r="U19" i="29"/>
  <c r="U18" i="29"/>
  <c r="T188" i="29"/>
  <c r="T187" i="29"/>
  <c r="S192" i="28"/>
  <c r="T22" i="28"/>
  <c r="T191" i="28" s="1"/>
  <c r="Q196" i="29"/>
  <c r="R39" i="18"/>
  <c r="R50" i="18" s="1"/>
  <c r="S192" i="29"/>
  <c r="T23" i="29"/>
  <c r="T22" i="29"/>
  <c r="T191" i="29" s="1"/>
  <c r="Q196" i="28"/>
  <c r="R66" i="18"/>
  <c r="R77" i="18" s="1"/>
  <c r="V184" i="29"/>
  <c r="V17" i="29"/>
  <c r="W15" i="29"/>
  <c r="W40" i="18"/>
  <c r="V16" i="29"/>
  <c r="U186" i="29"/>
  <c r="U185" i="28"/>
  <c r="V74" i="18" s="1"/>
  <c r="U19" i="28"/>
  <c r="U21" i="28"/>
  <c r="R196" i="29"/>
  <c r="S39" i="18"/>
  <c r="S50" i="18" s="1"/>
  <c r="S25" i="28"/>
  <c r="T187" i="28"/>
  <c r="AD118" i="29"/>
  <c r="S25" i="29"/>
  <c r="T23" i="28"/>
  <c r="T190" i="28"/>
  <c r="V16" i="28"/>
  <c r="U186" i="28"/>
  <c r="Y152" i="29"/>
  <c r="Y157" i="29" s="1"/>
  <c r="Y50" i="28"/>
  <c r="Y41" i="18"/>
  <c r="X53" i="18"/>
  <c r="AD101" i="29"/>
  <c r="W59" i="29"/>
  <c r="W61" i="29" s="1"/>
  <c r="X57" i="29"/>
  <c r="Y56" i="29" s="1"/>
  <c r="AF101" i="28"/>
  <c r="AB84" i="28"/>
  <c r="V76" i="28"/>
  <c r="V78" i="28" s="1"/>
  <c r="W74" i="28"/>
  <c r="X73" i="28" s="1"/>
  <c r="Z66" i="19"/>
  <c r="Z65" i="19"/>
  <c r="Y67" i="19"/>
  <c r="Y69" i="19" s="1"/>
  <c r="Z87" i="28"/>
  <c r="AA86" i="28" s="1"/>
  <c r="Z38" i="19"/>
  <c r="Z37" i="19"/>
  <c r="Y39" i="19"/>
  <c r="Y41" i="19" s="1"/>
  <c r="W172" i="29"/>
  <c r="X171" i="29" s="1"/>
  <c r="V127" i="29"/>
  <c r="V129" i="29" s="1"/>
  <c r="W53" i="28"/>
  <c r="X52" i="28" s="1"/>
  <c r="V161" i="29"/>
  <c r="V163" i="29" s="1"/>
  <c r="V127" i="28"/>
  <c r="V129" i="28" s="1"/>
  <c r="X55" i="28"/>
  <c r="V93" i="29"/>
  <c r="V95" i="29" s="1"/>
  <c r="W121" i="28"/>
  <c r="X120" i="28" s="1"/>
  <c r="W138" i="28"/>
  <c r="X137" i="28" s="1"/>
  <c r="X174" i="28"/>
  <c r="W73" i="29"/>
  <c r="W107" i="29"/>
  <c r="V110" i="29"/>
  <c r="V112" i="29" s="1"/>
  <c r="W39" i="28"/>
  <c r="W175" i="29"/>
  <c r="W176" i="29"/>
  <c r="X174" i="29"/>
  <c r="X89" i="29"/>
  <c r="X87" i="29"/>
  <c r="Y86" i="29" s="1"/>
  <c r="AA66" i="29"/>
  <c r="Z68" i="29"/>
  <c r="AA67" i="29" s="1"/>
  <c r="V42" i="28"/>
  <c r="V44" i="28" s="1"/>
  <c r="Y168" i="29"/>
  <c r="X170" i="29"/>
  <c r="Y169" i="29" s="1"/>
  <c r="W125" i="28"/>
  <c r="W124" i="28"/>
  <c r="V76" i="29"/>
  <c r="V78" i="29" s="1"/>
  <c r="Y168" i="28"/>
  <c r="X170" i="28"/>
  <c r="Y169" i="28" s="1"/>
  <c r="V178" i="29"/>
  <c r="V180" i="29" s="1"/>
  <c r="W141" i="28"/>
  <c r="W142" i="28"/>
  <c r="W157" i="28"/>
  <c r="W159" i="28" s="1"/>
  <c r="W155" i="28"/>
  <c r="X154" i="28" s="1"/>
  <c r="W158" i="28"/>
  <c r="W91" i="29"/>
  <c r="W90" i="29"/>
  <c r="Y134" i="29"/>
  <c r="X136" i="29"/>
  <c r="Y135" i="29" s="1"/>
  <c r="W106" i="29"/>
  <c r="W108" i="29" s="1"/>
  <c r="W104" i="29"/>
  <c r="X103" i="29" s="1"/>
  <c r="W72" i="29"/>
  <c r="W74" i="29" s="1"/>
  <c r="W70" i="29"/>
  <c r="X69" i="29" s="1"/>
  <c r="V161" i="28"/>
  <c r="V163" i="28" s="1"/>
  <c r="X123" i="29"/>
  <c r="X121" i="29"/>
  <c r="Y120" i="29" s="1"/>
  <c r="W158" i="29"/>
  <c r="W159" i="29"/>
  <c r="V144" i="28"/>
  <c r="V146" i="28" s="1"/>
  <c r="Y151" i="29"/>
  <c r="W36" i="28"/>
  <c r="X35" i="28" s="1"/>
  <c r="W38" i="28"/>
  <c r="W40" i="28" s="1"/>
  <c r="W90" i="28"/>
  <c r="W91" i="28"/>
  <c r="W171" i="28"/>
  <c r="V178" i="28"/>
  <c r="V180" i="28" s="1"/>
  <c r="V59" i="28"/>
  <c r="V61" i="28" s="1"/>
  <c r="V93" i="28"/>
  <c r="V95" i="28" s="1"/>
  <c r="W174" i="28"/>
  <c r="W176" i="28" s="1"/>
  <c r="X175" i="28" s="1"/>
  <c r="W172" i="28"/>
  <c r="X171" i="28" s="1"/>
  <c r="X155" i="29"/>
  <c r="Y72" i="28"/>
  <c r="Y70" i="28"/>
  <c r="W125" i="29"/>
  <c r="W124" i="29"/>
  <c r="AA106" i="28"/>
  <c r="AA104" i="28"/>
  <c r="AB103" i="28" s="1"/>
  <c r="X140" i="28"/>
  <c r="X123" i="28"/>
  <c r="AB83" i="28"/>
  <c r="W107" i="28"/>
  <c r="W108" i="28"/>
  <c r="W57" i="28"/>
  <c r="X56" i="28" s="1"/>
  <c r="Y49" i="28"/>
  <c r="Y134" i="28"/>
  <c r="Y136" i="28" s="1"/>
  <c r="X136" i="28"/>
  <c r="Y135" i="28" s="1"/>
  <c r="Y117" i="28"/>
  <c r="X119" i="28"/>
  <c r="Y118" i="28" s="1"/>
  <c r="V110" i="28"/>
  <c r="V112" i="28" s="1"/>
  <c r="X36" i="29"/>
  <c r="Y35" i="29" s="1"/>
  <c r="AE117" i="29"/>
  <c r="AD119" i="29"/>
  <c r="Y53" i="29"/>
  <c r="Z52" i="29" s="1"/>
  <c r="Y55" i="29"/>
  <c r="Y38" i="29"/>
  <c r="Z32" i="29"/>
  <c r="Y34" i="29"/>
  <c r="Z33" i="29" s="1"/>
  <c r="AC49" i="29"/>
  <c r="AB51" i="29"/>
  <c r="AC50" i="29" s="1"/>
  <c r="AE100" i="29"/>
  <c r="AD102" i="29"/>
  <c r="X40" i="29"/>
  <c r="X39" i="29"/>
  <c r="W42" i="29"/>
  <c r="W44" i="29" s="1"/>
  <c r="AH32" i="28"/>
  <c r="AG34" i="28"/>
  <c r="AH33" i="28" s="1"/>
  <c r="AJ151" i="28"/>
  <c r="AI153" i="28"/>
  <c r="AJ152" i="28" s="1"/>
  <c r="AG100" i="28"/>
  <c r="AF102" i="28"/>
  <c r="AI66" i="28"/>
  <c r="AH68" i="28"/>
  <c r="AI67" i="28" s="1"/>
  <c r="X52" i="19"/>
  <c r="X80" i="19"/>
  <c r="X141" i="29" l="1"/>
  <c r="X142" i="29"/>
  <c r="AM16" i="19"/>
  <c r="AL28" i="19"/>
  <c r="S66" i="18"/>
  <c r="S77" i="18" s="1"/>
  <c r="AN43" i="19"/>
  <c r="AM55" i="19"/>
  <c r="AE118" i="29"/>
  <c r="T25" i="29"/>
  <c r="T27" i="29" s="1"/>
  <c r="V185" i="29"/>
  <c r="W47" i="18" s="1"/>
  <c r="V21" i="29"/>
  <c r="V190" i="29" s="1"/>
  <c r="V19" i="29"/>
  <c r="V185" i="28"/>
  <c r="W74" i="18" s="1"/>
  <c r="V19" i="28"/>
  <c r="V21" i="28"/>
  <c r="W16" i="28"/>
  <c r="V186" i="28"/>
  <c r="W184" i="29"/>
  <c r="X40" i="18"/>
  <c r="W17" i="29"/>
  <c r="X15" i="29"/>
  <c r="T192" i="28"/>
  <c r="U22" i="28"/>
  <c r="U191" i="28" s="1"/>
  <c r="S27" i="29"/>
  <c r="S194" i="29"/>
  <c r="W16" i="29"/>
  <c r="V186" i="29"/>
  <c r="W184" i="28"/>
  <c r="X15" i="28"/>
  <c r="W17" i="28"/>
  <c r="X67" i="18"/>
  <c r="T25" i="28"/>
  <c r="U23" i="28"/>
  <c r="U190" i="28"/>
  <c r="U187" i="28"/>
  <c r="V18" i="28"/>
  <c r="U188" i="28"/>
  <c r="S27" i="28"/>
  <c r="S194" i="28"/>
  <c r="U187" i="29"/>
  <c r="T192" i="29"/>
  <c r="U22" i="29"/>
  <c r="U191" i="29" s="1"/>
  <c r="U23" i="29"/>
  <c r="V18" i="29"/>
  <c r="U188" i="29"/>
  <c r="X59" i="29"/>
  <c r="X61" i="29" s="1"/>
  <c r="Y57" i="29"/>
  <c r="Y59" i="29" s="1"/>
  <c r="Y61" i="29" s="1"/>
  <c r="Z41" i="18"/>
  <c r="Y53" i="18"/>
  <c r="AE101" i="29"/>
  <c r="Z135" i="28"/>
  <c r="Z140" i="28" s="1"/>
  <c r="X74" i="28"/>
  <c r="Y73" i="28" s="1"/>
  <c r="AG101" i="28"/>
  <c r="Z39" i="19"/>
  <c r="Z41" i="19" s="1"/>
  <c r="W76" i="28"/>
  <c r="W78" i="28" s="1"/>
  <c r="AA89" i="28"/>
  <c r="AA87" i="28"/>
  <c r="AB86" i="28" s="1"/>
  <c r="Z67" i="19"/>
  <c r="Z69" i="19" s="1"/>
  <c r="AA66" i="19"/>
  <c r="AA65" i="19"/>
  <c r="Y55" i="28"/>
  <c r="AA38" i="19"/>
  <c r="AA37" i="19"/>
  <c r="W178" i="29"/>
  <c r="W180" i="29" s="1"/>
  <c r="W127" i="29"/>
  <c r="W129" i="29" s="1"/>
  <c r="W161" i="28"/>
  <c r="W163" i="28" s="1"/>
  <c r="W127" i="28"/>
  <c r="W129" i="28" s="1"/>
  <c r="Y174" i="28"/>
  <c r="W144" i="28"/>
  <c r="W146" i="28" s="1"/>
  <c r="X53" i="28"/>
  <c r="Y52" i="28" s="1"/>
  <c r="X121" i="28"/>
  <c r="Y120" i="28" s="1"/>
  <c r="X73" i="29"/>
  <c r="W76" i="29"/>
  <c r="W78" i="29" s="1"/>
  <c r="X107" i="29"/>
  <c r="X39" i="28"/>
  <c r="Z49" i="28"/>
  <c r="X138" i="29"/>
  <c r="X141" i="28"/>
  <c r="X142" i="28"/>
  <c r="AB66" i="29"/>
  <c r="AC66" i="29" s="1"/>
  <c r="AD66" i="29" s="1"/>
  <c r="AE66" i="29" s="1"/>
  <c r="AF66" i="29" s="1"/>
  <c r="W110" i="28"/>
  <c r="W112" i="28" s="1"/>
  <c r="AA68" i="29"/>
  <c r="AB67" i="29" s="1"/>
  <c r="Y123" i="29"/>
  <c r="Y121" i="29"/>
  <c r="Z120" i="29" s="1"/>
  <c r="Y87" i="29"/>
  <c r="Z86" i="29" s="1"/>
  <c r="Y89" i="29"/>
  <c r="X57" i="28"/>
  <c r="Y56" i="28" s="1"/>
  <c r="Y140" i="28"/>
  <c r="Y138" i="28"/>
  <c r="Z137" i="28" s="1"/>
  <c r="W93" i="29"/>
  <c r="W95" i="29" s="1"/>
  <c r="Z134" i="29"/>
  <c r="Z136" i="29" s="1"/>
  <c r="Y136" i="29"/>
  <c r="Z135" i="29" s="1"/>
  <c r="X125" i="28"/>
  <c r="X124" i="28"/>
  <c r="Z134" i="28"/>
  <c r="AC83" i="28"/>
  <c r="AB85" i="28"/>
  <c r="AC84" i="28" s="1"/>
  <c r="X124" i="29"/>
  <c r="X125" i="29"/>
  <c r="X91" i="29"/>
  <c r="X90" i="29"/>
  <c r="Z168" i="28"/>
  <c r="Y170" i="28"/>
  <c r="Z169" i="28" s="1"/>
  <c r="Y174" i="29"/>
  <c r="X172" i="29"/>
  <c r="Z69" i="28"/>
  <c r="X38" i="28"/>
  <c r="X40" i="28" s="1"/>
  <c r="X36" i="28"/>
  <c r="Y35" i="28" s="1"/>
  <c r="X158" i="29"/>
  <c r="X159" i="29"/>
  <c r="Z168" i="29"/>
  <c r="Y170" i="29"/>
  <c r="Z169" i="29" s="1"/>
  <c r="W93" i="28"/>
  <c r="W95" i="28" s="1"/>
  <c r="Z70" i="28"/>
  <c r="AA69" i="28" s="1"/>
  <c r="Z72" i="28"/>
  <c r="W161" i="29"/>
  <c r="W163" i="29" s="1"/>
  <c r="W110" i="29"/>
  <c r="W112" i="29" s="1"/>
  <c r="X106" i="29"/>
  <c r="X108" i="29" s="1"/>
  <c r="X104" i="29"/>
  <c r="Y103" i="29" s="1"/>
  <c r="X176" i="29"/>
  <c r="X175" i="29"/>
  <c r="X107" i="28"/>
  <c r="X108" i="28"/>
  <c r="X72" i="29"/>
  <c r="X74" i="29" s="1"/>
  <c r="X70" i="29"/>
  <c r="Y69" i="29" s="1"/>
  <c r="X90" i="28"/>
  <c r="X91" i="28"/>
  <c r="Y141" i="29"/>
  <c r="Y154" i="29"/>
  <c r="X158" i="28"/>
  <c r="X172" i="28"/>
  <c r="Y171" i="28" s="1"/>
  <c r="W178" i="28"/>
  <c r="W180" i="28" s="1"/>
  <c r="X157" i="28"/>
  <c r="X159" i="28" s="1"/>
  <c r="X155" i="28"/>
  <c r="Y154" i="28" s="1"/>
  <c r="X176" i="28"/>
  <c r="Y175" i="28" s="1"/>
  <c r="AB106" i="28"/>
  <c r="AB104" i="28"/>
  <c r="AC103" i="28" s="1"/>
  <c r="Y123" i="28"/>
  <c r="Y51" i="28"/>
  <c r="Z50" i="28" s="1"/>
  <c r="X138" i="28"/>
  <c r="W42" i="28"/>
  <c r="W44" i="28" s="1"/>
  <c r="W59" i="28"/>
  <c r="W61" i="28" s="1"/>
  <c r="Z117" i="28"/>
  <c r="Y119" i="28"/>
  <c r="Z118" i="28" s="1"/>
  <c r="Z151" i="29"/>
  <c r="Y153" i="29"/>
  <c r="Z152" i="29" s="1"/>
  <c r="AB89" i="28"/>
  <c r="X42" i="29"/>
  <c r="X44" i="29" s="1"/>
  <c r="Y36" i="29"/>
  <c r="Z53" i="29"/>
  <c r="AA52" i="29" s="1"/>
  <c r="Z55" i="29"/>
  <c r="Z38" i="29"/>
  <c r="AA32" i="29"/>
  <c r="Z34" i="29"/>
  <c r="AA33" i="29" s="1"/>
  <c r="Y40" i="29"/>
  <c r="Y39" i="29"/>
  <c r="AF117" i="29"/>
  <c r="AE119" i="29"/>
  <c r="AF100" i="29"/>
  <c r="AE102" i="29"/>
  <c r="AD49" i="29"/>
  <c r="AC51" i="29"/>
  <c r="AD50" i="29" s="1"/>
  <c r="AI32" i="28"/>
  <c r="AH34" i="28"/>
  <c r="AI33" i="28" s="1"/>
  <c r="AJ66" i="28"/>
  <c r="AI68" i="28"/>
  <c r="AJ67" i="28" s="1"/>
  <c r="AH100" i="28"/>
  <c r="AG102" i="28"/>
  <c r="AK151" i="28"/>
  <c r="AJ153" i="28"/>
  <c r="AK152" i="28" s="1"/>
  <c r="Y52" i="19"/>
  <c r="Y80" i="19"/>
  <c r="AN16" i="19" l="1"/>
  <c r="AM28" i="19"/>
  <c r="AF118" i="29"/>
  <c r="AO43" i="19"/>
  <c r="AN55" i="19"/>
  <c r="T194" i="29"/>
  <c r="U25" i="28"/>
  <c r="U194" i="28" s="1"/>
  <c r="X184" i="28"/>
  <c r="Y15" i="28"/>
  <c r="Y17" i="28" s="1"/>
  <c r="Y67" i="18"/>
  <c r="V187" i="28"/>
  <c r="W185" i="29"/>
  <c r="X47" i="18" s="1"/>
  <c r="W21" i="29"/>
  <c r="W190" i="29" s="1"/>
  <c r="W19" i="29"/>
  <c r="W185" i="28"/>
  <c r="X74" i="18" s="1"/>
  <c r="W21" i="28"/>
  <c r="W19" i="28"/>
  <c r="U192" i="28"/>
  <c r="V22" i="28"/>
  <c r="V191" i="28" s="1"/>
  <c r="V187" i="29"/>
  <c r="T27" i="28"/>
  <c r="T194" i="28"/>
  <c r="U192" i="29"/>
  <c r="V23" i="29"/>
  <c r="V22" i="29"/>
  <c r="V191" i="29" s="1"/>
  <c r="V23" i="28"/>
  <c r="V190" i="28"/>
  <c r="W18" i="29"/>
  <c r="V188" i="29"/>
  <c r="T196" i="29"/>
  <c r="U39" i="18"/>
  <c r="U50" i="18" s="1"/>
  <c r="S196" i="29"/>
  <c r="T39" i="18"/>
  <c r="T50" i="18" s="1"/>
  <c r="V188" i="28"/>
  <c r="W18" i="28"/>
  <c r="U25" i="29"/>
  <c r="X184" i="29"/>
  <c r="Y15" i="29"/>
  <c r="Y40" i="18"/>
  <c r="X17" i="29"/>
  <c r="X16" i="28"/>
  <c r="W186" i="28"/>
  <c r="X16" i="29"/>
  <c r="W186" i="29"/>
  <c r="S196" i="28"/>
  <c r="T66" i="18"/>
  <c r="T77" i="18" s="1"/>
  <c r="X17" i="28"/>
  <c r="Z57" i="29"/>
  <c r="AA56" i="29" s="1"/>
  <c r="Z56" i="29"/>
  <c r="AF101" i="29"/>
  <c r="AA41" i="18"/>
  <c r="Z53" i="18"/>
  <c r="AA135" i="29"/>
  <c r="AH101" i="28"/>
  <c r="Y74" i="28"/>
  <c r="Z73" i="28" s="1"/>
  <c r="X76" i="28"/>
  <c r="X78" i="28" s="1"/>
  <c r="AA67" i="19"/>
  <c r="AA69" i="19" s="1"/>
  <c r="AA39" i="19"/>
  <c r="AA41" i="19" s="1"/>
  <c r="AB66" i="19"/>
  <c r="AB65" i="19"/>
  <c r="Y57" i="28"/>
  <c r="Z56" i="28" s="1"/>
  <c r="AB38" i="19"/>
  <c r="AB37" i="19"/>
  <c r="X127" i="28"/>
  <c r="X129" i="28" s="1"/>
  <c r="X127" i="29"/>
  <c r="X129" i="29" s="1"/>
  <c r="Y172" i="29"/>
  <c r="Z171" i="29" s="1"/>
  <c r="Y172" i="28"/>
  <c r="Z171" i="28" s="1"/>
  <c r="Y176" i="28"/>
  <c r="Z175" i="28" s="1"/>
  <c r="X110" i="28"/>
  <c r="X112" i="28" s="1"/>
  <c r="AC68" i="29"/>
  <c r="Y121" i="28"/>
  <c r="Z120" i="28" s="1"/>
  <c r="AB87" i="28"/>
  <c r="AC86" i="28" s="1"/>
  <c r="X161" i="29"/>
  <c r="X163" i="29" s="1"/>
  <c r="X93" i="29"/>
  <c r="X95" i="29" s="1"/>
  <c r="Y107" i="29"/>
  <c r="X110" i="29"/>
  <c r="X112" i="29" s="1"/>
  <c r="Y73" i="29"/>
  <c r="Y39" i="28"/>
  <c r="Y158" i="28"/>
  <c r="Z123" i="28"/>
  <c r="Y108" i="28"/>
  <c r="Y107" i="28"/>
  <c r="Y159" i="29"/>
  <c r="Y158" i="29"/>
  <c r="Y171" i="29"/>
  <c r="X178" i="29"/>
  <c r="X180" i="29" s="1"/>
  <c r="AA134" i="29"/>
  <c r="Z87" i="29"/>
  <c r="AA86" i="29" s="1"/>
  <c r="Z89" i="29"/>
  <c r="Y157" i="28"/>
  <c r="Y159" i="28" s="1"/>
  <c r="Y155" i="28"/>
  <c r="Z154" i="28" s="1"/>
  <c r="Y90" i="28"/>
  <c r="Y91" i="28"/>
  <c r="Y155" i="29"/>
  <c r="Z154" i="29" s="1"/>
  <c r="X93" i="28"/>
  <c r="X95" i="28" s="1"/>
  <c r="Y141" i="28"/>
  <c r="Y142" i="28"/>
  <c r="Y53" i="28"/>
  <c r="Y36" i="28"/>
  <c r="Z35" i="28" s="1"/>
  <c r="Y38" i="28"/>
  <c r="Y40" i="28" s="1"/>
  <c r="AA151" i="29"/>
  <c r="Z153" i="29"/>
  <c r="AA152" i="29" s="1"/>
  <c r="Y106" i="29"/>
  <c r="Y108" i="29" s="1"/>
  <c r="Y104" i="29"/>
  <c r="Z103" i="29" s="1"/>
  <c r="AD68" i="29"/>
  <c r="Z123" i="29"/>
  <c r="Z121" i="29"/>
  <c r="AA120" i="29" s="1"/>
  <c r="Z170" i="28"/>
  <c r="AA169" i="28" s="1"/>
  <c r="AA168" i="28"/>
  <c r="Y137" i="29"/>
  <c r="X144" i="29"/>
  <c r="X146" i="29" s="1"/>
  <c r="AE68" i="29"/>
  <c r="AB68" i="29"/>
  <c r="AC67" i="29" s="1"/>
  <c r="Y72" i="29"/>
  <c r="Y74" i="29" s="1"/>
  <c r="Y70" i="29"/>
  <c r="Z69" i="29" s="1"/>
  <c r="Y140" i="29"/>
  <c r="Y142" i="29" s="1"/>
  <c r="Y138" i="29"/>
  <c r="Z137" i="29" s="1"/>
  <c r="AA117" i="28"/>
  <c r="Z119" i="28"/>
  <c r="AA118" i="28" s="1"/>
  <c r="Y175" i="29"/>
  <c r="Y176" i="29"/>
  <c r="AC106" i="28"/>
  <c r="AC104" i="28"/>
  <c r="AD103" i="28" s="1"/>
  <c r="Y91" i="29"/>
  <c r="Y90" i="29"/>
  <c r="Y124" i="29"/>
  <c r="Y125" i="29"/>
  <c r="AA134" i="28"/>
  <c r="Z136" i="28"/>
  <c r="AA135" i="28" s="1"/>
  <c r="Y125" i="28"/>
  <c r="Y124" i="28"/>
  <c r="AA49" i="28"/>
  <c r="Z51" i="28"/>
  <c r="AA50" i="28" s="1"/>
  <c r="X161" i="28"/>
  <c r="X163" i="28" s="1"/>
  <c r="X76" i="29"/>
  <c r="X78" i="29" s="1"/>
  <c r="X42" i="28"/>
  <c r="X44" i="28" s="1"/>
  <c r="Z174" i="29"/>
  <c r="X178" i="28"/>
  <c r="X180" i="28" s="1"/>
  <c r="Y137" i="28"/>
  <c r="X144" i="28"/>
  <c r="X146" i="28" s="1"/>
  <c r="AA70" i="28"/>
  <c r="AA72" i="28"/>
  <c r="AA168" i="29"/>
  <c r="Z170" i="29"/>
  <c r="AA169" i="29" s="1"/>
  <c r="X59" i="28"/>
  <c r="X61" i="28" s="1"/>
  <c r="AD83" i="28"/>
  <c r="AC85" i="28"/>
  <c r="AD84" i="28" s="1"/>
  <c r="AC89" i="28"/>
  <c r="Z36" i="29"/>
  <c r="AA35" i="29" s="1"/>
  <c r="AE49" i="29"/>
  <c r="AD51" i="29"/>
  <c r="AE50" i="29" s="1"/>
  <c r="AG100" i="29"/>
  <c r="AF102" i="29"/>
  <c r="Z40" i="29"/>
  <c r="Z39" i="29"/>
  <c r="AG66" i="29"/>
  <c r="AF68" i="29"/>
  <c r="Z35" i="29"/>
  <c r="Y42" i="29"/>
  <c r="Y44" i="29" s="1"/>
  <c r="AA53" i="29"/>
  <c r="AB52" i="29" s="1"/>
  <c r="AA55" i="29"/>
  <c r="AA38" i="29"/>
  <c r="AB32" i="29"/>
  <c r="AA34" i="29"/>
  <c r="AB33" i="29" s="1"/>
  <c r="AG117" i="29"/>
  <c r="AF119" i="29"/>
  <c r="AL151" i="28"/>
  <c r="AK153" i="28"/>
  <c r="AL152" i="28" s="1"/>
  <c r="AK66" i="28"/>
  <c r="AJ68" i="28"/>
  <c r="AK67" i="28" s="1"/>
  <c r="AI100" i="28"/>
  <c r="AH102" i="28"/>
  <c r="AJ32" i="28"/>
  <c r="AI34" i="28"/>
  <c r="AJ33" i="28" s="1"/>
  <c r="Z80" i="19"/>
  <c r="Z52" i="19"/>
  <c r="AG118" i="29" l="1"/>
  <c r="AO16" i="19"/>
  <c r="AN28" i="19"/>
  <c r="AP43" i="19"/>
  <c r="AO55" i="19"/>
  <c r="AA57" i="29"/>
  <c r="AA59" i="29" s="1"/>
  <c r="AA61" i="29" s="1"/>
  <c r="Z59" i="29"/>
  <c r="Z61" i="29" s="1"/>
  <c r="U27" i="28"/>
  <c r="U196" i="28" s="1"/>
  <c r="Y184" i="29"/>
  <c r="Y17" i="29"/>
  <c r="Z15" i="29"/>
  <c r="Z40" i="18"/>
  <c r="V192" i="28"/>
  <c r="W22" i="28"/>
  <c r="W191" i="28" s="1"/>
  <c r="Y16" i="28"/>
  <c r="Z16" i="28" s="1"/>
  <c r="X186" i="28"/>
  <c r="U27" i="29"/>
  <c r="U194" i="29"/>
  <c r="V192" i="29"/>
  <c r="W22" i="29"/>
  <c r="W191" i="29" s="1"/>
  <c r="W23" i="29"/>
  <c r="W187" i="28"/>
  <c r="V25" i="28"/>
  <c r="Y186" i="28"/>
  <c r="X18" i="28"/>
  <c r="W188" i="28"/>
  <c r="W23" i="28"/>
  <c r="W190" i="28"/>
  <c r="X185" i="29"/>
  <c r="Y47" i="18" s="1"/>
  <c r="X21" i="29"/>
  <c r="X190" i="29" s="1"/>
  <c r="X19" i="29"/>
  <c r="W187" i="29"/>
  <c r="T196" i="28"/>
  <c r="U66" i="18"/>
  <c r="U77" i="18" s="1"/>
  <c r="X185" i="28"/>
  <c r="Y74" i="18" s="1"/>
  <c r="X19" i="28"/>
  <c r="X21" i="28"/>
  <c r="V25" i="29"/>
  <c r="W188" i="29"/>
  <c r="X18" i="29"/>
  <c r="Y16" i="29"/>
  <c r="X186" i="29"/>
  <c r="Y184" i="28"/>
  <c r="Z15" i="28"/>
  <c r="Z67" i="18"/>
  <c r="AG101" i="29"/>
  <c r="AD67" i="29"/>
  <c r="AE67" i="29" s="1"/>
  <c r="AF67" i="29" s="1"/>
  <c r="AG67" i="29" s="1"/>
  <c r="AI101" i="28"/>
  <c r="AB41" i="18"/>
  <c r="AA53" i="18"/>
  <c r="Z74" i="28"/>
  <c r="AA73" i="28" s="1"/>
  <c r="Y76" i="28"/>
  <c r="Y78" i="28" s="1"/>
  <c r="AB39" i="19"/>
  <c r="AB41" i="19" s="1"/>
  <c r="AB67" i="19"/>
  <c r="AB69" i="19" s="1"/>
  <c r="Y110" i="28"/>
  <c r="Y112" i="28" s="1"/>
  <c r="Z172" i="28"/>
  <c r="AA171" i="28" s="1"/>
  <c r="AC66" i="19"/>
  <c r="AC65" i="19"/>
  <c r="AA174" i="28"/>
  <c r="Z174" i="28"/>
  <c r="Z176" i="28" s="1"/>
  <c r="AC38" i="19"/>
  <c r="AC37" i="19"/>
  <c r="Y161" i="29"/>
  <c r="Y163" i="29" s="1"/>
  <c r="Y127" i="29"/>
  <c r="Y129" i="29" s="1"/>
  <c r="Y178" i="28"/>
  <c r="Y180" i="28" s="1"/>
  <c r="Y144" i="29"/>
  <c r="Y146" i="29" s="1"/>
  <c r="Z172" i="29"/>
  <c r="AA171" i="29" s="1"/>
  <c r="Z121" i="28"/>
  <c r="AA120" i="28" s="1"/>
  <c r="Y93" i="29"/>
  <c r="Y95" i="29" s="1"/>
  <c r="AC87" i="28"/>
  <c r="AD86" i="28" s="1"/>
  <c r="Y127" i="28"/>
  <c r="Y129" i="28" s="1"/>
  <c r="Z73" i="29"/>
  <c r="Y76" i="29"/>
  <c r="Y78" i="29" s="1"/>
  <c r="Z107" i="29"/>
  <c r="Y110" i="29"/>
  <c r="Y112" i="29" s="1"/>
  <c r="Z158" i="28"/>
  <c r="Z39" i="28"/>
  <c r="Y42" i="28"/>
  <c r="Y44" i="28" s="1"/>
  <c r="Z55" i="28"/>
  <c r="Z57" i="28" s="1"/>
  <c r="AA56" i="28" s="1"/>
  <c r="Z53" i="28"/>
  <c r="AA52" i="28" s="1"/>
  <c r="Z158" i="29"/>
  <c r="AA123" i="29"/>
  <c r="AA121" i="29"/>
  <c r="AB120" i="29" s="1"/>
  <c r="AA174" i="29"/>
  <c r="AB168" i="29"/>
  <c r="AA170" i="29"/>
  <c r="AB169" i="29" s="1"/>
  <c r="AA123" i="28"/>
  <c r="Z108" i="28"/>
  <c r="Z107" i="28"/>
  <c r="Z125" i="28"/>
  <c r="Z124" i="28"/>
  <c r="Z142" i="28"/>
  <c r="Z141" i="28"/>
  <c r="AB70" i="28"/>
  <c r="AC69" i="28" s="1"/>
  <c r="AB72" i="28"/>
  <c r="AB117" i="28"/>
  <c r="AA119" i="28"/>
  <c r="AB118" i="28" s="1"/>
  <c r="AD106" i="28"/>
  <c r="AD104" i="28"/>
  <c r="AE103" i="28" s="1"/>
  <c r="AA136" i="28"/>
  <c r="AB135" i="28" s="1"/>
  <c r="AB151" i="29"/>
  <c r="AB153" i="29" s="1"/>
  <c r="AA153" i="29"/>
  <c r="AB152" i="29" s="1"/>
  <c r="AA89" i="29"/>
  <c r="AA87" i="29"/>
  <c r="AB86" i="29" s="1"/>
  <c r="AB69" i="28"/>
  <c r="Z175" i="29"/>
  <c r="Z176" i="29"/>
  <c r="Z141" i="29"/>
  <c r="AB168" i="28"/>
  <c r="AA170" i="28"/>
  <c r="AB169" i="28" s="1"/>
  <c r="Z157" i="28"/>
  <c r="Z159" i="28" s="1"/>
  <c r="Z155" i="28"/>
  <c r="AA154" i="28" s="1"/>
  <c r="Z138" i="28"/>
  <c r="Z72" i="29"/>
  <c r="Z74" i="29" s="1"/>
  <c r="Z70" i="29"/>
  <c r="AA69" i="29" s="1"/>
  <c r="AB134" i="28"/>
  <c r="Z36" i="28"/>
  <c r="AA35" i="28" s="1"/>
  <c r="Z38" i="28"/>
  <c r="Z40" i="28" s="1"/>
  <c r="AA140" i="29"/>
  <c r="Z140" i="29"/>
  <c r="Z142" i="29" s="1"/>
  <c r="Z138" i="29"/>
  <c r="AA137" i="29" s="1"/>
  <c r="Z157" i="29"/>
  <c r="Z159" i="29" s="1"/>
  <c r="Z155" i="29"/>
  <c r="AA154" i="29" s="1"/>
  <c r="AB134" i="29"/>
  <c r="AB136" i="29" s="1"/>
  <c r="AA136" i="29"/>
  <c r="AB135" i="29" s="1"/>
  <c r="Y144" i="28"/>
  <c r="Y146" i="28" s="1"/>
  <c r="Z124" i="29"/>
  <c r="Z125" i="29"/>
  <c r="Z106" i="29"/>
  <c r="Z108" i="29" s="1"/>
  <c r="Z104" i="29"/>
  <c r="AA103" i="29" s="1"/>
  <c r="Y161" i="28"/>
  <c r="Y163" i="28" s="1"/>
  <c r="Z90" i="28"/>
  <c r="Z91" i="28"/>
  <c r="Y178" i="29"/>
  <c r="Y180" i="29" s="1"/>
  <c r="AB49" i="28"/>
  <c r="AA51" i="28"/>
  <c r="AB50" i="28" s="1"/>
  <c r="AE83" i="28"/>
  <c r="AD85" i="28"/>
  <c r="AD87" i="28" s="1"/>
  <c r="Z90" i="29"/>
  <c r="Z91" i="29"/>
  <c r="Z52" i="28"/>
  <c r="Y59" i="28"/>
  <c r="Y61" i="28" s="1"/>
  <c r="Y93" i="28"/>
  <c r="Y95" i="28" s="1"/>
  <c r="AD89" i="28"/>
  <c r="AA36" i="29"/>
  <c r="AB35" i="29" s="1"/>
  <c r="Z42" i="29"/>
  <c r="Z44" i="29" s="1"/>
  <c r="AA40" i="29"/>
  <c r="AA39" i="29"/>
  <c r="AH117" i="29"/>
  <c r="AG119" i="29"/>
  <c r="AH118" i="29" s="1"/>
  <c r="AH100" i="29"/>
  <c r="AG102" i="29"/>
  <c r="AH66" i="29"/>
  <c r="AG68" i="29"/>
  <c r="AF49" i="29"/>
  <c r="AE51" i="29"/>
  <c r="AF50" i="29" s="1"/>
  <c r="AB53" i="29"/>
  <c r="AC52" i="29" s="1"/>
  <c r="AB55" i="29"/>
  <c r="AC32" i="29"/>
  <c r="AB34" i="29"/>
  <c r="AC33" i="29" s="1"/>
  <c r="AK32" i="28"/>
  <c r="AJ34" i="28"/>
  <c r="AK33" i="28" s="1"/>
  <c r="AJ100" i="28"/>
  <c r="AI102" i="28"/>
  <c r="AL66" i="28"/>
  <c r="AK68" i="28"/>
  <c r="AL67" i="28" s="1"/>
  <c r="AM151" i="28"/>
  <c r="AL153" i="28"/>
  <c r="AM152" i="28" s="1"/>
  <c r="AA80" i="19"/>
  <c r="AA52" i="19"/>
  <c r="AB56" i="29" l="1"/>
  <c r="AP16" i="19"/>
  <c r="AO28" i="19"/>
  <c r="V66" i="18"/>
  <c r="V77" i="18" s="1"/>
  <c r="AQ43" i="19"/>
  <c r="AP55" i="19"/>
  <c r="Z185" i="28"/>
  <c r="AA74" i="18" s="1"/>
  <c r="Z21" i="28"/>
  <c r="Z190" i="28" s="1"/>
  <c r="AH101" i="29"/>
  <c r="V27" i="29"/>
  <c r="V194" i="29"/>
  <c r="V27" i="28"/>
  <c r="V194" i="28"/>
  <c r="AB57" i="29"/>
  <c r="AC57" i="29" s="1"/>
  <c r="X23" i="28"/>
  <c r="X190" i="28"/>
  <c r="X188" i="28"/>
  <c r="Y18" i="28"/>
  <c r="U196" i="29"/>
  <c r="V39" i="18"/>
  <c r="V50" i="18" s="1"/>
  <c r="W192" i="28"/>
  <c r="X22" i="28"/>
  <c r="X191" i="28" s="1"/>
  <c r="Y185" i="28"/>
  <c r="Z74" i="18" s="1"/>
  <c r="Y19" i="28"/>
  <c r="Y21" i="28"/>
  <c r="Z184" i="28"/>
  <c r="AA15" i="28"/>
  <c r="Z17" i="28"/>
  <c r="AA67" i="18"/>
  <c r="W25" i="29"/>
  <c r="W25" i="28"/>
  <c r="X187" i="28"/>
  <c r="Y18" i="29"/>
  <c r="X188" i="29"/>
  <c r="Z184" i="29"/>
  <c r="AA40" i="18"/>
  <c r="AA15" i="29"/>
  <c r="Z17" i="29"/>
  <c r="Z16" i="29"/>
  <c r="Y186" i="29"/>
  <c r="Y185" i="29"/>
  <c r="Z47" i="18" s="1"/>
  <c r="Y21" i="29"/>
  <c r="Y190" i="29" s="1"/>
  <c r="Y19" i="29"/>
  <c r="X187" i="29"/>
  <c r="W192" i="29"/>
  <c r="X23" i="29"/>
  <c r="X22" i="29"/>
  <c r="X191" i="29" s="1"/>
  <c r="AJ101" i="28"/>
  <c r="AC41" i="18"/>
  <c r="AB53" i="18"/>
  <c r="Z76" i="28"/>
  <c r="Z78" i="28" s="1"/>
  <c r="AA74" i="28"/>
  <c r="AB73" i="28" s="1"/>
  <c r="AH67" i="29"/>
  <c r="AC152" i="29"/>
  <c r="AC135" i="29"/>
  <c r="AC140" i="29" s="1"/>
  <c r="AE84" i="28"/>
  <c r="AC67" i="19"/>
  <c r="AC69" i="19" s="1"/>
  <c r="AC39" i="19"/>
  <c r="AC41" i="19" s="1"/>
  <c r="AB174" i="28"/>
  <c r="AD66" i="19"/>
  <c r="AD65" i="19"/>
  <c r="AA175" i="28"/>
  <c r="Z178" i="28"/>
  <c r="Z180" i="28" s="1"/>
  <c r="AA176" i="28"/>
  <c r="AB175" i="28" s="1"/>
  <c r="AD38" i="19"/>
  <c r="AD37" i="19"/>
  <c r="Z127" i="29"/>
  <c r="Z129" i="29" s="1"/>
  <c r="AB55" i="28"/>
  <c r="AA172" i="28"/>
  <c r="AB171" i="28" s="1"/>
  <c r="Z93" i="29"/>
  <c r="Z95" i="29" s="1"/>
  <c r="Z59" i="28"/>
  <c r="Z61" i="28" s="1"/>
  <c r="Z178" i="29"/>
  <c r="Z180" i="29" s="1"/>
  <c r="AA138" i="29"/>
  <c r="AB137" i="29" s="1"/>
  <c r="AA158" i="29"/>
  <c r="AA73" i="29"/>
  <c r="AA158" i="28"/>
  <c r="AA142" i="29"/>
  <c r="AA141" i="29"/>
  <c r="AA39" i="28"/>
  <c r="AA107" i="29"/>
  <c r="AC168" i="28"/>
  <c r="AB170" i="28"/>
  <c r="AC169" i="28" s="1"/>
  <c r="AA90" i="29"/>
  <c r="AA91" i="29"/>
  <c r="AC49" i="28"/>
  <c r="AC51" i="28" s="1"/>
  <c r="AB51" i="28"/>
  <c r="AC50" i="28" s="1"/>
  <c r="AA137" i="28"/>
  <c r="Z144" i="28"/>
  <c r="Z146" i="28" s="1"/>
  <c r="AA107" i="28"/>
  <c r="AA108" i="28"/>
  <c r="AA140" i="28"/>
  <c r="AA142" i="28" s="1"/>
  <c r="AA138" i="28"/>
  <c r="AB137" i="28" s="1"/>
  <c r="AB87" i="29"/>
  <c r="AC86" i="29" s="1"/>
  <c r="AB89" i="29"/>
  <c r="AE106" i="28"/>
  <c r="AE104" i="28"/>
  <c r="AF103" i="28" s="1"/>
  <c r="AC70" i="28"/>
  <c r="AC72" i="28"/>
  <c r="Z161" i="29"/>
  <c r="Z163" i="29" s="1"/>
  <c r="AA175" i="29"/>
  <c r="AA176" i="29"/>
  <c r="AB140" i="29"/>
  <c r="AB138" i="29"/>
  <c r="AC137" i="29" s="1"/>
  <c r="AA36" i="28"/>
  <c r="AB35" i="28" s="1"/>
  <c r="AA38" i="28"/>
  <c r="AA157" i="28"/>
  <c r="AA159" i="28" s="1"/>
  <c r="AA155" i="28"/>
  <c r="AB154" i="28" s="1"/>
  <c r="AA157" i="29"/>
  <c r="AA159" i="29" s="1"/>
  <c r="AA155" i="29"/>
  <c r="AB154" i="29" s="1"/>
  <c r="AC134" i="29"/>
  <c r="AC136" i="29" s="1"/>
  <c r="AA121" i="28"/>
  <c r="AB123" i="28"/>
  <c r="AB123" i="29"/>
  <c r="AB121" i="29"/>
  <c r="AC120" i="29" s="1"/>
  <c r="AA90" i="28"/>
  <c r="AA91" i="28"/>
  <c r="AC117" i="28"/>
  <c r="AC119" i="28" s="1"/>
  <c r="AB119" i="28"/>
  <c r="AC118" i="28" s="1"/>
  <c r="Z93" i="28"/>
  <c r="Z95" i="28" s="1"/>
  <c r="Z42" i="28"/>
  <c r="Z44" i="28" s="1"/>
  <c r="Z76" i="29"/>
  <c r="Z78" i="29" s="1"/>
  <c r="AC151" i="29"/>
  <c r="AC153" i="29" s="1"/>
  <c r="AF83" i="28"/>
  <c r="AG83" i="28" s="1"/>
  <c r="AH83" i="28" s="1"/>
  <c r="AI83" i="28" s="1"/>
  <c r="AJ83" i="28" s="1"/>
  <c r="AE85" i="28"/>
  <c r="AB174" i="29"/>
  <c r="AA172" i="29"/>
  <c r="AA106" i="29"/>
  <c r="AA108" i="29" s="1"/>
  <c r="AA104" i="29"/>
  <c r="AB103" i="29" s="1"/>
  <c r="AA124" i="29"/>
  <c r="AA125" i="29"/>
  <c r="AA55" i="28"/>
  <c r="AA57" i="28" s="1"/>
  <c r="AB56" i="28" s="1"/>
  <c r="AA53" i="28"/>
  <c r="AC134" i="28"/>
  <c r="AC136" i="28" s="1"/>
  <c r="AB136" i="28"/>
  <c r="AC135" i="28" s="1"/>
  <c r="Z144" i="29"/>
  <c r="Z146" i="29" s="1"/>
  <c r="AA141" i="28"/>
  <c r="AC168" i="29"/>
  <c r="AB170" i="29"/>
  <c r="AC169" i="29" s="1"/>
  <c r="Z127" i="28"/>
  <c r="Z129" i="28" s="1"/>
  <c r="AA72" i="29"/>
  <c r="AA70" i="29"/>
  <c r="AB69" i="29" s="1"/>
  <c r="Z110" i="29"/>
  <c r="Z112" i="29" s="1"/>
  <c r="AA124" i="28"/>
  <c r="AA125" i="28"/>
  <c r="Z110" i="28"/>
  <c r="Z112" i="28" s="1"/>
  <c r="Z161" i="28"/>
  <c r="Z163" i="28" s="1"/>
  <c r="AE86" i="28"/>
  <c r="AA42" i="29"/>
  <c r="AA44" i="29" s="1"/>
  <c r="AI100" i="29"/>
  <c r="AH102" i="29"/>
  <c r="AC53" i="29"/>
  <c r="AD52" i="29" s="1"/>
  <c r="AI117" i="29"/>
  <c r="AH119" i="29"/>
  <c r="AI118" i="29" s="1"/>
  <c r="AB36" i="29"/>
  <c r="AB39" i="29"/>
  <c r="AB40" i="29"/>
  <c r="AI66" i="29"/>
  <c r="AH68" i="29"/>
  <c r="AD32" i="29"/>
  <c r="AC34" i="29"/>
  <c r="AD33" i="29" s="1"/>
  <c r="AG49" i="29"/>
  <c r="AF51" i="29"/>
  <c r="AG50" i="29" s="1"/>
  <c r="AL32" i="28"/>
  <c r="AK34" i="28"/>
  <c r="AL33" i="28" s="1"/>
  <c r="AN151" i="28"/>
  <c r="AM153" i="28"/>
  <c r="AN152" i="28" s="1"/>
  <c r="AM66" i="28"/>
  <c r="AL68" i="28"/>
  <c r="AM67" i="28" s="1"/>
  <c r="AK100" i="28"/>
  <c r="AJ102" i="28"/>
  <c r="AB52" i="19"/>
  <c r="AQ16" i="19" l="1"/>
  <c r="AP28" i="19"/>
  <c r="AI101" i="29"/>
  <c r="AR43" i="19"/>
  <c r="AQ55" i="19"/>
  <c r="AK101" i="28"/>
  <c r="X25" i="28"/>
  <c r="X27" i="28" s="1"/>
  <c r="AB59" i="29"/>
  <c r="AB61" i="29" s="1"/>
  <c r="AC56" i="29"/>
  <c r="AC59" i="29" s="1"/>
  <c r="AC61" i="29" s="1"/>
  <c r="X192" i="29"/>
  <c r="Y23" i="29"/>
  <c r="Y22" i="29"/>
  <c r="Y191" i="29" s="1"/>
  <c r="AA16" i="29"/>
  <c r="Z186" i="29"/>
  <c r="AA40" i="28"/>
  <c r="AA42" i="28" s="1"/>
  <c r="AA44" i="28" s="1"/>
  <c r="AA190" i="28"/>
  <c r="X25" i="29"/>
  <c r="AA184" i="29"/>
  <c r="AB40" i="18"/>
  <c r="AB15" i="29"/>
  <c r="AA17" i="29"/>
  <c r="V196" i="28"/>
  <c r="W66" i="18"/>
  <c r="W77" i="18" s="1"/>
  <c r="AA16" i="28"/>
  <c r="Z186" i="28"/>
  <c r="Z19" i="28"/>
  <c r="Z18" i="29"/>
  <c r="Y188" i="29"/>
  <c r="AA184" i="28"/>
  <c r="AB15" i="28"/>
  <c r="AB67" i="18"/>
  <c r="Y187" i="29"/>
  <c r="Y187" i="28"/>
  <c r="AA74" i="29"/>
  <c r="AB73" i="29" s="1"/>
  <c r="AA190" i="29"/>
  <c r="V196" i="29"/>
  <c r="W39" i="18"/>
  <c r="W50" i="18" s="1"/>
  <c r="Z185" i="29"/>
  <c r="AA47" i="18" s="1"/>
  <c r="Z21" i="29"/>
  <c r="Z190" i="29" s="1"/>
  <c r="Z19" i="29"/>
  <c r="W27" i="28"/>
  <c r="W194" i="28"/>
  <c r="Y23" i="28"/>
  <c r="Y190" i="28"/>
  <c r="W27" i="29"/>
  <c r="W194" i="29"/>
  <c r="Z18" i="28"/>
  <c r="Y188" i="28"/>
  <c r="X192" i="28"/>
  <c r="Y22" i="28"/>
  <c r="Y191" i="28" s="1"/>
  <c r="AA17" i="28"/>
  <c r="AB74" i="28"/>
  <c r="AC73" i="28" s="1"/>
  <c r="AI67" i="29"/>
  <c r="AD67" i="19"/>
  <c r="AD69" i="19" s="1"/>
  <c r="AA76" i="28"/>
  <c r="AA78" i="28" s="1"/>
  <c r="AD41" i="18"/>
  <c r="AC53" i="18"/>
  <c r="AD152" i="29"/>
  <c r="AD135" i="28"/>
  <c r="AD50" i="28"/>
  <c r="AD118" i="28"/>
  <c r="AD123" i="28" s="1"/>
  <c r="AD135" i="29"/>
  <c r="AD140" i="29" s="1"/>
  <c r="AF84" i="28"/>
  <c r="AC174" i="28"/>
  <c r="AD39" i="19"/>
  <c r="AD41" i="19" s="1"/>
  <c r="AB176" i="28"/>
  <c r="AC175" i="28" s="1"/>
  <c r="AE66" i="19"/>
  <c r="AE65" i="19"/>
  <c r="AA178" i="28"/>
  <c r="AA180" i="28" s="1"/>
  <c r="AE38" i="19"/>
  <c r="AE37" i="19"/>
  <c r="AA93" i="29"/>
  <c r="AA95" i="29" s="1"/>
  <c r="AI85" i="28"/>
  <c r="AA144" i="29"/>
  <c r="AA146" i="29" s="1"/>
  <c r="AA127" i="29"/>
  <c r="AA129" i="29" s="1"/>
  <c r="AB172" i="28"/>
  <c r="AC171" i="28" s="1"/>
  <c r="AH85" i="28"/>
  <c r="AE87" i="28"/>
  <c r="AF86" i="28" s="1"/>
  <c r="AB158" i="28"/>
  <c r="AB107" i="29"/>
  <c r="AA110" i="29"/>
  <c r="AA112" i="29" s="1"/>
  <c r="AB158" i="29"/>
  <c r="AA161" i="29"/>
  <c r="AA163" i="29" s="1"/>
  <c r="AD134" i="28"/>
  <c r="AB172" i="29"/>
  <c r="AC171" i="29" s="1"/>
  <c r="AA93" i="28"/>
  <c r="AA95" i="28" s="1"/>
  <c r="AB108" i="28"/>
  <c r="AB107" i="28"/>
  <c r="AA59" i="28"/>
  <c r="AA61" i="28" s="1"/>
  <c r="AB52" i="28"/>
  <c r="AD70" i="28"/>
  <c r="AE69" i="28" s="1"/>
  <c r="AA110" i="28"/>
  <c r="AA112" i="28" s="1"/>
  <c r="AD168" i="28"/>
  <c r="AC170" i="28"/>
  <c r="AD169" i="28" s="1"/>
  <c r="AB120" i="28"/>
  <c r="AA127" i="28"/>
  <c r="AA129" i="28" s="1"/>
  <c r="AB90" i="28"/>
  <c r="AB91" i="28"/>
  <c r="AB157" i="29"/>
  <c r="AB159" i="29" s="1"/>
  <c r="AB155" i="29"/>
  <c r="AC154" i="29" s="1"/>
  <c r="AD69" i="28"/>
  <c r="AB140" i="28"/>
  <c r="AB142" i="28" s="1"/>
  <c r="AB138" i="28"/>
  <c r="AC137" i="28" s="1"/>
  <c r="AB125" i="29"/>
  <c r="AB124" i="29"/>
  <c r="AF104" i="28"/>
  <c r="AG103" i="28" s="1"/>
  <c r="AB53" i="28"/>
  <c r="AC52" i="28" s="1"/>
  <c r="AB72" i="29"/>
  <c r="AB70" i="29"/>
  <c r="AC69" i="29" s="1"/>
  <c r="AD49" i="28"/>
  <c r="AD51" i="28" s="1"/>
  <c r="AC174" i="29"/>
  <c r="AB106" i="29"/>
  <c r="AB108" i="29" s="1"/>
  <c r="AB104" i="29"/>
  <c r="AC103" i="29" s="1"/>
  <c r="AG85" i="28"/>
  <c r="AD151" i="29"/>
  <c r="AC123" i="29"/>
  <c r="AC121" i="29"/>
  <c r="AD120" i="29" s="1"/>
  <c r="AD134" i="29"/>
  <c r="AB91" i="29"/>
  <c r="AB90" i="29"/>
  <c r="AD168" i="29"/>
  <c r="AC170" i="29"/>
  <c r="AD169" i="29" s="1"/>
  <c r="AC123" i="28"/>
  <c r="AC121" i="28"/>
  <c r="AD120" i="28" s="1"/>
  <c r="AF85" i="28"/>
  <c r="AD117" i="28"/>
  <c r="AB175" i="29"/>
  <c r="AB176" i="29"/>
  <c r="AB57" i="28"/>
  <c r="AB121" i="28"/>
  <c r="AC120" i="28" s="1"/>
  <c r="AC89" i="29"/>
  <c r="AC87" i="29"/>
  <c r="AD86" i="29" s="1"/>
  <c r="AA161" i="28"/>
  <c r="AA163" i="28" s="1"/>
  <c r="AB171" i="29"/>
  <c r="AA178" i="29"/>
  <c r="AA180" i="29" s="1"/>
  <c r="AB141" i="28"/>
  <c r="AB157" i="28"/>
  <c r="AB159" i="28" s="1"/>
  <c r="AB155" i="28"/>
  <c r="AC154" i="28" s="1"/>
  <c r="AA144" i="28"/>
  <c r="AA146" i="28" s="1"/>
  <c r="AB142" i="29"/>
  <c r="AB141" i="29"/>
  <c r="AB36" i="28"/>
  <c r="AC35" i="28" s="1"/>
  <c r="AB124" i="28"/>
  <c r="AB125" i="28"/>
  <c r="AC138" i="29"/>
  <c r="AD137" i="29" s="1"/>
  <c r="AC36" i="29"/>
  <c r="AD35" i="29" s="1"/>
  <c r="AJ66" i="29"/>
  <c r="AI68" i="29"/>
  <c r="AJ117" i="29"/>
  <c r="AI119" i="29"/>
  <c r="AJ118" i="29" s="1"/>
  <c r="AC39" i="29"/>
  <c r="AC40" i="29"/>
  <c r="AD53" i="29"/>
  <c r="AE52" i="29" s="1"/>
  <c r="AJ100" i="29"/>
  <c r="AI102" i="29"/>
  <c r="AC35" i="29"/>
  <c r="AB42" i="29"/>
  <c r="AB44" i="29" s="1"/>
  <c r="AH49" i="29"/>
  <c r="AG51" i="29"/>
  <c r="AH50" i="29" s="1"/>
  <c r="AE32" i="29"/>
  <c r="AD34" i="29"/>
  <c r="AE33" i="29" s="1"/>
  <c r="AD57" i="29"/>
  <c r="AD56" i="29"/>
  <c r="AL100" i="28"/>
  <c r="AK102" i="28"/>
  <c r="AM32" i="28"/>
  <c r="AL34" i="28"/>
  <c r="AM33" i="28" s="1"/>
  <c r="AO151" i="28"/>
  <c r="AN153" i="28"/>
  <c r="AO152" i="28" s="1"/>
  <c r="AN66" i="28"/>
  <c r="AM68" i="28"/>
  <c r="AN67" i="28" s="1"/>
  <c r="AK83" i="28"/>
  <c r="AJ85" i="28"/>
  <c r="AC52" i="19"/>
  <c r="AC80" i="19"/>
  <c r="AB80" i="19"/>
  <c r="AJ101" i="29" l="1"/>
  <c r="AR16" i="19"/>
  <c r="AQ28" i="19"/>
  <c r="AL101" i="28"/>
  <c r="AS43" i="19"/>
  <c r="AR55" i="19"/>
  <c r="AB40" i="28"/>
  <c r="AC40" i="28" s="1"/>
  <c r="Y25" i="29"/>
  <c r="Y27" i="29" s="1"/>
  <c r="X194" i="28"/>
  <c r="AB39" i="28"/>
  <c r="Y25" i="28"/>
  <c r="Y194" i="28" s="1"/>
  <c r="AA76" i="29"/>
  <c r="AA78" i="29" s="1"/>
  <c r="AB16" i="28"/>
  <c r="AA186" i="28"/>
  <c r="W196" i="29"/>
  <c r="X39" i="18"/>
  <c r="X50" i="18" s="1"/>
  <c r="X196" i="28"/>
  <c r="Y66" i="18"/>
  <c r="Y77" i="18" s="1"/>
  <c r="X27" i="29"/>
  <c r="X194" i="29"/>
  <c r="Z187" i="29"/>
  <c r="Y192" i="28"/>
  <c r="Z22" i="28"/>
  <c r="Z191" i="28" s="1"/>
  <c r="Z23" i="28"/>
  <c r="W196" i="28"/>
  <c r="X66" i="18"/>
  <c r="X77" i="18" s="1"/>
  <c r="AA18" i="29"/>
  <c r="Z188" i="29"/>
  <c r="Z188" i="28"/>
  <c r="AA18" i="28"/>
  <c r="AB190" i="28"/>
  <c r="AA185" i="28"/>
  <c r="AB74" i="18" s="1"/>
  <c r="AA19" i="28"/>
  <c r="AA185" i="29"/>
  <c r="AB47" i="18" s="1"/>
  <c r="AA19" i="29"/>
  <c r="Y192" i="29"/>
  <c r="Z23" i="29"/>
  <c r="Z22" i="29"/>
  <c r="Z191" i="29" s="1"/>
  <c r="AB74" i="29"/>
  <c r="AB76" i="29" s="1"/>
  <c r="AB78" i="29" s="1"/>
  <c r="AB190" i="29"/>
  <c r="AB16" i="29"/>
  <c r="AA186" i="29"/>
  <c r="Z187" i="28"/>
  <c r="AB184" i="29"/>
  <c r="AC40" i="18"/>
  <c r="AC15" i="29"/>
  <c r="AB17" i="29"/>
  <c r="AB184" i="28"/>
  <c r="AC15" i="28"/>
  <c r="AC17" i="28" s="1"/>
  <c r="AB17" i="28"/>
  <c r="AC67" i="18"/>
  <c r="AJ67" i="29"/>
  <c r="AC74" i="28"/>
  <c r="AB76" i="28"/>
  <c r="AB78" i="28" s="1"/>
  <c r="AD53" i="18"/>
  <c r="AE41" i="18"/>
  <c r="AE50" i="28"/>
  <c r="AG84" i="28"/>
  <c r="AH84" i="28" s="1"/>
  <c r="AI84" i="28" s="1"/>
  <c r="AJ84" i="28" s="1"/>
  <c r="AK84" i="28" s="1"/>
  <c r="AC176" i="28"/>
  <c r="AD175" i="28" s="1"/>
  <c r="AE67" i="19"/>
  <c r="AE69" i="19" s="1"/>
  <c r="AE39" i="19"/>
  <c r="AE41" i="19" s="1"/>
  <c r="AC53" i="28"/>
  <c r="AD52" i="28" s="1"/>
  <c r="AF66" i="19"/>
  <c r="AF65" i="19"/>
  <c r="AC172" i="28"/>
  <c r="AD171" i="28" s="1"/>
  <c r="AF38" i="19"/>
  <c r="AF37" i="19"/>
  <c r="AB127" i="29"/>
  <c r="AB129" i="29" s="1"/>
  <c r="AB93" i="29"/>
  <c r="AB95" i="29" s="1"/>
  <c r="AB110" i="28"/>
  <c r="AB112" i="28" s="1"/>
  <c r="AB178" i="28"/>
  <c r="AB180" i="28" s="1"/>
  <c r="AB59" i="28"/>
  <c r="AB61" i="28" s="1"/>
  <c r="AB144" i="29"/>
  <c r="AB146" i="29" s="1"/>
  <c r="AC158" i="29"/>
  <c r="AB161" i="29"/>
  <c r="AB163" i="29" s="1"/>
  <c r="AC141" i="28"/>
  <c r="AD53" i="28"/>
  <c r="AE52" i="28" s="1"/>
  <c r="AC158" i="28"/>
  <c r="AB161" i="28"/>
  <c r="AB163" i="28" s="1"/>
  <c r="AC107" i="29"/>
  <c r="AB110" i="29"/>
  <c r="AB112" i="29" s="1"/>
  <c r="AC140" i="28"/>
  <c r="AC138" i="28"/>
  <c r="AD137" i="28" s="1"/>
  <c r="AC106" i="29"/>
  <c r="AC108" i="29" s="1"/>
  <c r="AC104" i="29"/>
  <c r="AD103" i="29" s="1"/>
  <c r="AE49" i="28"/>
  <c r="AC157" i="29"/>
  <c r="AC159" i="29" s="1"/>
  <c r="AC155" i="29"/>
  <c r="AD154" i="29" s="1"/>
  <c r="AE151" i="29"/>
  <c r="AD153" i="29"/>
  <c r="AE152" i="29" s="1"/>
  <c r="AC108" i="28"/>
  <c r="AC107" i="28"/>
  <c r="AC91" i="29"/>
  <c r="AC90" i="29"/>
  <c r="AE70" i="28"/>
  <c r="AC124" i="28"/>
  <c r="AC125" i="28"/>
  <c r="AC56" i="28"/>
  <c r="AC57" i="28"/>
  <c r="AG104" i="28"/>
  <c r="AH103" i="28" s="1"/>
  <c r="AE134" i="28"/>
  <c r="AF134" i="28" s="1"/>
  <c r="AF87" i="28"/>
  <c r="AG86" i="28" s="1"/>
  <c r="AC172" i="29"/>
  <c r="AD171" i="29" s="1"/>
  <c r="AC90" i="28"/>
  <c r="AC91" i="28"/>
  <c r="AE168" i="28"/>
  <c r="AD170" i="28"/>
  <c r="AE169" i="28" s="1"/>
  <c r="AD136" i="29"/>
  <c r="AE135" i="29" s="1"/>
  <c r="AB93" i="28"/>
  <c r="AB95" i="28" s="1"/>
  <c r="AC36" i="28"/>
  <c r="AD35" i="28" s="1"/>
  <c r="AC176" i="29"/>
  <c r="AC175" i="29"/>
  <c r="AE134" i="29"/>
  <c r="AB127" i="28"/>
  <c r="AB129" i="28" s="1"/>
  <c r="AC141" i="29"/>
  <c r="AC142" i="29"/>
  <c r="AB178" i="29"/>
  <c r="AB180" i="29" s="1"/>
  <c r="AD174" i="29"/>
  <c r="AD123" i="29"/>
  <c r="AD121" i="29"/>
  <c r="AE120" i="29" s="1"/>
  <c r="AB144" i="28"/>
  <c r="AB146" i="28" s="1"/>
  <c r="AE117" i="28"/>
  <c r="AD119" i="28"/>
  <c r="AE118" i="28" s="1"/>
  <c r="AE168" i="29"/>
  <c r="AD170" i="29"/>
  <c r="AE169" i="29" s="1"/>
  <c r="AC72" i="29"/>
  <c r="AC70" i="29"/>
  <c r="AD69" i="29" s="1"/>
  <c r="AD136" i="28"/>
  <c r="AE135" i="28" s="1"/>
  <c r="AC157" i="28"/>
  <c r="AC159" i="28" s="1"/>
  <c r="AC155" i="28"/>
  <c r="AD154" i="28" s="1"/>
  <c r="AD89" i="29"/>
  <c r="AD87" i="29"/>
  <c r="AE86" i="29" s="1"/>
  <c r="AC124" i="29"/>
  <c r="AC125" i="29"/>
  <c r="AD174" i="28"/>
  <c r="AD59" i="29"/>
  <c r="AD61" i="29" s="1"/>
  <c r="AF32" i="29"/>
  <c r="AE34" i="29"/>
  <c r="AF33" i="29" s="1"/>
  <c r="AK100" i="29"/>
  <c r="AJ102" i="29"/>
  <c r="AK101" i="29" s="1"/>
  <c r="AK117" i="29"/>
  <c r="AJ119" i="29"/>
  <c r="AK118" i="29" s="1"/>
  <c r="AC42" i="29"/>
  <c r="AC44" i="29" s="1"/>
  <c r="AI49" i="29"/>
  <c r="AH51" i="29"/>
  <c r="AI50" i="29" s="1"/>
  <c r="AE53" i="29"/>
  <c r="AF52" i="29" s="1"/>
  <c r="AD39" i="29"/>
  <c r="AD40" i="29"/>
  <c r="AE57" i="29"/>
  <c r="AE56" i="29"/>
  <c r="AK66" i="29"/>
  <c r="AJ68" i="29"/>
  <c r="AD36" i="29"/>
  <c r="AO66" i="28"/>
  <c r="AN68" i="28"/>
  <c r="AO67" i="28" s="1"/>
  <c r="AM100" i="28"/>
  <c r="AL102" i="28"/>
  <c r="AP151" i="28"/>
  <c r="AO153" i="28"/>
  <c r="AP152" i="28" s="1"/>
  <c r="AN32" i="28"/>
  <c r="AM34" i="28"/>
  <c r="AN33" i="28" s="1"/>
  <c r="AL83" i="28"/>
  <c r="AK85" i="28"/>
  <c r="AD52" i="19"/>
  <c r="AC39" i="28" l="1"/>
  <c r="AM101" i="28"/>
  <c r="AS16" i="19"/>
  <c r="AR28" i="19"/>
  <c r="AB42" i="28"/>
  <c r="AB44" i="28" s="1"/>
  <c r="AT43" i="19"/>
  <c r="AS55" i="19"/>
  <c r="Y27" i="28"/>
  <c r="Y196" i="28" s="1"/>
  <c r="Y194" i="29"/>
  <c r="AK67" i="29"/>
  <c r="Z25" i="28"/>
  <c r="Z194" i="28" s="1"/>
  <c r="AC73" i="29"/>
  <c r="AC186" i="28"/>
  <c r="AA187" i="28"/>
  <c r="Z192" i="28"/>
  <c r="AA22" i="28"/>
  <c r="AA191" i="28" s="1"/>
  <c r="AA23" i="28"/>
  <c r="AC16" i="28"/>
  <c r="AB186" i="28"/>
  <c r="AB185" i="29"/>
  <c r="AC47" i="18" s="1"/>
  <c r="AB19" i="29"/>
  <c r="AA188" i="29"/>
  <c r="AB18" i="29"/>
  <c r="Y196" i="29"/>
  <c r="Z39" i="18"/>
  <c r="Z50" i="18" s="1"/>
  <c r="Z25" i="29"/>
  <c r="AC184" i="28"/>
  <c r="AD15" i="28"/>
  <c r="AD67" i="18"/>
  <c r="AB18" i="28"/>
  <c r="AA188" i="28"/>
  <c r="AA187" i="29"/>
  <c r="AC74" i="29"/>
  <c r="AD74" i="29" s="1"/>
  <c r="AC190" i="29"/>
  <c r="X196" i="29"/>
  <c r="Y39" i="18"/>
  <c r="Y50" i="18" s="1"/>
  <c r="Z192" i="29"/>
  <c r="AA23" i="29"/>
  <c r="AA22" i="29"/>
  <c r="AA191" i="29" s="1"/>
  <c r="AC184" i="29"/>
  <c r="AD15" i="29"/>
  <c r="AC17" i="29"/>
  <c r="AD40" i="18"/>
  <c r="AC142" i="28"/>
  <c r="AD141" i="28" s="1"/>
  <c r="AC190" i="28"/>
  <c r="AC16" i="29"/>
  <c r="AB186" i="29"/>
  <c r="AB185" i="28"/>
  <c r="AC74" i="18" s="1"/>
  <c r="AB19" i="28"/>
  <c r="AD176" i="28"/>
  <c r="AE175" i="28" s="1"/>
  <c r="AC76" i="28"/>
  <c r="AC78" i="28" s="1"/>
  <c r="AD73" i="28"/>
  <c r="AD74" i="28"/>
  <c r="AE53" i="18"/>
  <c r="AF41" i="18"/>
  <c r="AG87" i="28"/>
  <c r="AH86" i="28" s="1"/>
  <c r="AL84" i="28"/>
  <c r="AF39" i="19"/>
  <c r="AF41" i="19" s="1"/>
  <c r="AF67" i="19"/>
  <c r="AF69" i="19" s="1"/>
  <c r="AC178" i="28"/>
  <c r="AC180" i="28" s="1"/>
  <c r="AG66" i="19"/>
  <c r="AG65" i="19"/>
  <c r="AG38" i="19"/>
  <c r="AG37" i="19"/>
  <c r="AC127" i="28"/>
  <c r="AC129" i="28" s="1"/>
  <c r="AD172" i="29"/>
  <c r="AE171" i="29" s="1"/>
  <c r="AC110" i="28"/>
  <c r="AC112" i="28" s="1"/>
  <c r="AE136" i="28"/>
  <c r="AF135" i="28" s="1"/>
  <c r="AC144" i="29"/>
  <c r="AC146" i="29" s="1"/>
  <c r="AC178" i="29"/>
  <c r="AC180" i="29" s="1"/>
  <c r="AD158" i="29"/>
  <c r="AC161" i="29"/>
  <c r="AC163" i="29" s="1"/>
  <c r="AD158" i="28"/>
  <c r="AC161" i="28"/>
  <c r="AC163" i="28" s="1"/>
  <c r="AD107" i="29"/>
  <c r="AD40" i="28"/>
  <c r="AD39" i="28"/>
  <c r="AD36" i="28"/>
  <c r="AE35" i="28" s="1"/>
  <c r="AG134" i="28"/>
  <c r="AF136" i="28"/>
  <c r="AD90" i="29"/>
  <c r="AD91" i="29"/>
  <c r="AD90" i="28"/>
  <c r="AD91" i="28"/>
  <c r="AE174" i="28"/>
  <c r="AD70" i="29"/>
  <c r="AE69" i="29" s="1"/>
  <c r="AF117" i="28"/>
  <c r="AE119" i="28"/>
  <c r="AF118" i="28" s="1"/>
  <c r="AC93" i="28"/>
  <c r="AC95" i="28" s="1"/>
  <c r="AD107" i="28"/>
  <c r="AD108" i="28"/>
  <c r="AD121" i="28"/>
  <c r="AD140" i="28"/>
  <c r="AD138" i="28"/>
  <c r="AE137" i="28" s="1"/>
  <c r="AF49" i="28"/>
  <c r="AE51" i="28"/>
  <c r="AF50" i="28" s="1"/>
  <c r="AF134" i="29"/>
  <c r="AE136" i="29"/>
  <c r="AF135" i="29" s="1"/>
  <c r="AH104" i="28"/>
  <c r="AI103" i="28" s="1"/>
  <c r="AF69" i="28"/>
  <c r="AF168" i="28"/>
  <c r="AE170" i="28"/>
  <c r="AF169" i="28" s="1"/>
  <c r="AD172" i="28"/>
  <c r="AD157" i="29"/>
  <c r="AD159" i="29" s="1"/>
  <c r="AD155" i="29"/>
  <c r="AE154" i="29" s="1"/>
  <c r="AF70" i="28"/>
  <c r="AG69" i="28" s="1"/>
  <c r="AD106" i="29"/>
  <c r="AD108" i="29" s="1"/>
  <c r="AD104" i="29"/>
  <c r="AE103" i="29" s="1"/>
  <c r="AD124" i="29"/>
  <c r="AD125" i="29"/>
  <c r="AD176" i="29"/>
  <c r="AD175" i="29"/>
  <c r="AC127" i="29"/>
  <c r="AC129" i="29" s="1"/>
  <c r="AD138" i="29"/>
  <c r="AD56" i="28"/>
  <c r="AD57" i="28"/>
  <c r="AD157" i="28"/>
  <c r="AD159" i="28" s="1"/>
  <c r="AD155" i="28"/>
  <c r="AE154" i="28" s="1"/>
  <c r="AC42" i="28"/>
  <c r="AC44" i="28" s="1"/>
  <c r="AC59" i="28"/>
  <c r="AC61" i="28" s="1"/>
  <c r="AF151" i="29"/>
  <c r="AF153" i="29" s="1"/>
  <c r="AE153" i="29"/>
  <c r="AF152" i="29" s="1"/>
  <c r="AD141" i="29"/>
  <c r="AD142" i="29"/>
  <c r="AD124" i="28"/>
  <c r="AD125" i="28"/>
  <c r="AE174" i="29"/>
  <c r="AE123" i="29"/>
  <c r="AE121" i="29"/>
  <c r="AF120" i="29" s="1"/>
  <c r="AC110" i="29"/>
  <c r="AC112" i="29" s="1"/>
  <c r="AE87" i="29"/>
  <c r="AF86" i="29" s="1"/>
  <c r="AF168" i="29"/>
  <c r="AE170" i="29"/>
  <c r="AF169" i="29" s="1"/>
  <c r="AC93" i="29"/>
  <c r="AC95" i="29" s="1"/>
  <c r="AH87" i="28"/>
  <c r="AL100" i="29"/>
  <c r="AK102" i="29"/>
  <c r="AL101" i="29" s="1"/>
  <c r="AL66" i="29"/>
  <c r="AK68" i="29"/>
  <c r="AG32" i="29"/>
  <c r="AF34" i="29"/>
  <c r="AG33" i="29" s="1"/>
  <c r="AF53" i="29"/>
  <c r="AG52" i="29" s="1"/>
  <c r="AE36" i="29"/>
  <c r="AF35" i="29" s="1"/>
  <c r="AF57" i="29"/>
  <c r="AF56" i="29"/>
  <c r="AE39" i="29"/>
  <c r="AE40" i="29"/>
  <c r="AJ49" i="29"/>
  <c r="AI51" i="29"/>
  <c r="AJ50" i="29" s="1"/>
  <c r="AE35" i="29"/>
  <c r="AD42" i="29"/>
  <c r="AD44" i="29" s="1"/>
  <c r="AL117" i="29"/>
  <c r="AK119" i="29"/>
  <c r="AL118" i="29" s="1"/>
  <c r="AE59" i="29"/>
  <c r="AE61" i="29" s="1"/>
  <c r="AM83" i="28"/>
  <c r="AL85" i="28"/>
  <c r="AO32" i="28"/>
  <c r="AN34" i="28"/>
  <c r="AO33" i="28" s="1"/>
  <c r="AN100" i="28"/>
  <c r="AM102" i="28"/>
  <c r="AN101" i="28" s="1"/>
  <c r="AQ151" i="28"/>
  <c r="AP153" i="28"/>
  <c r="AQ152" i="28" s="1"/>
  <c r="AP66" i="28"/>
  <c r="AO68" i="28"/>
  <c r="AP67" i="28" s="1"/>
  <c r="AE52" i="19"/>
  <c r="AD80" i="19"/>
  <c r="AT16" i="19" l="1"/>
  <c r="AS28" i="19"/>
  <c r="AL67" i="29"/>
  <c r="Z66" i="18"/>
  <c r="Z77" i="18" s="1"/>
  <c r="AU43" i="19"/>
  <c r="AT55" i="19"/>
  <c r="Z27" i="28"/>
  <c r="Z196" i="28" s="1"/>
  <c r="AC76" i="29"/>
  <c r="AC78" i="29" s="1"/>
  <c r="AD73" i="29"/>
  <c r="AD76" i="29" s="1"/>
  <c r="AD78" i="29" s="1"/>
  <c r="AC144" i="28"/>
  <c r="AC146" i="28" s="1"/>
  <c r="AE176" i="28"/>
  <c r="AF175" i="28" s="1"/>
  <c r="AD184" i="28"/>
  <c r="AE15" i="28"/>
  <c r="AE17" i="28" s="1"/>
  <c r="AE67" i="18"/>
  <c r="AD17" i="28"/>
  <c r="AA192" i="28"/>
  <c r="AB23" i="28"/>
  <c r="AB22" i="28"/>
  <c r="AB191" i="28" s="1"/>
  <c r="AB188" i="28"/>
  <c r="AC18" i="28"/>
  <c r="Z27" i="29"/>
  <c r="Z194" i="29"/>
  <c r="AD190" i="29"/>
  <c r="AA25" i="28"/>
  <c r="AC185" i="29"/>
  <c r="AD47" i="18" s="1"/>
  <c r="AC19" i="29"/>
  <c r="AD16" i="29"/>
  <c r="AC186" i="29"/>
  <c r="AB187" i="29"/>
  <c r="AD184" i="29"/>
  <c r="AE40" i="18"/>
  <c r="AD17" i="29"/>
  <c r="AE15" i="29"/>
  <c r="AC18" i="29"/>
  <c r="AB188" i="29"/>
  <c r="AA25" i="29"/>
  <c r="AC185" i="28"/>
  <c r="AD74" i="18" s="1"/>
  <c r="AC19" i="28"/>
  <c r="AA192" i="29"/>
  <c r="AB23" i="29"/>
  <c r="AB22" i="29"/>
  <c r="AB191" i="29" s="1"/>
  <c r="AB187" i="28"/>
  <c r="AD142" i="28"/>
  <c r="AE141" i="28" s="1"/>
  <c r="AD190" i="28"/>
  <c r="AD16" i="28"/>
  <c r="AD76" i="28"/>
  <c r="AD78" i="28" s="1"/>
  <c r="AE74" i="28"/>
  <c r="AE73" i="28"/>
  <c r="AG41" i="18"/>
  <c r="AF53" i="18"/>
  <c r="AG152" i="29"/>
  <c r="AG135" i="28"/>
  <c r="AM84" i="28"/>
  <c r="AG39" i="19"/>
  <c r="AG41" i="19" s="1"/>
  <c r="AG67" i="19"/>
  <c r="AG69" i="19" s="1"/>
  <c r="AH66" i="19"/>
  <c r="AH65" i="19"/>
  <c r="AF140" i="28"/>
  <c r="AE140" i="28"/>
  <c r="AH37" i="19"/>
  <c r="AH38" i="19"/>
  <c r="AD93" i="29"/>
  <c r="AD95" i="29" s="1"/>
  <c r="AD42" i="28"/>
  <c r="AD44" i="28" s="1"/>
  <c r="AE138" i="28"/>
  <c r="AF137" i="28" s="1"/>
  <c r="AF123" i="28"/>
  <c r="AD127" i="29"/>
  <c r="AD129" i="29" s="1"/>
  <c r="AD178" i="29"/>
  <c r="AD180" i="29" s="1"/>
  <c r="AE158" i="28"/>
  <c r="AD161" i="28"/>
  <c r="AD163" i="28" s="1"/>
  <c r="AE158" i="29"/>
  <c r="AD161" i="29"/>
  <c r="AD163" i="29" s="1"/>
  <c r="AE107" i="29"/>
  <c r="AE137" i="29"/>
  <c r="AD144" i="29"/>
  <c r="AD146" i="29" s="1"/>
  <c r="AE40" i="28"/>
  <c r="AE39" i="28"/>
  <c r="AE106" i="29"/>
  <c r="AE104" i="29"/>
  <c r="AF103" i="29" s="1"/>
  <c r="AE171" i="28"/>
  <c r="AD178" i="28"/>
  <c r="AD180" i="28" s="1"/>
  <c r="AE107" i="28"/>
  <c r="AE108" i="28"/>
  <c r="AG168" i="29"/>
  <c r="AF170" i="29"/>
  <c r="AG169" i="29" s="1"/>
  <c r="AE172" i="29"/>
  <c r="AD110" i="28"/>
  <c r="AD112" i="28" s="1"/>
  <c r="AE140" i="29"/>
  <c r="AE142" i="29" s="1"/>
  <c r="AE138" i="29"/>
  <c r="AF137" i="29" s="1"/>
  <c r="AF174" i="29"/>
  <c r="AG70" i="28"/>
  <c r="AE172" i="28"/>
  <c r="AF171" i="28" s="1"/>
  <c r="AI104" i="28"/>
  <c r="AJ103" i="28" s="1"/>
  <c r="AF87" i="29"/>
  <c r="AG86" i="29" s="1"/>
  <c r="AF174" i="28"/>
  <c r="AG134" i="29"/>
  <c r="AG136" i="29" s="1"/>
  <c r="AF136" i="29"/>
  <c r="AG135" i="29" s="1"/>
  <c r="AE90" i="29"/>
  <c r="AE91" i="29"/>
  <c r="AG49" i="28"/>
  <c r="AG51" i="28" s="1"/>
  <c r="AG151" i="29"/>
  <c r="AG153" i="29" s="1"/>
  <c r="AG168" i="28"/>
  <c r="AF170" i="28"/>
  <c r="AG169" i="28" s="1"/>
  <c r="AH134" i="28"/>
  <c r="AG136" i="28"/>
  <c r="AE175" i="29"/>
  <c r="AE176" i="29"/>
  <c r="AD110" i="29"/>
  <c r="AD112" i="29" s="1"/>
  <c r="AE74" i="29"/>
  <c r="AE73" i="29"/>
  <c r="AE91" i="28"/>
  <c r="AE90" i="28"/>
  <c r="AF123" i="29"/>
  <c r="AF121" i="29"/>
  <c r="AG120" i="29" s="1"/>
  <c r="AE124" i="28"/>
  <c r="AE157" i="29"/>
  <c r="AE159" i="29" s="1"/>
  <c r="AE155" i="29"/>
  <c r="AF154" i="29" s="1"/>
  <c r="AE124" i="29"/>
  <c r="AE125" i="29"/>
  <c r="AF51" i="28"/>
  <c r="AG50" i="28" s="1"/>
  <c r="AD93" i="28"/>
  <c r="AD95" i="28" s="1"/>
  <c r="AE36" i="28"/>
  <c r="AF35" i="28" s="1"/>
  <c r="AE141" i="29"/>
  <c r="AE56" i="28"/>
  <c r="AE57" i="28"/>
  <c r="AE53" i="28"/>
  <c r="AE120" i="28"/>
  <c r="AD127" i="28"/>
  <c r="AD129" i="28" s="1"/>
  <c r="AG117" i="28"/>
  <c r="AG119" i="28" s="1"/>
  <c r="AF119" i="28"/>
  <c r="AG118" i="28" s="1"/>
  <c r="AE157" i="28"/>
  <c r="AE159" i="28" s="1"/>
  <c r="AE155" i="28"/>
  <c r="AF154" i="28" s="1"/>
  <c r="AD59" i="28"/>
  <c r="AD61" i="28" s="1"/>
  <c r="AE123" i="28"/>
  <c r="AE121" i="28"/>
  <c r="AF120" i="28" s="1"/>
  <c r="AE70" i="29"/>
  <c r="AF69" i="29" s="1"/>
  <c r="AI87" i="28"/>
  <c r="AJ86" i="28" s="1"/>
  <c r="AI86" i="28"/>
  <c r="AF36" i="29"/>
  <c r="AG35" i="29" s="1"/>
  <c r="AE42" i="29"/>
  <c r="AE44" i="29" s="1"/>
  <c r="AK49" i="29"/>
  <c r="AJ51" i="29"/>
  <c r="AK50" i="29" s="1"/>
  <c r="AG53" i="29"/>
  <c r="AH52" i="29" s="1"/>
  <c r="AF59" i="29"/>
  <c r="AF61" i="29" s="1"/>
  <c r="AM100" i="29"/>
  <c r="AL102" i="29"/>
  <c r="AM101" i="29" s="1"/>
  <c r="AM117" i="29"/>
  <c r="AL119" i="29"/>
  <c r="AM118" i="29" s="1"/>
  <c r="AF39" i="29"/>
  <c r="AF40" i="29"/>
  <c r="AH32" i="29"/>
  <c r="AG34" i="29"/>
  <c r="AH33" i="29" s="1"/>
  <c r="AG57" i="29"/>
  <c r="AG56" i="29"/>
  <c r="AM66" i="29"/>
  <c r="AL68" i="29"/>
  <c r="AO100" i="28"/>
  <c r="AN102" i="28"/>
  <c r="AO101" i="28" s="1"/>
  <c r="AQ66" i="28"/>
  <c r="AP68" i="28"/>
  <c r="AQ67" i="28" s="1"/>
  <c r="AR151" i="28"/>
  <c r="AQ153" i="28"/>
  <c r="AR152" i="28" s="1"/>
  <c r="AP32" i="28"/>
  <c r="AO34" i="28"/>
  <c r="AP33" i="28" s="1"/>
  <c r="AN83" i="28"/>
  <c r="AM85" i="28"/>
  <c r="AF80" i="19"/>
  <c r="AF52" i="19"/>
  <c r="AE80" i="19"/>
  <c r="AM67" i="29" l="1"/>
  <c r="AU16" i="19"/>
  <c r="AT28" i="19"/>
  <c r="AB25" i="28"/>
  <c r="AB27" i="28" s="1"/>
  <c r="AV43" i="19"/>
  <c r="AU55" i="19"/>
  <c r="AA66" i="18"/>
  <c r="AA77" i="18" s="1"/>
  <c r="AF176" i="28"/>
  <c r="AG175" i="28" s="1"/>
  <c r="AD144" i="28"/>
  <c r="AD146" i="28" s="1"/>
  <c r="AE142" i="28"/>
  <c r="AE144" i="28" s="1"/>
  <c r="AE146" i="28" s="1"/>
  <c r="AB25" i="29"/>
  <c r="AB27" i="29" s="1"/>
  <c r="AA27" i="29"/>
  <c r="AA194" i="29"/>
  <c r="Z196" i="29"/>
  <c r="AA39" i="18"/>
  <c r="AA50" i="18" s="1"/>
  <c r="AC187" i="28"/>
  <c r="AB192" i="29"/>
  <c r="AC23" i="29"/>
  <c r="AC22" i="29"/>
  <c r="AC191" i="29" s="1"/>
  <c r="AD185" i="29"/>
  <c r="AE47" i="18" s="1"/>
  <c r="AD19" i="29"/>
  <c r="AB192" i="28"/>
  <c r="AC23" i="28"/>
  <c r="AC22" i="28"/>
  <c r="AC191" i="28" s="1"/>
  <c r="AC188" i="29"/>
  <c r="AD18" i="29"/>
  <c r="AD185" i="28"/>
  <c r="AE74" i="18" s="1"/>
  <c r="AD19" i="28"/>
  <c r="AC187" i="29"/>
  <c r="AE16" i="28"/>
  <c r="AF16" i="28" s="1"/>
  <c r="AF185" i="28" s="1"/>
  <c r="AG74" i="18" s="1"/>
  <c r="AD186" i="28"/>
  <c r="AA27" i="28"/>
  <c r="AA194" i="28"/>
  <c r="AD18" i="28"/>
  <c r="AC188" i="28"/>
  <c r="AE184" i="29"/>
  <c r="AF40" i="18"/>
  <c r="AF15" i="29"/>
  <c r="AE17" i="29"/>
  <c r="AE184" i="28"/>
  <c r="AF15" i="28"/>
  <c r="AF67" i="18"/>
  <c r="AE186" i="28"/>
  <c r="AE16" i="29"/>
  <c r="AD186" i="29"/>
  <c r="AE125" i="28"/>
  <c r="AE127" i="28" s="1"/>
  <c r="AE129" i="28" s="1"/>
  <c r="AE190" i="28"/>
  <c r="AE108" i="29"/>
  <c r="AF107" i="29" s="1"/>
  <c r="AE190" i="29"/>
  <c r="AE76" i="28"/>
  <c r="AE78" i="28" s="1"/>
  <c r="AF73" i="28"/>
  <c r="AF74" i="28"/>
  <c r="AH152" i="29"/>
  <c r="AG53" i="18"/>
  <c r="AH41" i="18"/>
  <c r="AH135" i="29"/>
  <c r="AH50" i="28"/>
  <c r="AN84" i="28"/>
  <c r="AH118" i="28"/>
  <c r="AH135" i="28"/>
  <c r="AF138" i="28"/>
  <c r="AG137" i="28" s="1"/>
  <c r="AH67" i="19"/>
  <c r="AH69" i="19" s="1"/>
  <c r="AI65" i="19"/>
  <c r="AI66" i="19"/>
  <c r="AI37" i="19"/>
  <c r="AI38" i="19"/>
  <c r="AH39" i="19"/>
  <c r="AH41" i="19" s="1"/>
  <c r="AF121" i="28"/>
  <c r="AG120" i="28" s="1"/>
  <c r="AE110" i="28"/>
  <c r="AE112" i="28" s="1"/>
  <c r="AG53" i="28"/>
  <c r="AH52" i="28" s="1"/>
  <c r="AE127" i="29"/>
  <c r="AE129" i="29" s="1"/>
  <c r="AE93" i="29"/>
  <c r="AE95" i="29" s="1"/>
  <c r="AE42" i="28"/>
  <c r="AE44" i="28" s="1"/>
  <c r="AE93" i="28"/>
  <c r="AE95" i="28" s="1"/>
  <c r="AF158" i="28"/>
  <c r="AF141" i="29"/>
  <c r="AF70" i="29"/>
  <c r="AG69" i="29" s="1"/>
  <c r="AF57" i="28"/>
  <c r="AF56" i="28"/>
  <c r="AH136" i="28"/>
  <c r="AJ104" i="28"/>
  <c r="AK103" i="28" s="1"/>
  <c r="AE144" i="29"/>
  <c r="AE146" i="29" s="1"/>
  <c r="AF125" i="29"/>
  <c r="AF124" i="29"/>
  <c r="AF73" i="29"/>
  <c r="AF74" i="29"/>
  <c r="AE178" i="28"/>
  <c r="AE180" i="28" s="1"/>
  <c r="AE161" i="28"/>
  <c r="AE163" i="28" s="1"/>
  <c r="AG174" i="28"/>
  <c r="AH134" i="29"/>
  <c r="AF158" i="29"/>
  <c r="AH168" i="28"/>
  <c r="AG170" i="28"/>
  <c r="AH169" i="28" s="1"/>
  <c r="AH49" i="28"/>
  <c r="AH51" i="28" s="1"/>
  <c r="AF172" i="28"/>
  <c r="AG171" i="28" s="1"/>
  <c r="AH70" i="28"/>
  <c r="AI69" i="28" s="1"/>
  <c r="AF104" i="29"/>
  <c r="AG103" i="29" s="1"/>
  <c r="AH117" i="28"/>
  <c r="AH69" i="28"/>
  <c r="AF171" i="29"/>
  <c r="AE178" i="29"/>
  <c r="AE180" i="29" s="1"/>
  <c r="AI134" i="28"/>
  <c r="AJ134" i="28" s="1"/>
  <c r="AK134" i="28" s="1"/>
  <c r="AL134" i="28" s="1"/>
  <c r="AM134" i="28" s="1"/>
  <c r="AN134" i="28" s="1"/>
  <c r="AO134" i="28" s="1"/>
  <c r="AP134" i="28" s="1"/>
  <c r="AQ134" i="28" s="1"/>
  <c r="AF157" i="28"/>
  <c r="AF159" i="28" s="1"/>
  <c r="AF155" i="28"/>
  <c r="AG154" i="28" s="1"/>
  <c r="AF176" i="29"/>
  <c r="AF175" i="29"/>
  <c r="AF91" i="29"/>
  <c r="AF90" i="29"/>
  <c r="AF157" i="29"/>
  <c r="AF159" i="29" s="1"/>
  <c r="AF155" i="29"/>
  <c r="AG154" i="29" s="1"/>
  <c r="AF52" i="28"/>
  <c r="AE59" i="28"/>
  <c r="AE61" i="28" s="1"/>
  <c r="AF140" i="29"/>
  <c r="AF142" i="29" s="1"/>
  <c r="AF138" i="29"/>
  <c r="AG137" i="29" s="1"/>
  <c r="AE161" i="29"/>
  <c r="AE163" i="29" s="1"/>
  <c r="AF53" i="28"/>
  <c r="AG52" i="28" s="1"/>
  <c r="AG121" i="29"/>
  <c r="AH120" i="29" s="1"/>
  <c r="AG87" i="29"/>
  <c r="AH86" i="29" s="1"/>
  <c r="AG174" i="29"/>
  <c r="AH151" i="29"/>
  <c r="AF172" i="29"/>
  <c r="AG171" i="29" s="1"/>
  <c r="AH168" i="29"/>
  <c r="AG170" i="29"/>
  <c r="AH169" i="29" s="1"/>
  <c r="AF40" i="28"/>
  <c r="AF39" i="28"/>
  <c r="AF36" i="28"/>
  <c r="AG35" i="28" s="1"/>
  <c r="AF90" i="28"/>
  <c r="AF91" i="28"/>
  <c r="AF108" i="28"/>
  <c r="AF107" i="28"/>
  <c r="AE76" i="29"/>
  <c r="AE78" i="29" s="1"/>
  <c r="AJ87" i="28"/>
  <c r="AG36" i="29"/>
  <c r="AH35" i="29" s="1"/>
  <c r="AF42" i="29"/>
  <c r="AF44" i="29" s="1"/>
  <c r="AG59" i="29"/>
  <c r="AG61" i="29" s="1"/>
  <c r="AH57" i="29"/>
  <c r="AH56" i="29"/>
  <c r="AI32" i="29"/>
  <c r="AH34" i="29"/>
  <c r="AI33" i="29" s="1"/>
  <c r="AG39" i="29"/>
  <c r="AG40" i="29"/>
  <c r="AL49" i="29"/>
  <c r="AK51" i="29"/>
  <c r="AL50" i="29" s="1"/>
  <c r="AN66" i="29"/>
  <c r="AM68" i="29"/>
  <c r="AN67" i="29" s="1"/>
  <c r="AH53" i="29"/>
  <c r="AI52" i="29" s="1"/>
  <c r="AN117" i="29"/>
  <c r="AM119" i="29"/>
  <c r="AN118" i="29" s="1"/>
  <c r="AN100" i="29"/>
  <c r="AM102" i="29"/>
  <c r="AN101" i="29" s="1"/>
  <c r="AQ32" i="28"/>
  <c r="AP34" i="28"/>
  <c r="AQ33" i="28" s="1"/>
  <c r="AP100" i="28"/>
  <c r="AO102" i="28"/>
  <c r="AP101" i="28" s="1"/>
  <c r="AO83" i="28"/>
  <c r="AN85" i="28"/>
  <c r="AS151" i="28"/>
  <c r="AR153" i="28"/>
  <c r="AS152" i="28" s="1"/>
  <c r="AR66" i="28"/>
  <c r="AQ68" i="28"/>
  <c r="AR67" i="28" s="1"/>
  <c r="AG52" i="19"/>
  <c r="AG80" i="19"/>
  <c r="AV16" i="19" l="1"/>
  <c r="AU28" i="19"/>
  <c r="AB194" i="28"/>
  <c r="AF141" i="28"/>
  <c r="AF142" i="28"/>
  <c r="AG141" i="28" s="1"/>
  <c r="AW43" i="19"/>
  <c r="AV55" i="19"/>
  <c r="AG176" i="28"/>
  <c r="AH175" i="28" s="1"/>
  <c r="AF124" i="28"/>
  <c r="AC25" i="29"/>
  <c r="AC194" i="29" s="1"/>
  <c r="AF125" i="28"/>
  <c r="AG124" i="28" s="1"/>
  <c r="AB194" i="29"/>
  <c r="AE110" i="29"/>
  <c r="AE112" i="29" s="1"/>
  <c r="AF108" i="29"/>
  <c r="AG107" i="29" s="1"/>
  <c r="AC25" i="28"/>
  <c r="AC194" i="28" s="1"/>
  <c r="AD187" i="29"/>
  <c r="AD187" i="28"/>
  <c r="AC192" i="28"/>
  <c r="AD22" i="28"/>
  <c r="AD191" i="28" s="1"/>
  <c r="AD23" i="28"/>
  <c r="AB196" i="28"/>
  <c r="AC66" i="18"/>
  <c r="AC77" i="18" s="1"/>
  <c r="AF190" i="29"/>
  <c r="AF190" i="28"/>
  <c r="AE18" i="29"/>
  <c r="AD188" i="29"/>
  <c r="AF184" i="28"/>
  <c r="AG15" i="28"/>
  <c r="AG67" i="18"/>
  <c r="AA196" i="28"/>
  <c r="AB66" i="18"/>
  <c r="AB77" i="18" s="1"/>
  <c r="AA196" i="29"/>
  <c r="AB39" i="18"/>
  <c r="AB50" i="18" s="1"/>
  <c r="AF16" i="29"/>
  <c r="AE186" i="29"/>
  <c r="AE185" i="28"/>
  <c r="AF74" i="18" s="1"/>
  <c r="AE19" i="28"/>
  <c r="AF184" i="29"/>
  <c r="AG40" i="18"/>
  <c r="AG15" i="29"/>
  <c r="AF17" i="29"/>
  <c r="AC192" i="29"/>
  <c r="AD23" i="29"/>
  <c r="AD22" i="29"/>
  <c r="AD191" i="29" s="1"/>
  <c r="AF17" i="28"/>
  <c r="AE185" i="29"/>
  <c r="AF47" i="18" s="1"/>
  <c r="AE19" i="29"/>
  <c r="AE18" i="28"/>
  <c r="AD188" i="28"/>
  <c r="AB196" i="29"/>
  <c r="AC39" i="18"/>
  <c r="AC50" i="18" s="1"/>
  <c r="AF76" i="28"/>
  <c r="AF78" i="28" s="1"/>
  <c r="AG73" i="28"/>
  <c r="AG74" i="28"/>
  <c r="AI50" i="28"/>
  <c r="AI41" i="18"/>
  <c r="AH53" i="18"/>
  <c r="AI135" i="28"/>
  <c r="AO84" i="28"/>
  <c r="AG140" i="29"/>
  <c r="AG140" i="28"/>
  <c r="AG138" i="28"/>
  <c r="AH137" i="28" s="1"/>
  <c r="AG138" i="29"/>
  <c r="AH137" i="29" s="1"/>
  <c r="AG121" i="28"/>
  <c r="AH120" i="28" s="1"/>
  <c r="AJ66" i="19"/>
  <c r="AJ65" i="19"/>
  <c r="AP136" i="28"/>
  <c r="AI67" i="19"/>
  <c r="AI69" i="19" s="1"/>
  <c r="AH138" i="28"/>
  <c r="AI137" i="28" s="1"/>
  <c r="AJ37" i="19"/>
  <c r="AJ38" i="19"/>
  <c r="AF127" i="29"/>
  <c r="AF129" i="29" s="1"/>
  <c r="AI39" i="19"/>
  <c r="AI41" i="19" s="1"/>
  <c r="AF110" i="28"/>
  <c r="AF112" i="28" s="1"/>
  <c r="AL136" i="28"/>
  <c r="AG172" i="28"/>
  <c r="AH171" i="28" s="1"/>
  <c r="AK136" i="28"/>
  <c r="AF76" i="29"/>
  <c r="AF78" i="29" s="1"/>
  <c r="AJ136" i="28"/>
  <c r="AM136" i="28"/>
  <c r="AN136" i="28"/>
  <c r="AF93" i="28"/>
  <c r="AF95" i="28" s="1"/>
  <c r="AF59" i="28"/>
  <c r="AF61" i="28" s="1"/>
  <c r="AH53" i="28"/>
  <c r="AI52" i="28" s="1"/>
  <c r="AG172" i="29"/>
  <c r="AH171" i="29" s="1"/>
  <c r="AG141" i="29"/>
  <c r="AG158" i="28"/>
  <c r="AF144" i="29"/>
  <c r="AF146" i="29" s="1"/>
  <c r="AF93" i="29"/>
  <c r="AF95" i="29" s="1"/>
  <c r="AF178" i="28"/>
  <c r="AF180" i="28" s="1"/>
  <c r="AI134" i="29"/>
  <c r="AH87" i="29"/>
  <c r="AI86" i="29" s="1"/>
  <c r="AG104" i="29"/>
  <c r="AH103" i="29" s="1"/>
  <c r="AI168" i="28"/>
  <c r="AH170" i="28"/>
  <c r="AI169" i="28" s="1"/>
  <c r="AG91" i="29"/>
  <c r="AG90" i="29"/>
  <c r="AG157" i="28"/>
  <c r="AG159" i="28" s="1"/>
  <c r="AG155" i="28"/>
  <c r="AH154" i="28" s="1"/>
  <c r="AG107" i="28"/>
  <c r="AG108" i="28"/>
  <c r="AH121" i="29"/>
  <c r="AI120" i="29" s="1"/>
  <c r="AF161" i="29"/>
  <c r="AF163" i="29" s="1"/>
  <c r="AK104" i="28"/>
  <c r="AL103" i="28" s="1"/>
  <c r="AI151" i="29"/>
  <c r="AH153" i="29"/>
  <c r="AI152" i="29" s="1"/>
  <c r="AG74" i="29"/>
  <c r="AG73" i="29"/>
  <c r="AH157" i="29"/>
  <c r="AG176" i="29"/>
  <c r="AG175" i="29"/>
  <c r="AI117" i="28"/>
  <c r="AH119" i="28"/>
  <c r="AI118" i="28" s="1"/>
  <c r="AI70" i="28"/>
  <c r="AG158" i="29"/>
  <c r="AO136" i="28"/>
  <c r="AI136" i="28"/>
  <c r="AF161" i="28"/>
  <c r="AF163" i="28" s="1"/>
  <c r="AF42" i="28"/>
  <c r="AF44" i="28" s="1"/>
  <c r="AG125" i="29"/>
  <c r="AG124" i="29"/>
  <c r="AH174" i="28"/>
  <c r="AG91" i="28"/>
  <c r="AG90" i="28"/>
  <c r="AG40" i="28"/>
  <c r="AG39" i="28"/>
  <c r="AI49" i="28"/>
  <c r="AH174" i="29"/>
  <c r="AG57" i="28"/>
  <c r="AG56" i="28"/>
  <c r="AG36" i="28"/>
  <c r="AH35" i="28" s="1"/>
  <c r="AI168" i="29"/>
  <c r="AH170" i="29"/>
  <c r="AI169" i="29" s="1"/>
  <c r="AG157" i="29"/>
  <c r="AG159" i="29" s="1"/>
  <c r="AG155" i="29"/>
  <c r="AH154" i="29" s="1"/>
  <c r="AF178" i="29"/>
  <c r="AF180" i="29" s="1"/>
  <c r="AH136" i="29"/>
  <c r="AI135" i="29" s="1"/>
  <c r="AG70" i="29"/>
  <c r="AH69" i="29" s="1"/>
  <c r="AK86" i="28"/>
  <c r="AK87" i="28"/>
  <c r="AL86" i="28" s="1"/>
  <c r="AH59" i="29"/>
  <c r="AH61" i="29" s="1"/>
  <c r="AH36" i="29"/>
  <c r="AI35" i="29" s="1"/>
  <c r="AG42" i="29"/>
  <c r="AG44" i="29" s="1"/>
  <c r="AO117" i="29"/>
  <c r="AN119" i="29"/>
  <c r="AO118" i="29" s="1"/>
  <c r="AI53" i="29"/>
  <c r="AJ52" i="29" s="1"/>
  <c r="AM49" i="29"/>
  <c r="AL51" i="29"/>
  <c r="AM50" i="29" s="1"/>
  <c r="AO100" i="29"/>
  <c r="AN102" i="29"/>
  <c r="AO101" i="29" s="1"/>
  <c r="AO66" i="29"/>
  <c r="AN68" i="29"/>
  <c r="AO67" i="29" s="1"/>
  <c r="AH40" i="29"/>
  <c r="AH39" i="29"/>
  <c r="AI57" i="29"/>
  <c r="AI56" i="29"/>
  <c r="AJ32" i="29"/>
  <c r="AI34" i="29"/>
  <c r="AJ33" i="29" s="1"/>
  <c r="AQ100" i="28"/>
  <c r="AP102" i="28"/>
  <c r="AQ101" i="28" s="1"/>
  <c r="AR134" i="28"/>
  <c r="AQ136" i="28"/>
  <c r="AR32" i="28"/>
  <c r="AQ34" i="28"/>
  <c r="AR33" i="28" s="1"/>
  <c r="AS66" i="28"/>
  <c r="AR68" i="28"/>
  <c r="AS67" i="28" s="1"/>
  <c r="AT151" i="28"/>
  <c r="AS153" i="28"/>
  <c r="AT152" i="28" s="1"/>
  <c r="AP83" i="28"/>
  <c r="AO85" i="28"/>
  <c r="AH52" i="19"/>
  <c r="AH80" i="19"/>
  <c r="AG125" i="28" l="1"/>
  <c r="AF144" i="28"/>
  <c r="AF146" i="28" s="1"/>
  <c r="AW16" i="19"/>
  <c r="AV28" i="19"/>
  <c r="AH176" i="28"/>
  <c r="AI175" i="28" s="1"/>
  <c r="AC27" i="29"/>
  <c r="AD39" i="18" s="1"/>
  <c r="AD50" i="18" s="1"/>
  <c r="AF127" i="28"/>
  <c r="AF129" i="28" s="1"/>
  <c r="AX43" i="19"/>
  <c r="AW55" i="19"/>
  <c r="AG108" i="29"/>
  <c r="AH107" i="29" s="1"/>
  <c r="AF110" i="29"/>
  <c r="AF112" i="29" s="1"/>
  <c r="AC27" i="28"/>
  <c r="AD66" i="18" s="1"/>
  <c r="AD77" i="18" s="1"/>
  <c r="AE188" i="28"/>
  <c r="AF18" i="28"/>
  <c r="AE187" i="29"/>
  <c r="AG16" i="28"/>
  <c r="AF186" i="28"/>
  <c r="AF19" i="28"/>
  <c r="AF185" i="29"/>
  <c r="AG47" i="18" s="1"/>
  <c r="AF19" i="29"/>
  <c r="AD192" i="29"/>
  <c r="AE22" i="29"/>
  <c r="AE191" i="29" s="1"/>
  <c r="AE23" i="29"/>
  <c r="AD25" i="29"/>
  <c r="AD192" i="28"/>
  <c r="AE23" i="28"/>
  <c r="AE22" i="28"/>
  <c r="AE191" i="28" s="1"/>
  <c r="AG16" i="29"/>
  <c r="AF186" i="29"/>
  <c r="AE187" i="28"/>
  <c r="AG142" i="28"/>
  <c r="AG144" i="28" s="1"/>
  <c r="AG146" i="28" s="1"/>
  <c r="AG190" i="28"/>
  <c r="AF18" i="29"/>
  <c r="AE188" i="29"/>
  <c r="AG184" i="29"/>
  <c r="AH15" i="29"/>
  <c r="AG17" i="29"/>
  <c r="AH40" i="18"/>
  <c r="AH190" i="29"/>
  <c r="AG142" i="29"/>
  <c r="AH141" i="29" s="1"/>
  <c r="AG190" i="29"/>
  <c r="AG184" i="28"/>
  <c r="AH15" i="28"/>
  <c r="AH67" i="18"/>
  <c r="AD25" i="28"/>
  <c r="AG17" i="28"/>
  <c r="AJ135" i="28"/>
  <c r="AK135" i="28" s="1"/>
  <c r="AL135" i="28" s="1"/>
  <c r="AM135" i="28" s="1"/>
  <c r="AN135" i="28" s="1"/>
  <c r="AO135" i="28" s="1"/>
  <c r="AP135" i="28" s="1"/>
  <c r="AQ135" i="28" s="1"/>
  <c r="AR135" i="28" s="1"/>
  <c r="AG76" i="28"/>
  <c r="AG78" i="28" s="1"/>
  <c r="AH74" i="28"/>
  <c r="AH73" i="28"/>
  <c r="AJ41" i="18"/>
  <c r="AI53" i="18"/>
  <c r="AP84" i="28"/>
  <c r="AJ67" i="19"/>
  <c r="AJ69" i="19" s="1"/>
  <c r="AK65" i="19"/>
  <c r="AK66" i="19"/>
  <c r="AK37" i="19"/>
  <c r="AK38" i="19"/>
  <c r="AJ39" i="19"/>
  <c r="AJ41" i="19" s="1"/>
  <c r="AG127" i="28"/>
  <c r="AG129" i="28" s="1"/>
  <c r="AG178" i="28"/>
  <c r="AG180" i="28" s="1"/>
  <c r="AG127" i="29"/>
  <c r="AG129" i="29" s="1"/>
  <c r="AG110" i="28"/>
  <c r="AG112" i="28" s="1"/>
  <c r="AG59" i="28"/>
  <c r="AG61" i="28" s="1"/>
  <c r="AG42" i="28"/>
  <c r="AG44" i="28" s="1"/>
  <c r="AH138" i="29"/>
  <c r="AI137" i="29" s="1"/>
  <c r="AG93" i="28"/>
  <c r="AG95" i="28" s="1"/>
  <c r="AH172" i="29"/>
  <c r="AI171" i="29" s="1"/>
  <c r="AG178" i="29"/>
  <c r="AG180" i="29" s="1"/>
  <c r="AH158" i="28"/>
  <c r="AH158" i="29"/>
  <c r="AH159" i="29"/>
  <c r="AG161" i="29"/>
  <c r="AG163" i="29" s="1"/>
  <c r="AH70" i="29"/>
  <c r="AI69" i="29" s="1"/>
  <c r="AJ168" i="28"/>
  <c r="AI170" i="28"/>
  <c r="AJ169" i="28" s="1"/>
  <c r="AG76" i="29"/>
  <c r="AG78" i="29" s="1"/>
  <c r="AJ69" i="28"/>
  <c r="AH40" i="28"/>
  <c r="AH39" i="28"/>
  <c r="AJ70" i="28"/>
  <c r="AK69" i="28" s="1"/>
  <c r="AJ168" i="29"/>
  <c r="AI170" i="29"/>
  <c r="AJ169" i="29" s="1"/>
  <c r="AH172" i="28"/>
  <c r="AH121" i="28"/>
  <c r="AH104" i="29"/>
  <c r="AI103" i="29" s="1"/>
  <c r="AH90" i="28"/>
  <c r="AH91" i="28"/>
  <c r="AH36" i="28"/>
  <c r="AI35" i="28" s="1"/>
  <c r="AI51" i="28"/>
  <c r="AJ50" i="28" s="1"/>
  <c r="AJ117" i="28"/>
  <c r="AI119" i="28"/>
  <c r="AJ118" i="28" s="1"/>
  <c r="AI174" i="29"/>
  <c r="AI190" i="29" s="1"/>
  <c r="AG93" i="29"/>
  <c r="AG95" i="29" s="1"/>
  <c r="AI174" i="28"/>
  <c r="AI121" i="29"/>
  <c r="AJ120" i="29" s="1"/>
  <c r="AH157" i="28"/>
  <c r="AH155" i="28"/>
  <c r="AI154" i="28" s="1"/>
  <c r="AH90" i="29"/>
  <c r="AH91" i="29"/>
  <c r="AG161" i="28"/>
  <c r="AG163" i="28" s="1"/>
  <c r="AH57" i="28"/>
  <c r="AH56" i="28"/>
  <c r="AH124" i="28"/>
  <c r="AH125" i="28"/>
  <c r="AH175" i="29"/>
  <c r="AH176" i="29"/>
  <c r="AJ134" i="29"/>
  <c r="AI136" i="29"/>
  <c r="AJ135" i="29" s="1"/>
  <c r="AH73" i="29"/>
  <c r="AH74" i="29"/>
  <c r="AJ49" i="28"/>
  <c r="AJ151" i="29"/>
  <c r="AK151" i="29" s="1"/>
  <c r="AL151" i="29" s="1"/>
  <c r="AM151" i="29" s="1"/>
  <c r="AN151" i="29" s="1"/>
  <c r="AO151" i="29" s="1"/>
  <c r="AP151" i="29" s="1"/>
  <c r="AQ151" i="29" s="1"/>
  <c r="AR151" i="29" s="1"/>
  <c r="AS151" i="29" s="1"/>
  <c r="AI153" i="29"/>
  <c r="AJ152" i="29" s="1"/>
  <c r="AI138" i="28"/>
  <c r="AH107" i="28"/>
  <c r="AH108" i="28"/>
  <c r="AI87" i="29"/>
  <c r="AJ86" i="29" s="1"/>
  <c r="AH125" i="29"/>
  <c r="AH124" i="29"/>
  <c r="AH155" i="29"/>
  <c r="AI154" i="29" s="1"/>
  <c r="AL104" i="28"/>
  <c r="AM103" i="28" s="1"/>
  <c r="AL87" i="28"/>
  <c r="AI36" i="29"/>
  <c r="AJ35" i="29" s="1"/>
  <c r="AH42" i="29"/>
  <c r="AH44" i="29" s="1"/>
  <c r="AI59" i="29"/>
  <c r="AI61" i="29" s="1"/>
  <c r="AP100" i="29"/>
  <c r="AO102" i="29"/>
  <c r="AP101" i="29" s="1"/>
  <c r="AP66" i="29"/>
  <c r="AO68" i="29"/>
  <c r="AP67" i="29" s="1"/>
  <c r="AJ57" i="29"/>
  <c r="AJ56" i="29"/>
  <c r="AN49" i="29"/>
  <c r="AM51" i="29"/>
  <c r="AN50" i="29" s="1"/>
  <c r="AJ53" i="29"/>
  <c r="AK52" i="29" s="1"/>
  <c r="AK32" i="29"/>
  <c r="AJ34" i="29"/>
  <c r="AK33" i="29" s="1"/>
  <c r="AI40" i="29"/>
  <c r="AI39" i="29"/>
  <c r="AP117" i="29"/>
  <c r="AO119" i="29"/>
  <c r="AP118" i="29" s="1"/>
  <c r="AS134" i="28"/>
  <c r="AR136" i="28"/>
  <c r="AT66" i="28"/>
  <c r="AS68" i="28"/>
  <c r="AT67" i="28" s="1"/>
  <c r="AS32" i="28"/>
  <c r="AR34" i="28"/>
  <c r="AS33" i="28" s="1"/>
  <c r="AR100" i="28"/>
  <c r="AQ102" i="28"/>
  <c r="AR101" i="28" s="1"/>
  <c r="AQ83" i="28"/>
  <c r="AP85" i="28"/>
  <c r="AU151" i="28"/>
  <c r="AT153" i="28"/>
  <c r="AU152" i="28" s="1"/>
  <c r="AI52" i="19"/>
  <c r="AC196" i="29" l="1"/>
  <c r="AX16" i="19"/>
  <c r="AW28" i="19"/>
  <c r="AH108" i="29"/>
  <c r="AI108" i="29" s="1"/>
  <c r="AG110" i="29"/>
  <c r="AG112" i="29" s="1"/>
  <c r="AC196" i="28"/>
  <c r="AY43" i="19"/>
  <c r="AX55" i="19"/>
  <c r="AH141" i="28"/>
  <c r="AG144" i="29"/>
  <c r="AG146" i="29" s="1"/>
  <c r="AH142" i="28"/>
  <c r="AI141" i="28" s="1"/>
  <c r="AH142" i="29"/>
  <c r="AH144" i="29" s="1"/>
  <c r="AH146" i="29" s="1"/>
  <c r="AE25" i="28"/>
  <c r="AE192" i="28"/>
  <c r="AF22" i="28"/>
  <c r="AF191" i="28" s="1"/>
  <c r="AF23" i="28"/>
  <c r="AG18" i="28"/>
  <c r="AF188" i="28"/>
  <c r="AG185" i="28"/>
  <c r="AH74" i="18" s="1"/>
  <c r="AG19" i="28"/>
  <c r="AH159" i="28"/>
  <c r="AI159" i="28" s="1"/>
  <c r="AH190" i="28"/>
  <c r="AH16" i="28"/>
  <c r="AG186" i="28"/>
  <c r="AE25" i="29"/>
  <c r="AD27" i="28"/>
  <c r="AD194" i="28"/>
  <c r="AG185" i="29"/>
  <c r="AH47" i="18" s="1"/>
  <c r="AG19" i="29"/>
  <c r="AD27" i="29"/>
  <c r="AD194" i="29"/>
  <c r="AH16" i="29"/>
  <c r="AG186" i="29"/>
  <c r="AE192" i="29"/>
  <c r="AF22" i="29"/>
  <c r="AF191" i="29" s="1"/>
  <c r="AF23" i="29"/>
  <c r="AF187" i="28"/>
  <c r="AH184" i="29"/>
  <c r="AH17" i="29"/>
  <c r="AI15" i="29"/>
  <c r="AI40" i="18"/>
  <c r="AH184" i="28"/>
  <c r="AI15" i="28"/>
  <c r="AH17" i="28"/>
  <c r="AI67" i="18"/>
  <c r="AI176" i="28"/>
  <c r="AJ175" i="28" s="1"/>
  <c r="AI190" i="28"/>
  <c r="AF187" i="29"/>
  <c r="AG18" i="29"/>
  <c r="AF188" i="29"/>
  <c r="AJ138" i="28"/>
  <c r="AK137" i="28" s="1"/>
  <c r="AH76" i="28"/>
  <c r="AH78" i="28" s="1"/>
  <c r="AI74" i="28"/>
  <c r="AI73" i="28"/>
  <c r="AK41" i="18"/>
  <c r="AJ53" i="18"/>
  <c r="AS135" i="28"/>
  <c r="AQ84" i="28"/>
  <c r="AH127" i="29"/>
  <c r="AH129" i="29" s="1"/>
  <c r="AL65" i="19"/>
  <c r="AL66" i="19"/>
  <c r="AK67" i="19"/>
  <c r="AK69" i="19" s="1"/>
  <c r="AI172" i="28"/>
  <c r="AJ171" i="28" s="1"/>
  <c r="AH59" i="28"/>
  <c r="AH61" i="28" s="1"/>
  <c r="AL37" i="19"/>
  <c r="AL38" i="19"/>
  <c r="AK39" i="19"/>
  <c r="AK41" i="19" s="1"/>
  <c r="AH42" i="28"/>
  <c r="AH44" i="28" s="1"/>
  <c r="AH76" i="29"/>
  <c r="AH78" i="29" s="1"/>
  <c r="AM153" i="29"/>
  <c r="AP153" i="29"/>
  <c r="AL153" i="29"/>
  <c r="AI155" i="29"/>
  <c r="AJ154" i="29" s="1"/>
  <c r="AH178" i="29"/>
  <c r="AH180" i="29" s="1"/>
  <c r="AH93" i="28"/>
  <c r="AH95" i="28" s="1"/>
  <c r="AI172" i="29"/>
  <c r="AJ171" i="29" s="1"/>
  <c r="AR153" i="29"/>
  <c r="AN153" i="29"/>
  <c r="AH93" i="29"/>
  <c r="AH95" i="29" s="1"/>
  <c r="AO153" i="29"/>
  <c r="AI73" i="29"/>
  <c r="AI74" i="29"/>
  <c r="AI70" i="29"/>
  <c r="AJ69" i="29" s="1"/>
  <c r="AI155" i="28"/>
  <c r="AJ154" i="28" s="1"/>
  <c r="AI39" i="28"/>
  <c r="AI40" i="28"/>
  <c r="AI125" i="28"/>
  <c r="AI124" i="28"/>
  <c r="AM104" i="28"/>
  <c r="AN103" i="28" s="1"/>
  <c r="AI107" i="29"/>
  <c r="AK117" i="28"/>
  <c r="AJ119" i="28"/>
  <c r="AK118" i="28" s="1"/>
  <c r="AI120" i="28"/>
  <c r="AH127" i="28"/>
  <c r="AH129" i="28" s="1"/>
  <c r="AJ121" i="29"/>
  <c r="AK120" i="29" s="1"/>
  <c r="AK153" i="29"/>
  <c r="AI121" i="28"/>
  <c r="AJ120" i="28" s="1"/>
  <c r="AJ87" i="29"/>
  <c r="AK86" i="29" s="1"/>
  <c r="AK138" i="28"/>
  <c r="AI53" i="28"/>
  <c r="AI171" i="28"/>
  <c r="AH178" i="28"/>
  <c r="AH180" i="28" s="1"/>
  <c r="AK168" i="28"/>
  <c r="AJ170" i="28"/>
  <c r="AK169" i="28" s="1"/>
  <c r="AJ51" i="28"/>
  <c r="AK50" i="28" s="1"/>
  <c r="AI56" i="28"/>
  <c r="AI57" i="28"/>
  <c r="AI36" i="28"/>
  <c r="AJ35" i="28" s="1"/>
  <c r="AI159" i="29"/>
  <c r="AI158" i="29"/>
  <c r="AI107" i="28"/>
  <c r="AI108" i="28"/>
  <c r="AK134" i="29"/>
  <c r="AK136" i="29" s="1"/>
  <c r="AJ136" i="29"/>
  <c r="AK135" i="29" s="1"/>
  <c r="AI138" i="29"/>
  <c r="AI125" i="29"/>
  <c r="AI124" i="29"/>
  <c r="AH110" i="28"/>
  <c r="AH112" i="28" s="1"/>
  <c r="AI90" i="28"/>
  <c r="AI91" i="28"/>
  <c r="AK168" i="29"/>
  <c r="AJ170" i="29"/>
  <c r="AK169" i="29" s="1"/>
  <c r="AJ137" i="28"/>
  <c r="AQ153" i="29"/>
  <c r="AK49" i="28"/>
  <c r="AI104" i="29"/>
  <c r="AJ103" i="29" s="1"/>
  <c r="AH161" i="29"/>
  <c r="AH163" i="29" s="1"/>
  <c r="AI176" i="29"/>
  <c r="AI175" i="29"/>
  <c r="AI90" i="29"/>
  <c r="AI91" i="29"/>
  <c r="AK70" i="28"/>
  <c r="AJ153" i="29"/>
  <c r="AK152" i="29" s="1"/>
  <c r="AM86" i="28"/>
  <c r="AM87" i="28"/>
  <c r="AN86" i="28" s="1"/>
  <c r="AJ36" i="29"/>
  <c r="AK35" i="29" s="1"/>
  <c r="AI42" i="29"/>
  <c r="AI44" i="29" s="1"/>
  <c r="AT151" i="29"/>
  <c r="AS153" i="29"/>
  <c r="AQ100" i="29"/>
  <c r="AP102" i="29"/>
  <c r="AQ101" i="29" s="1"/>
  <c r="AJ40" i="29"/>
  <c r="AJ39" i="29"/>
  <c r="AK53" i="29"/>
  <c r="AL52" i="29" s="1"/>
  <c r="AL32" i="29"/>
  <c r="AK34" i="29"/>
  <c r="AL33" i="29" s="1"/>
  <c r="AQ117" i="29"/>
  <c r="AP119" i="29"/>
  <c r="AQ118" i="29" s="1"/>
  <c r="AJ59" i="29"/>
  <c r="AJ61" i="29" s="1"/>
  <c r="AK57" i="29"/>
  <c r="AK56" i="29"/>
  <c r="AO49" i="29"/>
  <c r="AN51" i="29"/>
  <c r="AO50" i="29" s="1"/>
  <c r="AQ66" i="29"/>
  <c r="AP68" i="29"/>
  <c r="AQ67" i="29" s="1"/>
  <c r="AT32" i="28"/>
  <c r="AS34" i="28"/>
  <c r="AT33" i="28" s="1"/>
  <c r="AR83" i="28"/>
  <c r="AQ85" i="28"/>
  <c r="AT134" i="28"/>
  <c r="AS136" i="28"/>
  <c r="AS100" i="28"/>
  <c r="AR102" i="28"/>
  <c r="AS101" i="28" s="1"/>
  <c r="AV151" i="28"/>
  <c r="AU153" i="28"/>
  <c r="AV152" i="28" s="1"/>
  <c r="AU66" i="28"/>
  <c r="AT68" i="28"/>
  <c r="AU67" i="28" s="1"/>
  <c r="AJ52" i="19"/>
  <c r="AJ80" i="19"/>
  <c r="AI80" i="19"/>
  <c r="AH110" i="29" l="1"/>
  <c r="AH112" i="29" s="1"/>
  <c r="AY16" i="19"/>
  <c r="AX28" i="19"/>
  <c r="AH144" i="28"/>
  <c r="AH146" i="28" s="1"/>
  <c r="AI141" i="29"/>
  <c r="AZ43" i="19"/>
  <c r="AY55" i="19"/>
  <c r="AI142" i="29"/>
  <c r="AJ142" i="29" s="1"/>
  <c r="AI142" i="28"/>
  <c r="AI144" i="28" s="1"/>
  <c r="AI146" i="28" s="1"/>
  <c r="AF25" i="28"/>
  <c r="AF27" i="28" s="1"/>
  <c r="AJ176" i="28"/>
  <c r="AK175" i="28" s="1"/>
  <c r="AI184" i="29"/>
  <c r="AJ40" i="18"/>
  <c r="AJ15" i="29"/>
  <c r="AI16" i="29"/>
  <c r="AH186" i="29"/>
  <c r="AD196" i="28"/>
  <c r="AE66" i="18"/>
  <c r="AE77" i="18" s="1"/>
  <c r="AE27" i="29"/>
  <c r="AE194" i="29"/>
  <c r="AH161" i="28"/>
  <c r="AH163" i="28" s="1"/>
  <c r="AI158" i="28"/>
  <c r="AI161" i="28" s="1"/>
  <c r="AI163" i="28" s="1"/>
  <c r="AH185" i="28"/>
  <c r="AI74" i="18" s="1"/>
  <c r="AH19" i="28"/>
  <c r="AG188" i="28"/>
  <c r="AH18" i="28"/>
  <c r="AF192" i="29"/>
  <c r="AG23" i="29"/>
  <c r="AG22" i="29"/>
  <c r="AG191" i="29" s="1"/>
  <c r="AH185" i="29"/>
  <c r="AI47" i="18" s="1"/>
  <c r="AH19" i="29"/>
  <c r="AG187" i="28"/>
  <c r="AF192" i="28"/>
  <c r="AG22" i="28"/>
  <c r="AG191" i="28" s="1"/>
  <c r="AG23" i="28"/>
  <c r="AG187" i="29"/>
  <c r="AI184" i="28"/>
  <c r="AJ15" i="28"/>
  <c r="AI17" i="28"/>
  <c r="AJ67" i="18"/>
  <c r="AD196" i="29"/>
  <c r="AE39" i="18"/>
  <c r="AE50" i="18" s="1"/>
  <c r="AI17" i="29"/>
  <c r="AH18" i="29"/>
  <c r="AG188" i="29"/>
  <c r="AI16" i="28"/>
  <c r="AH186" i="28"/>
  <c r="AF25" i="29"/>
  <c r="AE27" i="28"/>
  <c r="AE194" i="28"/>
  <c r="AI76" i="28"/>
  <c r="AI78" i="28" s="1"/>
  <c r="AJ74" i="28"/>
  <c r="AJ73" i="28"/>
  <c r="AT135" i="28"/>
  <c r="AK53" i="18"/>
  <c r="AL41" i="18"/>
  <c r="AL135" i="29"/>
  <c r="AL152" i="29"/>
  <c r="AM152" i="29" s="1"/>
  <c r="AN152" i="29" s="1"/>
  <c r="AO152" i="29" s="1"/>
  <c r="AP152" i="29" s="1"/>
  <c r="AQ152" i="29" s="1"/>
  <c r="AR152" i="29" s="1"/>
  <c r="AS152" i="29" s="1"/>
  <c r="AT152" i="29" s="1"/>
  <c r="AR84" i="28"/>
  <c r="AI178" i="28"/>
  <c r="AI180" i="28" s="1"/>
  <c r="AI127" i="29"/>
  <c r="AI129" i="29" s="1"/>
  <c r="AM65" i="19"/>
  <c r="AM66" i="19"/>
  <c r="AL67" i="19"/>
  <c r="AL69" i="19" s="1"/>
  <c r="AM37" i="19"/>
  <c r="AM38" i="19"/>
  <c r="AL39" i="19"/>
  <c r="AL41" i="19" s="1"/>
  <c r="AI76" i="29"/>
  <c r="AI78" i="29" s="1"/>
  <c r="AJ155" i="29"/>
  <c r="AK154" i="29" s="1"/>
  <c r="AI110" i="29"/>
  <c r="AI112" i="29" s="1"/>
  <c r="AI161" i="29"/>
  <c r="AI163" i="29" s="1"/>
  <c r="AI42" i="28"/>
  <c r="AI44" i="28" s="1"/>
  <c r="AJ138" i="29"/>
  <c r="AK137" i="29" s="1"/>
  <c r="AJ121" i="28"/>
  <c r="AK120" i="28" s="1"/>
  <c r="AL70" i="28"/>
  <c r="AM69" i="28" s="1"/>
  <c r="AJ137" i="29"/>
  <c r="AL117" i="28"/>
  <c r="AJ73" i="29"/>
  <c r="AJ74" i="29"/>
  <c r="AL168" i="29"/>
  <c r="AK170" i="29"/>
  <c r="AL169" i="29" s="1"/>
  <c r="AK87" i="29"/>
  <c r="AL86" i="29" s="1"/>
  <c r="AI93" i="28"/>
  <c r="AI95" i="28" s="1"/>
  <c r="AJ40" i="28"/>
  <c r="AJ39" i="28"/>
  <c r="AJ91" i="29"/>
  <c r="AJ90" i="29"/>
  <c r="AI93" i="29"/>
  <c r="AI95" i="29" s="1"/>
  <c r="AI178" i="29"/>
  <c r="AI180" i="29" s="1"/>
  <c r="AJ175" i="29"/>
  <c r="AJ176" i="29"/>
  <c r="AL168" i="28"/>
  <c r="AK170" i="28"/>
  <c r="AL169" i="28" s="1"/>
  <c r="AJ91" i="28"/>
  <c r="AJ90" i="28"/>
  <c r="AJ108" i="29"/>
  <c r="AJ107" i="29"/>
  <c r="AL49" i="28"/>
  <c r="AL51" i="28" s="1"/>
  <c r="AJ125" i="29"/>
  <c r="AJ124" i="29"/>
  <c r="AK138" i="29"/>
  <c r="AL137" i="29" s="1"/>
  <c r="AI127" i="28"/>
  <c r="AI129" i="28" s="1"/>
  <c r="AN104" i="28"/>
  <c r="AO103" i="28" s="1"/>
  <c r="AJ104" i="29"/>
  <c r="AK103" i="29" s="1"/>
  <c r="AK155" i="29"/>
  <c r="AL154" i="29" s="1"/>
  <c r="AL134" i="29"/>
  <c r="AJ172" i="28"/>
  <c r="AJ155" i="28"/>
  <c r="AK154" i="28" s="1"/>
  <c r="AJ107" i="28"/>
  <c r="AJ108" i="28"/>
  <c r="AJ36" i="28"/>
  <c r="AK35" i="28" s="1"/>
  <c r="AJ52" i="28"/>
  <c r="AI59" i="28"/>
  <c r="AI61" i="28" s="1"/>
  <c r="AK119" i="28"/>
  <c r="AL118" i="28" s="1"/>
  <c r="AI110" i="28"/>
  <c r="AI112" i="28" s="1"/>
  <c r="AK51" i="28"/>
  <c r="AL50" i="28" s="1"/>
  <c r="AJ53" i="28"/>
  <c r="AK52" i="28" s="1"/>
  <c r="AJ56" i="28"/>
  <c r="AJ57" i="28"/>
  <c r="AL138" i="28"/>
  <c r="AM137" i="28" s="1"/>
  <c r="AJ70" i="29"/>
  <c r="AK69" i="29" s="1"/>
  <c r="AJ159" i="28"/>
  <c r="AJ158" i="28"/>
  <c r="AL69" i="28"/>
  <c r="AJ172" i="29"/>
  <c r="AJ158" i="29"/>
  <c r="AJ159" i="29"/>
  <c r="AL137" i="28"/>
  <c r="AK121" i="29"/>
  <c r="AL120" i="29" s="1"/>
  <c r="AJ125" i="28"/>
  <c r="AJ124" i="28"/>
  <c r="AN87" i="28"/>
  <c r="AJ42" i="29"/>
  <c r="AJ44" i="29" s="1"/>
  <c r="AK36" i="29"/>
  <c r="AL35" i="29" s="1"/>
  <c r="AK59" i="29"/>
  <c r="AK61" i="29" s="1"/>
  <c r="AR100" i="29"/>
  <c r="AQ102" i="29"/>
  <c r="AR101" i="29" s="1"/>
  <c r="AR117" i="29"/>
  <c r="AQ119" i="29"/>
  <c r="AR118" i="29" s="1"/>
  <c r="AR66" i="29"/>
  <c r="AQ68" i="29"/>
  <c r="AR67" i="29" s="1"/>
  <c r="AK40" i="29"/>
  <c r="AK39" i="29"/>
  <c r="AL53" i="29"/>
  <c r="AM52" i="29" s="1"/>
  <c r="AL57" i="29"/>
  <c r="AL56" i="29"/>
  <c r="AP49" i="29"/>
  <c r="AO51" i="29"/>
  <c r="AP50" i="29" s="1"/>
  <c r="AU151" i="29"/>
  <c r="AT153" i="29"/>
  <c r="AM32" i="29"/>
  <c r="AL34" i="29"/>
  <c r="AM33" i="29" s="1"/>
  <c r="AW151" i="28"/>
  <c r="AV153" i="28"/>
  <c r="AW152" i="28" s="1"/>
  <c r="AT100" i="28"/>
  <c r="AS102" i="28"/>
  <c r="AT101" i="28" s="1"/>
  <c r="AS83" i="28"/>
  <c r="AR85" i="28"/>
  <c r="AU134" i="28"/>
  <c r="AT136" i="28"/>
  <c r="AU32" i="28"/>
  <c r="AT34" i="28"/>
  <c r="AU33" i="28" s="1"/>
  <c r="AV66" i="28"/>
  <c r="AU68" i="28"/>
  <c r="AV67" i="28" s="1"/>
  <c r="AK52" i="19"/>
  <c r="AI144" i="29" l="1"/>
  <c r="AI146" i="29" s="1"/>
  <c r="AZ16" i="19"/>
  <c r="AY28" i="19"/>
  <c r="AJ141" i="29"/>
  <c r="AJ144" i="29" s="1"/>
  <c r="AJ146" i="29" s="1"/>
  <c r="AJ142" i="28"/>
  <c r="AK141" i="28" s="1"/>
  <c r="AJ141" i="28"/>
  <c r="AK176" i="28"/>
  <c r="AL176" i="28" s="1"/>
  <c r="BA43" i="19"/>
  <c r="AZ55" i="19"/>
  <c r="AF194" i="28"/>
  <c r="AG25" i="29"/>
  <c r="AG27" i="29" s="1"/>
  <c r="AJ16" i="29"/>
  <c r="AI186" i="29"/>
  <c r="AE196" i="29"/>
  <c r="AF39" i="18"/>
  <c r="AF50" i="18" s="1"/>
  <c r="AG192" i="28"/>
  <c r="AH22" i="28"/>
  <c r="AH191" i="28" s="1"/>
  <c r="AH23" i="28"/>
  <c r="AG192" i="29"/>
  <c r="AH23" i="29"/>
  <c r="AH22" i="29"/>
  <c r="AH191" i="29" s="1"/>
  <c r="AG25" i="28"/>
  <c r="AE196" i="28"/>
  <c r="AF66" i="18"/>
  <c r="AF77" i="18" s="1"/>
  <c r="AH187" i="28"/>
  <c r="AF27" i="29"/>
  <c r="AF194" i="29"/>
  <c r="AI18" i="29"/>
  <c r="AH188" i="29"/>
  <c r="AI18" i="28"/>
  <c r="AH188" i="28"/>
  <c r="AI185" i="28"/>
  <c r="AJ74" i="18" s="1"/>
  <c r="AI19" i="28"/>
  <c r="AI185" i="29"/>
  <c r="AJ47" i="18" s="1"/>
  <c r="AI19" i="29"/>
  <c r="AJ16" i="28"/>
  <c r="AI186" i="28"/>
  <c r="AF196" i="28"/>
  <c r="AG66" i="18"/>
  <c r="AG77" i="18" s="1"/>
  <c r="AJ184" i="29"/>
  <c r="AK40" i="18"/>
  <c r="AK15" i="29"/>
  <c r="AJ17" i="29"/>
  <c r="AJ184" i="28"/>
  <c r="AK15" i="28"/>
  <c r="AK17" i="28" s="1"/>
  <c r="AJ17" i="28"/>
  <c r="AK67" i="18"/>
  <c r="AH187" i="29"/>
  <c r="AU135" i="28"/>
  <c r="AJ76" i="28"/>
  <c r="AJ78" i="28" s="1"/>
  <c r="AK73" i="28"/>
  <c r="AK74" i="28"/>
  <c r="AM41" i="18"/>
  <c r="AL53" i="18"/>
  <c r="AM50" i="28"/>
  <c r="AU152" i="29"/>
  <c r="AS84" i="28"/>
  <c r="AN65" i="19"/>
  <c r="AN66" i="19"/>
  <c r="AM67" i="19"/>
  <c r="AM69" i="19" s="1"/>
  <c r="AN37" i="19"/>
  <c r="AN38" i="19"/>
  <c r="AM39" i="19"/>
  <c r="AM41" i="19" s="1"/>
  <c r="AK172" i="28"/>
  <c r="AL171" i="28" s="1"/>
  <c r="AJ127" i="28"/>
  <c r="AJ129" i="28" s="1"/>
  <c r="AK121" i="28"/>
  <c r="AL120" i="28" s="1"/>
  <c r="AL155" i="29"/>
  <c r="AM154" i="29" s="1"/>
  <c r="AJ127" i="29"/>
  <c r="AJ129" i="29" s="1"/>
  <c r="AJ161" i="29"/>
  <c r="AJ163" i="29" s="1"/>
  <c r="AJ76" i="29"/>
  <c r="AJ78" i="29" s="1"/>
  <c r="AJ93" i="28"/>
  <c r="AJ95" i="28" s="1"/>
  <c r="AK172" i="29"/>
  <c r="AL171" i="29" s="1"/>
  <c r="AM168" i="28"/>
  <c r="AL170" i="28"/>
  <c r="AM169" i="28" s="1"/>
  <c r="AK171" i="29"/>
  <c r="AJ178" i="29"/>
  <c r="AJ180" i="29" s="1"/>
  <c r="AM138" i="28"/>
  <c r="AN137" i="28" s="1"/>
  <c r="AK39" i="28"/>
  <c r="AK40" i="28"/>
  <c r="AK155" i="28"/>
  <c r="AL154" i="28" s="1"/>
  <c r="AK90" i="28"/>
  <c r="AK91" i="28"/>
  <c r="AK176" i="29"/>
  <c r="AK175" i="29"/>
  <c r="AK104" i="29"/>
  <c r="AL103" i="29" s="1"/>
  <c r="AK124" i="28"/>
  <c r="AK125" i="28"/>
  <c r="AK171" i="28"/>
  <c r="AJ178" i="28"/>
  <c r="AJ180" i="28" s="1"/>
  <c r="AM168" i="29"/>
  <c r="AL170" i="29"/>
  <c r="AM169" i="29" s="1"/>
  <c r="AM70" i="28"/>
  <c r="AJ59" i="28"/>
  <c r="AJ61" i="28" s="1"/>
  <c r="AJ42" i="28"/>
  <c r="AJ44" i="28" s="1"/>
  <c r="AK125" i="29"/>
  <c r="AK124" i="29"/>
  <c r="AJ93" i="29"/>
  <c r="AJ95" i="29" s="1"/>
  <c r="AK73" i="29"/>
  <c r="AK74" i="29"/>
  <c r="AK108" i="29"/>
  <c r="AK107" i="29"/>
  <c r="AK57" i="28"/>
  <c r="AK56" i="28"/>
  <c r="AK142" i="29"/>
  <c r="AK141" i="29"/>
  <c r="AK91" i="29"/>
  <c r="AK90" i="29"/>
  <c r="AL121" i="29"/>
  <c r="AM120" i="29" s="1"/>
  <c r="AK36" i="28"/>
  <c r="AL35" i="28" s="1"/>
  <c r="AK158" i="28"/>
  <c r="AK159" i="28"/>
  <c r="AK107" i="28"/>
  <c r="AK108" i="28"/>
  <c r="AM49" i="28"/>
  <c r="AM51" i="28" s="1"/>
  <c r="AK53" i="28"/>
  <c r="AO104" i="28"/>
  <c r="AP103" i="28" s="1"/>
  <c r="AK70" i="29"/>
  <c r="AL69" i="29" s="1"/>
  <c r="AJ110" i="28"/>
  <c r="AJ112" i="28" s="1"/>
  <c r="AM134" i="29"/>
  <c r="AL136" i="29"/>
  <c r="AM135" i="29" s="1"/>
  <c r="AK158" i="29"/>
  <c r="AK159" i="29"/>
  <c r="AJ110" i="29"/>
  <c r="AJ112" i="29" s="1"/>
  <c r="AJ161" i="28"/>
  <c r="AJ163" i="28" s="1"/>
  <c r="AL87" i="29"/>
  <c r="AM86" i="29" s="1"/>
  <c r="AM117" i="28"/>
  <c r="AL119" i="28"/>
  <c r="AM118" i="28" s="1"/>
  <c r="AO86" i="28"/>
  <c r="AO87" i="28"/>
  <c r="AP86" i="28" s="1"/>
  <c r="AK42" i="29"/>
  <c r="AK44" i="29" s="1"/>
  <c r="AL59" i="29"/>
  <c r="AL61" i="29" s="1"/>
  <c r="AL36" i="29"/>
  <c r="AM35" i="29" s="1"/>
  <c r="AM57" i="29"/>
  <c r="AM56" i="29"/>
  <c r="AN32" i="29"/>
  <c r="AM34" i="29"/>
  <c r="AN33" i="29" s="1"/>
  <c r="AM53" i="29"/>
  <c r="AN52" i="29" s="1"/>
  <c r="AS66" i="29"/>
  <c r="AR68" i="29"/>
  <c r="AS67" i="29" s="1"/>
  <c r="AS100" i="29"/>
  <c r="AR102" i="29"/>
  <c r="AS101" i="29" s="1"/>
  <c r="AQ49" i="29"/>
  <c r="AP51" i="29"/>
  <c r="AQ50" i="29" s="1"/>
  <c r="AL40" i="29"/>
  <c r="AL39" i="29"/>
  <c r="AV151" i="29"/>
  <c r="AU153" i="29"/>
  <c r="AS117" i="29"/>
  <c r="AR119" i="29"/>
  <c r="AS118" i="29" s="1"/>
  <c r="AV32" i="28"/>
  <c r="AU34" i="28"/>
  <c r="AV33" i="28" s="1"/>
  <c r="AU100" i="28"/>
  <c r="AT102" i="28"/>
  <c r="AU101" i="28" s="1"/>
  <c r="AX151" i="28"/>
  <c r="AW153" i="28"/>
  <c r="AX152" i="28" s="1"/>
  <c r="AV134" i="28"/>
  <c r="AU136" i="28"/>
  <c r="AT83" i="28"/>
  <c r="AS85" i="28"/>
  <c r="AW66" i="28"/>
  <c r="AV68" i="28"/>
  <c r="AW67" i="28" s="1"/>
  <c r="AL52" i="19"/>
  <c r="AL80" i="19"/>
  <c r="AK80" i="19"/>
  <c r="AJ144" i="28" l="1"/>
  <c r="AJ146" i="28" s="1"/>
  <c r="BA16" i="19"/>
  <c r="AZ28" i="19"/>
  <c r="AK142" i="28"/>
  <c r="AK144" i="28" s="1"/>
  <c r="AK146" i="28" s="1"/>
  <c r="AL175" i="28"/>
  <c r="BA55" i="19"/>
  <c r="AH25" i="29"/>
  <c r="AH194" i="29" s="1"/>
  <c r="AG194" i="29"/>
  <c r="AH25" i="28"/>
  <c r="AH27" i="28" s="1"/>
  <c r="AK186" i="28"/>
  <c r="AK16" i="29"/>
  <c r="AJ186" i="29"/>
  <c r="AI188" i="28"/>
  <c r="AJ18" i="28"/>
  <c r="AH192" i="28"/>
  <c r="AI22" i="28"/>
  <c r="AI191" i="28" s="1"/>
  <c r="AI23" i="28"/>
  <c r="AK184" i="29"/>
  <c r="AL40" i="18"/>
  <c r="AK17" i="29"/>
  <c r="AL15" i="29"/>
  <c r="AI187" i="28"/>
  <c r="AG27" i="28"/>
  <c r="AG194" i="28"/>
  <c r="AI187" i="29"/>
  <c r="AJ185" i="28"/>
  <c r="AK74" i="18" s="1"/>
  <c r="AJ19" i="28"/>
  <c r="AF196" i="29"/>
  <c r="AG39" i="18"/>
  <c r="AG50" i="18" s="1"/>
  <c r="AJ18" i="29"/>
  <c r="AI188" i="29"/>
  <c r="AJ185" i="29"/>
  <c r="AK47" i="18" s="1"/>
  <c r="AJ19" i="29"/>
  <c r="AK16" i="28"/>
  <c r="AJ186" i="28"/>
  <c r="AH192" i="29"/>
  <c r="AI23" i="29"/>
  <c r="AI22" i="29"/>
  <c r="AI191" i="29" s="1"/>
  <c r="AK184" i="28"/>
  <c r="AL15" i="28"/>
  <c r="AL67" i="18"/>
  <c r="AG196" i="29"/>
  <c r="AH39" i="18"/>
  <c r="AH50" i="18" s="1"/>
  <c r="AV135" i="28"/>
  <c r="AL73" i="28"/>
  <c r="AL74" i="28"/>
  <c r="AK76" i="28"/>
  <c r="AK78" i="28" s="1"/>
  <c r="AV152" i="29"/>
  <c r="AN50" i="28"/>
  <c r="AN41" i="18"/>
  <c r="AM53" i="18"/>
  <c r="AT84" i="28"/>
  <c r="AK144" i="29"/>
  <c r="AK146" i="29" s="1"/>
  <c r="AO66" i="19"/>
  <c r="AO65" i="19"/>
  <c r="AN67" i="19"/>
  <c r="AN69" i="19" s="1"/>
  <c r="AL53" i="28"/>
  <c r="AM52" i="28" s="1"/>
  <c r="AK178" i="28"/>
  <c r="AK180" i="28" s="1"/>
  <c r="AO37" i="19"/>
  <c r="AO38" i="19"/>
  <c r="AN39" i="19"/>
  <c r="AN41" i="19" s="1"/>
  <c r="AK127" i="29"/>
  <c r="AK129" i="29" s="1"/>
  <c r="AK42" i="28"/>
  <c r="AK44" i="28" s="1"/>
  <c r="AK161" i="29"/>
  <c r="AK163" i="29" s="1"/>
  <c r="AL172" i="28"/>
  <c r="AM171" i="28" s="1"/>
  <c r="AK93" i="29"/>
  <c r="AK95" i="29" s="1"/>
  <c r="AM155" i="29"/>
  <c r="AN154" i="29" s="1"/>
  <c r="AK76" i="29"/>
  <c r="AK78" i="29" s="1"/>
  <c r="AK127" i="28"/>
  <c r="AK129" i="28" s="1"/>
  <c r="AM53" i="28"/>
  <c r="AN52" i="28" s="1"/>
  <c r="AL124" i="28"/>
  <c r="AL125" i="28"/>
  <c r="AL70" i="29"/>
  <c r="AM69" i="29" s="1"/>
  <c r="AL104" i="29"/>
  <c r="AM103" i="29" s="1"/>
  <c r="AN138" i="28"/>
  <c r="AO137" i="28" s="1"/>
  <c r="AL91" i="29"/>
  <c r="AL90" i="29"/>
  <c r="AL74" i="29"/>
  <c r="AL73" i="29"/>
  <c r="AL155" i="28"/>
  <c r="AM154" i="28" s="1"/>
  <c r="AK178" i="29"/>
  <c r="AK180" i="29" s="1"/>
  <c r="AN70" i="28"/>
  <c r="AO69" i="28" s="1"/>
  <c r="AN49" i="28"/>
  <c r="AN51" i="28" s="1"/>
  <c r="AL141" i="29"/>
  <c r="AL142" i="29"/>
  <c r="AL159" i="29"/>
  <c r="AL158" i="29"/>
  <c r="AN69" i="28"/>
  <c r="AM87" i="29"/>
  <c r="AN86" i="29" s="1"/>
  <c r="AL108" i="28"/>
  <c r="AL107" i="28"/>
  <c r="AN168" i="29"/>
  <c r="AM170" i="29"/>
  <c r="AN169" i="29" s="1"/>
  <c r="AL175" i="29"/>
  <c r="AL176" i="29"/>
  <c r="AP104" i="28"/>
  <c r="AQ103" i="28" s="1"/>
  <c r="AK110" i="28"/>
  <c r="AK112" i="28" s="1"/>
  <c r="AL90" i="28"/>
  <c r="AL91" i="28"/>
  <c r="AL40" i="28"/>
  <c r="AL39" i="28"/>
  <c r="AL52" i="28"/>
  <c r="AK59" i="28"/>
  <c r="AK61" i="28" s="1"/>
  <c r="AL158" i="28"/>
  <c r="AL159" i="28"/>
  <c r="AL36" i="28"/>
  <c r="AM35" i="28" s="1"/>
  <c r="AK93" i="28"/>
  <c r="AK95" i="28" s="1"/>
  <c r="AN168" i="28"/>
  <c r="AM170" i="28"/>
  <c r="AN169" i="28" s="1"/>
  <c r="AN134" i="29"/>
  <c r="AO134" i="29" s="1"/>
  <c r="AP134" i="29" s="1"/>
  <c r="AQ134" i="29" s="1"/>
  <c r="AR134" i="29" s="1"/>
  <c r="AS134" i="29" s="1"/>
  <c r="AT134" i="29" s="1"/>
  <c r="AU134" i="29" s="1"/>
  <c r="AV134" i="29" s="1"/>
  <c r="AN117" i="28"/>
  <c r="AM119" i="28"/>
  <c r="AN118" i="28" s="1"/>
  <c r="AL172" i="29"/>
  <c r="AL138" i="29"/>
  <c r="AM121" i="29"/>
  <c r="AN120" i="29" s="1"/>
  <c r="AL57" i="28"/>
  <c r="AL56" i="28"/>
  <c r="AL124" i="29"/>
  <c r="AL125" i="29"/>
  <c r="AM175" i="28"/>
  <c r="AM176" i="28"/>
  <c r="AL121" i="28"/>
  <c r="AK110" i="29"/>
  <c r="AK112" i="29" s="1"/>
  <c r="AK161" i="28"/>
  <c r="AK163" i="28" s="1"/>
  <c r="AL107" i="29"/>
  <c r="AL108" i="29"/>
  <c r="AM136" i="29"/>
  <c r="AN135" i="29" s="1"/>
  <c r="AP87" i="28"/>
  <c r="AL42" i="29"/>
  <c r="AL44" i="29" s="1"/>
  <c r="AM36" i="29"/>
  <c r="AN35" i="29" s="1"/>
  <c r="AM59" i="29"/>
  <c r="AM61" i="29" s="1"/>
  <c r="AW151" i="29"/>
  <c r="AV153" i="29"/>
  <c r="AT66" i="29"/>
  <c r="AS68" i="29"/>
  <c r="AT67" i="29" s="1"/>
  <c r="AR49" i="29"/>
  <c r="AQ51" i="29"/>
  <c r="AR50" i="29" s="1"/>
  <c r="AN53" i="29"/>
  <c r="AO52" i="29" s="1"/>
  <c r="AT100" i="29"/>
  <c r="AS102" i="29"/>
  <c r="AT101" i="29" s="1"/>
  <c r="AM40" i="29"/>
  <c r="AM39" i="29"/>
  <c r="AO32" i="29"/>
  <c r="AN34" i="29"/>
  <c r="AO33" i="29" s="1"/>
  <c r="AT117" i="29"/>
  <c r="AS119" i="29"/>
  <c r="AT118" i="29" s="1"/>
  <c r="AN57" i="29"/>
  <c r="AN56" i="29"/>
  <c r="AU83" i="28"/>
  <c r="AT85" i="28"/>
  <c r="AV100" i="28"/>
  <c r="AU102" i="28"/>
  <c r="AV101" i="28" s="1"/>
  <c r="AX66" i="28"/>
  <c r="AW68" i="28"/>
  <c r="AX67" i="28" s="1"/>
  <c r="AW134" i="28"/>
  <c r="AV136" i="28"/>
  <c r="AY151" i="28"/>
  <c r="AX153" i="28"/>
  <c r="AY152" i="28" s="1"/>
  <c r="AW32" i="28"/>
  <c r="AV34" i="28"/>
  <c r="AW33" i="28" s="1"/>
  <c r="AM52" i="19"/>
  <c r="AL141" i="28" l="1"/>
  <c r="AL142" i="28"/>
  <c r="AM142" i="28" s="1"/>
  <c r="BA28" i="19"/>
  <c r="AH27" i="29"/>
  <c r="AI39" i="18" s="1"/>
  <c r="AI50" i="18" s="1"/>
  <c r="AH194" i="28"/>
  <c r="H11" i="3"/>
  <c r="G11" i="45" s="1"/>
  <c r="AW135" i="28"/>
  <c r="AJ187" i="29"/>
  <c r="AL184" i="28"/>
  <c r="AM15" i="28"/>
  <c r="AM17" i="28" s="1"/>
  <c r="AL17" i="28"/>
  <c r="AM67" i="18"/>
  <c r="AH196" i="28"/>
  <c r="AI66" i="18"/>
  <c r="AI77" i="18" s="1"/>
  <c r="AI192" i="28"/>
  <c r="AJ23" i="28"/>
  <c r="AJ22" i="28"/>
  <c r="AJ191" i="28" s="1"/>
  <c r="AI25" i="29"/>
  <c r="AI192" i="29"/>
  <c r="AJ23" i="29"/>
  <c r="AJ22" i="29"/>
  <c r="AJ191" i="29" s="1"/>
  <c r="AK185" i="28"/>
  <c r="AL74" i="18" s="1"/>
  <c r="AK19" i="28"/>
  <c r="AK18" i="28"/>
  <c r="AJ188" i="28"/>
  <c r="AJ187" i="28"/>
  <c r="AK18" i="29"/>
  <c r="AJ188" i="29"/>
  <c r="AG196" i="28"/>
  <c r="AH66" i="18"/>
  <c r="AH77" i="18" s="1"/>
  <c r="AI25" i="28"/>
  <c r="AK185" i="29"/>
  <c r="AL47" i="18" s="1"/>
  <c r="AK19" i="29"/>
  <c r="AL184" i="29"/>
  <c r="AM40" i="18"/>
  <c r="AM15" i="29"/>
  <c r="AL17" i="29"/>
  <c r="AL16" i="29"/>
  <c r="AK186" i="29"/>
  <c r="AL16" i="28"/>
  <c r="AW152" i="29"/>
  <c r="AO50" i="28"/>
  <c r="AM74" i="28"/>
  <c r="AM73" i="28"/>
  <c r="AL76" i="28"/>
  <c r="AL78" i="28" s="1"/>
  <c r="AU84" i="28"/>
  <c r="AO41" i="18"/>
  <c r="AN53" i="18"/>
  <c r="AL144" i="28"/>
  <c r="AL146" i="28" s="1"/>
  <c r="AO67" i="19"/>
  <c r="AO69" i="19" s="1"/>
  <c r="AP66" i="19"/>
  <c r="AP65" i="19"/>
  <c r="AP38" i="19"/>
  <c r="AP37" i="19"/>
  <c r="AO39" i="19"/>
  <c r="AO41" i="19" s="1"/>
  <c r="AT136" i="29"/>
  <c r="AN53" i="28"/>
  <c r="AO52" i="28" s="1"/>
  <c r="AL93" i="29"/>
  <c r="AL95" i="29" s="1"/>
  <c r="AL76" i="29"/>
  <c r="AL78" i="29" s="1"/>
  <c r="AM121" i="28"/>
  <c r="AN120" i="28" s="1"/>
  <c r="AL178" i="28"/>
  <c r="AL180" i="28" s="1"/>
  <c r="AL59" i="28"/>
  <c r="AL61" i="28" s="1"/>
  <c r="AM172" i="29"/>
  <c r="AN171" i="29" s="1"/>
  <c r="AN155" i="29"/>
  <c r="AO154" i="29" s="1"/>
  <c r="AL161" i="28"/>
  <c r="AL163" i="28" s="1"/>
  <c r="AL42" i="28"/>
  <c r="AL44" i="28" s="1"/>
  <c r="AM39" i="28"/>
  <c r="AM40" i="28"/>
  <c r="AM108" i="28"/>
  <c r="AM107" i="28"/>
  <c r="AL93" i="28"/>
  <c r="AL95" i="28" s="1"/>
  <c r="AM36" i="28"/>
  <c r="AN35" i="28" s="1"/>
  <c r="AL110" i="29"/>
  <c r="AL112" i="29" s="1"/>
  <c r="AM124" i="29"/>
  <c r="AM125" i="29"/>
  <c r="AM91" i="28"/>
  <c r="AM90" i="28"/>
  <c r="AL127" i="29"/>
  <c r="AL129" i="29" s="1"/>
  <c r="AM57" i="28"/>
  <c r="AM56" i="28"/>
  <c r="AM159" i="28"/>
  <c r="AM158" i="28"/>
  <c r="AN87" i="29"/>
  <c r="AO86" i="29" s="1"/>
  <c r="AO49" i="28"/>
  <c r="AO51" i="28" s="1"/>
  <c r="AM124" i="28"/>
  <c r="AM125" i="28"/>
  <c r="AM175" i="29"/>
  <c r="AM176" i="29"/>
  <c r="AO138" i="28"/>
  <c r="AP137" i="28" s="1"/>
  <c r="AM90" i="29"/>
  <c r="AM91" i="29"/>
  <c r="AM108" i="29"/>
  <c r="AM107" i="29"/>
  <c r="AN121" i="29"/>
  <c r="AO120" i="29" s="1"/>
  <c r="AO117" i="28"/>
  <c r="AN119" i="28"/>
  <c r="AO118" i="28" s="1"/>
  <c r="AS136" i="29"/>
  <c r="AR136" i="29"/>
  <c r="AM138" i="29"/>
  <c r="AN137" i="29" s="1"/>
  <c r="AL161" i="29"/>
  <c r="AL163" i="29" s="1"/>
  <c r="AM104" i="29"/>
  <c r="AN103" i="29" s="1"/>
  <c r="AM159" i="29"/>
  <c r="AM158" i="29"/>
  <c r="AO70" i="28"/>
  <c r="AU136" i="29"/>
  <c r="AM171" i="29"/>
  <c r="AL178" i="29"/>
  <c r="AL180" i="29" s="1"/>
  <c r="AO136" i="29"/>
  <c r="AQ104" i="28"/>
  <c r="AR103" i="28" s="1"/>
  <c r="AN136" i="29"/>
  <c r="AO135" i="29" s="1"/>
  <c r="AM137" i="29"/>
  <c r="AL144" i="29"/>
  <c r="AL146" i="29" s="1"/>
  <c r="AP136" i="29"/>
  <c r="AM120" i="28"/>
  <c r="AL127" i="28"/>
  <c r="AL129" i="28" s="1"/>
  <c r="AM172" i="28"/>
  <c r="AO168" i="29"/>
  <c r="AN170" i="29"/>
  <c r="AO169" i="29" s="1"/>
  <c r="AN176" i="28"/>
  <c r="AN175" i="28"/>
  <c r="AO168" i="28"/>
  <c r="AN170" i="28"/>
  <c r="AO169" i="28" s="1"/>
  <c r="AL110" i="28"/>
  <c r="AL112" i="28" s="1"/>
  <c r="AM142" i="29"/>
  <c r="AM141" i="29"/>
  <c r="AM155" i="28"/>
  <c r="AN154" i="28" s="1"/>
  <c r="AM73" i="29"/>
  <c r="AM74" i="29"/>
  <c r="AM70" i="29"/>
  <c r="AN69" i="29" s="1"/>
  <c r="AQ136" i="29"/>
  <c r="AQ86" i="28"/>
  <c r="AQ87" i="28"/>
  <c r="AR86" i="28" s="1"/>
  <c r="AN59" i="29"/>
  <c r="AN61" i="29" s="1"/>
  <c r="AN36" i="29"/>
  <c r="AO35" i="29" s="1"/>
  <c r="AM42" i="29"/>
  <c r="AM44" i="29" s="1"/>
  <c r="AW134" i="29"/>
  <c r="AV136" i="29"/>
  <c r="AS49" i="29"/>
  <c r="AR51" i="29"/>
  <c r="AS50" i="29" s="1"/>
  <c r="AU66" i="29"/>
  <c r="AT68" i="29"/>
  <c r="AU67" i="29" s="1"/>
  <c r="AU100" i="29"/>
  <c r="AT102" i="29"/>
  <c r="AU101" i="29" s="1"/>
  <c r="AO57" i="29"/>
  <c r="AO56" i="29"/>
  <c r="AN40" i="29"/>
  <c r="AN39" i="29"/>
  <c r="AU117" i="29"/>
  <c r="AT119" i="29"/>
  <c r="AU118" i="29" s="1"/>
  <c r="AO53" i="29"/>
  <c r="AP52" i="29" s="1"/>
  <c r="AX151" i="29"/>
  <c r="AW153" i="29"/>
  <c r="AP32" i="29"/>
  <c r="AO34" i="29"/>
  <c r="AP33" i="29" s="1"/>
  <c r="AZ151" i="28"/>
  <c r="AY153" i="28"/>
  <c r="AZ152" i="28" s="1"/>
  <c r="AX32" i="28"/>
  <c r="AW34" i="28"/>
  <c r="AX33" i="28" s="1"/>
  <c r="AY66" i="28"/>
  <c r="AX68" i="28"/>
  <c r="AY67" i="28" s="1"/>
  <c r="AW100" i="28"/>
  <c r="AV102" i="28"/>
  <c r="AW101" i="28" s="1"/>
  <c r="AX134" i="28"/>
  <c r="AW136" i="28"/>
  <c r="AV83" i="28"/>
  <c r="AU85" i="28"/>
  <c r="AN52" i="19"/>
  <c r="AN80" i="19"/>
  <c r="AM80" i="19"/>
  <c r="AH196" i="29" l="1"/>
  <c r="AM141" i="28"/>
  <c r="H10" i="3"/>
  <c r="G10" i="45" s="1"/>
  <c r="AX135" i="28"/>
  <c r="AJ25" i="28"/>
  <c r="AJ27" i="28" s="1"/>
  <c r="AX152" i="29"/>
  <c r="AP50" i="28"/>
  <c r="AM186" i="28"/>
  <c r="AL185" i="29"/>
  <c r="AM47" i="18" s="1"/>
  <c r="AL19" i="29"/>
  <c r="AM16" i="29"/>
  <c r="AL186" i="29"/>
  <c r="AM184" i="29"/>
  <c r="AN40" i="18"/>
  <c r="AN15" i="29"/>
  <c r="AM17" i="29"/>
  <c r="AK187" i="29"/>
  <c r="AJ192" i="29"/>
  <c r="AK22" i="29"/>
  <c r="AK191" i="29" s="1"/>
  <c r="AK23" i="29"/>
  <c r="AM16" i="28"/>
  <c r="AL186" i="28"/>
  <c r="AI27" i="29"/>
  <c r="AI194" i="29"/>
  <c r="AM184" i="28"/>
  <c r="AN15" i="28"/>
  <c r="AN67" i="18"/>
  <c r="AK188" i="29"/>
  <c r="AL18" i="29"/>
  <c r="AK187" i="28"/>
  <c r="AK188" i="28"/>
  <c r="AL18" i="28"/>
  <c r="AI27" i="28"/>
  <c r="AI194" i="28"/>
  <c r="AL185" i="28"/>
  <c r="AM74" i="18" s="1"/>
  <c r="AL19" i="28"/>
  <c r="AJ192" i="28"/>
  <c r="AK23" i="28"/>
  <c r="AK22" i="28"/>
  <c r="AK191" i="28" s="1"/>
  <c r="AJ25" i="29"/>
  <c r="AM76" i="28"/>
  <c r="AM78" i="28" s="1"/>
  <c r="AN74" i="28"/>
  <c r="AN73" i="28"/>
  <c r="AV84" i="28"/>
  <c r="AP41" i="18"/>
  <c r="AO53" i="18"/>
  <c r="AP135" i="29"/>
  <c r="AP138" i="29" s="1"/>
  <c r="AQ137" i="29" s="1"/>
  <c r="AP39" i="19"/>
  <c r="AP41" i="19" s="1"/>
  <c r="AP67" i="19"/>
  <c r="AP69" i="19" s="1"/>
  <c r="AQ66" i="19"/>
  <c r="AQ65" i="19"/>
  <c r="AM161" i="28"/>
  <c r="AM163" i="28" s="1"/>
  <c r="AQ38" i="19"/>
  <c r="AQ37" i="19"/>
  <c r="AM93" i="29"/>
  <c r="AM95" i="29" s="1"/>
  <c r="AN121" i="28"/>
  <c r="AO120" i="28" s="1"/>
  <c r="AM161" i="29"/>
  <c r="AM163" i="29" s="1"/>
  <c r="AM178" i="29"/>
  <c r="AM180" i="29" s="1"/>
  <c r="AM127" i="28"/>
  <c r="AM129" i="28" s="1"/>
  <c r="AM59" i="28"/>
  <c r="AM61" i="28" s="1"/>
  <c r="AM144" i="28"/>
  <c r="AM146" i="28" s="1"/>
  <c r="AM93" i="28"/>
  <c r="AM95" i="28" s="1"/>
  <c r="AO155" i="29"/>
  <c r="AP154" i="29" s="1"/>
  <c r="AM110" i="29"/>
  <c r="AM112" i="29" s="1"/>
  <c r="AO53" i="28"/>
  <c r="AP52" i="28" s="1"/>
  <c r="AN155" i="28"/>
  <c r="AO154" i="28" s="1"/>
  <c r="AN158" i="28"/>
  <c r="AN159" i="28"/>
  <c r="AN124" i="28"/>
  <c r="AN125" i="28"/>
  <c r="AO175" i="28"/>
  <c r="AO176" i="28"/>
  <c r="AN142" i="29"/>
  <c r="AN141" i="29"/>
  <c r="AM76" i="29"/>
  <c r="AM78" i="29" s="1"/>
  <c r="AM42" i="28"/>
  <c r="AM44" i="28" s="1"/>
  <c r="AM110" i="28"/>
  <c r="AM112" i="28" s="1"/>
  <c r="AN56" i="28"/>
  <c r="AN57" i="28"/>
  <c r="AP117" i="28"/>
  <c r="AP119" i="28" s="1"/>
  <c r="AO119" i="28"/>
  <c r="AP118" i="28" s="1"/>
  <c r="AN108" i="28"/>
  <c r="AN107" i="28"/>
  <c r="AP70" i="28"/>
  <c r="AQ69" i="28" s="1"/>
  <c r="AO121" i="29"/>
  <c r="AP120" i="29" s="1"/>
  <c r="AR104" i="28"/>
  <c r="AS103" i="28" s="1"/>
  <c r="AM144" i="29"/>
  <c r="AM146" i="29" s="1"/>
  <c r="AP69" i="28"/>
  <c r="AN90" i="28"/>
  <c r="AN91" i="28"/>
  <c r="AN36" i="28"/>
  <c r="AO35" i="28" s="1"/>
  <c r="AN40" i="28"/>
  <c r="AN39" i="28"/>
  <c r="AN124" i="29"/>
  <c r="AN125" i="29"/>
  <c r="AN158" i="29"/>
  <c r="AN159" i="29"/>
  <c r="AN108" i="29"/>
  <c r="AN107" i="29"/>
  <c r="AP49" i="28"/>
  <c r="AP51" i="28" s="1"/>
  <c r="AM127" i="29"/>
  <c r="AM129" i="29" s="1"/>
  <c r="AN70" i="29"/>
  <c r="AO69" i="29" s="1"/>
  <c r="AP168" i="29"/>
  <c r="AO170" i="29"/>
  <c r="AP169" i="29" s="1"/>
  <c r="AO87" i="29"/>
  <c r="AP86" i="29" s="1"/>
  <c r="AN73" i="29"/>
  <c r="AN74" i="29"/>
  <c r="AN171" i="28"/>
  <c r="AM178" i="28"/>
  <c r="AM180" i="28" s="1"/>
  <c r="AN91" i="29"/>
  <c r="AN90" i="29"/>
  <c r="AN176" i="29"/>
  <c r="AN175" i="29"/>
  <c r="AP168" i="28"/>
  <c r="AO170" i="28"/>
  <c r="AP169" i="28" s="1"/>
  <c r="AN172" i="28"/>
  <c r="AO171" i="28" s="1"/>
  <c r="AN172" i="29"/>
  <c r="AN142" i="28"/>
  <c r="AN141" i="28"/>
  <c r="AN104" i="29"/>
  <c r="AO103" i="29" s="1"/>
  <c r="AP138" i="28"/>
  <c r="AQ137" i="28" s="1"/>
  <c r="AN138" i="29"/>
  <c r="AO137" i="29" s="1"/>
  <c r="AR87" i="28"/>
  <c r="AO59" i="29"/>
  <c r="AO61" i="29" s="1"/>
  <c r="AN42" i="29"/>
  <c r="AN44" i="29" s="1"/>
  <c r="AO36" i="29"/>
  <c r="AP35" i="29" s="1"/>
  <c r="AV117" i="29"/>
  <c r="AU119" i="29"/>
  <c r="AV118" i="29" s="1"/>
  <c r="AY151" i="29"/>
  <c r="AX153" i="29"/>
  <c r="AO40" i="29"/>
  <c r="AO39" i="29"/>
  <c r="AP57" i="29"/>
  <c r="AP56" i="29"/>
  <c r="AV100" i="29"/>
  <c r="AU102" i="29"/>
  <c r="AV101" i="29" s="1"/>
  <c r="AV66" i="29"/>
  <c r="AU68" i="29"/>
  <c r="AV67" i="29" s="1"/>
  <c r="AT49" i="29"/>
  <c r="AS51" i="29"/>
  <c r="AT50" i="29" s="1"/>
  <c r="AP53" i="29"/>
  <c r="AQ52" i="29" s="1"/>
  <c r="AX134" i="29"/>
  <c r="AW136" i="29"/>
  <c r="AQ32" i="29"/>
  <c r="AP34" i="29"/>
  <c r="AQ33" i="29" s="1"/>
  <c r="BA151" i="28"/>
  <c r="AZ153" i="28"/>
  <c r="BA152" i="28" s="1"/>
  <c r="AZ66" i="28"/>
  <c r="AY68" i="28"/>
  <c r="AZ67" i="28" s="1"/>
  <c r="AX100" i="28"/>
  <c r="AW102" i="28"/>
  <c r="AX101" i="28" s="1"/>
  <c r="AW83" i="28"/>
  <c r="AV85" i="28"/>
  <c r="AY134" i="28"/>
  <c r="AX136" i="28"/>
  <c r="AY32" i="28"/>
  <c r="AX34" i="28"/>
  <c r="AY33" i="28" s="1"/>
  <c r="AO52" i="19"/>
  <c r="AO80" i="19"/>
  <c r="AY135" i="28" l="1"/>
  <c r="AY152" i="29"/>
  <c r="AQ50" i="28"/>
  <c r="AJ194" i="28"/>
  <c r="AK25" i="29"/>
  <c r="AK27" i="29" s="1"/>
  <c r="AJ27" i="29"/>
  <c r="AJ194" i="29"/>
  <c r="AN184" i="28"/>
  <c r="AO15" i="28"/>
  <c r="AO67" i="18"/>
  <c r="AN17" i="28"/>
  <c r="AK192" i="28"/>
  <c r="AL23" i="28"/>
  <c r="AL22" i="28"/>
  <c r="AL191" i="28" s="1"/>
  <c r="AI196" i="29"/>
  <c r="AJ39" i="18"/>
  <c r="AJ50" i="18" s="1"/>
  <c r="AN16" i="29"/>
  <c r="AM186" i="29"/>
  <c r="AM18" i="28"/>
  <c r="AL188" i="28"/>
  <c r="AL187" i="28"/>
  <c r="AN184" i="29"/>
  <c r="AO40" i="18"/>
  <c r="AO15" i="29"/>
  <c r="AN17" i="29"/>
  <c r="AM185" i="28"/>
  <c r="AN74" i="18" s="1"/>
  <c r="AM19" i="28"/>
  <c r="AK25" i="28"/>
  <c r="AK192" i="29"/>
  <c r="AL23" i="29"/>
  <c r="AL22" i="29"/>
  <c r="AL191" i="29" s="1"/>
  <c r="AM185" i="29"/>
  <c r="AN47" i="18" s="1"/>
  <c r="AM19" i="29"/>
  <c r="AM18" i="29"/>
  <c r="AL188" i="29"/>
  <c r="AL187" i="29"/>
  <c r="AI196" i="28"/>
  <c r="AJ66" i="18"/>
  <c r="AJ77" i="18" s="1"/>
  <c r="AJ196" i="28"/>
  <c r="AK66" i="18"/>
  <c r="AK77" i="18" s="1"/>
  <c r="AN16" i="28"/>
  <c r="AW84" i="28"/>
  <c r="AN76" i="28"/>
  <c r="AN78" i="28" s="1"/>
  <c r="AO73" i="28"/>
  <c r="AO74" i="28"/>
  <c r="AQ135" i="29"/>
  <c r="AR135" i="29" s="1"/>
  <c r="AS135" i="29" s="1"/>
  <c r="AT135" i="29" s="1"/>
  <c r="AU135" i="29" s="1"/>
  <c r="AV135" i="29" s="1"/>
  <c r="AW135" i="29" s="1"/>
  <c r="AX135" i="29" s="1"/>
  <c r="AQ41" i="18"/>
  <c r="AP53" i="18"/>
  <c r="AQ118" i="28"/>
  <c r="AO138" i="29"/>
  <c r="AP137" i="29" s="1"/>
  <c r="AQ67" i="19"/>
  <c r="AQ69" i="19" s="1"/>
  <c r="AR66" i="19"/>
  <c r="AR65" i="19"/>
  <c r="AQ39" i="19"/>
  <c r="AQ41" i="19" s="1"/>
  <c r="AR38" i="19"/>
  <c r="AR37" i="19"/>
  <c r="AN127" i="29"/>
  <c r="AN129" i="29" s="1"/>
  <c r="AN110" i="28"/>
  <c r="AN112" i="28" s="1"/>
  <c r="AP121" i="28"/>
  <c r="AQ120" i="28" s="1"/>
  <c r="AP53" i="28"/>
  <c r="AQ52" i="28" s="1"/>
  <c r="AN161" i="29"/>
  <c r="AN163" i="29" s="1"/>
  <c r="AN127" i="28"/>
  <c r="AN129" i="28" s="1"/>
  <c r="AN161" i="28"/>
  <c r="AN163" i="28" s="1"/>
  <c r="AN144" i="29"/>
  <c r="AN146" i="29" s="1"/>
  <c r="AN93" i="29"/>
  <c r="AN95" i="29" s="1"/>
  <c r="AP155" i="29"/>
  <c r="AQ154" i="29" s="1"/>
  <c r="AN76" i="29"/>
  <c r="AN78" i="29" s="1"/>
  <c r="AO141" i="28"/>
  <c r="AO142" i="28"/>
  <c r="AO40" i="28"/>
  <c r="AO39" i="28"/>
  <c r="AQ168" i="29"/>
  <c r="AP170" i="29"/>
  <c r="AQ169" i="29" s="1"/>
  <c r="AO36" i="28"/>
  <c r="AP35" i="28" s="1"/>
  <c r="AO172" i="29"/>
  <c r="AP171" i="29" s="1"/>
  <c r="AO90" i="28"/>
  <c r="AO91" i="28"/>
  <c r="AS104" i="28"/>
  <c r="AT103" i="28" s="1"/>
  <c r="AO108" i="28"/>
  <c r="AO107" i="28"/>
  <c r="AN110" i="29"/>
  <c r="AN112" i="29" s="1"/>
  <c r="AO70" i="29"/>
  <c r="AP69" i="29" s="1"/>
  <c r="AO172" i="28"/>
  <c r="AP171" i="28" s="1"/>
  <c r="AN93" i="28"/>
  <c r="AN95" i="28" s="1"/>
  <c r="AO155" i="28"/>
  <c r="AP154" i="28" s="1"/>
  <c r="AP87" i="29"/>
  <c r="AQ86" i="29" s="1"/>
  <c r="AO57" i="28"/>
  <c r="AO56" i="28"/>
  <c r="AN59" i="28"/>
  <c r="AN61" i="28" s="1"/>
  <c r="AQ168" i="28"/>
  <c r="AP170" i="28"/>
  <c r="AQ169" i="28" s="1"/>
  <c r="AO175" i="29"/>
  <c r="AO176" i="29"/>
  <c r="AQ138" i="28"/>
  <c r="AR137" i="28" s="1"/>
  <c r="AO125" i="28"/>
  <c r="AO124" i="28"/>
  <c r="AO90" i="29"/>
  <c r="AO91" i="29"/>
  <c r="AO124" i="29"/>
  <c r="AO125" i="29"/>
  <c r="AN42" i="28"/>
  <c r="AN44" i="28" s="1"/>
  <c r="AQ49" i="28"/>
  <c r="AQ51" i="28" s="1"/>
  <c r="AO142" i="29"/>
  <c r="AO141" i="29"/>
  <c r="AO104" i="29"/>
  <c r="AP103" i="29" s="1"/>
  <c r="AN178" i="28"/>
  <c r="AN180" i="28" s="1"/>
  <c r="AO108" i="29"/>
  <c r="AO107" i="29"/>
  <c r="AP121" i="29"/>
  <c r="AQ120" i="29" s="1"/>
  <c r="AQ117" i="28"/>
  <c r="AP176" i="28"/>
  <c r="AP175" i="28"/>
  <c r="AO171" i="29"/>
  <c r="AN178" i="29"/>
  <c r="AN180" i="29" s="1"/>
  <c r="AN144" i="28"/>
  <c r="AN146" i="28" s="1"/>
  <c r="AO73" i="29"/>
  <c r="AO74" i="29"/>
  <c r="AO158" i="29"/>
  <c r="AO159" i="29"/>
  <c r="AQ70" i="28"/>
  <c r="AO121" i="28"/>
  <c r="AO158" i="28"/>
  <c r="AO159" i="28"/>
  <c r="AS86" i="28"/>
  <c r="AS87" i="28"/>
  <c r="AT86" i="28" s="1"/>
  <c r="AP36" i="29"/>
  <c r="AQ35" i="29" s="1"/>
  <c r="AO42" i="29"/>
  <c r="AO44" i="29" s="1"/>
  <c r="AY134" i="29"/>
  <c r="AX136" i="29"/>
  <c r="AQ57" i="29"/>
  <c r="AQ56" i="29"/>
  <c r="AP59" i="29"/>
  <c r="AP61" i="29" s="1"/>
  <c r="AW100" i="29"/>
  <c r="AV102" i="29"/>
  <c r="AW101" i="29" s="1"/>
  <c r="AP39" i="29"/>
  <c r="AP40" i="29"/>
  <c r="AW66" i="29"/>
  <c r="AV68" i="29"/>
  <c r="AW67" i="29" s="1"/>
  <c r="AZ151" i="29"/>
  <c r="AY153" i="29"/>
  <c r="AZ152" i="29" s="1"/>
  <c r="AU49" i="29"/>
  <c r="AT51" i="29"/>
  <c r="AU50" i="29" s="1"/>
  <c r="AR32" i="29"/>
  <c r="AQ34" i="29"/>
  <c r="AR33" i="29" s="1"/>
  <c r="AW117" i="29"/>
  <c r="AV119" i="29"/>
  <c r="AW118" i="29" s="1"/>
  <c r="AQ53" i="29"/>
  <c r="AR52" i="29" s="1"/>
  <c r="AZ134" i="28"/>
  <c r="AY136" i="28"/>
  <c r="AZ135" i="28" s="1"/>
  <c r="AZ32" i="28"/>
  <c r="AY34" i="28"/>
  <c r="AZ33" i="28" s="1"/>
  <c r="AY100" i="28"/>
  <c r="AX102" i="28"/>
  <c r="AY101" i="28" s="1"/>
  <c r="AX83" i="28"/>
  <c r="AW85" i="28"/>
  <c r="BA66" i="28"/>
  <c r="AZ68" i="28"/>
  <c r="BA67" i="28" s="1"/>
  <c r="BB151" i="28"/>
  <c r="BA153" i="28"/>
  <c r="BB152" i="28" s="1"/>
  <c r="AP52" i="19"/>
  <c r="AP80" i="19"/>
  <c r="AR50" i="28" l="1"/>
  <c r="AX84" i="28"/>
  <c r="AK194" i="29"/>
  <c r="AL25" i="29"/>
  <c r="AK27" i="28"/>
  <c r="AK194" i="28"/>
  <c r="AL192" i="28"/>
  <c r="AM22" i="28"/>
  <c r="AM191" i="28" s="1"/>
  <c r="AM23" i="28"/>
  <c r="AL25" i="28"/>
  <c r="AL192" i="29"/>
  <c r="AM22" i="29"/>
  <c r="AM191" i="29" s="1"/>
  <c r="AM23" i="29"/>
  <c r="AO16" i="28"/>
  <c r="AN186" i="28"/>
  <c r="AM187" i="29"/>
  <c r="AM187" i="28"/>
  <c r="AM188" i="28"/>
  <c r="AN18" i="28"/>
  <c r="AO184" i="28"/>
  <c r="AP15" i="28"/>
  <c r="AP67" i="18"/>
  <c r="AN185" i="29"/>
  <c r="AO47" i="18" s="1"/>
  <c r="AN19" i="29"/>
  <c r="AN185" i="28"/>
  <c r="AO74" i="18" s="1"/>
  <c r="AN19" i="28"/>
  <c r="AJ196" i="29"/>
  <c r="AK39" i="18"/>
  <c r="AK50" i="18" s="1"/>
  <c r="AM188" i="29"/>
  <c r="AN18" i="29"/>
  <c r="AO16" i="29"/>
  <c r="AN186" i="29"/>
  <c r="AO17" i="28"/>
  <c r="AO184" i="29"/>
  <c r="AO17" i="29"/>
  <c r="AP40" i="18"/>
  <c r="AP15" i="29"/>
  <c r="AK196" i="29"/>
  <c r="AL39" i="18"/>
  <c r="AL50" i="18" s="1"/>
  <c r="AP74" i="28"/>
  <c r="AP73" i="28"/>
  <c r="AO76" i="28"/>
  <c r="AO78" i="28" s="1"/>
  <c r="AY135" i="29"/>
  <c r="AQ53" i="18"/>
  <c r="AR41" i="18"/>
  <c r="AO144" i="29"/>
  <c r="AO146" i="29" s="1"/>
  <c r="AR39" i="19"/>
  <c r="AR41" i="19" s="1"/>
  <c r="AO93" i="28"/>
  <c r="AO95" i="28" s="1"/>
  <c r="AR67" i="19"/>
  <c r="AR69" i="19" s="1"/>
  <c r="AS66" i="19"/>
  <c r="AS65" i="19"/>
  <c r="AO110" i="28"/>
  <c r="AO112" i="28" s="1"/>
  <c r="AS38" i="19"/>
  <c r="AS37" i="19"/>
  <c r="AP172" i="28"/>
  <c r="AQ171" i="28" s="1"/>
  <c r="AQ155" i="29"/>
  <c r="AR154" i="29" s="1"/>
  <c r="AO93" i="29"/>
  <c r="AO95" i="29" s="1"/>
  <c r="AO161" i="29"/>
  <c r="AO163" i="29" s="1"/>
  <c r="AO110" i="29"/>
  <c r="AO112" i="29" s="1"/>
  <c r="AO178" i="29"/>
  <c r="AO180" i="29" s="1"/>
  <c r="AO42" i="28"/>
  <c r="AO44" i="28" s="1"/>
  <c r="AQ53" i="28"/>
  <c r="AR52" i="28" s="1"/>
  <c r="AP120" i="28"/>
  <c r="AO127" i="28"/>
  <c r="AO129" i="28" s="1"/>
  <c r="AP90" i="28"/>
  <c r="AP91" i="28"/>
  <c r="AR168" i="29"/>
  <c r="AQ170" i="29"/>
  <c r="AR169" i="29" s="1"/>
  <c r="AP39" i="28"/>
  <c r="AP40" i="28"/>
  <c r="AR138" i="28"/>
  <c r="AS137" i="28" s="1"/>
  <c r="AP108" i="29"/>
  <c r="AP107" i="29"/>
  <c r="AQ87" i="29"/>
  <c r="AR86" i="29" s="1"/>
  <c r="AT104" i="28"/>
  <c r="AU103" i="28" s="1"/>
  <c r="AQ176" i="28"/>
  <c r="AQ175" i="28"/>
  <c r="AP172" i="29"/>
  <c r="AQ171" i="29" s="1"/>
  <c r="AP142" i="28"/>
  <c r="AP141" i="28"/>
  <c r="AP90" i="29"/>
  <c r="AP91" i="29"/>
  <c r="AR69" i="28"/>
  <c r="AR70" i="28"/>
  <c r="AS69" i="28" s="1"/>
  <c r="AP155" i="28"/>
  <c r="AQ154" i="28" s="1"/>
  <c r="AO76" i="29"/>
  <c r="AO78" i="29" s="1"/>
  <c r="AO144" i="28"/>
  <c r="AO146" i="28" s="1"/>
  <c r="AP158" i="28"/>
  <c r="AP159" i="28"/>
  <c r="AQ138" i="29"/>
  <c r="AO161" i="28"/>
  <c r="AO163" i="28" s="1"/>
  <c r="AO178" i="28"/>
  <c r="AO180" i="28" s="1"/>
  <c r="AP125" i="28"/>
  <c r="AP124" i="28"/>
  <c r="AP175" i="29"/>
  <c r="AP176" i="29"/>
  <c r="AP159" i="29"/>
  <c r="AP158" i="29"/>
  <c r="AR168" i="28"/>
  <c r="AQ170" i="28"/>
  <c r="AR169" i="28" s="1"/>
  <c r="AO59" i="28"/>
  <c r="AO61" i="28" s="1"/>
  <c r="AR117" i="28"/>
  <c r="AQ119" i="28"/>
  <c r="AR118" i="28" s="1"/>
  <c r="AP141" i="29"/>
  <c r="AP142" i="29"/>
  <c r="AP56" i="28"/>
  <c r="AP57" i="28"/>
  <c r="AP36" i="28"/>
  <c r="AQ35" i="28" s="1"/>
  <c r="AP74" i="29"/>
  <c r="AP73" i="29"/>
  <c r="AQ121" i="29"/>
  <c r="AR120" i="29" s="1"/>
  <c r="AP104" i="29"/>
  <c r="AQ103" i="29" s="1"/>
  <c r="AR49" i="28"/>
  <c r="AR51" i="28" s="1"/>
  <c r="AS50" i="28" s="1"/>
  <c r="AP124" i="29"/>
  <c r="AP125" i="29"/>
  <c r="AP70" i="29"/>
  <c r="AQ69" i="29" s="1"/>
  <c r="AO127" i="29"/>
  <c r="AO129" i="29" s="1"/>
  <c r="AP108" i="28"/>
  <c r="AP107" i="28"/>
  <c r="AT87" i="28"/>
  <c r="AQ59" i="29"/>
  <c r="AQ61" i="29" s="1"/>
  <c r="AQ36" i="29"/>
  <c r="AR35" i="29" s="1"/>
  <c r="AP42" i="29"/>
  <c r="AP44" i="29" s="1"/>
  <c r="AQ39" i="29"/>
  <c r="AQ40" i="29"/>
  <c r="AX100" i="29"/>
  <c r="AW102" i="29"/>
  <c r="AX101" i="29" s="1"/>
  <c r="BA151" i="29"/>
  <c r="AZ153" i="29"/>
  <c r="BA152" i="29" s="1"/>
  <c r="AX117" i="29"/>
  <c r="AW119" i="29"/>
  <c r="AX118" i="29" s="1"/>
  <c r="AR57" i="29"/>
  <c r="AR56" i="29"/>
  <c r="AZ134" i="29"/>
  <c r="AY136" i="29"/>
  <c r="AR53" i="29"/>
  <c r="AS52" i="29" s="1"/>
  <c r="AS32" i="29"/>
  <c r="AR34" i="29"/>
  <c r="AS33" i="29" s="1"/>
  <c r="AV49" i="29"/>
  <c r="AU51" i="29"/>
  <c r="AV50" i="29" s="1"/>
  <c r="AX66" i="29"/>
  <c r="AW68" i="29"/>
  <c r="AX67" i="29" s="1"/>
  <c r="BA134" i="28"/>
  <c r="AZ136" i="28"/>
  <c r="BA135" i="28" s="1"/>
  <c r="AZ100" i="28"/>
  <c r="AY102" i="28"/>
  <c r="AZ101" i="28" s="1"/>
  <c r="BB66" i="28"/>
  <c r="BA68" i="28"/>
  <c r="BB67" i="28" s="1"/>
  <c r="BA32" i="28"/>
  <c r="AZ34" i="28"/>
  <c r="BA33" i="28" s="1"/>
  <c r="AY83" i="28"/>
  <c r="AX85" i="28"/>
  <c r="AY84" i="28" s="1"/>
  <c r="BC151" i="28"/>
  <c r="BB153" i="28"/>
  <c r="BC152" i="28" s="1"/>
  <c r="AQ52" i="19"/>
  <c r="AM25" i="29" l="1"/>
  <c r="AM27" i="29" s="1"/>
  <c r="AP184" i="29"/>
  <c r="AP17" i="29"/>
  <c r="AQ15" i="29"/>
  <c r="AQ40" i="18"/>
  <c r="AO18" i="28"/>
  <c r="AN188" i="28"/>
  <c r="AM192" i="28"/>
  <c r="AN23" i="28"/>
  <c r="AN22" i="28"/>
  <c r="AN191" i="28" s="1"/>
  <c r="AP16" i="29"/>
  <c r="AO186" i="29"/>
  <c r="AO18" i="29"/>
  <c r="AN188" i="29"/>
  <c r="AP16" i="28"/>
  <c r="AO186" i="28"/>
  <c r="AO185" i="28"/>
  <c r="AP74" i="18" s="1"/>
  <c r="AO19" i="28"/>
  <c r="AO185" i="29"/>
  <c r="AP47" i="18" s="1"/>
  <c r="AO19" i="29"/>
  <c r="AP184" i="28"/>
  <c r="AQ15" i="28"/>
  <c r="AQ67" i="18"/>
  <c r="AN187" i="29"/>
  <c r="AN187" i="28"/>
  <c r="AM192" i="29"/>
  <c r="AN23" i="29"/>
  <c r="AN22" i="29"/>
  <c r="AN191" i="29" s="1"/>
  <c r="AK196" i="28"/>
  <c r="AL66" i="18"/>
  <c r="AL77" i="18" s="1"/>
  <c r="AL27" i="29"/>
  <c r="AL194" i="29"/>
  <c r="AL27" i="28"/>
  <c r="AL194" i="28"/>
  <c r="AM25" i="28"/>
  <c r="AP17" i="28"/>
  <c r="AZ135" i="29"/>
  <c r="AP76" i="28"/>
  <c r="AP78" i="28" s="1"/>
  <c r="AQ73" i="28"/>
  <c r="AQ74" i="28"/>
  <c r="AS41" i="18"/>
  <c r="AR53" i="18"/>
  <c r="AP178" i="28"/>
  <c r="AP180" i="28" s="1"/>
  <c r="AS39" i="19"/>
  <c r="AS41" i="19" s="1"/>
  <c r="AS67" i="19"/>
  <c r="AS69" i="19" s="1"/>
  <c r="AT66" i="19"/>
  <c r="AT65" i="19"/>
  <c r="AT38" i="19"/>
  <c r="AT37" i="19"/>
  <c r="AP161" i="29"/>
  <c r="AP163" i="29" s="1"/>
  <c r="AP144" i="28"/>
  <c r="AP146" i="28" s="1"/>
  <c r="AP127" i="28"/>
  <c r="AP129" i="28" s="1"/>
  <c r="AP144" i="29"/>
  <c r="AP146" i="29" s="1"/>
  <c r="AP110" i="29"/>
  <c r="AP112" i="29" s="1"/>
  <c r="AP161" i="28"/>
  <c r="AP163" i="28" s="1"/>
  <c r="AQ172" i="29"/>
  <c r="AR171" i="29" s="1"/>
  <c r="AR53" i="28"/>
  <c r="AS52" i="28" s="1"/>
  <c r="AR155" i="29"/>
  <c r="AS154" i="29" s="1"/>
  <c r="AQ172" i="28"/>
  <c r="AR171" i="28" s="1"/>
  <c r="AP59" i="28"/>
  <c r="AP61" i="28" s="1"/>
  <c r="AP178" i="29"/>
  <c r="AP180" i="29" s="1"/>
  <c r="AP42" i="28"/>
  <c r="AP44" i="28" s="1"/>
  <c r="AP76" i="29"/>
  <c r="AP78" i="29" s="1"/>
  <c r="AQ57" i="28"/>
  <c r="AQ56" i="28"/>
  <c r="AR138" i="29"/>
  <c r="AS137" i="29" s="1"/>
  <c r="AQ125" i="29"/>
  <c r="AQ124" i="29"/>
  <c r="AR137" i="29"/>
  <c r="AS70" i="28"/>
  <c r="AQ121" i="28"/>
  <c r="AQ159" i="28"/>
  <c r="AQ158" i="28"/>
  <c r="AQ108" i="29"/>
  <c r="AQ107" i="29"/>
  <c r="AQ108" i="28"/>
  <c r="AQ107" i="28"/>
  <c r="AP127" i="29"/>
  <c r="AP129" i="29" s="1"/>
  <c r="AQ142" i="29"/>
  <c r="AQ141" i="29"/>
  <c r="AR121" i="29"/>
  <c r="AS120" i="29" s="1"/>
  <c r="AS138" i="28"/>
  <c r="AT137" i="28" s="1"/>
  <c r="AQ158" i="29"/>
  <c r="AQ159" i="29"/>
  <c r="AR176" i="28"/>
  <c r="AR175" i="28"/>
  <c r="AS49" i="28"/>
  <c r="AQ175" i="29"/>
  <c r="AQ176" i="29"/>
  <c r="AQ40" i="28"/>
  <c r="AQ39" i="28"/>
  <c r="AQ74" i="29"/>
  <c r="AQ73" i="29"/>
  <c r="AR119" i="28"/>
  <c r="AS118" i="28" s="1"/>
  <c r="AQ155" i="28"/>
  <c r="AR154" i="28" s="1"/>
  <c r="AQ90" i="29"/>
  <c r="AQ91" i="29"/>
  <c r="AU104" i="28"/>
  <c r="AV103" i="28" s="1"/>
  <c r="AP93" i="29"/>
  <c r="AP95" i="29" s="1"/>
  <c r="AQ104" i="29"/>
  <c r="AR103" i="29" s="1"/>
  <c r="AQ125" i="28"/>
  <c r="AQ124" i="28"/>
  <c r="AS168" i="29"/>
  <c r="AR170" i="29"/>
  <c r="AS169" i="29" s="1"/>
  <c r="AS117" i="28"/>
  <c r="AR87" i="29"/>
  <c r="AS86" i="29" s="1"/>
  <c r="AQ91" i="28"/>
  <c r="AQ90" i="28"/>
  <c r="AS168" i="28"/>
  <c r="AR170" i="28"/>
  <c r="AS169" i="28" s="1"/>
  <c r="AP110" i="28"/>
  <c r="AP112" i="28" s="1"/>
  <c r="AQ70" i="29"/>
  <c r="AR69" i="29" s="1"/>
  <c r="AQ36" i="28"/>
  <c r="AR35" i="28" s="1"/>
  <c r="AQ141" i="28"/>
  <c r="AQ142" i="28"/>
  <c r="AP93" i="28"/>
  <c r="AP95" i="28" s="1"/>
  <c r="AU86" i="28"/>
  <c r="AU87" i="28"/>
  <c r="AV86" i="28" s="1"/>
  <c r="AQ42" i="29"/>
  <c r="AQ44" i="29" s="1"/>
  <c r="AR36" i="29"/>
  <c r="AS35" i="29" s="1"/>
  <c r="AS57" i="29"/>
  <c r="AS56" i="29"/>
  <c r="AT32" i="29"/>
  <c r="AS34" i="29"/>
  <c r="AT33" i="29" s="1"/>
  <c r="AS53" i="29"/>
  <c r="AT52" i="29" s="1"/>
  <c r="AY66" i="29"/>
  <c r="AX68" i="29"/>
  <c r="AY67" i="29" s="1"/>
  <c r="AY100" i="29"/>
  <c r="AX102" i="29"/>
  <c r="AY101" i="29" s="1"/>
  <c r="AW49" i="29"/>
  <c r="AV51" i="29"/>
  <c r="AW50" i="29" s="1"/>
  <c r="AR40" i="29"/>
  <c r="AR39" i="29"/>
  <c r="BB151" i="29"/>
  <c r="BA153" i="29"/>
  <c r="BB152" i="29" s="1"/>
  <c r="BA134" i="29"/>
  <c r="AZ136" i="29"/>
  <c r="AR59" i="29"/>
  <c r="AR61" i="29" s="1"/>
  <c r="AY117" i="29"/>
  <c r="AX119" i="29"/>
  <c r="AY118" i="29" s="1"/>
  <c r="BA100" i="28"/>
  <c r="AZ102" i="28"/>
  <c r="BA101" i="28" s="1"/>
  <c r="AZ83" i="28"/>
  <c r="AY85" i="28"/>
  <c r="AZ84" i="28" s="1"/>
  <c r="BB32" i="28"/>
  <c r="BA34" i="28"/>
  <c r="BB33" i="28" s="1"/>
  <c r="BB134" i="28"/>
  <c r="BA136" i="28"/>
  <c r="BB135" i="28" s="1"/>
  <c r="BD151" i="28"/>
  <c r="BC153" i="28"/>
  <c r="BD152" i="28" s="1"/>
  <c r="BC66" i="28"/>
  <c r="BB68" i="28"/>
  <c r="BC67" i="28" s="1"/>
  <c r="AR52" i="19"/>
  <c r="AQ80" i="19"/>
  <c r="AN25" i="29" l="1"/>
  <c r="AN27" i="29" s="1"/>
  <c r="AM194" i="29"/>
  <c r="BA135" i="29"/>
  <c r="AL196" i="28"/>
  <c r="AM66" i="18"/>
  <c r="AM77" i="18" s="1"/>
  <c r="AP185" i="29"/>
  <c r="AQ47" i="18" s="1"/>
  <c r="AP19" i="29"/>
  <c r="AN192" i="28"/>
  <c r="AO23" i="28"/>
  <c r="AO22" i="28"/>
  <c r="AO191" i="28" s="1"/>
  <c r="AO187" i="28"/>
  <c r="AQ184" i="28"/>
  <c r="AR15" i="28"/>
  <c r="AQ17" i="28"/>
  <c r="AR67" i="18"/>
  <c r="AL196" i="29"/>
  <c r="AM39" i="18"/>
  <c r="AM50" i="18" s="1"/>
  <c r="AP18" i="29"/>
  <c r="AO188" i="29"/>
  <c r="AO188" i="28"/>
  <c r="AP18" i="28"/>
  <c r="AQ16" i="28"/>
  <c r="AP186" i="28"/>
  <c r="AM27" i="28"/>
  <c r="AM194" i="28"/>
  <c r="AQ184" i="29"/>
  <c r="AQ17" i="29"/>
  <c r="AR40" i="18"/>
  <c r="AR15" i="29"/>
  <c r="AP185" i="28"/>
  <c r="AQ74" i="18" s="1"/>
  <c r="AP19" i="28"/>
  <c r="AQ16" i="29"/>
  <c r="AP186" i="29"/>
  <c r="AN192" i="29"/>
  <c r="AO22" i="29"/>
  <c r="AO191" i="29" s="1"/>
  <c r="AO23" i="29"/>
  <c r="AO187" i="29"/>
  <c r="AN25" i="28"/>
  <c r="AM196" i="29"/>
  <c r="AN39" i="18"/>
  <c r="AN50" i="18" s="1"/>
  <c r="AR73" i="28"/>
  <c r="AR74" i="28"/>
  <c r="AQ76" i="28"/>
  <c r="AQ78" i="28" s="1"/>
  <c r="AS53" i="18"/>
  <c r="AT41" i="18"/>
  <c r="AT67" i="19"/>
  <c r="AT69" i="19" s="1"/>
  <c r="AT39" i="19"/>
  <c r="AT41" i="19" s="1"/>
  <c r="AQ144" i="29"/>
  <c r="AQ146" i="29" s="1"/>
  <c r="AU66" i="19"/>
  <c r="AU65" i="19"/>
  <c r="AQ178" i="28"/>
  <c r="AQ180" i="28" s="1"/>
  <c r="AU38" i="19"/>
  <c r="AU37" i="19"/>
  <c r="AQ161" i="28"/>
  <c r="AQ163" i="28" s="1"/>
  <c r="AQ59" i="28"/>
  <c r="AQ61" i="28" s="1"/>
  <c r="AS155" i="29"/>
  <c r="AT154" i="29" s="1"/>
  <c r="AQ93" i="29"/>
  <c r="AQ95" i="29" s="1"/>
  <c r="AQ178" i="29"/>
  <c r="AQ180" i="29" s="1"/>
  <c r="AT69" i="28"/>
  <c r="AS138" i="29"/>
  <c r="AT137" i="29" s="1"/>
  <c r="AQ93" i="28"/>
  <c r="AQ95" i="28" s="1"/>
  <c r="AT168" i="29"/>
  <c r="AS170" i="29"/>
  <c r="AT169" i="29" s="1"/>
  <c r="AQ110" i="28"/>
  <c r="AQ112" i="28" s="1"/>
  <c r="AR73" i="29"/>
  <c r="AR74" i="29"/>
  <c r="AT70" i="28"/>
  <c r="AU69" i="28" s="1"/>
  <c r="AR90" i="28"/>
  <c r="AR91" i="28"/>
  <c r="AR172" i="29"/>
  <c r="AR107" i="28"/>
  <c r="AR108" i="28"/>
  <c r="AR104" i="29"/>
  <c r="AS103" i="29" s="1"/>
  <c r="AT49" i="28"/>
  <c r="AT51" i="28" s="1"/>
  <c r="AS51" i="28"/>
  <c r="AT50" i="28" s="1"/>
  <c r="AR36" i="28"/>
  <c r="AS35" i="28" s="1"/>
  <c r="AS87" i="29"/>
  <c r="AT86" i="29" s="1"/>
  <c r="AV104" i="28"/>
  <c r="AW103" i="28" s="1"/>
  <c r="AS175" i="28"/>
  <c r="AS176" i="28"/>
  <c r="AR108" i="29"/>
  <c r="AR107" i="29"/>
  <c r="AQ127" i="29"/>
  <c r="AQ129" i="29" s="1"/>
  <c r="AS121" i="29"/>
  <c r="AT120" i="29" s="1"/>
  <c r="AR125" i="29"/>
  <c r="AR124" i="29"/>
  <c r="AR39" i="28"/>
  <c r="AR40" i="28"/>
  <c r="AR159" i="28"/>
  <c r="AR158" i="28"/>
  <c r="AR56" i="28"/>
  <c r="AR57" i="28"/>
  <c r="AR70" i="29"/>
  <c r="AS69" i="29" s="1"/>
  <c r="AT117" i="28"/>
  <c r="AS119" i="28"/>
  <c r="AT118" i="28" s="1"/>
  <c r="AR159" i="29"/>
  <c r="AR158" i="29"/>
  <c r="AR90" i="29"/>
  <c r="AR91" i="29"/>
  <c r="AQ42" i="28"/>
  <c r="AQ44" i="28" s="1"/>
  <c r="AR155" i="28"/>
  <c r="AS154" i="28" s="1"/>
  <c r="AQ161" i="29"/>
  <c r="AQ163" i="29" s="1"/>
  <c r="AQ110" i="29"/>
  <c r="AQ112" i="29" s="1"/>
  <c r="AR142" i="28"/>
  <c r="AR141" i="28"/>
  <c r="AR176" i="29"/>
  <c r="AR175" i="29"/>
  <c r="AR124" i="28"/>
  <c r="AR125" i="28"/>
  <c r="AQ144" i="28"/>
  <c r="AQ146" i="28" s="1"/>
  <c r="AT168" i="28"/>
  <c r="AS170" i="28"/>
  <c r="AT169" i="28" s="1"/>
  <c r="AR172" i="28"/>
  <c r="AR141" i="29"/>
  <c r="AR142" i="29"/>
  <c r="AR120" i="28"/>
  <c r="AQ127" i="28"/>
  <c r="AQ129" i="28" s="1"/>
  <c r="AQ76" i="29"/>
  <c r="AQ78" i="29" s="1"/>
  <c r="AR121" i="28"/>
  <c r="AS120" i="28" s="1"/>
  <c r="AT138" i="28"/>
  <c r="AU137" i="28" s="1"/>
  <c r="AV87" i="28"/>
  <c r="AS59" i="29"/>
  <c r="AS61" i="29" s="1"/>
  <c r="AR42" i="29"/>
  <c r="AR44" i="29" s="1"/>
  <c r="AZ66" i="29"/>
  <c r="AY68" i="29"/>
  <c r="AZ67" i="29" s="1"/>
  <c r="AU32" i="29"/>
  <c r="AT34" i="29"/>
  <c r="AU33" i="29" s="1"/>
  <c r="BB134" i="29"/>
  <c r="BA136" i="29"/>
  <c r="BC151" i="29"/>
  <c r="BB153" i="29"/>
  <c r="BC152" i="29" s="1"/>
  <c r="BM168" i="29"/>
  <c r="AS36" i="29"/>
  <c r="AZ117" i="29"/>
  <c r="AY119" i="29"/>
  <c r="AZ118" i="29" s="1"/>
  <c r="AZ100" i="29"/>
  <c r="AY102" i="29"/>
  <c r="AZ101" i="29" s="1"/>
  <c r="AT57" i="29"/>
  <c r="AT56" i="29"/>
  <c r="AS40" i="29"/>
  <c r="AS39" i="29"/>
  <c r="AT53" i="29"/>
  <c r="AU52" i="29" s="1"/>
  <c r="AX49" i="29"/>
  <c r="AW51" i="29"/>
  <c r="AX50" i="29" s="1"/>
  <c r="BC134" i="28"/>
  <c r="BB136" i="28"/>
  <c r="BC135" i="28" s="1"/>
  <c r="BE151" i="28"/>
  <c r="BD153" i="28"/>
  <c r="BE152" i="28" s="1"/>
  <c r="BA83" i="28"/>
  <c r="AZ85" i="28"/>
  <c r="BA84" i="28" s="1"/>
  <c r="BC32" i="28"/>
  <c r="BB34" i="28"/>
  <c r="BC33" i="28" s="1"/>
  <c r="BD66" i="28"/>
  <c r="BC68" i="28"/>
  <c r="BD67" i="28" s="1"/>
  <c r="BB100" i="28"/>
  <c r="BA102" i="28"/>
  <c r="BB101" i="28" s="1"/>
  <c r="AS80" i="19"/>
  <c r="AS52" i="19"/>
  <c r="AR80" i="19"/>
  <c r="AN194" i="29" l="1"/>
  <c r="BB135" i="29"/>
  <c r="AO25" i="29"/>
  <c r="AO194" i="29" s="1"/>
  <c r="AR184" i="29"/>
  <c r="AS40" i="18"/>
  <c r="AS15" i="29"/>
  <c r="AR17" i="29"/>
  <c r="AO192" i="28"/>
  <c r="AP23" i="28"/>
  <c r="AP22" i="28"/>
  <c r="AP191" i="28" s="1"/>
  <c r="AR16" i="29"/>
  <c r="AQ186" i="29"/>
  <c r="AO192" i="29"/>
  <c r="AP23" i="29"/>
  <c r="AP22" i="29"/>
  <c r="AP191" i="29" s="1"/>
  <c r="AM196" i="28"/>
  <c r="AN66" i="18"/>
  <c r="AN77" i="18" s="1"/>
  <c r="AQ185" i="28"/>
  <c r="AR74" i="18" s="1"/>
  <c r="AQ19" i="28"/>
  <c r="AR16" i="28"/>
  <c r="AQ186" i="28"/>
  <c r="AQ185" i="29"/>
  <c r="AR47" i="18" s="1"/>
  <c r="AQ19" i="29"/>
  <c r="AP187" i="28"/>
  <c r="AR184" i="28"/>
  <c r="AS15" i="28"/>
  <c r="AS17" i="28" s="1"/>
  <c r="AS67" i="18"/>
  <c r="AN196" i="29"/>
  <c r="AO39" i="18"/>
  <c r="AO50" i="18" s="1"/>
  <c r="AN27" i="28"/>
  <c r="AN194" i="28"/>
  <c r="AQ18" i="28"/>
  <c r="AP188" i="28"/>
  <c r="AQ18" i="29"/>
  <c r="AP188" i="29"/>
  <c r="AO25" i="28"/>
  <c r="AP187" i="29"/>
  <c r="AR17" i="28"/>
  <c r="AS73" i="28"/>
  <c r="AS74" i="28"/>
  <c r="AR76" i="28"/>
  <c r="AR78" i="28" s="1"/>
  <c r="AU41" i="18"/>
  <c r="AT53" i="18"/>
  <c r="AU50" i="28"/>
  <c r="AU39" i="19"/>
  <c r="AU41" i="19" s="1"/>
  <c r="AU67" i="19"/>
  <c r="AU69" i="19" s="1"/>
  <c r="AV65" i="19"/>
  <c r="AV66" i="19"/>
  <c r="AS121" i="28"/>
  <c r="AT120" i="28" s="1"/>
  <c r="AV38" i="19"/>
  <c r="AV37" i="19"/>
  <c r="AR144" i="29"/>
  <c r="AR146" i="29" s="1"/>
  <c r="AR127" i="28"/>
  <c r="AR129" i="28" s="1"/>
  <c r="AR127" i="29"/>
  <c r="AR129" i="29" s="1"/>
  <c r="AR93" i="29"/>
  <c r="AR95" i="29" s="1"/>
  <c r="AR42" i="28"/>
  <c r="AR44" i="28" s="1"/>
  <c r="AT155" i="29"/>
  <c r="AU154" i="29" s="1"/>
  <c r="AS70" i="29"/>
  <c r="AT69" i="29" s="1"/>
  <c r="AU70" i="28"/>
  <c r="AU168" i="29"/>
  <c r="AT170" i="29"/>
  <c r="AU169" i="29" s="1"/>
  <c r="AR110" i="28"/>
  <c r="AR112" i="28" s="1"/>
  <c r="AU138" i="28"/>
  <c r="AV137" i="28" s="1"/>
  <c r="AS124" i="28"/>
  <c r="AS125" i="28"/>
  <c r="AS36" i="28"/>
  <c r="AT35" i="28" s="1"/>
  <c r="AT87" i="29"/>
  <c r="AU86" i="29" s="1"/>
  <c r="AR161" i="29"/>
  <c r="AR163" i="29" s="1"/>
  <c r="AS73" i="29"/>
  <c r="AS74" i="29"/>
  <c r="AT53" i="28"/>
  <c r="AU52" i="28" s="1"/>
  <c r="AS53" i="28"/>
  <c r="AS159" i="29"/>
  <c r="AS158" i="29"/>
  <c r="AS141" i="29"/>
  <c r="AS142" i="29"/>
  <c r="AR161" i="28"/>
  <c r="AR163" i="28" s="1"/>
  <c r="AR110" i="29"/>
  <c r="AR112" i="29" s="1"/>
  <c r="AS155" i="28"/>
  <c r="AT154" i="28" s="1"/>
  <c r="AS39" i="28"/>
  <c r="AS40" i="28"/>
  <c r="AS107" i="29"/>
  <c r="AS108" i="29"/>
  <c r="AU49" i="28"/>
  <c r="AU51" i="28" s="1"/>
  <c r="AT138" i="29"/>
  <c r="AU137" i="29" s="1"/>
  <c r="AR76" i="29"/>
  <c r="AR78" i="29" s="1"/>
  <c r="AS171" i="29"/>
  <c r="AR178" i="29"/>
  <c r="AR180" i="29" s="1"/>
  <c r="AU168" i="28"/>
  <c r="AT170" i="28"/>
  <c r="AU169" i="28" s="1"/>
  <c r="AU117" i="28"/>
  <c r="AV117" i="28" s="1"/>
  <c r="AT119" i="28"/>
  <c r="AU118" i="28" s="1"/>
  <c r="AS108" i="28"/>
  <c r="AS107" i="28"/>
  <c r="AS176" i="29"/>
  <c r="AS175" i="29"/>
  <c r="AS56" i="28"/>
  <c r="AS57" i="28"/>
  <c r="AT176" i="28"/>
  <c r="AT175" i="28"/>
  <c r="AS104" i="29"/>
  <c r="AT103" i="29" s="1"/>
  <c r="AS172" i="28"/>
  <c r="AT171" i="28" s="1"/>
  <c r="AS171" i="28"/>
  <c r="AR178" i="28"/>
  <c r="AR180" i="28" s="1"/>
  <c r="AR144" i="28"/>
  <c r="AR146" i="28" s="1"/>
  <c r="AR59" i="28"/>
  <c r="AR61" i="28" s="1"/>
  <c r="AS125" i="29"/>
  <c r="AS124" i="29"/>
  <c r="AS172" i="29"/>
  <c r="AT171" i="29" s="1"/>
  <c r="AS91" i="28"/>
  <c r="AS90" i="28"/>
  <c r="AR93" i="28"/>
  <c r="AR95" i="28" s="1"/>
  <c r="AS142" i="28"/>
  <c r="AS141" i="28"/>
  <c r="AS90" i="29"/>
  <c r="AS91" i="29"/>
  <c r="AS158" i="28"/>
  <c r="AS159" i="28"/>
  <c r="AT121" i="29"/>
  <c r="AU120" i="29" s="1"/>
  <c r="AW104" i="28"/>
  <c r="AX103" i="28" s="1"/>
  <c r="AW86" i="28"/>
  <c r="AW87" i="28"/>
  <c r="AX86" i="28" s="1"/>
  <c r="AT36" i="29"/>
  <c r="AU35" i="29" s="1"/>
  <c r="AT59" i="29"/>
  <c r="AT61" i="29" s="1"/>
  <c r="AV32" i="29"/>
  <c r="AU34" i="29"/>
  <c r="AV33" i="29" s="1"/>
  <c r="AY49" i="29"/>
  <c r="AX51" i="29"/>
  <c r="AY50" i="29" s="1"/>
  <c r="AT40" i="29"/>
  <c r="AT39" i="29"/>
  <c r="AT35" i="29"/>
  <c r="AS42" i="29"/>
  <c r="AS44" i="29" s="1"/>
  <c r="BA117" i="29"/>
  <c r="AZ119" i="29"/>
  <c r="BA118" i="29" s="1"/>
  <c r="AU57" i="29"/>
  <c r="AU56" i="29"/>
  <c r="BD151" i="29"/>
  <c r="BC153" i="29"/>
  <c r="BD152" i="29" s="1"/>
  <c r="BC134" i="29"/>
  <c r="BB136" i="29"/>
  <c r="BA66" i="29"/>
  <c r="AZ68" i="29"/>
  <c r="BA67" i="29" s="1"/>
  <c r="AU53" i="29"/>
  <c r="AV52" i="29" s="1"/>
  <c r="BN168" i="29"/>
  <c r="BM170" i="29"/>
  <c r="BA100" i="29"/>
  <c r="AZ102" i="29"/>
  <c r="BA101" i="29" s="1"/>
  <c r="BB83" i="28"/>
  <c r="BA85" i="28"/>
  <c r="BB84" i="28" s="1"/>
  <c r="BD134" i="28"/>
  <c r="BC136" i="28"/>
  <c r="BD135" i="28" s="1"/>
  <c r="BE66" i="28"/>
  <c r="BD68" i="28"/>
  <c r="BE67" i="28" s="1"/>
  <c r="BF151" i="28"/>
  <c r="BE153" i="28"/>
  <c r="BF152" i="28" s="1"/>
  <c r="BC100" i="28"/>
  <c r="BB102" i="28"/>
  <c r="BC101" i="28" s="1"/>
  <c r="BD32" i="28"/>
  <c r="BC34" i="28"/>
  <c r="BD33" i="28" s="1"/>
  <c r="AT52" i="19"/>
  <c r="AO27" i="29" l="1"/>
  <c r="BC135" i="29"/>
  <c r="AP25" i="29"/>
  <c r="AP194" i="29" s="1"/>
  <c r="AP25" i="28"/>
  <c r="AP27" i="28" s="1"/>
  <c r="AO196" i="29"/>
  <c r="AP39" i="18"/>
  <c r="AP50" i="18" s="1"/>
  <c r="AS184" i="28"/>
  <c r="AT15" i="28"/>
  <c r="AT67" i="18"/>
  <c r="AP192" i="28"/>
  <c r="AQ23" i="28"/>
  <c r="AQ22" i="28"/>
  <c r="AQ191" i="28" s="1"/>
  <c r="AP192" i="29"/>
  <c r="AQ23" i="29"/>
  <c r="AQ22" i="29"/>
  <c r="AQ191" i="29" s="1"/>
  <c r="AO27" i="28"/>
  <c r="AO194" i="28"/>
  <c r="AR18" i="29"/>
  <c r="AQ188" i="29"/>
  <c r="AS16" i="29"/>
  <c r="AR186" i="29"/>
  <c r="AQ187" i="29"/>
  <c r="AS184" i="29"/>
  <c r="AT40" i="18"/>
  <c r="AS17" i="29"/>
  <c r="AT15" i="29"/>
  <c r="AS16" i="28"/>
  <c r="AT16" i="28" s="1"/>
  <c r="AT185" i="28" s="1"/>
  <c r="AU74" i="18" s="1"/>
  <c r="AR186" i="28"/>
  <c r="AQ187" i="28"/>
  <c r="AR185" i="28"/>
  <c r="AS74" i="18" s="1"/>
  <c r="AR19" i="28"/>
  <c r="AS186" i="28"/>
  <c r="AQ188" i="28"/>
  <c r="AR18" i="28"/>
  <c r="AN196" i="28"/>
  <c r="AO66" i="18"/>
  <c r="AO77" i="18" s="1"/>
  <c r="AR185" i="29"/>
  <c r="AS47" i="18" s="1"/>
  <c r="AR19" i="29"/>
  <c r="AV50" i="28"/>
  <c r="AT74" i="28"/>
  <c r="AT73" i="28"/>
  <c r="AS76" i="28"/>
  <c r="AS78" i="28" s="1"/>
  <c r="AV41" i="18"/>
  <c r="AU53" i="18"/>
  <c r="AS161" i="29"/>
  <c r="AS163" i="29" s="1"/>
  <c r="AT172" i="29"/>
  <c r="AU171" i="29" s="1"/>
  <c r="AW66" i="19"/>
  <c r="AW65" i="19"/>
  <c r="AV67" i="19"/>
  <c r="AV69" i="19" s="1"/>
  <c r="AV39" i="19"/>
  <c r="AV41" i="19" s="1"/>
  <c r="AW37" i="19"/>
  <c r="AW38" i="19"/>
  <c r="AS127" i="29"/>
  <c r="AS129" i="29" s="1"/>
  <c r="AS93" i="28"/>
  <c r="AS95" i="28" s="1"/>
  <c r="AS178" i="29"/>
  <c r="AS180" i="29" s="1"/>
  <c r="AT121" i="28"/>
  <c r="AU120" i="28" s="1"/>
  <c r="AS76" i="29"/>
  <c r="AS78" i="29" s="1"/>
  <c r="AS127" i="28"/>
  <c r="AS129" i="28" s="1"/>
  <c r="AS110" i="28"/>
  <c r="AS112" i="28" s="1"/>
  <c r="AU155" i="29"/>
  <c r="AV154" i="29" s="1"/>
  <c r="AT172" i="28"/>
  <c r="AU171" i="28" s="1"/>
  <c r="AU176" i="28"/>
  <c r="AU175" i="28"/>
  <c r="AS144" i="29"/>
  <c r="AS146" i="29" s="1"/>
  <c r="AU121" i="29"/>
  <c r="AV120" i="29" s="1"/>
  <c r="AS144" i="28"/>
  <c r="AS146" i="28" s="1"/>
  <c r="AT39" i="28"/>
  <c r="AT40" i="28"/>
  <c r="AV70" i="28"/>
  <c r="AW69" i="28" s="1"/>
  <c r="AT142" i="28"/>
  <c r="AT141" i="28"/>
  <c r="AV168" i="28"/>
  <c r="AU170" i="28"/>
  <c r="AV169" i="28" s="1"/>
  <c r="AT158" i="29"/>
  <c r="AT159" i="29"/>
  <c r="AT125" i="28"/>
  <c r="AT124" i="28"/>
  <c r="AT108" i="29"/>
  <c r="AT107" i="29"/>
  <c r="AT56" i="28"/>
  <c r="AT57" i="28"/>
  <c r="AV69" i="28"/>
  <c r="AT159" i="28"/>
  <c r="AT158" i="28"/>
  <c r="AT124" i="29"/>
  <c r="AT125" i="29"/>
  <c r="AU138" i="29"/>
  <c r="AV137" i="29" s="1"/>
  <c r="AV138" i="28"/>
  <c r="AW137" i="28" s="1"/>
  <c r="AX104" i="28"/>
  <c r="AY103" i="28" s="1"/>
  <c r="AT36" i="28"/>
  <c r="AU35" i="28" s="1"/>
  <c r="AS93" i="29"/>
  <c r="AS95" i="29" s="1"/>
  <c r="AT176" i="29"/>
  <c r="AT175" i="29"/>
  <c r="AT141" i="29"/>
  <c r="AT142" i="29"/>
  <c r="AT70" i="29"/>
  <c r="AU69" i="29" s="1"/>
  <c r="AW117" i="28"/>
  <c r="AX117" i="28" s="1"/>
  <c r="AY117" i="28" s="1"/>
  <c r="AZ117" i="28" s="1"/>
  <c r="BA117" i="28" s="1"/>
  <c r="BB117" i="28" s="1"/>
  <c r="BC117" i="28" s="1"/>
  <c r="BD117" i="28" s="1"/>
  <c r="BE117" i="28" s="1"/>
  <c r="AV119" i="28"/>
  <c r="AV168" i="29"/>
  <c r="AU170" i="29"/>
  <c r="AV169" i="29" s="1"/>
  <c r="AT155" i="28"/>
  <c r="AU154" i="28" s="1"/>
  <c r="AT91" i="29"/>
  <c r="AT90" i="29"/>
  <c r="AS178" i="28"/>
  <c r="AS180" i="28" s="1"/>
  <c r="AT107" i="28"/>
  <c r="AT108" i="28"/>
  <c r="AS110" i="29"/>
  <c r="AS112" i="29" s="1"/>
  <c r="AU87" i="29"/>
  <c r="AV86" i="29" s="1"/>
  <c r="AU119" i="28"/>
  <c r="AV118" i="28" s="1"/>
  <c r="AT52" i="28"/>
  <c r="AS59" i="28"/>
  <c r="AS61" i="28" s="1"/>
  <c r="AT104" i="29"/>
  <c r="AU103" i="29" s="1"/>
  <c r="AS161" i="28"/>
  <c r="AS163" i="28" s="1"/>
  <c r="AT90" i="28"/>
  <c r="AT91" i="28"/>
  <c r="AV49" i="28"/>
  <c r="AT73" i="29"/>
  <c r="AT74" i="29"/>
  <c r="AS42" i="28"/>
  <c r="AS44" i="28" s="1"/>
  <c r="AX87" i="28"/>
  <c r="AU36" i="29"/>
  <c r="AV35" i="29" s="1"/>
  <c r="BD134" i="29"/>
  <c r="BC136" i="29"/>
  <c r="BB66" i="29"/>
  <c r="BA68" i="29"/>
  <c r="BB67" i="29" s="1"/>
  <c r="BO168" i="29"/>
  <c r="BN170" i="29"/>
  <c r="AV53" i="29"/>
  <c r="AW52" i="29" s="1"/>
  <c r="AV57" i="29"/>
  <c r="AV56" i="29"/>
  <c r="AU40" i="29"/>
  <c r="AU39" i="29"/>
  <c r="BB117" i="29"/>
  <c r="BA119" i="29"/>
  <c r="BB118" i="29" s="1"/>
  <c r="AZ49" i="29"/>
  <c r="AY51" i="29"/>
  <c r="AZ50" i="29" s="1"/>
  <c r="AW32" i="29"/>
  <c r="AV34" i="29"/>
  <c r="AW33" i="29" s="1"/>
  <c r="BB100" i="29"/>
  <c r="BA102" i="29"/>
  <c r="BB101" i="29" s="1"/>
  <c r="AT42" i="29"/>
  <c r="AT44" i="29" s="1"/>
  <c r="BE151" i="29"/>
  <c r="BD153" i="29"/>
  <c r="BE152" i="29" s="1"/>
  <c r="AU59" i="29"/>
  <c r="AU61" i="29" s="1"/>
  <c r="BF66" i="28"/>
  <c r="BE68" i="28"/>
  <c r="BF67" i="28" s="1"/>
  <c r="BC83" i="28"/>
  <c r="BB85" i="28"/>
  <c r="BC84" i="28" s="1"/>
  <c r="BD100" i="28"/>
  <c r="BC102" i="28"/>
  <c r="BD101" i="28" s="1"/>
  <c r="BE32" i="28"/>
  <c r="BD34" i="28"/>
  <c r="BE33" i="28" s="1"/>
  <c r="BG151" i="28"/>
  <c r="BF153" i="28"/>
  <c r="BG152" i="28" s="1"/>
  <c r="BE134" i="28"/>
  <c r="BD136" i="28"/>
  <c r="BE135" i="28" s="1"/>
  <c r="AU80" i="19"/>
  <c r="AU52" i="19"/>
  <c r="AT80" i="19"/>
  <c r="BD135" i="29" l="1"/>
  <c r="AP194" i="28"/>
  <c r="AP27" i="29"/>
  <c r="AQ39" i="18" s="1"/>
  <c r="AQ50" i="18" s="1"/>
  <c r="AQ192" i="28"/>
  <c r="AR23" i="28"/>
  <c r="AR22" i="28"/>
  <c r="AR191" i="28" s="1"/>
  <c r="AR187" i="29"/>
  <c r="AS185" i="28"/>
  <c r="AT74" i="18" s="1"/>
  <c r="AS19" i="28"/>
  <c r="AT184" i="29"/>
  <c r="AU40" i="18"/>
  <c r="AU15" i="29"/>
  <c r="AT17" i="29"/>
  <c r="AT16" i="29"/>
  <c r="AS186" i="29"/>
  <c r="AT184" i="28"/>
  <c r="AU15" i="28"/>
  <c r="AU67" i="18"/>
  <c r="AT17" i="28"/>
  <c r="AO196" i="28"/>
  <c r="AP66" i="18"/>
  <c r="AP77" i="18" s="1"/>
  <c r="AR188" i="29"/>
  <c r="AS18" i="29"/>
  <c r="AQ25" i="29"/>
  <c r="AQ192" i="29"/>
  <c r="AR23" i="29"/>
  <c r="AR22" i="29"/>
  <c r="AR191" i="29" s="1"/>
  <c r="AS185" i="29"/>
  <c r="AT47" i="18" s="1"/>
  <c r="AS19" i="29"/>
  <c r="AP196" i="28"/>
  <c r="AQ66" i="18"/>
  <c r="AQ77" i="18" s="1"/>
  <c r="AS18" i="28"/>
  <c r="AR188" i="28"/>
  <c r="AR187" i="28"/>
  <c r="AQ25" i="28"/>
  <c r="AT76" i="28"/>
  <c r="AT78" i="28" s="1"/>
  <c r="AU73" i="28"/>
  <c r="AU74" i="28"/>
  <c r="AW41" i="18"/>
  <c r="AV53" i="18"/>
  <c r="AW118" i="28"/>
  <c r="AW67" i="19"/>
  <c r="AW69" i="19" s="1"/>
  <c r="AW39" i="19"/>
  <c r="AW41" i="19" s="1"/>
  <c r="AT178" i="28"/>
  <c r="AT180" i="28" s="1"/>
  <c r="AX65" i="19"/>
  <c r="AX66" i="19"/>
  <c r="AX37" i="19"/>
  <c r="AX38" i="19"/>
  <c r="AT178" i="29"/>
  <c r="AT180" i="29" s="1"/>
  <c r="AT93" i="28"/>
  <c r="AT95" i="28" s="1"/>
  <c r="AT127" i="28"/>
  <c r="AT129" i="28" s="1"/>
  <c r="AT93" i="29"/>
  <c r="AT95" i="29" s="1"/>
  <c r="BA119" i="28"/>
  <c r="BC119" i="28"/>
  <c r="AT110" i="28"/>
  <c r="AT112" i="28" s="1"/>
  <c r="AV155" i="29"/>
  <c r="AW154" i="29" s="1"/>
  <c r="AT42" i="28"/>
  <c r="AT44" i="28" s="1"/>
  <c r="AU107" i="29"/>
  <c r="AU108" i="29"/>
  <c r="BD119" i="28"/>
  <c r="BB119" i="28"/>
  <c r="AU90" i="29"/>
  <c r="AU91" i="29"/>
  <c r="AU70" i="29"/>
  <c r="AV69" i="29" s="1"/>
  <c r="AT127" i="29"/>
  <c r="AT129" i="29" s="1"/>
  <c r="AW70" i="28"/>
  <c r="AU155" i="28"/>
  <c r="AV154" i="28" s="1"/>
  <c r="AU36" i="28"/>
  <c r="AV35" i="28" s="1"/>
  <c r="AT110" i="29"/>
  <c r="AT112" i="29" s="1"/>
  <c r="AY104" i="28"/>
  <c r="AZ103" i="28" s="1"/>
  <c r="AY119" i="28"/>
  <c r="AV87" i="29"/>
  <c r="AW86" i="29" s="1"/>
  <c r="AV51" i="28"/>
  <c r="AW50" i="28" s="1"/>
  <c r="AT59" i="28"/>
  <c r="AT61" i="28" s="1"/>
  <c r="AU158" i="28"/>
  <c r="AU159" i="28"/>
  <c r="AT161" i="28"/>
  <c r="AT163" i="28" s="1"/>
  <c r="AU142" i="28"/>
  <c r="AU141" i="28"/>
  <c r="AW49" i="28"/>
  <c r="AW51" i="28" s="1"/>
  <c r="AV121" i="28"/>
  <c r="AW120" i="28" s="1"/>
  <c r="AW119" i="28"/>
  <c r="AW138" i="28"/>
  <c r="AX137" i="28" s="1"/>
  <c r="AU125" i="28"/>
  <c r="AU124" i="28"/>
  <c r="AU39" i="28"/>
  <c r="AU40" i="28"/>
  <c r="AU125" i="29"/>
  <c r="AU124" i="29"/>
  <c r="AU121" i="28"/>
  <c r="AU158" i="29"/>
  <c r="AU159" i="29"/>
  <c r="AU104" i="29"/>
  <c r="AV103" i="29" s="1"/>
  <c r="AT161" i="29"/>
  <c r="AT163" i="29" s="1"/>
  <c r="AU172" i="28"/>
  <c r="AU141" i="29"/>
  <c r="AU142" i="29"/>
  <c r="AU53" i="28"/>
  <c r="AU172" i="29"/>
  <c r="AU91" i="28"/>
  <c r="AU90" i="28"/>
  <c r="AU107" i="28"/>
  <c r="AU108" i="28"/>
  <c r="AT144" i="29"/>
  <c r="AT146" i="29" s="1"/>
  <c r="AU57" i="28"/>
  <c r="AU56" i="28"/>
  <c r="AW168" i="28"/>
  <c r="AV170" i="28"/>
  <c r="AW169" i="28" s="1"/>
  <c r="AV175" i="28"/>
  <c r="AV176" i="28"/>
  <c r="AT76" i="29"/>
  <c r="AT78" i="29" s="1"/>
  <c r="AU176" i="29"/>
  <c r="AU175" i="29"/>
  <c r="AZ119" i="28"/>
  <c r="AV121" i="29"/>
  <c r="AW120" i="29" s="1"/>
  <c r="AU74" i="29"/>
  <c r="AU73" i="29"/>
  <c r="AX119" i="28"/>
  <c r="AW168" i="29"/>
  <c r="AV170" i="29"/>
  <c r="AW169" i="29" s="1"/>
  <c r="AV138" i="29"/>
  <c r="AW137" i="29" s="1"/>
  <c r="AT144" i="28"/>
  <c r="AT146" i="28" s="1"/>
  <c r="AY86" i="28"/>
  <c r="AY87" i="28"/>
  <c r="AZ86" i="28" s="1"/>
  <c r="AU42" i="29"/>
  <c r="AU44" i="29" s="1"/>
  <c r="AV36" i="29"/>
  <c r="AW35" i="29" s="1"/>
  <c r="BF151" i="29"/>
  <c r="BE153" i="29"/>
  <c r="BF152" i="29" s="1"/>
  <c r="AW57" i="29"/>
  <c r="AW56" i="29"/>
  <c r="BA49" i="29"/>
  <c r="AZ51" i="29"/>
  <c r="BA50" i="29" s="1"/>
  <c r="AW53" i="29"/>
  <c r="AX52" i="29" s="1"/>
  <c r="BP168" i="29"/>
  <c r="BO170" i="29"/>
  <c r="BC117" i="29"/>
  <c r="BB119" i="29"/>
  <c r="BC118" i="29" s="1"/>
  <c r="BC66" i="29"/>
  <c r="BB68" i="29"/>
  <c r="BC67" i="29" s="1"/>
  <c r="BC100" i="29"/>
  <c r="BB102" i="29"/>
  <c r="BC101" i="29" s="1"/>
  <c r="AV40" i="29"/>
  <c r="AV39" i="29"/>
  <c r="BE134" i="29"/>
  <c r="BD136" i="29"/>
  <c r="BE135" i="29" s="1"/>
  <c r="AX32" i="29"/>
  <c r="AW34" i="29"/>
  <c r="AX33" i="29" s="1"/>
  <c r="AV59" i="29"/>
  <c r="AV61" i="29" s="1"/>
  <c r="BD83" i="28"/>
  <c r="BC85" i="28"/>
  <c r="BD84" i="28" s="1"/>
  <c r="BG66" i="28"/>
  <c r="BF68" i="28"/>
  <c r="BG67" i="28" s="1"/>
  <c r="BF134" i="28"/>
  <c r="BE136" i="28"/>
  <c r="BF135" i="28" s="1"/>
  <c r="BE100" i="28"/>
  <c r="BD102" i="28"/>
  <c r="BE101" i="28" s="1"/>
  <c r="BH151" i="28"/>
  <c r="BG153" i="28"/>
  <c r="BH152" i="28" s="1"/>
  <c r="BF32" i="28"/>
  <c r="BE34" i="28"/>
  <c r="BF33" i="28" s="1"/>
  <c r="BF117" i="28"/>
  <c r="BE119" i="28"/>
  <c r="AV52" i="19"/>
  <c r="AV80" i="19"/>
  <c r="AP196" i="29" l="1"/>
  <c r="AR25" i="28"/>
  <c r="AR27" i="28" s="1"/>
  <c r="AS187" i="29"/>
  <c r="AS187" i="28"/>
  <c r="AQ27" i="28"/>
  <c r="AQ194" i="28"/>
  <c r="AU16" i="28"/>
  <c r="AT186" i="28"/>
  <c r="AT19" i="28"/>
  <c r="AT18" i="28"/>
  <c r="AS188" i="28"/>
  <c r="AT18" i="29"/>
  <c r="AS188" i="29"/>
  <c r="AU184" i="28"/>
  <c r="AV15" i="28"/>
  <c r="AV67" i="18"/>
  <c r="AU17" i="28"/>
  <c r="AR25" i="29"/>
  <c r="AT185" i="29"/>
  <c r="AU47" i="18" s="1"/>
  <c r="AT19" i="29"/>
  <c r="AR192" i="29"/>
  <c r="AS23" i="29"/>
  <c r="AS22" i="29"/>
  <c r="AS191" i="29" s="1"/>
  <c r="AU16" i="29"/>
  <c r="AT186" i="29"/>
  <c r="AU184" i="29"/>
  <c r="AV15" i="29"/>
  <c r="AV40" i="18"/>
  <c r="AU17" i="29"/>
  <c r="AR192" i="28"/>
  <c r="AS23" i="28"/>
  <c r="AS22" i="28"/>
  <c r="AS191" i="28" s="1"/>
  <c r="AQ27" i="29"/>
  <c r="AQ194" i="29"/>
  <c r="AV74" i="28"/>
  <c r="AV73" i="28"/>
  <c r="AU76" i="28"/>
  <c r="AU78" i="28" s="1"/>
  <c r="AX118" i="28"/>
  <c r="AY118" i="28" s="1"/>
  <c r="AZ118" i="28" s="1"/>
  <c r="BA118" i="28" s="1"/>
  <c r="BB118" i="28" s="1"/>
  <c r="BC118" i="28" s="1"/>
  <c r="BD118" i="28" s="1"/>
  <c r="BE118" i="28" s="1"/>
  <c r="BF118" i="28" s="1"/>
  <c r="AW53" i="18"/>
  <c r="AX41" i="18"/>
  <c r="AX50" i="28"/>
  <c r="AX39" i="19"/>
  <c r="AX41" i="19" s="1"/>
  <c r="AU93" i="28"/>
  <c r="AU95" i="28" s="1"/>
  <c r="AY65" i="19"/>
  <c r="AY66" i="19"/>
  <c r="AX67" i="19"/>
  <c r="AX69" i="19" s="1"/>
  <c r="AU110" i="28"/>
  <c r="AU112" i="28" s="1"/>
  <c r="AY37" i="19"/>
  <c r="AY38" i="19"/>
  <c r="AW121" i="28"/>
  <c r="AX120" i="28" s="1"/>
  <c r="AU127" i="29"/>
  <c r="AU129" i="29" s="1"/>
  <c r="AU144" i="29"/>
  <c r="AU146" i="29" s="1"/>
  <c r="AW53" i="28"/>
  <c r="AX52" i="28" s="1"/>
  <c r="AW155" i="29"/>
  <c r="AX154" i="29" s="1"/>
  <c r="AV159" i="29"/>
  <c r="AV158" i="29"/>
  <c r="AV155" i="28"/>
  <c r="AW154" i="28" s="1"/>
  <c r="AW121" i="29"/>
  <c r="AX120" i="29" s="1"/>
  <c r="AU161" i="29"/>
  <c r="AU163" i="29" s="1"/>
  <c r="AV125" i="29"/>
  <c r="AV124" i="29"/>
  <c r="AU93" i="29"/>
  <c r="AU95" i="29" s="1"/>
  <c r="AV52" i="28"/>
  <c r="AU59" i="28"/>
  <c r="AU61" i="28" s="1"/>
  <c r="AV158" i="28"/>
  <c r="AV159" i="28"/>
  <c r="AV90" i="29"/>
  <c r="AV91" i="29"/>
  <c r="AV172" i="28"/>
  <c r="AW171" i="28" s="1"/>
  <c r="AV39" i="28"/>
  <c r="AV40" i="28"/>
  <c r="AZ104" i="28"/>
  <c r="BA103" i="28" s="1"/>
  <c r="AX168" i="28"/>
  <c r="AW170" i="28"/>
  <c r="AX169" i="28" s="1"/>
  <c r="AU161" i="28"/>
  <c r="AU163" i="28" s="1"/>
  <c r="AV176" i="29"/>
  <c r="AV175" i="29"/>
  <c r="AW138" i="29"/>
  <c r="AX137" i="29" s="1"/>
  <c r="AV57" i="28"/>
  <c r="AV56" i="28"/>
  <c r="AV142" i="29"/>
  <c r="AV141" i="29"/>
  <c r="AV104" i="29"/>
  <c r="AW103" i="29" s="1"/>
  <c r="AV125" i="28"/>
  <c r="AV124" i="28"/>
  <c r="AV172" i="29"/>
  <c r="AW171" i="29" s="1"/>
  <c r="AX70" i="28"/>
  <c r="AY69" i="28" s="1"/>
  <c r="AX69" i="28"/>
  <c r="AV107" i="29"/>
  <c r="AV108" i="29"/>
  <c r="AX168" i="29"/>
  <c r="AW170" i="29"/>
  <c r="AX169" i="29" s="1"/>
  <c r="AV107" i="28"/>
  <c r="AV108" i="28"/>
  <c r="AX49" i="28"/>
  <c r="AX51" i="28" s="1"/>
  <c r="AW87" i="29"/>
  <c r="AX86" i="29" s="1"/>
  <c r="AU42" i="28"/>
  <c r="AU44" i="28" s="1"/>
  <c r="AU110" i="29"/>
  <c r="AU112" i="29" s="1"/>
  <c r="AU144" i="28"/>
  <c r="AU146" i="28" s="1"/>
  <c r="AX138" i="28"/>
  <c r="AY137" i="28" s="1"/>
  <c r="AV74" i="29"/>
  <c r="AV73" i="29"/>
  <c r="AW176" i="28"/>
  <c r="AW175" i="28"/>
  <c r="AV91" i="28"/>
  <c r="AV90" i="28"/>
  <c r="AV142" i="28"/>
  <c r="AV141" i="28"/>
  <c r="AV70" i="29"/>
  <c r="AW69" i="29" s="1"/>
  <c r="AV171" i="29"/>
  <c r="AU178" i="29"/>
  <c r="AU180" i="29" s="1"/>
  <c r="AV171" i="28"/>
  <c r="AU178" i="28"/>
  <c r="AU180" i="28" s="1"/>
  <c r="AV120" i="28"/>
  <c r="AU127" i="28"/>
  <c r="AU129" i="28" s="1"/>
  <c r="AV36" i="28"/>
  <c r="AW35" i="28" s="1"/>
  <c r="AV53" i="28"/>
  <c r="AW52" i="28" s="1"/>
  <c r="AU76" i="29"/>
  <c r="AU78" i="29" s="1"/>
  <c r="AZ87" i="28"/>
  <c r="AV42" i="29"/>
  <c r="AV44" i="29" s="1"/>
  <c r="AW59" i="29"/>
  <c r="AW61" i="29" s="1"/>
  <c r="BB49" i="29"/>
  <c r="BA51" i="29"/>
  <c r="BB50" i="29" s="1"/>
  <c r="AY32" i="29"/>
  <c r="AX34" i="29"/>
  <c r="AY33" i="29" s="1"/>
  <c r="AX57" i="29"/>
  <c r="AX56" i="29"/>
  <c r="AW40" i="29"/>
  <c r="AW39" i="29"/>
  <c r="BD100" i="29"/>
  <c r="BC102" i="29"/>
  <c r="BD101" i="29" s="1"/>
  <c r="BF134" i="29"/>
  <c r="BE136" i="29"/>
  <c r="BF135" i="29" s="1"/>
  <c r="BD66" i="29"/>
  <c r="BC68" i="29"/>
  <c r="BD67" i="29" s="1"/>
  <c r="BQ168" i="29"/>
  <c r="BP170" i="29"/>
  <c r="AX53" i="29"/>
  <c r="AY52" i="29" s="1"/>
  <c r="BD117" i="29"/>
  <c r="BC119" i="29"/>
  <c r="BD118" i="29" s="1"/>
  <c r="AW36" i="29"/>
  <c r="BG151" i="29"/>
  <c r="BF153" i="29"/>
  <c r="BG152" i="29" s="1"/>
  <c r="BH66" i="28"/>
  <c r="BG68" i="28"/>
  <c r="BH67" i="28" s="1"/>
  <c r="BG134" i="28"/>
  <c r="BF136" i="28"/>
  <c r="BG135" i="28" s="1"/>
  <c r="BF100" i="28"/>
  <c r="BE102" i="28"/>
  <c r="BF101" i="28" s="1"/>
  <c r="BE83" i="28"/>
  <c r="BD85" i="28"/>
  <c r="BE84" i="28" s="1"/>
  <c r="BG32" i="28"/>
  <c r="BF34" i="28"/>
  <c r="BG33" i="28" s="1"/>
  <c r="BI151" i="28"/>
  <c r="BH153" i="28"/>
  <c r="BI152" i="28" s="1"/>
  <c r="BG117" i="28"/>
  <c r="BF119" i="28"/>
  <c r="AW52" i="19"/>
  <c r="AR194" i="28" l="1"/>
  <c r="AV184" i="28"/>
  <c r="AW15" i="28"/>
  <c r="AW17" i="28" s="1"/>
  <c r="AW67" i="18"/>
  <c r="AV17" i="28"/>
  <c r="AU185" i="28"/>
  <c r="AV74" i="18" s="1"/>
  <c r="AU19" i="28"/>
  <c r="AQ196" i="29"/>
  <c r="AR39" i="18"/>
  <c r="AR50" i="18" s="1"/>
  <c r="AS192" i="29"/>
  <c r="AT22" i="29"/>
  <c r="AT191" i="29" s="1"/>
  <c r="AT23" i="29"/>
  <c r="AQ196" i="28"/>
  <c r="AR66" i="18"/>
  <c r="AR77" i="18" s="1"/>
  <c r="AS192" i="28"/>
  <c r="AT23" i="28"/>
  <c r="AT22" i="28"/>
  <c r="AT191" i="28" s="1"/>
  <c r="AU18" i="29"/>
  <c r="AT188" i="29"/>
  <c r="AV16" i="29"/>
  <c r="AU186" i="29"/>
  <c r="AR27" i="29"/>
  <c r="AR194" i="29"/>
  <c r="AV184" i="29"/>
  <c r="AW40" i="18"/>
  <c r="AW15" i="29"/>
  <c r="AV17" i="29"/>
  <c r="AT187" i="29"/>
  <c r="AR196" i="28"/>
  <c r="AS66" i="18"/>
  <c r="AS77" i="18" s="1"/>
  <c r="AS25" i="28"/>
  <c r="AV16" i="28"/>
  <c r="AU186" i="28"/>
  <c r="AT187" i="28"/>
  <c r="AT188" i="28"/>
  <c r="AU18" i="28"/>
  <c r="AS25" i="29"/>
  <c r="AU185" i="29"/>
  <c r="AV47" i="18" s="1"/>
  <c r="AU19" i="29"/>
  <c r="AV76" i="28"/>
  <c r="AV78" i="28" s="1"/>
  <c r="AW73" i="28"/>
  <c r="AW74" i="28"/>
  <c r="BG118" i="28"/>
  <c r="AY41" i="18"/>
  <c r="AX53" i="18"/>
  <c r="AY50" i="28"/>
  <c r="AY39" i="19"/>
  <c r="AY41" i="19" s="1"/>
  <c r="AZ65" i="19"/>
  <c r="AZ66" i="19"/>
  <c r="AY67" i="19"/>
  <c r="AY69" i="19" s="1"/>
  <c r="AZ37" i="19"/>
  <c r="AZ38" i="19"/>
  <c r="AV144" i="29"/>
  <c r="AV146" i="29" s="1"/>
  <c r="AV161" i="29"/>
  <c r="AV163" i="29" s="1"/>
  <c r="AX121" i="28"/>
  <c r="AY120" i="28" s="1"/>
  <c r="AY121" i="28"/>
  <c r="AZ120" i="28" s="1"/>
  <c r="AV127" i="28"/>
  <c r="AV129" i="28" s="1"/>
  <c r="AW172" i="29"/>
  <c r="AX171" i="29" s="1"/>
  <c r="AV161" i="28"/>
  <c r="AV163" i="28" s="1"/>
  <c r="AV93" i="28"/>
  <c r="AV95" i="28" s="1"/>
  <c r="AX155" i="29"/>
  <c r="AY154" i="29" s="1"/>
  <c r="AV127" i="29"/>
  <c r="AV129" i="29" s="1"/>
  <c r="AW74" i="29"/>
  <c r="AW73" i="29"/>
  <c r="AX138" i="29"/>
  <c r="AY137" i="29" s="1"/>
  <c r="AV93" i="29"/>
  <c r="AV95" i="29" s="1"/>
  <c r="AW125" i="29"/>
  <c r="AW124" i="29"/>
  <c r="AW91" i="29"/>
  <c r="AW90" i="29"/>
  <c r="AW70" i="29"/>
  <c r="AX69" i="29" s="1"/>
  <c r="AY49" i="28"/>
  <c r="AY51" i="28" s="1"/>
  <c r="AW108" i="29"/>
  <c r="AW107" i="29"/>
  <c r="AV178" i="29"/>
  <c r="AV180" i="29" s="1"/>
  <c r="AW57" i="28"/>
  <c r="AW56" i="28"/>
  <c r="AW39" i="28"/>
  <c r="AW40" i="28"/>
  <c r="AW159" i="28"/>
  <c r="AW158" i="28"/>
  <c r="AX121" i="29"/>
  <c r="AY120" i="29" s="1"/>
  <c r="AV42" i="28"/>
  <c r="AV44" i="28" s="1"/>
  <c r="AW107" i="28"/>
  <c r="AW108" i="28"/>
  <c r="AY138" i="28"/>
  <c r="AZ137" i="28" s="1"/>
  <c r="AV110" i="28"/>
  <c r="AV112" i="28" s="1"/>
  <c r="AW155" i="28"/>
  <c r="AX154" i="28" s="1"/>
  <c r="AV144" i="28"/>
  <c r="AV146" i="28" s="1"/>
  <c r="AY70" i="28"/>
  <c r="AW141" i="28"/>
  <c r="AW142" i="28"/>
  <c r="AV59" i="28"/>
  <c r="AV61" i="28" s="1"/>
  <c r="AX175" i="28"/>
  <c r="AX176" i="28"/>
  <c r="AV76" i="29"/>
  <c r="AV78" i="29" s="1"/>
  <c r="AW124" i="28"/>
  <c r="AW125" i="28"/>
  <c r="AY168" i="28"/>
  <c r="AX170" i="28"/>
  <c r="AY169" i="28" s="1"/>
  <c r="AW158" i="29"/>
  <c r="AW159" i="29"/>
  <c r="AW172" i="28"/>
  <c r="AX171" i="28" s="1"/>
  <c r="AW104" i="29"/>
  <c r="AX103" i="29" s="1"/>
  <c r="AW91" i="28"/>
  <c r="AW90" i="28"/>
  <c r="AY168" i="29"/>
  <c r="AX170" i="29"/>
  <c r="AY169" i="29" s="1"/>
  <c r="AW176" i="29"/>
  <c r="AW175" i="29"/>
  <c r="AW36" i="28"/>
  <c r="AX35" i="28" s="1"/>
  <c r="AV178" i="28"/>
  <c r="AV180" i="28" s="1"/>
  <c r="AX87" i="29"/>
  <c r="AY86" i="29" s="1"/>
  <c r="AV110" i="29"/>
  <c r="AV112" i="29" s="1"/>
  <c r="AW142" i="29"/>
  <c r="AW141" i="29"/>
  <c r="BA104" i="28"/>
  <c r="BB103" i="28" s="1"/>
  <c r="BA86" i="28"/>
  <c r="BA87" i="28"/>
  <c r="BB86" i="28" s="1"/>
  <c r="BE66" i="29"/>
  <c r="BD68" i="29"/>
  <c r="BE67" i="29" s="1"/>
  <c r="AX40" i="29"/>
  <c r="AX39" i="29"/>
  <c r="BE117" i="29"/>
  <c r="BD119" i="29"/>
  <c r="BE118" i="29" s="1"/>
  <c r="AY53" i="29"/>
  <c r="AZ52" i="29" s="1"/>
  <c r="BE100" i="29"/>
  <c r="BD102" i="29"/>
  <c r="BE101" i="29" s="1"/>
  <c r="AY56" i="29"/>
  <c r="AY57" i="29"/>
  <c r="BH151" i="29"/>
  <c r="BG153" i="29"/>
  <c r="BH152" i="29" s="1"/>
  <c r="AX36" i="29"/>
  <c r="AY35" i="29" s="1"/>
  <c r="AZ32" i="29"/>
  <c r="AY34" i="29"/>
  <c r="AZ33" i="29" s="1"/>
  <c r="AX59" i="29"/>
  <c r="AX61" i="29" s="1"/>
  <c r="BC49" i="29"/>
  <c r="BB51" i="29"/>
  <c r="BC50" i="29" s="1"/>
  <c r="AX35" i="29"/>
  <c r="AW42" i="29"/>
  <c r="AW44" i="29" s="1"/>
  <c r="BR168" i="29"/>
  <c r="BR184" i="29" s="1"/>
  <c r="BQ170" i="29"/>
  <c r="BG134" i="29"/>
  <c r="BF136" i="29"/>
  <c r="BG135" i="29" s="1"/>
  <c r="BF83" i="28"/>
  <c r="BE85" i="28"/>
  <c r="BF84" i="28" s="1"/>
  <c r="BJ151" i="28"/>
  <c r="BI153" i="28"/>
  <c r="BJ152" i="28" s="1"/>
  <c r="BG100" i="28"/>
  <c r="BF102" i="28"/>
  <c r="BG101" i="28" s="1"/>
  <c r="BH117" i="28"/>
  <c r="BG119" i="28"/>
  <c r="BI66" i="28"/>
  <c r="BH68" i="28"/>
  <c r="BI67" i="28" s="1"/>
  <c r="BH32" i="28"/>
  <c r="BG34" i="28"/>
  <c r="BH33" i="28" s="1"/>
  <c r="BH134" i="28"/>
  <c r="BG136" i="28"/>
  <c r="BH135" i="28" s="1"/>
  <c r="AX52" i="19"/>
  <c r="AX80" i="19"/>
  <c r="AW80" i="19"/>
  <c r="BH118" i="28" l="1"/>
  <c r="AT25" i="28"/>
  <c r="AT27" i="28" s="1"/>
  <c r="AT25" i="29"/>
  <c r="AT194" i="29" s="1"/>
  <c r="AT192" i="29"/>
  <c r="AU22" i="29"/>
  <c r="AU191" i="29" s="1"/>
  <c r="AU23" i="29"/>
  <c r="AV185" i="28"/>
  <c r="AW74" i="18" s="1"/>
  <c r="AV19" i="28"/>
  <c r="AS27" i="28"/>
  <c r="AS194" i="28"/>
  <c r="AW16" i="29"/>
  <c r="AV186" i="29"/>
  <c r="AR196" i="29"/>
  <c r="AS39" i="18"/>
  <c r="AS50" i="18" s="1"/>
  <c r="AW184" i="29"/>
  <c r="AX15" i="29"/>
  <c r="AW17" i="29"/>
  <c r="AX40" i="18"/>
  <c r="AV185" i="29"/>
  <c r="AW47" i="18" s="1"/>
  <c r="AV19" i="29"/>
  <c r="AV18" i="28"/>
  <c r="AU188" i="28"/>
  <c r="AU188" i="29"/>
  <c r="AV18" i="29"/>
  <c r="AW16" i="28"/>
  <c r="AV186" i="28"/>
  <c r="AU187" i="29"/>
  <c r="AW186" i="28"/>
  <c r="AU187" i="28"/>
  <c r="AT192" i="28"/>
  <c r="AU22" i="28"/>
  <c r="AU191" i="28" s="1"/>
  <c r="AU23" i="28"/>
  <c r="AW184" i="28"/>
  <c r="AX15" i="28"/>
  <c r="AX67" i="18"/>
  <c r="AS27" i="29"/>
  <c r="AS194" i="29"/>
  <c r="AX74" i="28"/>
  <c r="AX73" i="28"/>
  <c r="AW76" i="28"/>
  <c r="AW78" i="28" s="1"/>
  <c r="AZ50" i="28"/>
  <c r="AZ41" i="18"/>
  <c r="AY53" i="18"/>
  <c r="BR170" i="29"/>
  <c r="BR186" i="29" s="1"/>
  <c r="BA65" i="19"/>
  <c r="BA66" i="19"/>
  <c r="AZ67" i="19"/>
  <c r="AZ69" i="19" s="1"/>
  <c r="AW110" i="28"/>
  <c r="AW112" i="28" s="1"/>
  <c r="AX53" i="28"/>
  <c r="AY52" i="28" s="1"/>
  <c r="AW93" i="29"/>
  <c r="AW95" i="29" s="1"/>
  <c r="BA37" i="19"/>
  <c r="BA38" i="19"/>
  <c r="AZ39" i="19"/>
  <c r="AZ41" i="19" s="1"/>
  <c r="AW178" i="29"/>
  <c r="AW180" i="29" s="1"/>
  <c r="AW127" i="28"/>
  <c r="AW129" i="28" s="1"/>
  <c r="AW144" i="28"/>
  <c r="AW146" i="28" s="1"/>
  <c r="AW161" i="29"/>
  <c r="AW163" i="29" s="1"/>
  <c r="AZ121" i="28"/>
  <c r="BA120" i="28" s="1"/>
  <c r="AY53" i="28"/>
  <c r="AZ52" i="28" s="1"/>
  <c r="AW93" i="28"/>
  <c r="AW95" i="28" s="1"/>
  <c r="AW59" i="28"/>
  <c r="AW61" i="28" s="1"/>
  <c r="AY155" i="29"/>
  <c r="AZ154" i="29" s="1"/>
  <c r="AW161" i="28"/>
  <c r="AW163" i="28" s="1"/>
  <c r="AX57" i="28"/>
  <c r="AX56" i="28"/>
  <c r="AW144" i="29"/>
  <c r="AW146" i="29" s="1"/>
  <c r="AX141" i="28"/>
  <c r="AX142" i="28"/>
  <c r="AX158" i="28"/>
  <c r="AX159" i="28"/>
  <c r="AX124" i="29"/>
  <c r="AX125" i="29"/>
  <c r="AX142" i="29"/>
  <c r="AX141" i="29"/>
  <c r="AX40" i="28"/>
  <c r="AX39" i="28"/>
  <c r="AX107" i="28"/>
  <c r="AX108" i="28"/>
  <c r="AY138" i="29"/>
  <c r="AZ137" i="29" s="1"/>
  <c r="AX104" i="29"/>
  <c r="AY103" i="29" s="1"/>
  <c r="AX73" i="29"/>
  <c r="AX74" i="29"/>
  <c r="AZ138" i="28"/>
  <c r="BA137" i="28" s="1"/>
  <c r="AY87" i="29"/>
  <c r="AZ86" i="29" s="1"/>
  <c r="AW42" i="28"/>
  <c r="AW44" i="28" s="1"/>
  <c r="AX70" i="29"/>
  <c r="AY69" i="29" s="1"/>
  <c r="AX175" i="29"/>
  <c r="AX176" i="29"/>
  <c r="AX158" i="29"/>
  <c r="AX159" i="29"/>
  <c r="AY175" i="28"/>
  <c r="AY176" i="28"/>
  <c r="AZ70" i="28"/>
  <c r="BA69" i="28" s="1"/>
  <c r="AX91" i="29"/>
  <c r="AX90" i="29"/>
  <c r="BB104" i="28"/>
  <c r="BC103" i="28" s="1"/>
  <c r="AX172" i="29"/>
  <c r="AZ69" i="28"/>
  <c r="AX108" i="29"/>
  <c r="AX107" i="29"/>
  <c r="AZ168" i="29"/>
  <c r="AY170" i="29"/>
  <c r="AZ169" i="29" s="1"/>
  <c r="AW178" i="28"/>
  <c r="AW180" i="28" s="1"/>
  <c r="AW76" i="29"/>
  <c r="AW78" i="29" s="1"/>
  <c r="AX155" i="28"/>
  <c r="AY154" i="28" s="1"/>
  <c r="AX36" i="28"/>
  <c r="AY35" i="28" s="1"/>
  <c r="AX90" i="28"/>
  <c r="AX91" i="28"/>
  <c r="AZ168" i="28"/>
  <c r="AY170" i="28"/>
  <c r="AZ169" i="28" s="1"/>
  <c r="AW110" i="29"/>
  <c r="AW112" i="29" s="1"/>
  <c r="AX125" i="28"/>
  <c r="AX124" i="28"/>
  <c r="AX172" i="28"/>
  <c r="AY171" i="28" s="1"/>
  <c r="AY121" i="29"/>
  <c r="AZ120" i="29" s="1"/>
  <c r="AZ49" i="28"/>
  <c r="AZ51" i="28" s="1"/>
  <c r="AW127" i="29"/>
  <c r="AW129" i="29" s="1"/>
  <c r="BB87" i="28"/>
  <c r="AX42" i="29"/>
  <c r="AX44" i="29" s="1"/>
  <c r="BF117" i="29"/>
  <c r="BE119" i="29"/>
  <c r="BF118" i="29" s="1"/>
  <c r="BD49" i="29"/>
  <c r="BC51" i="29"/>
  <c r="BD50" i="29" s="1"/>
  <c r="BA32" i="29"/>
  <c r="AZ34" i="29"/>
  <c r="BA33" i="29" s="1"/>
  <c r="AZ57" i="29"/>
  <c r="AZ56" i="29"/>
  <c r="AY40" i="29"/>
  <c r="AY39" i="29"/>
  <c r="AZ53" i="29"/>
  <c r="BA52" i="29" s="1"/>
  <c r="BI151" i="29"/>
  <c r="BH153" i="29"/>
  <c r="BI152" i="29" s="1"/>
  <c r="AY59" i="29"/>
  <c r="AY61" i="29" s="1"/>
  <c r="BF66" i="29"/>
  <c r="BE68" i="29"/>
  <c r="BF67" i="29" s="1"/>
  <c r="AY36" i="29"/>
  <c r="AZ35" i="29" s="1"/>
  <c r="BF100" i="29"/>
  <c r="BE102" i="29"/>
  <c r="BF101" i="29" s="1"/>
  <c r="BH134" i="29"/>
  <c r="BG136" i="29"/>
  <c r="BH135" i="29" s="1"/>
  <c r="BI117" i="28"/>
  <c r="BH119" i="28"/>
  <c r="BI118" i="28" s="1"/>
  <c r="BH100" i="28"/>
  <c r="BG102" i="28"/>
  <c r="BH101" i="28" s="1"/>
  <c r="BI32" i="28"/>
  <c r="BH34" i="28"/>
  <c r="BI33" i="28" s="1"/>
  <c r="BJ66" i="28"/>
  <c r="BI68" i="28"/>
  <c r="BJ67" i="28" s="1"/>
  <c r="BG83" i="28"/>
  <c r="BF85" i="28"/>
  <c r="BG84" i="28" s="1"/>
  <c r="BI134" i="28"/>
  <c r="BH136" i="28"/>
  <c r="BI135" i="28" s="1"/>
  <c r="BK151" i="28"/>
  <c r="BJ153" i="28"/>
  <c r="BK152" i="28" s="1"/>
  <c r="AY52" i="19"/>
  <c r="AT27" i="29" l="1"/>
  <c r="AT196" i="29" s="1"/>
  <c r="AT194" i="28"/>
  <c r="AW18" i="29"/>
  <c r="AV188" i="29"/>
  <c r="AU192" i="29"/>
  <c r="AV23" i="29"/>
  <c r="AV22" i="29"/>
  <c r="AV191" i="29" s="1"/>
  <c r="AX184" i="28"/>
  <c r="AY15" i="28"/>
  <c r="AX17" i="28"/>
  <c r="AY67" i="18"/>
  <c r="AW185" i="28"/>
  <c r="AX74" i="18" s="1"/>
  <c r="AW19" i="28"/>
  <c r="AU192" i="28"/>
  <c r="AV22" i="28"/>
  <c r="AV191" i="28" s="1"/>
  <c r="AV23" i="28"/>
  <c r="AX16" i="29"/>
  <c r="AW186" i="29"/>
  <c r="AX184" i="29"/>
  <c r="AY40" i="18"/>
  <c r="AY15" i="29"/>
  <c r="AX17" i="29"/>
  <c r="AV187" i="29"/>
  <c r="AT196" i="28"/>
  <c r="AU66" i="18"/>
  <c r="AU77" i="18" s="1"/>
  <c r="AU25" i="28"/>
  <c r="AS196" i="29"/>
  <c r="AT39" i="18"/>
  <c r="AT50" i="18" s="1"/>
  <c r="AW185" i="29"/>
  <c r="AX47" i="18" s="1"/>
  <c r="AW19" i="29"/>
  <c r="AX16" i="28"/>
  <c r="AV187" i="28"/>
  <c r="AS196" i="28"/>
  <c r="AT66" i="18"/>
  <c r="AT77" i="18" s="1"/>
  <c r="AU25" i="29"/>
  <c r="AV188" i="28"/>
  <c r="AW18" i="28"/>
  <c r="AX76" i="28"/>
  <c r="AX78" i="28" s="1"/>
  <c r="AY73" i="28"/>
  <c r="AY74" i="28"/>
  <c r="BA50" i="28"/>
  <c r="BA41" i="18"/>
  <c r="AZ53" i="18"/>
  <c r="BB65" i="19"/>
  <c r="BB66" i="19"/>
  <c r="BA67" i="19"/>
  <c r="BA69" i="19" s="1"/>
  <c r="BB37" i="19"/>
  <c r="BB38" i="19"/>
  <c r="BA39" i="19"/>
  <c r="BA41" i="19" s="1"/>
  <c r="AX144" i="29"/>
  <c r="AX146" i="29" s="1"/>
  <c r="AX127" i="29"/>
  <c r="AX129" i="29" s="1"/>
  <c r="AX110" i="28"/>
  <c r="AX112" i="28" s="1"/>
  <c r="AX93" i="29"/>
  <c r="AX95" i="29" s="1"/>
  <c r="AX127" i="28"/>
  <c r="AX129" i="28" s="1"/>
  <c r="BA121" i="28"/>
  <c r="BB120" i="28" s="1"/>
  <c r="AX93" i="28"/>
  <c r="AX95" i="28" s="1"/>
  <c r="AX161" i="28"/>
  <c r="AX163" i="28" s="1"/>
  <c r="AX59" i="28"/>
  <c r="AX61" i="28" s="1"/>
  <c r="AX110" i="29"/>
  <c r="AX112" i="29" s="1"/>
  <c r="AZ155" i="29"/>
  <c r="BA154" i="29" s="1"/>
  <c r="AX161" i="29"/>
  <c r="AX163" i="29" s="1"/>
  <c r="AY172" i="28"/>
  <c r="AZ171" i="28" s="1"/>
  <c r="AX178" i="28"/>
  <c r="AX180" i="28" s="1"/>
  <c r="AY172" i="29"/>
  <c r="AZ171" i="29" s="1"/>
  <c r="BA138" i="28"/>
  <c r="BB137" i="28" s="1"/>
  <c r="AY124" i="29"/>
  <c r="AY125" i="29"/>
  <c r="AY36" i="28"/>
  <c r="AZ35" i="28" s="1"/>
  <c r="AY73" i="29"/>
  <c r="AY74" i="29"/>
  <c r="BA49" i="28"/>
  <c r="AY155" i="28"/>
  <c r="AZ154" i="28" s="1"/>
  <c r="BC104" i="28"/>
  <c r="BD103" i="28" s="1"/>
  <c r="AZ53" i="28"/>
  <c r="BA52" i="28" s="1"/>
  <c r="AZ121" i="29"/>
  <c r="BA120" i="29" s="1"/>
  <c r="AY70" i="29"/>
  <c r="AZ69" i="29" s="1"/>
  <c r="AY107" i="29"/>
  <c r="AY108" i="29"/>
  <c r="AY90" i="29"/>
  <c r="AY91" i="29"/>
  <c r="AX76" i="29"/>
  <c r="AX78" i="29" s="1"/>
  <c r="AZ138" i="29"/>
  <c r="BA137" i="29" s="1"/>
  <c r="AY158" i="28"/>
  <c r="AY159" i="28"/>
  <c r="AY57" i="28"/>
  <c r="AY56" i="28"/>
  <c r="AY175" i="29"/>
  <c r="AY176" i="29"/>
  <c r="AY171" i="29"/>
  <c r="AX178" i="29"/>
  <c r="AX180" i="29" s="1"/>
  <c r="BA70" i="28"/>
  <c r="AY107" i="28"/>
  <c r="AY108" i="28"/>
  <c r="AY39" i="28"/>
  <c r="AY40" i="28"/>
  <c r="AY125" i="28"/>
  <c r="AY124" i="28"/>
  <c r="AZ175" i="28"/>
  <c r="AZ176" i="28"/>
  <c r="AY104" i="29"/>
  <c r="AZ103" i="29" s="1"/>
  <c r="BA168" i="28"/>
  <c r="AZ170" i="28"/>
  <c r="BA169" i="28" s="1"/>
  <c r="BA168" i="29"/>
  <c r="AZ170" i="29"/>
  <c r="BA169" i="29" s="1"/>
  <c r="AY141" i="28"/>
  <c r="AY142" i="28"/>
  <c r="AX42" i="28"/>
  <c r="AX44" i="28" s="1"/>
  <c r="AY90" i="28"/>
  <c r="AY91" i="28"/>
  <c r="AY158" i="29"/>
  <c r="AY159" i="29"/>
  <c r="AZ87" i="29"/>
  <c r="BA86" i="29" s="1"/>
  <c r="AY142" i="29"/>
  <c r="AY141" i="29"/>
  <c r="AX144" i="28"/>
  <c r="AX146" i="28" s="1"/>
  <c r="BC86" i="28"/>
  <c r="BC87" i="28"/>
  <c r="BD86" i="28" s="1"/>
  <c r="AY42" i="29"/>
  <c r="AY44" i="29" s="1"/>
  <c r="AZ36" i="29"/>
  <c r="BA35" i="29" s="1"/>
  <c r="BG66" i="29"/>
  <c r="BF68" i="29"/>
  <c r="BG67" i="29" s="1"/>
  <c r="BA53" i="29"/>
  <c r="BB52" i="29" s="1"/>
  <c r="AZ40" i="29"/>
  <c r="AZ39" i="29"/>
  <c r="BI134" i="29"/>
  <c r="BH136" i="29"/>
  <c r="BI135" i="29" s="1"/>
  <c r="BJ151" i="29"/>
  <c r="BI153" i="29"/>
  <c r="BJ152" i="29" s="1"/>
  <c r="BG117" i="29"/>
  <c r="BF119" i="29"/>
  <c r="BG118" i="29" s="1"/>
  <c r="BG100" i="29"/>
  <c r="BF102" i="29"/>
  <c r="BG101" i="29" s="1"/>
  <c r="BA57" i="29"/>
  <c r="BA56" i="29"/>
  <c r="BB32" i="29"/>
  <c r="BA34" i="29"/>
  <c r="BB33" i="29" s="1"/>
  <c r="BE49" i="29"/>
  <c r="BD51" i="29"/>
  <c r="BE50" i="29" s="1"/>
  <c r="AZ59" i="29"/>
  <c r="AZ61" i="29" s="1"/>
  <c r="BK66" i="28"/>
  <c r="BJ68" i="28"/>
  <c r="BK67" i="28" s="1"/>
  <c r="BJ134" i="28"/>
  <c r="BI136" i="28"/>
  <c r="BJ135" i="28" s="1"/>
  <c r="BH83" i="28"/>
  <c r="BG85" i="28"/>
  <c r="BH84" i="28" s="1"/>
  <c r="BJ117" i="28"/>
  <c r="BI119" i="28"/>
  <c r="BJ118" i="28" s="1"/>
  <c r="BJ32" i="28"/>
  <c r="BI34" i="28"/>
  <c r="BJ33" i="28" s="1"/>
  <c r="BL151" i="28"/>
  <c r="BK153" i="28"/>
  <c r="BL152" i="28" s="1"/>
  <c r="BI100" i="28"/>
  <c r="BH102" i="28"/>
  <c r="BI101" i="28" s="1"/>
  <c r="AZ52" i="19"/>
  <c r="AZ80" i="19"/>
  <c r="AY80" i="19"/>
  <c r="AU39" i="18" l="1"/>
  <c r="AU50" i="18" s="1"/>
  <c r="AV25" i="29"/>
  <c r="AV27" i="29" s="1"/>
  <c r="AV25" i="28"/>
  <c r="AV27" i="28" s="1"/>
  <c r="AY184" i="29"/>
  <c r="AY17" i="29"/>
  <c r="AZ40" i="18"/>
  <c r="AZ15" i="29"/>
  <c r="AX18" i="28"/>
  <c r="AW188" i="28"/>
  <c r="AU27" i="28"/>
  <c r="AU194" i="28"/>
  <c r="AY16" i="28"/>
  <c r="AX186" i="28"/>
  <c r="AX185" i="28"/>
  <c r="AY74" i="18" s="1"/>
  <c r="AX19" i="28"/>
  <c r="AX185" i="29"/>
  <c r="AY47" i="18" s="1"/>
  <c r="AX19" i="29"/>
  <c r="AY184" i="28"/>
  <c r="AZ15" i="28"/>
  <c r="AZ67" i="18"/>
  <c r="AY17" i="28"/>
  <c r="AV192" i="29"/>
  <c r="AW23" i="29"/>
  <c r="AW22" i="29"/>
  <c r="AW191" i="29" s="1"/>
  <c r="AV192" i="28"/>
  <c r="AW23" i="28"/>
  <c r="AW22" i="28"/>
  <c r="AW191" i="28" s="1"/>
  <c r="AX18" i="29"/>
  <c r="AW188" i="29"/>
  <c r="AW187" i="28"/>
  <c r="AW187" i="29"/>
  <c r="AU27" i="29"/>
  <c r="AU194" i="29"/>
  <c r="AY16" i="29"/>
  <c r="AX186" i="29"/>
  <c r="AZ74" i="28"/>
  <c r="AZ73" i="28"/>
  <c r="AY76" i="28"/>
  <c r="AY78" i="28" s="1"/>
  <c r="BB41" i="18"/>
  <c r="BA53" i="18"/>
  <c r="AY127" i="28"/>
  <c r="AY129" i="28" s="1"/>
  <c r="AY161" i="28"/>
  <c r="AY163" i="28" s="1"/>
  <c r="BC66" i="19"/>
  <c r="BC65" i="19"/>
  <c r="BB67" i="19"/>
  <c r="BB69" i="19" s="1"/>
  <c r="AY110" i="28"/>
  <c r="AY112" i="28" s="1"/>
  <c r="BC37" i="19"/>
  <c r="BC38" i="19"/>
  <c r="BB39" i="19"/>
  <c r="BB41" i="19" s="1"/>
  <c r="AY76" i="29"/>
  <c r="AY78" i="29" s="1"/>
  <c r="AY178" i="28"/>
  <c r="AY180" i="28" s="1"/>
  <c r="AY93" i="29"/>
  <c r="AY95" i="29" s="1"/>
  <c r="AZ172" i="29"/>
  <c r="BA171" i="29" s="1"/>
  <c r="AY144" i="29"/>
  <c r="AY146" i="29" s="1"/>
  <c r="AY110" i="29"/>
  <c r="AY112" i="29" s="1"/>
  <c r="BB121" i="28"/>
  <c r="BC120" i="28" s="1"/>
  <c r="BA155" i="29"/>
  <c r="BB154" i="29" s="1"/>
  <c r="AY127" i="29"/>
  <c r="AY129" i="29" s="1"/>
  <c r="AY59" i="28"/>
  <c r="AY61" i="28" s="1"/>
  <c r="AZ36" i="28"/>
  <c r="BA35" i="28" s="1"/>
  <c r="AZ142" i="28"/>
  <c r="AZ141" i="28"/>
  <c r="AZ39" i="28"/>
  <c r="AZ40" i="28"/>
  <c r="AZ124" i="29"/>
  <c r="AZ125" i="29"/>
  <c r="BB49" i="28"/>
  <c r="BB51" i="28" s="1"/>
  <c r="AY144" i="28"/>
  <c r="AY146" i="28" s="1"/>
  <c r="AZ90" i="29"/>
  <c r="AZ91" i="29"/>
  <c r="AZ141" i="29"/>
  <c r="AZ142" i="29"/>
  <c r="AZ104" i="29"/>
  <c r="BA103" i="29" s="1"/>
  <c r="AZ107" i="28"/>
  <c r="AZ108" i="28"/>
  <c r="BA121" i="29"/>
  <c r="BB120" i="29" s="1"/>
  <c r="AZ155" i="28"/>
  <c r="BA154" i="28" s="1"/>
  <c r="AZ175" i="29"/>
  <c r="AZ176" i="29"/>
  <c r="AZ90" i="28"/>
  <c r="AZ91" i="28"/>
  <c r="BA175" i="28"/>
  <c r="BA176" i="28"/>
  <c r="AZ107" i="29"/>
  <c r="AZ108" i="29"/>
  <c r="AY93" i="28"/>
  <c r="AY95" i="28" s="1"/>
  <c r="BA138" i="29"/>
  <c r="BB137" i="29" s="1"/>
  <c r="BA51" i="28"/>
  <c r="BB50" i="28" s="1"/>
  <c r="BB138" i="28"/>
  <c r="BC137" i="28" s="1"/>
  <c r="BD104" i="28"/>
  <c r="BE103" i="28" s="1"/>
  <c r="BB168" i="28"/>
  <c r="BA170" i="28"/>
  <c r="BB169" i="28" s="1"/>
  <c r="AZ172" i="28"/>
  <c r="AY42" i="28"/>
  <c r="AY44" i="28" s="1"/>
  <c r="BA87" i="29"/>
  <c r="BB86" i="29" s="1"/>
  <c r="BB70" i="28"/>
  <c r="BC69" i="28" s="1"/>
  <c r="AZ125" i="28"/>
  <c r="AZ124" i="28"/>
  <c r="BB69" i="28"/>
  <c r="AZ57" i="28"/>
  <c r="AZ56" i="28"/>
  <c r="AZ74" i="29"/>
  <c r="AZ73" i="29"/>
  <c r="BB168" i="29"/>
  <c r="BA170" i="29"/>
  <c r="BB169" i="29" s="1"/>
  <c r="AZ158" i="29"/>
  <c r="AZ159" i="29"/>
  <c r="AZ158" i="28"/>
  <c r="AZ159" i="28"/>
  <c r="AZ70" i="29"/>
  <c r="BA69" i="29" s="1"/>
  <c r="AY161" i="29"/>
  <c r="AY163" i="29" s="1"/>
  <c r="AY178" i="29"/>
  <c r="AY180" i="29" s="1"/>
  <c r="BD87" i="28"/>
  <c r="BD15" i="28"/>
  <c r="BA59" i="29"/>
  <c r="BA61" i="29" s="1"/>
  <c r="BH100" i="29"/>
  <c r="BG102" i="29"/>
  <c r="BH101" i="29" s="1"/>
  <c r="BA36" i="29"/>
  <c r="BA40" i="29"/>
  <c r="BA39" i="29"/>
  <c r="BF49" i="29"/>
  <c r="BE51" i="29"/>
  <c r="BF50" i="29" s="1"/>
  <c r="BC32" i="29"/>
  <c r="BB34" i="29"/>
  <c r="BC33" i="29" s="1"/>
  <c r="BJ134" i="29"/>
  <c r="BI136" i="29"/>
  <c r="BJ135" i="29" s="1"/>
  <c r="BH117" i="29"/>
  <c r="BG119" i="29"/>
  <c r="BH118" i="29" s="1"/>
  <c r="BB53" i="29"/>
  <c r="BC52" i="29" s="1"/>
  <c r="AZ42" i="29"/>
  <c r="AZ44" i="29" s="1"/>
  <c r="BB57" i="29"/>
  <c r="BB56" i="29"/>
  <c r="BK151" i="29"/>
  <c r="BJ153" i="29"/>
  <c r="BK152" i="29" s="1"/>
  <c r="BH66" i="29"/>
  <c r="BG68" i="29"/>
  <c r="BH67" i="29" s="1"/>
  <c r="BK134" i="28"/>
  <c r="BJ136" i="28"/>
  <c r="BK135" i="28" s="1"/>
  <c r="BJ100" i="28"/>
  <c r="BI102" i="28"/>
  <c r="BJ101" i="28" s="1"/>
  <c r="BI83" i="28"/>
  <c r="BH85" i="28"/>
  <c r="BI84" i="28" s="1"/>
  <c r="BL66" i="28"/>
  <c r="BK68" i="28"/>
  <c r="BL67" i="28" s="1"/>
  <c r="BM151" i="28"/>
  <c r="BL153" i="28"/>
  <c r="BM152" i="28" s="1"/>
  <c r="BJ34" i="28"/>
  <c r="A32" i="28"/>
  <c r="BK117" i="28"/>
  <c r="BJ119" i="28"/>
  <c r="BK118" i="28" s="1"/>
  <c r="BA80" i="19"/>
  <c r="BA52" i="19"/>
  <c r="AV194" i="29" l="1"/>
  <c r="AV194" i="28"/>
  <c r="AW25" i="29"/>
  <c r="AW194" i="29" s="1"/>
  <c r="AY185" i="29"/>
  <c r="AZ47" i="18" s="1"/>
  <c r="AY19" i="29"/>
  <c r="AW192" i="28"/>
  <c r="AX23" i="28"/>
  <c r="AX22" i="28"/>
  <c r="AX191" i="28" s="1"/>
  <c r="AY185" i="28"/>
  <c r="AZ74" i="18" s="1"/>
  <c r="AY19" i="28"/>
  <c r="AU196" i="29"/>
  <c r="AV39" i="18"/>
  <c r="AV50" i="18" s="1"/>
  <c r="AU196" i="28"/>
  <c r="AV66" i="18"/>
  <c r="AV77" i="18" s="1"/>
  <c r="AV196" i="29"/>
  <c r="AW39" i="18"/>
  <c r="AW50" i="18" s="1"/>
  <c r="AZ16" i="28"/>
  <c r="AY186" i="28"/>
  <c r="AX187" i="28"/>
  <c r="AZ184" i="29"/>
  <c r="BA40" i="18"/>
  <c r="BA15" i="29"/>
  <c r="AZ17" i="29"/>
  <c r="AW25" i="28"/>
  <c r="AW192" i="29"/>
  <c r="AX23" i="29"/>
  <c r="AX22" i="29"/>
  <c r="AX191" i="29" s="1"/>
  <c r="AZ184" i="28"/>
  <c r="BA15" i="28"/>
  <c r="BA67" i="18"/>
  <c r="AZ16" i="29"/>
  <c r="AY186" i="29"/>
  <c r="AY18" i="29"/>
  <c r="AX188" i="29"/>
  <c r="AX187" i="29"/>
  <c r="AX188" i="28"/>
  <c r="AY18" i="28"/>
  <c r="AV196" i="28"/>
  <c r="AW66" i="18"/>
  <c r="AW77" i="18" s="1"/>
  <c r="BK33" i="28"/>
  <c r="BL33" i="28" s="1"/>
  <c r="BM33" i="28" s="1"/>
  <c r="BN33" i="28" s="1"/>
  <c r="BO33" i="28" s="1"/>
  <c r="BP33" i="28" s="1"/>
  <c r="BQ33" i="28" s="1"/>
  <c r="BR33" i="28" s="1"/>
  <c r="BS33" i="28" s="1"/>
  <c r="BT33" i="28" s="1"/>
  <c r="BU33" i="28" s="1"/>
  <c r="BV33" i="28" s="1"/>
  <c r="BW33" i="28" s="1"/>
  <c r="BX33" i="28" s="1"/>
  <c r="BY33" i="28" s="1"/>
  <c r="BZ33" i="28" s="1"/>
  <c r="CA33" i="28" s="1"/>
  <c r="CB33" i="28" s="1"/>
  <c r="CC33" i="28" s="1"/>
  <c r="CD33" i="28" s="1"/>
  <c r="CE33" i="28" s="1"/>
  <c r="CF33" i="28" s="1"/>
  <c r="CG33" i="28" s="1"/>
  <c r="CH33" i="28" s="1"/>
  <c r="CI33" i="28" s="1"/>
  <c r="CJ33" i="28" s="1"/>
  <c r="CK33" i="28" s="1"/>
  <c r="CL33" i="28" s="1"/>
  <c r="CM33" i="28" s="1"/>
  <c r="CN33" i="28" s="1"/>
  <c r="CO33" i="28" s="1"/>
  <c r="CP33" i="28" s="1"/>
  <c r="CQ33" i="28" s="1"/>
  <c r="CR33" i="28" s="1"/>
  <c r="CS33" i="28" s="1"/>
  <c r="CT33" i="28" s="1"/>
  <c r="CU33" i="28" s="1"/>
  <c r="CV33" i="28" s="1"/>
  <c r="CW33" i="28" s="1"/>
  <c r="CX33" i="28" s="1"/>
  <c r="CY33" i="28" s="1"/>
  <c r="CZ33" i="28" s="1"/>
  <c r="DA33" i="28" s="1"/>
  <c r="AZ17" i="28"/>
  <c r="AZ76" i="28"/>
  <c r="AZ78" i="28" s="1"/>
  <c r="BA73" i="28"/>
  <c r="BA74" i="28"/>
  <c r="BC41" i="18"/>
  <c r="BB53" i="18"/>
  <c r="BC50" i="28"/>
  <c r="BC67" i="19"/>
  <c r="BC69" i="19" s="1"/>
  <c r="AZ144" i="29"/>
  <c r="AZ146" i="29" s="1"/>
  <c r="BD66" i="19"/>
  <c r="BD65" i="19"/>
  <c r="BD38" i="19"/>
  <c r="BD37" i="19"/>
  <c r="BC39" i="19"/>
  <c r="BC41" i="19" s="1"/>
  <c r="AZ161" i="29"/>
  <c r="AZ163" i="29" s="1"/>
  <c r="BC121" i="28"/>
  <c r="BD120" i="28" s="1"/>
  <c r="AZ144" i="28"/>
  <c r="AZ146" i="28" s="1"/>
  <c r="AZ93" i="29"/>
  <c r="AZ95" i="29" s="1"/>
  <c r="AZ110" i="28"/>
  <c r="AZ112" i="28" s="1"/>
  <c r="BB155" i="29"/>
  <c r="BC154" i="29" s="1"/>
  <c r="BA172" i="29"/>
  <c r="BB171" i="29" s="1"/>
  <c r="AZ42" i="28"/>
  <c r="AZ44" i="28" s="1"/>
  <c r="AZ59" i="28"/>
  <c r="AZ61" i="28" s="1"/>
  <c r="BA172" i="28"/>
  <c r="BB171" i="28" s="1"/>
  <c r="BA107" i="29"/>
  <c r="BA108" i="29"/>
  <c r="BA40" i="28"/>
  <c r="BA39" i="28"/>
  <c r="BA70" i="29"/>
  <c r="BB69" i="29" s="1"/>
  <c r="BA56" i="28"/>
  <c r="BA57" i="28"/>
  <c r="BB87" i="29"/>
  <c r="BC86" i="29" s="1"/>
  <c r="BB138" i="29"/>
  <c r="BC137" i="29" s="1"/>
  <c r="BB121" i="29"/>
  <c r="BC120" i="29" s="1"/>
  <c r="AZ161" i="28"/>
  <c r="AZ163" i="28" s="1"/>
  <c r="BA108" i="28"/>
  <c r="BA107" i="28"/>
  <c r="BA90" i="29"/>
  <c r="BA91" i="29"/>
  <c r="BC138" i="28"/>
  <c r="BD137" i="28" s="1"/>
  <c r="BB175" i="28"/>
  <c r="BB176" i="28"/>
  <c r="BA171" i="28"/>
  <c r="AZ178" i="28"/>
  <c r="AZ180" i="28" s="1"/>
  <c r="BA158" i="28"/>
  <c r="BA159" i="28"/>
  <c r="AZ127" i="28"/>
  <c r="AZ129" i="28" s="1"/>
  <c r="AZ110" i="29"/>
  <c r="AZ112" i="29" s="1"/>
  <c r="BA141" i="28"/>
  <c r="BA142" i="28"/>
  <c r="BA125" i="28"/>
  <c r="BA124" i="28"/>
  <c r="BA53" i="28"/>
  <c r="BA90" i="28"/>
  <c r="BA91" i="28"/>
  <c r="BA104" i="29"/>
  <c r="BB103" i="29" s="1"/>
  <c r="AZ93" i="28"/>
  <c r="AZ95" i="28" s="1"/>
  <c r="BC168" i="29"/>
  <c r="BB170" i="29"/>
  <c r="BC169" i="29" s="1"/>
  <c r="BA159" i="29"/>
  <c r="BA158" i="29"/>
  <c r="BA175" i="29"/>
  <c r="BA176" i="29"/>
  <c r="BA36" i="28"/>
  <c r="BB35" i="28" s="1"/>
  <c r="AZ178" i="29"/>
  <c r="AZ180" i="29" s="1"/>
  <c r="BA142" i="29"/>
  <c r="BA141" i="29"/>
  <c r="BA74" i="29"/>
  <c r="BA73" i="29"/>
  <c r="BC168" i="28"/>
  <c r="BB170" i="28"/>
  <c r="BC169" i="28" s="1"/>
  <c r="BC49" i="28"/>
  <c r="AZ76" i="29"/>
  <c r="AZ78" i="29" s="1"/>
  <c r="BA125" i="29"/>
  <c r="BA124" i="29"/>
  <c r="BC70" i="28"/>
  <c r="BD69" i="28" s="1"/>
  <c r="BE104" i="28"/>
  <c r="BF103" i="28" s="1"/>
  <c r="BA155" i="28"/>
  <c r="BB154" i="28" s="1"/>
  <c r="AZ127" i="29"/>
  <c r="AZ129" i="29" s="1"/>
  <c r="BE86" i="28"/>
  <c r="BE87" i="28"/>
  <c r="BF86" i="28" s="1"/>
  <c r="BL68" i="28"/>
  <c r="BE15" i="28"/>
  <c r="BD17" i="28"/>
  <c r="BB59" i="29"/>
  <c r="BB61" i="29" s="1"/>
  <c r="BD32" i="29"/>
  <c r="BC34" i="29"/>
  <c r="BD33" i="29" s="1"/>
  <c r="BG49" i="29"/>
  <c r="BF51" i="29"/>
  <c r="BG50" i="29" s="1"/>
  <c r="BI66" i="29"/>
  <c r="BH68" i="29"/>
  <c r="BI67" i="29" s="1"/>
  <c r="BI117" i="29"/>
  <c r="BH119" i="29"/>
  <c r="BI118" i="29" s="1"/>
  <c r="BB35" i="29"/>
  <c r="BA42" i="29"/>
  <c r="BA44" i="29" s="1"/>
  <c r="BC53" i="29"/>
  <c r="BD52" i="29" s="1"/>
  <c r="BB36" i="29"/>
  <c r="BC35" i="29" s="1"/>
  <c r="BL151" i="29"/>
  <c r="BK153" i="29"/>
  <c r="BL152" i="29" s="1"/>
  <c r="BC57" i="29"/>
  <c r="BC56" i="29"/>
  <c r="BI100" i="29"/>
  <c r="BH102" i="29"/>
  <c r="BI101" i="29" s="1"/>
  <c r="BK134" i="29"/>
  <c r="BJ136" i="29"/>
  <c r="BK135" i="29" s="1"/>
  <c r="BB40" i="29"/>
  <c r="BB39" i="29"/>
  <c r="BK100" i="28"/>
  <c r="BJ102" i="28"/>
  <c r="BK101" i="28" s="1"/>
  <c r="BL117" i="28"/>
  <c r="BK119" i="28"/>
  <c r="BL118" i="28" s="1"/>
  <c r="BL134" i="28"/>
  <c r="BK136" i="28"/>
  <c r="BL135" i="28" s="1"/>
  <c r="BN151" i="28"/>
  <c r="BM153" i="28"/>
  <c r="BN152" i="28" s="1"/>
  <c r="BJ83" i="28"/>
  <c r="BI85" i="28"/>
  <c r="BJ84" i="28" s="1"/>
  <c r="BB52" i="19"/>
  <c r="BB80" i="19"/>
  <c r="AW27" i="29" l="1"/>
  <c r="AX25" i="28"/>
  <c r="AX27" i="28" s="1"/>
  <c r="AX25" i="29"/>
  <c r="AX194" i="29" s="1"/>
  <c r="AW196" i="29"/>
  <c r="AX39" i="18"/>
  <c r="AX50" i="18" s="1"/>
  <c r="BM67" i="28"/>
  <c r="BN67" i="28" s="1"/>
  <c r="BO67" i="28" s="1"/>
  <c r="BP67" i="28" s="1"/>
  <c r="BQ67" i="28" s="1"/>
  <c r="BR67" i="28" s="1"/>
  <c r="BS67" i="28" s="1"/>
  <c r="BT67" i="28" s="1"/>
  <c r="BU67" i="28" s="1"/>
  <c r="BV67" i="28" s="1"/>
  <c r="BW67" i="28" s="1"/>
  <c r="BX67" i="28" s="1"/>
  <c r="BY67" i="28" s="1"/>
  <c r="BZ67" i="28" s="1"/>
  <c r="CA67" i="28" s="1"/>
  <c r="CB67" i="28" s="1"/>
  <c r="CC67" i="28" s="1"/>
  <c r="CD67" i="28" s="1"/>
  <c r="CE67" i="28" s="1"/>
  <c r="CF67" i="28" s="1"/>
  <c r="CG67" i="28" s="1"/>
  <c r="CH67" i="28" s="1"/>
  <c r="CI67" i="28" s="1"/>
  <c r="CJ67" i="28" s="1"/>
  <c r="CK67" i="28" s="1"/>
  <c r="CL67" i="28" s="1"/>
  <c r="CM67" i="28" s="1"/>
  <c r="CN67" i="28" s="1"/>
  <c r="CO67" i="28" s="1"/>
  <c r="CP67" i="28" s="1"/>
  <c r="CQ67" i="28" s="1"/>
  <c r="CR67" i="28" s="1"/>
  <c r="CS67" i="28" s="1"/>
  <c r="CT67" i="28" s="1"/>
  <c r="CU67" i="28" s="1"/>
  <c r="CV67" i="28" s="1"/>
  <c r="CW67" i="28" s="1"/>
  <c r="CX67" i="28" s="1"/>
  <c r="CY67" i="28" s="1"/>
  <c r="CZ67" i="28" s="1"/>
  <c r="DA67" i="28" s="1"/>
  <c r="AZ185" i="29"/>
  <c r="BA47" i="18" s="1"/>
  <c r="AZ19" i="29"/>
  <c r="AX194" i="28"/>
  <c r="BA184" i="28"/>
  <c r="BB15" i="28"/>
  <c r="BB17" i="28" s="1"/>
  <c r="BB67" i="18"/>
  <c r="BA17" i="28"/>
  <c r="AW27" i="28"/>
  <c r="AW194" i="28"/>
  <c r="BA16" i="29"/>
  <c r="AZ186" i="29"/>
  <c r="AZ185" i="28"/>
  <c r="BA74" i="18" s="1"/>
  <c r="AZ19" i="28"/>
  <c r="BA184" i="29"/>
  <c r="BB40" i="18"/>
  <c r="BB15" i="29"/>
  <c r="BA17" i="29"/>
  <c r="AX192" i="28"/>
  <c r="AY23" i="28"/>
  <c r="AY22" i="28"/>
  <c r="AY191" i="28" s="1"/>
  <c r="AY187" i="29"/>
  <c r="AZ18" i="29"/>
  <c r="AY188" i="29"/>
  <c r="AZ18" i="28"/>
  <c r="AY188" i="28"/>
  <c r="AX192" i="29"/>
  <c r="AY23" i="29"/>
  <c r="AY22" i="29"/>
  <c r="AY191" i="29" s="1"/>
  <c r="BA16" i="28"/>
  <c r="AZ186" i="28"/>
  <c r="AY187" i="28"/>
  <c r="BB73" i="28"/>
  <c r="BB74" i="28"/>
  <c r="BA76" i="28"/>
  <c r="BA78" i="28" s="1"/>
  <c r="BD41" i="18"/>
  <c r="BC53" i="18"/>
  <c r="BD39" i="19"/>
  <c r="BD41" i="19" s="1"/>
  <c r="BD67" i="19"/>
  <c r="BD69" i="19" s="1"/>
  <c r="BA144" i="29"/>
  <c r="BA146" i="29" s="1"/>
  <c r="BE65" i="19"/>
  <c r="BE66" i="19"/>
  <c r="BA110" i="28"/>
  <c r="BA112" i="28" s="1"/>
  <c r="BE38" i="19"/>
  <c r="BE37" i="19"/>
  <c r="BA127" i="29"/>
  <c r="BA129" i="29" s="1"/>
  <c r="BD121" i="28"/>
  <c r="BE120" i="28" s="1"/>
  <c r="BB172" i="29"/>
  <c r="BC171" i="29" s="1"/>
  <c r="BA161" i="29"/>
  <c r="BA163" i="29" s="1"/>
  <c r="BC155" i="29"/>
  <c r="BD154" i="29" s="1"/>
  <c r="BB108" i="28"/>
  <c r="BB107" i="28"/>
  <c r="BB90" i="28"/>
  <c r="BB91" i="28"/>
  <c r="BC87" i="29"/>
  <c r="BD86" i="29" s="1"/>
  <c r="BB124" i="28"/>
  <c r="BB125" i="28"/>
  <c r="BB142" i="29"/>
  <c r="BB141" i="29"/>
  <c r="BD168" i="28"/>
  <c r="BC170" i="28"/>
  <c r="BD169" i="28" s="1"/>
  <c r="BD168" i="29"/>
  <c r="BC170" i="29"/>
  <c r="BD169" i="29" s="1"/>
  <c r="BA93" i="28"/>
  <c r="BA95" i="28" s="1"/>
  <c r="BB57" i="28"/>
  <c r="BB56" i="28"/>
  <c r="BD138" i="28"/>
  <c r="BE137" i="28" s="1"/>
  <c r="BB36" i="28"/>
  <c r="BC35" i="28" s="1"/>
  <c r="BB52" i="28"/>
  <c r="BA59" i="28"/>
  <c r="BA61" i="28" s="1"/>
  <c r="BB158" i="28"/>
  <c r="BB159" i="28"/>
  <c r="BB73" i="29"/>
  <c r="BB74" i="29"/>
  <c r="BB53" i="28"/>
  <c r="BC52" i="28" s="1"/>
  <c r="BB90" i="29"/>
  <c r="BB91" i="29"/>
  <c r="BB70" i="29"/>
  <c r="BC69" i="29" s="1"/>
  <c r="BB155" i="28"/>
  <c r="BC154" i="28" s="1"/>
  <c r="BB125" i="29"/>
  <c r="BB124" i="29"/>
  <c r="BA42" i="28"/>
  <c r="BA44" i="28" s="1"/>
  <c r="BA127" i="28"/>
  <c r="BA129" i="28" s="1"/>
  <c r="BA93" i="29"/>
  <c r="BA95" i="29" s="1"/>
  <c r="BB175" i="29"/>
  <c r="BB176" i="29"/>
  <c r="BD49" i="28"/>
  <c r="BC51" i="28"/>
  <c r="BD50" i="28" s="1"/>
  <c r="BA178" i="29"/>
  <c r="BA180" i="29" s="1"/>
  <c r="BC121" i="29"/>
  <c r="BD120" i="29" s="1"/>
  <c r="BB40" i="28"/>
  <c r="BB39" i="28"/>
  <c r="BB142" i="28"/>
  <c r="BB141" i="28"/>
  <c r="BC138" i="29"/>
  <c r="BD137" i="29" s="1"/>
  <c r="BA161" i="28"/>
  <c r="BA163" i="28" s="1"/>
  <c r="BB172" i="28"/>
  <c r="BC171" i="28" s="1"/>
  <c r="BA144" i="28"/>
  <c r="BA146" i="28" s="1"/>
  <c r="BD70" i="28"/>
  <c r="BB159" i="29"/>
  <c r="BB158" i="29"/>
  <c r="BA178" i="28"/>
  <c r="BA180" i="28" s="1"/>
  <c r="BB107" i="29"/>
  <c r="BB108" i="29"/>
  <c r="BA110" i="29"/>
  <c r="BA112" i="29" s="1"/>
  <c r="BA76" i="29"/>
  <c r="BA78" i="29" s="1"/>
  <c r="BF104" i="28"/>
  <c r="BG103" i="28" s="1"/>
  <c r="BB104" i="29"/>
  <c r="BC103" i="29" s="1"/>
  <c r="BC175" i="28"/>
  <c r="BC176" i="28"/>
  <c r="BF87" i="28"/>
  <c r="BF15" i="28"/>
  <c r="BE17" i="28"/>
  <c r="BL134" i="29"/>
  <c r="BK136" i="29"/>
  <c r="BL135" i="29" s="1"/>
  <c r="BM151" i="29"/>
  <c r="BL153" i="29"/>
  <c r="BM152" i="29" s="1"/>
  <c r="BB42" i="29"/>
  <c r="BB44" i="29" s="1"/>
  <c r="BH49" i="29"/>
  <c r="BG51" i="29"/>
  <c r="BH50" i="29" s="1"/>
  <c r="BD57" i="29"/>
  <c r="BD56" i="29"/>
  <c r="BC59" i="29"/>
  <c r="BC61" i="29" s="1"/>
  <c r="BJ117" i="29"/>
  <c r="BI119" i="29"/>
  <c r="BJ118" i="29" s="1"/>
  <c r="BC40" i="29"/>
  <c r="BC39" i="29"/>
  <c r="BJ66" i="29"/>
  <c r="BI68" i="29"/>
  <c r="BJ67" i="29" s="1"/>
  <c r="BJ100" i="29"/>
  <c r="BI102" i="29"/>
  <c r="BJ101" i="29" s="1"/>
  <c r="BD53" i="29"/>
  <c r="BE52" i="29" s="1"/>
  <c r="BE32" i="29"/>
  <c r="BD34" i="29"/>
  <c r="BE33" i="29" s="1"/>
  <c r="BD15" i="29"/>
  <c r="BC36" i="29"/>
  <c r="BD35" i="29" s="1"/>
  <c r="BO151" i="28"/>
  <c r="BN153" i="28"/>
  <c r="BO152" i="28" s="1"/>
  <c r="BM117" i="28"/>
  <c r="BL119" i="28"/>
  <c r="BM118" i="28" s="1"/>
  <c r="BM134" i="28"/>
  <c r="BL136" i="28"/>
  <c r="BM135" i="28" s="1"/>
  <c r="BL100" i="28"/>
  <c r="BK102" i="28"/>
  <c r="BL101" i="28" s="1"/>
  <c r="BK83" i="28"/>
  <c r="BJ85" i="28"/>
  <c r="BK84" i="28" s="1"/>
  <c r="BC52" i="19"/>
  <c r="AX27" i="29" l="1"/>
  <c r="AY25" i="28"/>
  <c r="AY194" i="28" s="1"/>
  <c r="AW196" i="28"/>
  <c r="AX66" i="18"/>
  <c r="AX77" i="18" s="1"/>
  <c r="AX196" i="29"/>
  <c r="AY39" i="18"/>
  <c r="AY50" i="18" s="1"/>
  <c r="BD184" i="29"/>
  <c r="AY25" i="29"/>
  <c r="AZ188" i="28"/>
  <c r="BA18" i="28"/>
  <c r="BA185" i="28"/>
  <c r="BB74" i="18" s="1"/>
  <c r="BA19" i="28"/>
  <c r="AZ187" i="29"/>
  <c r="AY192" i="29"/>
  <c r="AZ23" i="29"/>
  <c r="AZ22" i="29"/>
  <c r="AZ191" i="29" s="1"/>
  <c r="AY192" i="28"/>
  <c r="AZ23" i="28"/>
  <c r="AZ22" i="28"/>
  <c r="AZ191" i="28" s="1"/>
  <c r="BA185" i="29"/>
  <c r="BB47" i="18" s="1"/>
  <c r="BA19" i="29"/>
  <c r="BB16" i="28"/>
  <c r="BC16" i="28" s="1"/>
  <c r="BC185" i="28" s="1"/>
  <c r="BD74" i="18" s="1"/>
  <c r="BA186" i="28"/>
  <c r="BD51" i="28"/>
  <c r="BE50" i="28" s="1"/>
  <c r="BD184" i="28"/>
  <c r="AX196" i="28"/>
  <c r="AY66" i="18"/>
  <c r="AY77" i="18" s="1"/>
  <c r="BB16" i="29"/>
  <c r="BA186" i="29"/>
  <c r="BB186" i="28"/>
  <c r="BA18" i="29"/>
  <c r="AZ188" i="29"/>
  <c r="AZ187" i="28"/>
  <c r="BB184" i="29"/>
  <c r="BB17" i="29"/>
  <c r="BC40" i="18"/>
  <c r="BC15" i="29"/>
  <c r="BB184" i="28"/>
  <c r="BC15" i="28"/>
  <c r="BC67" i="18"/>
  <c r="BC74" i="28"/>
  <c r="BC73" i="28"/>
  <c r="BB76" i="28"/>
  <c r="BB78" i="28" s="1"/>
  <c r="BE41" i="18"/>
  <c r="BD53" i="18"/>
  <c r="BC70" i="29"/>
  <c r="BD69" i="29" s="1"/>
  <c r="BE39" i="19"/>
  <c r="BE41" i="19" s="1"/>
  <c r="BF66" i="19"/>
  <c r="BF65" i="19"/>
  <c r="BE67" i="19"/>
  <c r="BE69" i="19" s="1"/>
  <c r="BF38" i="19"/>
  <c r="BF37" i="19"/>
  <c r="BB144" i="29"/>
  <c r="BB146" i="29" s="1"/>
  <c r="BB127" i="29"/>
  <c r="BB129" i="29" s="1"/>
  <c r="BE121" i="28"/>
  <c r="BF120" i="28" s="1"/>
  <c r="BB178" i="29"/>
  <c r="BB180" i="29" s="1"/>
  <c r="BB110" i="28"/>
  <c r="BB112" i="28" s="1"/>
  <c r="BD155" i="29"/>
  <c r="BE154" i="29" s="1"/>
  <c r="BB59" i="28"/>
  <c r="BB61" i="28" s="1"/>
  <c r="BE40" i="18"/>
  <c r="BD176" i="28"/>
  <c r="BD175" i="28"/>
  <c r="BE69" i="28"/>
  <c r="BB144" i="28"/>
  <c r="BB146" i="28" s="1"/>
  <c r="BB178" i="28"/>
  <c r="BB180" i="28" s="1"/>
  <c r="BB93" i="28"/>
  <c r="BB95" i="28" s="1"/>
  <c r="BC90" i="29"/>
  <c r="BC91" i="29"/>
  <c r="BC172" i="29"/>
  <c r="BC107" i="29"/>
  <c r="BC108" i="29"/>
  <c r="BB93" i="29"/>
  <c r="BB95" i="29" s="1"/>
  <c r="BC36" i="28"/>
  <c r="BD35" i="28" s="1"/>
  <c r="BC56" i="28"/>
  <c r="BC57" i="28"/>
  <c r="BC172" i="28"/>
  <c r="BD171" i="28" s="1"/>
  <c r="BE70" i="28"/>
  <c r="BF69" i="28" s="1"/>
  <c r="BC53" i="28"/>
  <c r="BC141" i="29"/>
  <c r="BC142" i="29"/>
  <c r="BC142" i="28"/>
  <c r="BC141" i="28"/>
  <c r="BC104" i="29"/>
  <c r="BD103" i="29" s="1"/>
  <c r="BB110" i="29"/>
  <c r="BB112" i="29" s="1"/>
  <c r="BB161" i="29"/>
  <c r="BB163" i="29" s="1"/>
  <c r="BE49" i="28"/>
  <c r="BE67" i="18"/>
  <c r="BD87" i="29"/>
  <c r="BE86" i="29" s="1"/>
  <c r="BE168" i="28"/>
  <c r="BD170" i="28"/>
  <c r="BE169" i="28" s="1"/>
  <c r="BC90" i="28"/>
  <c r="BC91" i="28"/>
  <c r="BC159" i="29"/>
  <c r="BC158" i="29"/>
  <c r="BC39" i="28"/>
  <c r="BC40" i="28"/>
  <c r="BB42" i="28"/>
  <c r="BB44" i="28" s="1"/>
  <c r="BE138" i="28"/>
  <c r="BF137" i="28" s="1"/>
  <c r="BG104" i="28"/>
  <c r="BH103" i="28" s="1"/>
  <c r="BB161" i="28"/>
  <c r="BB163" i="28" s="1"/>
  <c r="BD121" i="29"/>
  <c r="BE120" i="29" s="1"/>
  <c r="BC74" i="29"/>
  <c r="BC73" i="29"/>
  <c r="BE168" i="29"/>
  <c r="BD170" i="29"/>
  <c r="BE169" i="29" s="1"/>
  <c r="BC124" i="28"/>
  <c r="BC125" i="28"/>
  <c r="BC125" i="29"/>
  <c r="BC124" i="29"/>
  <c r="BB127" i="28"/>
  <c r="BB129" i="28" s="1"/>
  <c r="BC107" i="28"/>
  <c r="BC108" i="28"/>
  <c r="BD138" i="29"/>
  <c r="BE137" i="29" s="1"/>
  <c r="BC175" i="29"/>
  <c r="BC176" i="29"/>
  <c r="BC155" i="28"/>
  <c r="BD154" i="28" s="1"/>
  <c r="BB76" i="29"/>
  <c r="BB78" i="29" s="1"/>
  <c r="BC159" i="28"/>
  <c r="BC158" i="28"/>
  <c r="BG86" i="28"/>
  <c r="BG87" i="28"/>
  <c r="BH86" i="28" s="1"/>
  <c r="BG15" i="28"/>
  <c r="BF17" i="28"/>
  <c r="BD59" i="29"/>
  <c r="BD61" i="29" s="1"/>
  <c r="BC42" i="29"/>
  <c r="BC44" i="29" s="1"/>
  <c r="BF32" i="29"/>
  <c r="BE34" i="29"/>
  <c r="BF33" i="29" s="1"/>
  <c r="BK117" i="29"/>
  <c r="BJ119" i="29"/>
  <c r="BK118" i="29" s="1"/>
  <c r="BE53" i="29"/>
  <c r="BF52" i="29" s="1"/>
  <c r="BD39" i="29"/>
  <c r="BD40" i="29"/>
  <c r="BK66" i="29"/>
  <c r="BJ68" i="29"/>
  <c r="BK67" i="29" s="1"/>
  <c r="BK100" i="29"/>
  <c r="BJ102" i="29"/>
  <c r="BK101" i="29" s="1"/>
  <c r="BD36" i="29"/>
  <c r="BE35" i="29" s="1"/>
  <c r="BI49" i="29"/>
  <c r="BH51" i="29"/>
  <c r="BI50" i="29" s="1"/>
  <c r="BE15" i="29"/>
  <c r="BD17" i="29"/>
  <c r="BE57" i="29"/>
  <c r="BE56" i="29"/>
  <c r="BN151" i="29"/>
  <c r="BM153" i="29"/>
  <c r="BN152" i="29" s="1"/>
  <c r="BM134" i="29"/>
  <c r="BL136" i="29"/>
  <c r="BM135" i="29" s="1"/>
  <c r="BL83" i="28"/>
  <c r="BK85" i="28"/>
  <c r="BL84" i="28" s="1"/>
  <c r="BM100" i="28"/>
  <c r="BL102" i="28"/>
  <c r="BM101" i="28" s="1"/>
  <c r="BN117" i="28"/>
  <c r="BM119" i="28"/>
  <c r="BN118" i="28" s="1"/>
  <c r="BN134" i="28"/>
  <c r="BM136" i="28"/>
  <c r="BN135" i="28" s="1"/>
  <c r="BP151" i="28"/>
  <c r="BO153" i="28"/>
  <c r="BP152" i="28" s="1"/>
  <c r="BD52" i="19"/>
  <c r="BD80" i="19"/>
  <c r="BC80" i="19"/>
  <c r="AY27" i="28" l="1"/>
  <c r="AY196" i="28" s="1"/>
  <c r="BC184" i="28"/>
  <c r="BC17" i="28"/>
  <c r="BD67" i="18"/>
  <c r="AZ25" i="29"/>
  <c r="BD186" i="29"/>
  <c r="BE184" i="29"/>
  <c r="BC184" i="29"/>
  <c r="BD40" i="18"/>
  <c r="BC17" i="29"/>
  <c r="AZ192" i="28"/>
  <c r="BA23" i="28"/>
  <c r="BA22" i="28"/>
  <c r="BA191" i="28" s="1"/>
  <c r="BB18" i="28"/>
  <c r="BA188" i="28"/>
  <c r="BD186" i="28"/>
  <c r="AZ192" i="29"/>
  <c r="BA23" i="29"/>
  <c r="BA22" i="29"/>
  <c r="BA191" i="29" s="1"/>
  <c r="BC16" i="29"/>
  <c r="BB186" i="29"/>
  <c r="AZ25" i="28"/>
  <c r="BA187" i="29"/>
  <c r="BA187" i="28"/>
  <c r="BE184" i="28"/>
  <c r="AY27" i="29"/>
  <c r="AY194" i="29"/>
  <c r="BB185" i="28"/>
  <c r="BC74" i="18" s="1"/>
  <c r="BB19" i="28"/>
  <c r="BB185" i="29"/>
  <c r="BC47" i="18" s="1"/>
  <c r="BB19" i="29"/>
  <c r="BB18" i="29"/>
  <c r="BA188" i="29"/>
  <c r="BC76" i="28"/>
  <c r="BC78" i="28" s="1"/>
  <c r="BD74" i="28"/>
  <c r="BD73" i="28"/>
  <c r="BF41" i="18"/>
  <c r="BE53" i="18"/>
  <c r="BD70" i="29"/>
  <c r="BE69" i="29" s="1"/>
  <c r="BF67" i="19"/>
  <c r="BF69" i="19" s="1"/>
  <c r="BD53" i="28"/>
  <c r="BE52" i="28" s="1"/>
  <c r="BG66" i="19"/>
  <c r="BG65" i="19"/>
  <c r="BF40" i="18"/>
  <c r="BF39" i="19"/>
  <c r="BF41" i="19" s="1"/>
  <c r="BG38" i="19"/>
  <c r="BG37" i="19"/>
  <c r="BC76" i="29"/>
  <c r="BC78" i="29" s="1"/>
  <c r="BF121" i="28"/>
  <c r="BG120" i="28" s="1"/>
  <c r="BC161" i="29"/>
  <c r="BC163" i="29" s="1"/>
  <c r="BC93" i="29"/>
  <c r="BC95" i="29" s="1"/>
  <c r="BE155" i="29"/>
  <c r="BF154" i="29" s="1"/>
  <c r="BC110" i="28"/>
  <c r="BC112" i="28" s="1"/>
  <c r="BF168" i="29"/>
  <c r="BE170" i="29"/>
  <c r="BF169" i="29" s="1"/>
  <c r="BD172" i="28"/>
  <c r="BE171" i="28" s="1"/>
  <c r="BD171" i="29"/>
  <c r="BC178" i="29"/>
  <c r="BC180" i="29" s="1"/>
  <c r="BC42" i="28"/>
  <c r="BC44" i="28" s="1"/>
  <c r="BE176" i="28"/>
  <c r="BE175" i="28"/>
  <c r="BC127" i="28"/>
  <c r="BC129" i="28" s="1"/>
  <c r="BD107" i="28"/>
  <c r="BD108" i="28"/>
  <c r="BH104" i="28"/>
  <c r="BI103" i="28" s="1"/>
  <c r="BD158" i="29"/>
  <c r="BD159" i="29"/>
  <c r="BD104" i="29"/>
  <c r="BE103" i="29" s="1"/>
  <c r="BD91" i="29"/>
  <c r="BD90" i="29"/>
  <c r="BC110" i="29"/>
  <c r="BC112" i="29" s="1"/>
  <c r="BD158" i="28"/>
  <c r="BD159" i="28"/>
  <c r="BE87" i="29"/>
  <c r="BF86" i="29" s="1"/>
  <c r="BD40" i="28"/>
  <c r="BD39" i="28"/>
  <c r="BD52" i="28"/>
  <c r="BC59" i="28"/>
  <c r="BC61" i="28" s="1"/>
  <c r="BD74" i="29"/>
  <c r="BD73" i="29"/>
  <c r="BC144" i="28"/>
  <c r="BC146" i="28" s="1"/>
  <c r="BD108" i="29"/>
  <c r="BD107" i="29"/>
  <c r="BC178" i="28"/>
  <c r="BC180" i="28" s="1"/>
  <c r="BD36" i="28"/>
  <c r="BE35" i="28" s="1"/>
  <c r="BD91" i="28"/>
  <c r="BD90" i="28"/>
  <c r="BF49" i="28"/>
  <c r="BF67" i="18"/>
  <c r="BE51" i="28"/>
  <c r="BD141" i="28"/>
  <c r="BD142" i="28"/>
  <c r="BC161" i="28"/>
  <c r="BC163" i="28" s="1"/>
  <c r="BD172" i="29"/>
  <c r="BE171" i="29" s="1"/>
  <c r="BC93" i="28"/>
  <c r="BC95" i="28" s="1"/>
  <c r="BE138" i="29"/>
  <c r="BF137" i="29" s="1"/>
  <c r="BD155" i="28"/>
  <c r="BE154" i="28" s="1"/>
  <c r="BC127" i="29"/>
  <c r="BC129" i="29" s="1"/>
  <c r="BE121" i="29"/>
  <c r="BF120" i="29" s="1"/>
  <c r="BF138" i="28"/>
  <c r="BG137" i="28" s="1"/>
  <c r="BF70" i="28"/>
  <c r="BD176" i="29"/>
  <c r="BD175" i="29"/>
  <c r="BD125" i="29"/>
  <c r="BD124" i="29"/>
  <c r="BD142" i="29"/>
  <c r="BD141" i="29"/>
  <c r="BD124" i="28"/>
  <c r="BD125" i="28"/>
  <c r="BF168" i="28"/>
  <c r="BE170" i="28"/>
  <c r="BF169" i="28" s="1"/>
  <c r="BC144" i="29"/>
  <c r="BC146" i="29" s="1"/>
  <c r="BD57" i="28"/>
  <c r="BD56" i="28"/>
  <c r="BH87" i="28"/>
  <c r="BH15" i="28"/>
  <c r="BG17" i="28"/>
  <c r="BF53" i="29"/>
  <c r="BG52" i="29" s="1"/>
  <c r="BO151" i="29"/>
  <c r="BN153" i="29"/>
  <c r="BO152" i="29" s="1"/>
  <c r="BN134" i="29"/>
  <c r="BM136" i="29"/>
  <c r="BN135" i="29" s="1"/>
  <c r="BL100" i="29"/>
  <c r="BK102" i="29"/>
  <c r="BL101" i="29" s="1"/>
  <c r="BL66" i="29"/>
  <c r="BK68" i="29"/>
  <c r="BL67" i="29" s="1"/>
  <c r="BF15" i="29"/>
  <c r="BE17" i="29"/>
  <c r="BL117" i="29"/>
  <c r="BK119" i="29"/>
  <c r="BL118" i="29" s="1"/>
  <c r="BF57" i="29"/>
  <c r="BF56" i="29"/>
  <c r="BJ49" i="29"/>
  <c r="BI51" i="29"/>
  <c r="BJ50" i="29" s="1"/>
  <c r="BE39" i="29"/>
  <c r="BE40" i="29"/>
  <c r="BE36" i="29"/>
  <c r="BF35" i="29" s="1"/>
  <c r="BE59" i="29"/>
  <c r="BE61" i="29" s="1"/>
  <c r="BD42" i="29"/>
  <c r="BD44" i="29" s="1"/>
  <c r="BG32" i="29"/>
  <c r="BF34" i="29"/>
  <c r="BG33" i="29" s="1"/>
  <c r="BO134" i="28"/>
  <c r="BN136" i="28"/>
  <c r="BO135" i="28" s="1"/>
  <c r="BO117" i="28"/>
  <c r="BN119" i="28"/>
  <c r="BO118" i="28" s="1"/>
  <c r="BM83" i="28"/>
  <c r="BL85" i="28"/>
  <c r="BN100" i="28"/>
  <c r="BM102" i="28"/>
  <c r="BN101" i="28" s="1"/>
  <c r="BQ151" i="28"/>
  <c r="BP153" i="28"/>
  <c r="BQ152" i="28" s="1"/>
  <c r="AZ66" i="18" l="1"/>
  <c r="AZ77" i="18" s="1"/>
  <c r="BA25" i="28"/>
  <c r="BA194" i="28" s="1"/>
  <c r="BC18" i="29"/>
  <c r="BB188" i="29"/>
  <c r="BM84" i="28"/>
  <c r="BB188" i="28"/>
  <c r="BC18" i="28"/>
  <c r="BA192" i="29"/>
  <c r="BB23" i="29"/>
  <c r="BB22" i="29"/>
  <c r="BB191" i="29" s="1"/>
  <c r="BF51" i="28"/>
  <c r="BF184" i="28"/>
  <c r="AZ27" i="29"/>
  <c r="AZ194" i="29"/>
  <c r="AY196" i="29"/>
  <c r="AZ39" i="18"/>
  <c r="AZ50" i="18" s="1"/>
  <c r="BB187" i="28"/>
  <c r="BD16" i="28"/>
  <c r="BC186" i="28"/>
  <c r="BC19" i="28"/>
  <c r="BD16" i="29"/>
  <c r="BC186" i="29"/>
  <c r="BE186" i="29"/>
  <c r="BF184" i="29"/>
  <c r="AZ27" i="28"/>
  <c r="AZ194" i="28"/>
  <c r="BA192" i="28"/>
  <c r="BB22" i="28"/>
  <c r="BB191" i="28" s="1"/>
  <c r="BB23" i="28"/>
  <c r="BF50" i="28"/>
  <c r="BE186" i="28"/>
  <c r="BB187" i="29"/>
  <c r="BA25" i="29"/>
  <c r="BC185" i="29"/>
  <c r="BD47" i="18" s="1"/>
  <c r="BC19" i="29"/>
  <c r="BD76" i="28"/>
  <c r="BD78" i="28" s="1"/>
  <c r="BE73" i="28"/>
  <c r="BE74" i="28"/>
  <c r="BF53" i="18"/>
  <c r="BG41" i="18"/>
  <c r="BE70" i="29"/>
  <c r="BF69" i="29" s="1"/>
  <c r="BG67" i="19"/>
  <c r="BG69" i="19" s="1"/>
  <c r="BH66" i="19"/>
  <c r="BH65" i="19"/>
  <c r="BG39" i="19"/>
  <c r="BG41" i="19" s="1"/>
  <c r="BH38" i="19"/>
  <c r="BH37" i="19"/>
  <c r="BG40" i="18"/>
  <c r="BD76" i="29"/>
  <c r="BD78" i="29" s="1"/>
  <c r="BG121" i="28"/>
  <c r="BH120" i="28" s="1"/>
  <c r="BD93" i="28"/>
  <c r="BD95" i="28" s="1"/>
  <c r="BD93" i="29"/>
  <c r="BD95" i="29" s="1"/>
  <c r="BD127" i="28"/>
  <c r="BD129" i="28" s="1"/>
  <c r="BD144" i="29"/>
  <c r="BD146" i="29" s="1"/>
  <c r="BE172" i="28"/>
  <c r="BF171" i="28" s="1"/>
  <c r="BF155" i="29"/>
  <c r="BG154" i="29" s="1"/>
  <c r="BE172" i="29"/>
  <c r="BF171" i="29" s="1"/>
  <c r="BD161" i="29"/>
  <c r="BD163" i="29" s="1"/>
  <c r="BD178" i="29"/>
  <c r="BD180" i="29" s="1"/>
  <c r="BE56" i="28"/>
  <c r="BE57" i="28"/>
  <c r="BF121" i="29"/>
  <c r="BG120" i="29" s="1"/>
  <c r="BF138" i="29"/>
  <c r="BG137" i="29" s="1"/>
  <c r="BE36" i="28"/>
  <c r="BF35" i="28" s="1"/>
  <c r="BE104" i="29"/>
  <c r="BF103" i="29" s="1"/>
  <c r="BE142" i="29"/>
  <c r="BE141" i="29"/>
  <c r="BF87" i="29"/>
  <c r="BG86" i="29" s="1"/>
  <c r="BE158" i="28"/>
  <c r="BE159" i="28"/>
  <c r="BE158" i="29"/>
  <c r="BE159" i="29"/>
  <c r="BG138" i="28"/>
  <c r="BH137" i="28" s="1"/>
  <c r="BD59" i="28"/>
  <c r="BD61" i="28" s="1"/>
  <c r="BG168" i="28"/>
  <c r="BF170" i="28"/>
  <c r="BG169" i="28" s="1"/>
  <c r="BE124" i="29"/>
  <c r="BE125" i="29"/>
  <c r="BE142" i="28"/>
  <c r="BE141" i="28"/>
  <c r="BI104" i="28"/>
  <c r="BJ103" i="28" s="1"/>
  <c r="BF176" i="28"/>
  <c r="BF175" i="28"/>
  <c r="BD127" i="29"/>
  <c r="BD129" i="29" s="1"/>
  <c r="BE155" i="28"/>
  <c r="BF154" i="28" s="1"/>
  <c r="BD144" i="28"/>
  <c r="BD146" i="28" s="1"/>
  <c r="BE108" i="29"/>
  <c r="BE107" i="29"/>
  <c r="BE39" i="28"/>
  <c r="BE40" i="28"/>
  <c r="BG168" i="29"/>
  <c r="BF170" i="29"/>
  <c r="BG169" i="29" s="1"/>
  <c r="BE91" i="29"/>
  <c r="BE90" i="29"/>
  <c r="BE176" i="29"/>
  <c r="BE175" i="29"/>
  <c r="BE53" i="28"/>
  <c r="BE74" i="29"/>
  <c r="BE73" i="29"/>
  <c r="BE107" i="28"/>
  <c r="BE108" i="28"/>
  <c r="BD110" i="29"/>
  <c r="BD112" i="29" s="1"/>
  <c r="BD110" i="28"/>
  <c r="BD112" i="28" s="1"/>
  <c r="BE124" i="28"/>
  <c r="BE125" i="28"/>
  <c r="BG70" i="28"/>
  <c r="BH69" i="28" s="1"/>
  <c r="BG49" i="28"/>
  <c r="BG67" i="18"/>
  <c r="BG69" i="28"/>
  <c r="BD178" i="28"/>
  <c r="BD180" i="28" s="1"/>
  <c r="BD161" i="28"/>
  <c r="BD163" i="28" s="1"/>
  <c r="BE90" i="28"/>
  <c r="BE91" i="28"/>
  <c r="BD42" i="28"/>
  <c r="BD44" i="28" s="1"/>
  <c r="BI86" i="28"/>
  <c r="BI87" i="28"/>
  <c r="BJ86" i="28" s="1"/>
  <c r="BI15" i="28"/>
  <c r="BH17" i="28"/>
  <c r="BN102" i="28"/>
  <c r="BO119" i="28"/>
  <c r="BQ153" i="28"/>
  <c r="BM85" i="28"/>
  <c r="BL68" i="29"/>
  <c r="BF59" i="29"/>
  <c r="BF61" i="29" s="1"/>
  <c r="BE42" i="29"/>
  <c r="BE44" i="29" s="1"/>
  <c r="BO134" i="29"/>
  <c r="BN136" i="29"/>
  <c r="BO135" i="29" s="1"/>
  <c r="BM117" i="29"/>
  <c r="BL119" i="29"/>
  <c r="BM118" i="29" s="1"/>
  <c r="BG15" i="29"/>
  <c r="BF17" i="29"/>
  <c r="BH32" i="29"/>
  <c r="BG34" i="29"/>
  <c r="BH33" i="29" s="1"/>
  <c r="BK49" i="29"/>
  <c r="BJ51" i="29"/>
  <c r="BK50" i="29" s="1"/>
  <c r="BP151" i="29"/>
  <c r="BO153" i="29"/>
  <c r="BP152" i="29" s="1"/>
  <c r="BF36" i="29"/>
  <c r="BG35" i="29" s="1"/>
  <c r="BG57" i="29"/>
  <c r="BG56" i="29"/>
  <c r="BF39" i="29"/>
  <c r="BF40" i="29"/>
  <c r="BG53" i="29"/>
  <c r="BH52" i="29" s="1"/>
  <c r="BM100" i="29"/>
  <c r="BL102" i="29"/>
  <c r="BM101" i="29" s="1"/>
  <c r="BP134" i="28"/>
  <c r="BO136" i="28"/>
  <c r="BP135" i="28" s="1"/>
  <c r="BE52" i="19"/>
  <c r="BF80" i="19"/>
  <c r="BE80" i="19"/>
  <c r="BA27" i="28" l="1"/>
  <c r="BB25" i="29"/>
  <c r="BB27" i="29" s="1"/>
  <c r="BG50" i="28"/>
  <c r="BG184" i="28"/>
  <c r="BG184" i="29"/>
  <c r="BB25" i="28"/>
  <c r="BB27" i="28" s="1"/>
  <c r="BD18" i="29"/>
  <c r="BC188" i="29"/>
  <c r="BD185" i="29"/>
  <c r="BE47" i="18" s="1"/>
  <c r="BD19" i="29"/>
  <c r="BE16" i="29"/>
  <c r="AZ196" i="29"/>
  <c r="BA39" i="18"/>
  <c r="BA50" i="18" s="1"/>
  <c r="BP118" i="28"/>
  <c r="BQ118" i="28" s="1"/>
  <c r="BR118" i="28" s="1"/>
  <c r="BS118" i="28" s="1"/>
  <c r="BT118" i="28" s="1"/>
  <c r="BU118" i="28" s="1"/>
  <c r="BV118" i="28" s="1"/>
  <c r="BW118" i="28" s="1"/>
  <c r="BX118" i="28" s="1"/>
  <c r="BY118" i="28" s="1"/>
  <c r="BZ118" i="28" s="1"/>
  <c r="CA118" i="28" s="1"/>
  <c r="CB118" i="28" s="1"/>
  <c r="CC118" i="28" s="1"/>
  <c r="CD118" i="28" s="1"/>
  <c r="CE118" i="28" s="1"/>
  <c r="CF118" i="28" s="1"/>
  <c r="CG118" i="28" s="1"/>
  <c r="CH118" i="28" s="1"/>
  <c r="CI118" i="28" s="1"/>
  <c r="CJ118" i="28" s="1"/>
  <c r="CK118" i="28" s="1"/>
  <c r="CL118" i="28" s="1"/>
  <c r="CM118" i="28" s="1"/>
  <c r="CN118" i="28" s="1"/>
  <c r="CO118" i="28" s="1"/>
  <c r="CP118" i="28" s="1"/>
  <c r="CQ118" i="28" s="1"/>
  <c r="CR118" i="28" s="1"/>
  <c r="CS118" i="28" s="1"/>
  <c r="CT118" i="28" s="1"/>
  <c r="CU118" i="28" s="1"/>
  <c r="CV118" i="28" s="1"/>
  <c r="CW118" i="28" s="1"/>
  <c r="CX118" i="28" s="1"/>
  <c r="CY118" i="28" s="1"/>
  <c r="CZ118" i="28" s="1"/>
  <c r="DA118" i="28" s="1"/>
  <c r="BA27" i="29"/>
  <c r="BA194" i="29"/>
  <c r="AZ196" i="28"/>
  <c r="BA66" i="18"/>
  <c r="BA77" i="18" s="1"/>
  <c r="BF186" i="28"/>
  <c r="BC187" i="28"/>
  <c r="BD185" i="28"/>
  <c r="BE74" i="18" s="1"/>
  <c r="BE16" i="28"/>
  <c r="BD19" i="28"/>
  <c r="BR152" i="28"/>
  <c r="BS152" i="28" s="1"/>
  <c r="BT152" i="28" s="1"/>
  <c r="BU152" i="28" s="1"/>
  <c r="BV152" i="28" s="1"/>
  <c r="BW152" i="28" s="1"/>
  <c r="BX152" i="28" s="1"/>
  <c r="BY152" i="28" s="1"/>
  <c r="BZ152" i="28" s="1"/>
  <c r="CA152" i="28" s="1"/>
  <c r="CB152" i="28" s="1"/>
  <c r="CC152" i="28" s="1"/>
  <c r="CD152" i="28" s="1"/>
  <c r="CE152" i="28" s="1"/>
  <c r="CF152" i="28" s="1"/>
  <c r="CG152" i="28" s="1"/>
  <c r="CH152" i="28" s="1"/>
  <c r="CI152" i="28" s="1"/>
  <c r="CJ152" i="28" s="1"/>
  <c r="CK152" i="28" s="1"/>
  <c r="CL152" i="28" s="1"/>
  <c r="CM152" i="28" s="1"/>
  <c r="CN152" i="28" s="1"/>
  <c r="CO152" i="28" s="1"/>
  <c r="CP152" i="28" s="1"/>
  <c r="CQ152" i="28" s="1"/>
  <c r="CR152" i="28" s="1"/>
  <c r="CS152" i="28" s="1"/>
  <c r="CT152" i="28" s="1"/>
  <c r="CU152" i="28" s="1"/>
  <c r="CV152" i="28" s="1"/>
  <c r="CW152" i="28" s="1"/>
  <c r="CX152" i="28" s="1"/>
  <c r="CY152" i="28" s="1"/>
  <c r="CZ152" i="28" s="1"/>
  <c r="DA152" i="28" s="1"/>
  <c r="BA196" i="28"/>
  <c r="BB66" i="18"/>
  <c r="BB77" i="18" s="1"/>
  <c r="BO101" i="28"/>
  <c r="BP101" i="28" s="1"/>
  <c r="BQ101" i="28" s="1"/>
  <c r="BR101" i="28" s="1"/>
  <c r="BS101" i="28" s="1"/>
  <c r="BT101" i="28" s="1"/>
  <c r="BU101" i="28" s="1"/>
  <c r="BV101" i="28" s="1"/>
  <c r="BW101" i="28" s="1"/>
  <c r="BX101" i="28" s="1"/>
  <c r="BY101" i="28" s="1"/>
  <c r="BZ101" i="28" s="1"/>
  <c r="CA101" i="28" s="1"/>
  <c r="CB101" i="28" s="1"/>
  <c r="CC101" i="28" s="1"/>
  <c r="CD101" i="28" s="1"/>
  <c r="CE101" i="28" s="1"/>
  <c r="CF101" i="28" s="1"/>
  <c r="CG101" i="28" s="1"/>
  <c r="CH101" i="28" s="1"/>
  <c r="CI101" i="28" s="1"/>
  <c r="CJ101" i="28" s="1"/>
  <c r="CK101" i="28" s="1"/>
  <c r="CL101" i="28" s="1"/>
  <c r="CM101" i="28" s="1"/>
  <c r="CN101" i="28" s="1"/>
  <c r="CO101" i="28" s="1"/>
  <c r="CP101" i="28" s="1"/>
  <c r="CQ101" i="28" s="1"/>
  <c r="CR101" i="28" s="1"/>
  <c r="CS101" i="28" s="1"/>
  <c r="CT101" i="28" s="1"/>
  <c r="CU101" i="28" s="1"/>
  <c r="CV101" i="28" s="1"/>
  <c r="CW101" i="28" s="1"/>
  <c r="CX101" i="28" s="1"/>
  <c r="CY101" i="28" s="1"/>
  <c r="CZ101" i="28" s="1"/>
  <c r="DA101" i="28" s="1"/>
  <c r="BB192" i="29"/>
  <c r="BC22" i="29"/>
  <c r="BC191" i="29" s="1"/>
  <c r="BC23" i="29"/>
  <c r="BC187" i="29"/>
  <c r="BB192" i="28"/>
  <c r="BC23" i="28"/>
  <c r="BC22" i="28"/>
  <c r="BC191" i="28" s="1"/>
  <c r="BM184" i="29"/>
  <c r="BF186" i="29"/>
  <c r="BM67" i="29"/>
  <c r="BN67" i="29" s="1"/>
  <c r="BO67" i="29" s="1"/>
  <c r="BP67" i="29" s="1"/>
  <c r="BQ67" i="29" s="1"/>
  <c r="BR67" i="29" s="1"/>
  <c r="BS67" i="29" s="1"/>
  <c r="BT67" i="29" s="1"/>
  <c r="BU67" i="29" s="1"/>
  <c r="BV67" i="29" s="1"/>
  <c r="BW67" i="29" s="1"/>
  <c r="BX67" i="29" s="1"/>
  <c r="BY67" i="29" s="1"/>
  <c r="BZ67" i="29" s="1"/>
  <c r="CA67" i="29" s="1"/>
  <c r="CB67" i="29" s="1"/>
  <c r="CC67" i="29" s="1"/>
  <c r="CD67" i="29" s="1"/>
  <c r="CE67" i="29" s="1"/>
  <c r="CF67" i="29" s="1"/>
  <c r="CG67" i="29" s="1"/>
  <c r="CH67" i="29" s="1"/>
  <c r="CI67" i="29" s="1"/>
  <c r="CJ67" i="29" s="1"/>
  <c r="CK67" i="29" s="1"/>
  <c r="CL67" i="29" s="1"/>
  <c r="CM67" i="29" s="1"/>
  <c r="CN67" i="29" s="1"/>
  <c r="CO67" i="29" s="1"/>
  <c r="CP67" i="29" s="1"/>
  <c r="CQ67" i="29" s="1"/>
  <c r="CR67" i="29" s="1"/>
  <c r="CS67" i="29" s="1"/>
  <c r="CT67" i="29" s="1"/>
  <c r="CU67" i="29" s="1"/>
  <c r="CV67" i="29" s="1"/>
  <c r="CW67" i="29" s="1"/>
  <c r="CX67" i="29" s="1"/>
  <c r="CY67" i="29" s="1"/>
  <c r="CZ67" i="29" s="1"/>
  <c r="DA67" i="29" s="1"/>
  <c r="BD18" i="28"/>
  <c r="BC188" i="28"/>
  <c r="BN84" i="28"/>
  <c r="BO84" i="28" s="1"/>
  <c r="BP84" i="28" s="1"/>
  <c r="BQ84" i="28" s="1"/>
  <c r="BR84" i="28" s="1"/>
  <c r="BS84" i="28" s="1"/>
  <c r="BT84" i="28" s="1"/>
  <c r="BU84" i="28" s="1"/>
  <c r="BV84" i="28" s="1"/>
  <c r="BW84" i="28" s="1"/>
  <c r="BX84" i="28" s="1"/>
  <c r="BY84" i="28" s="1"/>
  <c r="BZ84" i="28" s="1"/>
  <c r="CA84" i="28" s="1"/>
  <c r="CB84" i="28" s="1"/>
  <c r="CC84" i="28" s="1"/>
  <c r="CD84" i="28" s="1"/>
  <c r="CE84" i="28" s="1"/>
  <c r="CF84" i="28" s="1"/>
  <c r="CG84" i="28" s="1"/>
  <c r="CH84" i="28" s="1"/>
  <c r="CI84" i="28" s="1"/>
  <c r="CJ84" i="28" s="1"/>
  <c r="CK84" i="28" s="1"/>
  <c r="CL84" i="28" s="1"/>
  <c r="CM84" i="28" s="1"/>
  <c r="CN84" i="28" s="1"/>
  <c r="CO84" i="28" s="1"/>
  <c r="CP84" i="28" s="1"/>
  <c r="CQ84" i="28" s="1"/>
  <c r="CR84" i="28" s="1"/>
  <c r="CS84" i="28" s="1"/>
  <c r="CT84" i="28" s="1"/>
  <c r="CU84" i="28" s="1"/>
  <c r="CV84" i="28" s="1"/>
  <c r="CW84" i="28" s="1"/>
  <c r="CX84" i="28" s="1"/>
  <c r="CY84" i="28" s="1"/>
  <c r="CZ84" i="28" s="1"/>
  <c r="DA84" i="28" s="1"/>
  <c r="BF73" i="28"/>
  <c r="BF74" i="28"/>
  <c r="BE76" i="28"/>
  <c r="BE78" i="28" s="1"/>
  <c r="BH41" i="18"/>
  <c r="BG53" i="18"/>
  <c r="BF70" i="29"/>
  <c r="BG69" i="29" s="1"/>
  <c r="BH67" i="19"/>
  <c r="BH69" i="19" s="1"/>
  <c r="BH39" i="19"/>
  <c r="BH41" i="19" s="1"/>
  <c r="BI66" i="19"/>
  <c r="BI65" i="19"/>
  <c r="BE178" i="28"/>
  <c r="BE180" i="28" s="1"/>
  <c r="BI38" i="19"/>
  <c r="BI37" i="19"/>
  <c r="BE144" i="28"/>
  <c r="BE146" i="28" s="1"/>
  <c r="BH40" i="18"/>
  <c r="BE178" i="29"/>
  <c r="BE180" i="29" s="1"/>
  <c r="BE144" i="29"/>
  <c r="BE146" i="29" s="1"/>
  <c r="BH121" i="28"/>
  <c r="BI120" i="28" s="1"/>
  <c r="BE42" i="28"/>
  <c r="BE44" i="28" s="1"/>
  <c r="BE93" i="28"/>
  <c r="BE95" i="28" s="1"/>
  <c r="BE93" i="29"/>
  <c r="BE95" i="29" s="1"/>
  <c r="BE127" i="28"/>
  <c r="BE129" i="28" s="1"/>
  <c r="BE76" i="29"/>
  <c r="BE78" i="29" s="1"/>
  <c r="BG155" i="29"/>
  <c r="BH154" i="29" s="1"/>
  <c r="BE161" i="28"/>
  <c r="BE163" i="28" s="1"/>
  <c r="BF124" i="29"/>
  <c r="BF125" i="29"/>
  <c r="BE110" i="28"/>
  <c r="BE112" i="28" s="1"/>
  <c r="BE127" i="29"/>
  <c r="BE129" i="29" s="1"/>
  <c r="BH49" i="28"/>
  <c r="BH67" i="18"/>
  <c r="BF73" i="29"/>
  <c r="BF74" i="29"/>
  <c r="BF90" i="29"/>
  <c r="BF91" i="29"/>
  <c r="BF155" i="28"/>
  <c r="BG154" i="28" s="1"/>
  <c r="BH70" i="28"/>
  <c r="BF108" i="28"/>
  <c r="BF107" i="28"/>
  <c r="BF53" i="28"/>
  <c r="BG52" i="28" s="1"/>
  <c r="BF172" i="28"/>
  <c r="BF91" i="28"/>
  <c r="BF90" i="28"/>
  <c r="BF124" i="28"/>
  <c r="BF125" i="28"/>
  <c r="BF52" i="28"/>
  <c r="BE59" i="28"/>
  <c r="BE61" i="28" s="1"/>
  <c r="BF172" i="29"/>
  <c r="BH138" i="28"/>
  <c r="BI137" i="28" s="1"/>
  <c r="BF107" i="29"/>
  <c r="BF108" i="29"/>
  <c r="BE110" i="29"/>
  <c r="BE112" i="29" s="1"/>
  <c r="BF56" i="28"/>
  <c r="BF57" i="28"/>
  <c r="BG176" i="28"/>
  <c r="BG175" i="28"/>
  <c r="BG87" i="29"/>
  <c r="BH86" i="29" s="1"/>
  <c r="BF36" i="28"/>
  <c r="BG35" i="28" s="1"/>
  <c r="BH168" i="29"/>
  <c r="BG170" i="29"/>
  <c r="BH169" i="29" s="1"/>
  <c r="BJ104" i="28"/>
  <c r="BK103" i="28" s="1"/>
  <c r="BF176" i="29"/>
  <c r="BF175" i="29"/>
  <c r="BH168" i="28"/>
  <c r="BG170" i="28"/>
  <c r="BH169" i="28" s="1"/>
  <c r="BF159" i="29"/>
  <c r="BF158" i="29"/>
  <c r="BF40" i="28"/>
  <c r="BF39" i="28"/>
  <c r="BE161" i="29"/>
  <c r="BE163" i="29" s="1"/>
  <c r="BG138" i="29"/>
  <c r="BH137" i="29" s="1"/>
  <c r="BF104" i="29"/>
  <c r="BG103" i="29" s="1"/>
  <c r="BG51" i="28"/>
  <c r="BF142" i="28"/>
  <c r="BF141" i="28"/>
  <c r="BF158" i="28"/>
  <c r="BF159" i="28"/>
  <c r="BF141" i="29"/>
  <c r="BF142" i="29"/>
  <c r="BG121" i="29"/>
  <c r="BH120" i="29" s="1"/>
  <c r="BJ87" i="28"/>
  <c r="BN40" i="18"/>
  <c r="BP136" i="28"/>
  <c r="BI17" i="28"/>
  <c r="A15" i="28"/>
  <c r="BF42" i="29"/>
  <c r="BF44" i="29" s="1"/>
  <c r="BN100" i="29"/>
  <c r="BM102" i="29"/>
  <c r="BH53" i="29"/>
  <c r="BI52" i="29" s="1"/>
  <c r="BG36" i="29"/>
  <c r="BH35" i="29" s="1"/>
  <c r="BQ151" i="29"/>
  <c r="BP153" i="29"/>
  <c r="BQ152" i="29" s="1"/>
  <c r="BP134" i="29"/>
  <c r="BP184" i="29" s="1"/>
  <c r="BO136" i="29"/>
  <c r="BP135" i="29" s="1"/>
  <c r="BG39" i="29"/>
  <c r="BG40" i="29"/>
  <c r="BH15" i="29"/>
  <c r="BG17" i="29"/>
  <c r="BK51" i="29"/>
  <c r="A49" i="29"/>
  <c r="BI32" i="29"/>
  <c r="BH34" i="29"/>
  <c r="BI33" i="29" s="1"/>
  <c r="BG59" i="29"/>
  <c r="BG61" i="29" s="1"/>
  <c r="BH57" i="29"/>
  <c r="BH56" i="29"/>
  <c r="BN117" i="29"/>
  <c r="BM119" i="29"/>
  <c r="BN118" i="29" s="1"/>
  <c r="BG52" i="19"/>
  <c r="BF52" i="19"/>
  <c r="BB194" i="29" l="1"/>
  <c r="BB194" i="28"/>
  <c r="BH184" i="29"/>
  <c r="BC25" i="29"/>
  <c r="BC194" i="29" s="1"/>
  <c r="BQ153" i="29"/>
  <c r="BQ186" i="29" s="1"/>
  <c r="BQ184" i="29"/>
  <c r="BA196" i="29"/>
  <c r="BB39" i="18"/>
  <c r="BB50" i="18" s="1"/>
  <c r="BC192" i="28"/>
  <c r="BD22" i="28"/>
  <c r="BD191" i="28" s="1"/>
  <c r="BD23" i="28"/>
  <c r="BB196" i="29"/>
  <c r="BC39" i="18"/>
  <c r="BC50" i="18" s="1"/>
  <c r="BE185" i="28"/>
  <c r="BF74" i="18" s="1"/>
  <c r="BF16" i="28"/>
  <c r="BE19" i="28"/>
  <c r="BD187" i="28"/>
  <c r="BL50" i="29"/>
  <c r="BM50" i="29" s="1"/>
  <c r="BN50" i="29" s="1"/>
  <c r="BO50" i="29" s="1"/>
  <c r="BP50" i="29" s="1"/>
  <c r="BQ50" i="29" s="1"/>
  <c r="BR50" i="29" s="1"/>
  <c r="BS50" i="29" s="1"/>
  <c r="BT50" i="29" s="1"/>
  <c r="BU50" i="29" s="1"/>
  <c r="BV50" i="29" s="1"/>
  <c r="BW50" i="29" s="1"/>
  <c r="BX50" i="29" s="1"/>
  <c r="BY50" i="29" s="1"/>
  <c r="BZ50" i="29" s="1"/>
  <c r="CA50" i="29" s="1"/>
  <c r="CB50" i="29" s="1"/>
  <c r="CC50" i="29" s="1"/>
  <c r="CD50" i="29" s="1"/>
  <c r="CE50" i="29" s="1"/>
  <c r="CF50" i="29" s="1"/>
  <c r="CG50" i="29" s="1"/>
  <c r="CH50" i="29" s="1"/>
  <c r="CI50" i="29" s="1"/>
  <c r="CJ50" i="29" s="1"/>
  <c r="CK50" i="29" s="1"/>
  <c r="CL50" i="29" s="1"/>
  <c r="CM50" i="29" s="1"/>
  <c r="CN50" i="29" s="1"/>
  <c r="CO50" i="29" s="1"/>
  <c r="CP50" i="29" s="1"/>
  <c r="CQ50" i="29" s="1"/>
  <c r="CR50" i="29" s="1"/>
  <c r="CS50" i="29" s="1"/>
  <c r="CT50" i="29" s="1"/>
  <c r="CU50" i="29" s="1"/>
  <c r="CV50" i="29" s="1"/>
  <c r="CW50" i="29" s="1"/>
  <c r="CX50" i="29" s="1"/>
  <c r="CY50" i="29" s="1"/>
  <c r="CZ50" i="29" s="1"/>
  <c r="DA50" i="29" s="1"/>
  <c r="BN101" i="29"/>
  <c r="BM186" i="29"/>
  <c r="BQ135" i="28"/>
  <c r="BR135" i="28" s="1"/>
  <c r="BS135" i="28" s="1"/>
  <c r="BT135" i="28" s="1"/>
  <c r="BU135" i="28" s="1"/>
  <c r="BV135" i="28" s="1"/>
  <c r="BW135" i="28" s="1"/>
  <c r="BX135" i="28" s="1"/>
  <c r="BY135" i="28" s="1"/>
  <c r="BZ135" i="28" s="1"/>
  <c r="CA135" i="28" s="1"/>
  <c r="CB135" i="28" s="1"/>
  <c r="CC135" i="28" s="1"/>
  <c r="CD135" i="28" s="1"/>
  <c r="CE135" i="28" s="1"/>
  <c r="CF135" i="28" s="1"/>
  <c r="CG135" i="28" s="1"/>
  <c r="CH135" i="28" s="1"/>
  <c r="CI135" i="28" s="1"/>
  <c r="CJ135" i="28" s="1"/>
  <c r="CK135" i="28" s="1"/>
  <c r="CL135" i="28" s="1"/>
  <c r="CM135" i="28" s="1"/>
  <c r="CN135" i="28" s="1"/>
  <c r="CO135" i="28" s="1"/>
  <c r="CP135" i="28" s="1"/>
  <c r="CQ135" i="28" s="1"/>
  <c r="CR135" i="28" s="1"/>
  <c r="CS135" i="28" s="1"/>
  <c r="CT135" i="28" s="1"/>
  <c r="CU135" i="28" s="1"/>
  <c r="CV135" i="28" s="1"/>
  <c r="CW135" i="28" s="1"/>
  <c r="CX135" i="28" s="1"/>
  <c r="CY135" i="28" s="1"/>
  <c r="CZ135" i="28" s="1"/>
  <c r="DA135" i="28" s="1"/>
  <c r="BG186" i="29"/>
  <c r="BN184" i="29"/>
  <c r="BD188" i="28"/>
  <c r="BE18" i="28"/>
  <c r="BC192" i="29"/>
  <c r="BD23" i="29"/>
  <c r="BD22" i="29"/>
  <c r="BD191" i="29" s="1"/>
  <c r="BB196" i="28"/>
  <c r="BC66" i="18"/>
  <c r="BC77" i="18" s="1"/>
  <c r="BE185" i="29"/>
  <c r="BF47" i="18" s="1"/>
  <c r="BF16" i="29"/>
  <c r="BE19" i="29"/>
  <c r="BH50" i="28"/>
  <c r="BG186" i="28"/>
  <c r="BC25" i="28"/>
  <c r="BD188" i="29"/>
  <c r="BE18" i="29"/>
  <c r="BD187" i="29"/>
  <c r="BH51" i="28"/>
  <c r="BH184" i="28"/>
  <c r="BG74" i="28"/>
  <c r="BG73" i="28"/>
  <c r="BF76" i="28"/>
  <c r="BF78" i="28" s="1"/>
  <c r="BH53" i="18"/>
  <c r="BI41" i="18"/>
  <c r="BH155" i="29"/>
  <c r="BI154" i="29" s="1"/>
  <c r="BG70" i="29"/>
  <c r="BH69" i="29" s="1"/>
  <c r="BI67" i="19"/>
  <c r="BI69" i="19" s="1"/>
  <c r="BJ65" i="19"/>
  <c r="BJ66" i="19"/>
  <c r="BI40" i="18"/>
  <c r="BI39" i="19"/>
  <c r="BI41" i="19" s="1"/>
  <c r="BJ38" i="19"/>
  <c r="BJ37" i="19"/>
  <c r="BF42" i="28"/>
  <c r="BF44" i="28" s="1"/>
  <c r="BF93" i="28"/>
  <c r="BF95" i="28" s="1"/>
  <c r="BG172" i="29"/>
  <c r="BH171" i="29" s="1"/>
  <c r="BI121" i="28"/>
  <c r="BJ120" i="28" s="1"/>
  <c r="BF93" i="29"/>
  <c r="BF95" i="29" s="1"/>
  <c r="BF161" i="28"/>
  <c r="BF163" i="28" s="1"/>
  <c r="BF144" i="29"/>
  <c r="BF146" i="29" s="1"/>
  <c r="BF110" i="28"/>
  <c r="BF112" i="28" s="1"/>
  <c r="BG171" i="28"/>
  <c r="BF178" i="28"/>
  <c r="BF180" i="28" s="1"/>
  <c r="BG104" i="29"/>
  <c r="BH103" i="29" s="1"/>
  <c r="BG171" i="29"/>
  <c r="BF178" i="29"/>
  <c r="BF180" i="29" s="1"/>
  <c r="BI49" i="28"/>
  <c r="BI67" i="18"/>
  <c r="BF161" i="29"/>
  <c r="BF163" i="29" s="1"/>
  <c r="BG172" i="28"/>
  <c r="BH171" i="28" s="1"/>
  <c r="BF59" i="28"/>
  <c r="BF61" i="28" s="1"/>
  <c r="BG53" i="28"/>
  <c r="BG158" i="29"/>
  <c r="BG159" i="29"/>
  <c r="BK104" i="28"/>
  <c r="BL103" i="28" s="1"/>
  <c r="BI69" i="28"/>
  <c r="BG142" i="29"/>
  <c r="BG141" i="29"/>
  <c r="BH138" i="29"/>
  <c r="BI137" i="29" s="1"/>
  <c r="BF110" i="29"/>
  <c r="BF112" i="29" s="1"/>
  <c r="BI70" i="28"/>
  <c r="BJ69" i="28" s="1"/>
  <c r="BG124" i="28"/>
  <c r="BG125" i="28"/>
  <c r="BI138" i="28"/>
  <c r="BJ137" i="28" s="1"/>
  <c r="BG158" i="28"/>
  <c r="BG159" i="28"/>
  <c r="BI168" i="28"/>
  <c r="BH170" i="28"/>
  <c r="BI169" i="28" s="1"/>
  <c r="BI168" i="29"/>
  <c r="BJ168" i="29" s="1"/>
  <c r="BH170" i="29"/>
  <c r="BI169" i="29" s="1"/>
  <c r="BF127" i="28"/>
  <c r="BF129" i="28" s="1"/>
  <c r="BG155" i="28"/>
  <c r="BH154" i="28" s="1"/>
  <c r="BG39" i="28"/>
  <c r="BG40" i="28"/>
  <c r="BG56" i="28"/>
  <c r="BG57" i="28"/>
  <c r="BG108" i="29"/>
  <c r="BG107" i="29"/>
  <c r="BG90" i="29"/>
  <c r="BG91" i="29"/>
  <c r="BG125" i="29"/>
  <c r="BG124" i="29"/>
  <c r="BH176" i="28"/>
  <c r="BH175" i="28"/>
  <c r="BH121" i="29"/>
  <c r="BI120" i="29" s="1"/>
  <c r="BF144" i="28"/>
  <c r="BF146" i="28" s="1"/>
  <c r="BG90" i="28"/>
  <c r="BG91" i="28"/>
  <c r="BG107" i="28"/>
  <c r="BG108" i="28"/>
  <c r="BF127" i="29"/>
  <c r="BF129" i="29" s="1"/>
  <c r="BG141" i="28"/>
  <c r="BG142" i="28"/>
  <c r="BG175" i="29"/>
  <c r="BG176" i="29"/>
  <c r="BG36" i="28"/>
  <c r="BH35" i="28" s="1"/>
  <c r="BG74" i="29"/>
  <c r="BG73" i="29"/>
  <c r="BH87" i="29"/>
  <c r="BI86" i="29" s="1"/>
  <c r="BF76" i="29"/>
  <c r="BF78" i="29" s="1"/>
  <c r="BK86" i="28"/>
  <c r="BK87" i="28"/>
  <c r="BL86" i="28" s="1"/>
  <c r="BN102" i="29"/>
  <c r="BO40" i="18"/>
  <c r="BP136" i="29"/>
  <c r="BQ40" i="18"/>
  <c r="BH59" i="29"/>
  <c r="BH61" i="29" s="1"/>
  <c r="BH39" i="29"/>
  <c r="BH40" i="29"/>
  <c r="BI53" i="29"/>
  <c r="BJ52" i="29" s="1"/>
  <c r="BJ32" i="29"/>
  <c r="BI34" i="29"/>
  <c r="BJ33" i="29" s="1"/>
  <c r="BO117" i="29"/>
  <c r="BO184" i="29" s="1"/>
  <c r="BN119" i="29"/>
  <c r="BO118" i="29" s="1"/>
  <c r="BI15" i="29"/>
  <c r="BH17" i="29"/>
  <c r="BH36" i="29"/>
  <c r="BI35" i="29" s="1"/>
  <c r="BI57" i="29"/>
  <c r="BI56" i="29"/>
  <c r="BG42" i="29"/>
  <c r="BG44" i="29" s="1"/>
  <c r="BH52" i="19"/>
  <c r="BH80" i="19"/>
  <c r="BG80" i="19"/>
  <c r="BC27" i="29" l="1"/>
  <c r="BC196" i="29" s="1"/>
  <c r="BH53" i="28"/>
  <c r="BI52" i="28" s="1"/>
  <c r="BI184" i="29"/>
  <c r="BI50" i="28"/>
  <c r="BJ184" i="29"/>
  <c r="BR152" i="29"/>
  <c r="BS152" i="29" s="1"/>
  <c r="BT152" i="29" s="1"/>
  <c r="BU152" i="29" s="1"/>
  <c r="BV152" i="29" s="1"/>
  <c r="BW152" i="29" s="1"/>
  <c r="BX152" i="29" s="1"/>
  <c r="BY152" i="29" s="1"/>
  <c r="BZ152" i="29" s="1"/>
  <c r="CA152" i="29" s="1"/>
  <c r="CB152" i="29" s="1"/>
  <c r="CC152" i="29" s="1"/>
  <c r="CD152" i="29" s="1"/>
  <c r="CE152" i="29" s="1"/>
  <c r="CF152" i="29" s="1"/>
  <c r="CG152" i="29" s="1"/>
  <c r="CH152" i="29" s="1"/>
  <c r="CI152" i="29" s="1"/>
  <c r="CJ152" i="29" s="1"/>
  <c r="CK152" i="29" s="1"/>
  <c r="CL152" i="29" s="1"/>
  <c r="CM152" i="29" s="1"/>
  <c r="CN152" i="29" s="1"/>
  <c r="CO152" i="29" s="1"/>
  <c r="CP152" i="29" s="1"/>
  <c r="CQ152" i="29" s="1"/>
  <c r="CR152" i="29" s="1"/>
  <c r="CS152" i="29" s="1"/>
  <c r="CT152" i="29" s="1"/>
  <c r="CU152" i="29" s="1"/>
  <c r="CV152" i="29" s="1"/>
  <c r="CW152" i="29" s="1"/>
  <c r="CX152" i="29" s="1"/>
  <c r="CY152" i="29" s="1"/>
  <c r="CZ152" i="29" s="1"/>
  <c r="DA152" i="29" s="1"/>
  <c r="BI184" i="28"/>
  <c r="BD25" i="28"/>
  <c r="BD27" i="28" s="1"/>
  <c r="BD25" i="29"/>
  <c r="BD194" i="29" s="1"/>
  <c r="BF185" i="29"/>
  <c r="BG47" i="18" s="1"/>
  <c r="BF19" i="29"/>
  <c r="BG16" i="29"/>
  <c r="BO101" i="29"/>
  <c r="BP101" i="29" s="1"/>
  <c r="BQ101" i="29" s="1"/>
  <c r="BR101" i="29" s="1"/>
  <c r="BS101" i="29" s="1"/>
  <c r="BT101" i="29" s="1"/>
  <c r="BU101" i="29" s="1"/>
  <c r="BV101" i="29" s="1"/>
  <c r="BW101" i="29" s="1"/>
  <c r="BX101" i="29" s="1"/>
  <c r="BY101" i="29" s="1"/>
  <c r="BZ101" i="29" s="1"/>
  <c r="CA101" i="29" s="1"/>
  <c r="CB101" i="29" s="1"/>
  <c r="CC101" i="29" s="1"/>
  <c r="CD101" i="29" s="1"/>
  <c r="CE101" i="29" s="1"/>
  <c r="CF101" i="29" s="1"/>
  <c r="CG101" i="29" s="1"/>
  <c r="CH101" i="29" s="1"/>
  <c r="CI101" i="29" s="1"/>
  <c r="CJ101" i="29" s="1"/>
  <c r="CK101" i="29" s="1"/>
  <c r="CL101" i="29" s="1"/>
  <c r="CM101" i="29" s="1"/>
  <c r="CN101" i="29" s="1"/>
  <c r="CO101" i="29" s="1"/>
  <c r="CP101" i="29" s="1"/>
  <c r="CQ101" i="29" s="1"/>
  <c r="CR101" i="29" s="1"/>
  <c r="CS101" i="29" s="1"/>
  <c r="CT101" i="29" s="1"/>
  <c r="CU101" i="29" s="1"/>
  <c r="CV101" i="29" s="1"/>
  <c r="CW101" i="29" s="1"/>
  <c r="CX101" i="29" s="1"/>
  <c r="CY101" i="29" s="1"/>
  <c r="CZ101" i="29" s="1"/>
  <c r="DA101" i="29" s="1"/>
  <c r="BN186" i="29"/>
  <c r="BD192" i="29"/>
  <c r="BE22" i="29"/>
  <c r="BE191" i="29" s="1"/>
  <c r="BE23" i="29"/>
  <c r="BE187" i="28"/>
  <c r="BE187" i="29"/>
  <c r="BF18" i="28"/>
  <c r="BE188" i="28"/>
  <c r="BF185" i="28"/>
  <c r="BG74" i="18" s="1"/>
  <c r="BG16" i="28"/>
  <c r="BF19" i="28"/>
  <c r="BC27" i="28"/>
  <c r="BC194" i="28"/>
  <c r="BH186" i="29"/>
  <c r="BQ135" i="29"/>
  <c r="BR135" i="29" s="1"/>
  <c r="BS135" i="29" s="1"/>
  <c r="BT135" i="29" s="1"/>
  <c r="BU135" i="29" s="1"/>
  <c r="BV135" i="29" s="1"/>
  <c r="BW135" i="29" s="1"/>
  <c r="BX135" i="29" s="1"/>
  <c r="BY135" i="29" s="1"/>
  <c r="BZ135" i="29" s="1"/>
  <c r="CA135" i="29" s="1"/>
  <c r="CB135" i="29" s="1"/>
  <c r="CC135" i="29" s="1"/>
  <c r="CD135" i="29" s="1"/>
  <c r="CE135" i="29" s="1"/>
  <c r="CF135" i="29" s="1"/>
  <c r="CG135" i="29" s="1"/>
  <c r="CH135" i="29" s="1"/>
  <c r="CI135" i="29" s="1"/>
  <c r="CJ135" i="29" s="1"/>
  <c r="CK135" i="29" s="1"/>
  <c r="CL135" i="29" s="1"/>
  <c r="CM135" i="29" s="1"/>
  <c r="CN135" i="29" s="1"/>
  <c r="CO135" i="29" s="1"/>
  <c r="CP135" i="29" s="1"/>
  <c r="CQ135" i="29" s="1"/>
  <c r="CR135" i="29" s="1"/>
  <c r="CS135" i="29" s="1"/>
  <c r="CT135" i="29" s="1"/>
  <c r="CU135" i="29" s="1"/>
  <c r="CV135" i="29" s="1"/>
  <c r="CW135" i="29" s="1"/>
  <c r="CX135" i="29" s="1"/>
  <c r="CY135" i="29" s="1"/>
  <c r="CZ135" i="29" s="1"/>
  <c r="DA135" i="29" s="1"/>
  <c r="BP186" i="29"/>
  <c r="BH186" i="28"/>
  <c r="BF18" i="29"/>
  <c r="BE188" i="29"/>
  <c r="BD192" i="28"/>
  <c r="BE23" i="28"/>
  <c r="BE22" i="28"/>
  <c r="BE191" i="28" s="1"/>
  <c r="BG76" i="28"/>
  <c r="BG78" i="28" s="1"/>
  <c r="BH73" i="28"/>
  <c r="BH74" i="28"/>
  <c r="BJ39" i="19"/>
  <c r="BJ41" i="19" s="1"/>
  <c r="BJ41" i="18"/>
  <c r="BI53" i="18"/>
  <c r="BI155" i="29"/>
  <c r="BJ154" i="29" s="1"/>
  <c r="BH70" i="29"/>
  <c r="BI69" i="29" s="1"/>
  <c r="BK168" i="29"/>
  <c r="BK184" i="29" s="1"/>
  <c r="BJ170" i="29"/>
  <c r="BK40" i="18"/>
  <c r="BI170" i="29"/>
  <c r="BJ169" i="29" s="1"/>
  <c r="BK66" i="19"/>
  <c r="BK65" i="19"/>
  <c r="BJ67" i="19"/>
  <c r="BJ69" i="19" s="1"/>
  <c r="BK38" i="19"/>
  <c r="BK37" i="19"/>
  <c r="BG93" i="28"/>
  <c r="BG95" i="28" s="1"/>
  <c r="BJ40" i="18"/>
  <c r="BG42" i="28"/>
  <c r="BG44" i="28" s="1"/>
  <c r="BJ121" i="28"/>
  <c r="BK120" i="28" s="1"/>
  <c r="BH172" i="28"/>
  <c r="BI171" i="28" s="1"/>
  <c r="BG127" i="29"/>
  <c r="BG129" i="29" s="1"/>
  <c r="BG144" i="29"/>
  <c r="BG146" i="29" s="1"/>
  <c r="BG110" i="28"/>
  <c r="BG112" i="28" s="1"/>
  <c r="BG161" i="29"/>
  <c r="BG163" i="29" s="1"/>
  <c r="BH36" i="28"/>
  <c r="BI35" i="28" s="1"/>
  <c r="BI121" i="29"/>
  <c r="BJ120" i="29" s="1"/>
  <c r="BH104" i="29"/>
  <c r="BI103" i="29" s="1"/>
  <c r="BG178" i="29"/>
  <c r="BG180" i="29" s="1"/>
  <c r="BI176" i="28"/>
  <c r="BI175" i="28"/>
  <c r="BG161" i="28"/>
  <c r="BG163" i="28" s="1"/>
  <c r="BH52" i="28"/>
  <c r="BG59" i="28"/>
  <c r="BG61" i="28" s="1"/>
  <c r="BG110" i="29"/>
  <c r="BG112" i="29" s="1"/>
  <c r="BJ138" i="28"/>
  <c r="BK137" i="28" s="1"/>
  <c r="BH142" i="28"/>
  <c r="BH141" i="28"/>
  <c r="BH155" i="28"/>
  <c r="BI154" i="28" s="1"/>
  <c r="BI138" i="29"/>
  <c r="BJ137" i="29" s="1"/>
  <c r="BI87" i="29"/>
  <c r="BJ86" i="29" s="1"/>
  <c r="BG144" i="28"/>
  <c r="BG146" i="28" s="1"/>
  <c r="BH125" i="28"/>
  <c r="BH124" i="28"/>
  <c r="BH141" i="29"/>
  <c r="BH142" i="29"/>
  <c r="BL104" i="28"/>
  <c r="BM103" i="28" s="1"/>
  <c r="BJ49" i="28"/>
  <c r="BJ67" i="18"/>
  <c r="BG76" i="29"/>
  <c r="BG78" i="29" s="1"/>
  <c r="BH108" i="28"/>
  <c r="BH107" i="28"/>
  <c r="BH125" i="29"/>
  <c r="BH124" i="29"/>
  <c r="BG127" i="28"/>
  <c r="BG129" i="28" s="1"/>
  <c r="BH158" i="29"/>
  <c r="BH159" i="29"/>
  <c r="BI51" i="28"/>
  <c r="BH176" i="29"/>
  <c r="BH175" i="29"/>
  <c r="BH74" i="29"/>
  <c r="BH73" i="29"/>
  <c r="BH91" i="29"/>
  <c r="BH90" i="29"/>
  <c r="BG178" i="28"/>
  <c r="BG180" i="28" s="1"/>
  <c r="BH90" i="28"/>
  <c r="BH91" i="28"/>
  <c r="BG93" i="29"/>
  <c r="BG95" i="29" s="1"/>
  <c r="BH172" i="29"/>
  <c r="BH108" i="29"/>
  <c r="BH107" i="29"/>
  <c r="BJ168" i="28"/>
  <c r="BI170" i="28"/>
  <c r="BJ169" i="28" s="1"/>
  <c r="BH40" i="28"/>
  <c r="BH39" i="28"/>
  <c r="BH56" i="28"/>
  <c r="BH57" i="28"/>
  <c r="BH159" i="28"/>
  <c r="BH158" i="28"/>
  <c r="BJ70" i="28"/>
  <c r="BL87" i="28"/>
  <c r="BO119" i="29"/>
  <c r="BP40" i="18"/>
  <c r="BH42" i="29"/>
  <c r="BH44" i="29" s="1"/>
  <c r="BJ34" i="29"/>
  <c r="A32" i="29"/>
  <c r="BI17" i="29"/>
  <c r="A15" i="29"/>
  <c r="BJ53" i="29"/>
  <c r="BK52" i="29" s="1"/>
  <c r="BI39" i="29"/>
  <c r="BI40" i="29"/>
  <c r="BJ56" i="29"/>
  <c r="BJ57" i="29"/>
  <c r="BI36" i="29"/>
  <c r="BJ35" i="29" s="1"/>
  <c r="BI59" i="29"/>
  <c r="BI61" i="29" s="1"/>
  <c r="BI52" i="19"/>
  <c r="BD39" i="18" l="1"/>
  <c r="BD50" i="18" s="1"/>
  <c r="BD194" i="28"/>
  <c r="BD27" i="29"/>
  <c r="BE39" i="18" s="1"/>
  <c r="BE50" i="18" s="1"/>
  <c r="BE25" i="29"/>
  <c r="BE27" i="29" s="1"/>
  <c r="BE25" i="28"/>
  <c r="BE194" i="28" s="1"/>
  <c r="BI186" i="29"/>
  <c r="BF187" i="28"/>
  <c r="BP118" i="29"/>
  <c r="BQ118" i="29" s="1"/>
  <c r="BR118" i="29" s="1"/>
  <c r="BS118" i="29" s="1"/>
  <c r="BT118" i="29" s="1"/>
  <c r="BU118" i="29" s="1"/>
  <c r="BV118" i="29" s="1"/>
  <c r="BW118" i="29" s="1"/>
  <c r="BX118" i="29" s="1"/>
  <c r="BY118" i="29" s="1"/>
  <c r="BZ118" i="29" s="1"/>
  <c r="CA118" i="29" s="1"/>
  <c r="CB118" i="29" s="1"/>
  <c r="CC118" i="29" s="1"/>
  <c r="CD118" i="29" s="1"/>
  <c r="CE118" i="29" s="1"/>
  <c r="CF118" i="29" s="1"/>
  <c r="CG118" i="29" s="1"/>
  <c r="CH118" i="29" s="1"/>
  <c r="CI118" i="29" s="1"/>
  <c r="CJ118" i="29" s="1"/>
  <c r="CK118" i="29" s="1"/>
  <c r="CL118" i="29" s="1"/>
  <c r="CM118" i="29" s="1"/>
  <c r="CN118" i="29" s="1"/>
  <c r="CO118" i="29" s="1"/>
  <c r="CP118" i="29" s="1"/>
  <c r="CQ118" i="29" s="1"/>
  <c r="CR118" i="29" s="1"/>
  <c r="CS118" i="29" s="1"/>
  <c r="CT118" i="29" s="1"/>
  <c r="CU118" i="29" s="1"/>
  <c r="CV118" i="29" s="1"/>
  <c r="CW118" i="29" s="1"/>
  <c r="CX118" i="29" s="1"/>
  <c r="CY118" i="29" s="1"/>
  <c r="CZ118" i="29" s="1"/>
  <c r="DA118" i="29" s="1"/>
  <c r="BO186" i="29"/>
  <c r="BJ51" i="28"/>
  <c r="BJ184" i="28"/>
  <c r="BK33" i="29"/>
  <c r="BL33" i="29" s="1"/>
  <c r="BM33" i="29" s="1"/>
  <c r="BN33" i="29" s="1"/>
  <c r="BO33" i="29" s="1"/>
  <c r="BP33" i="29" s="1"/>
  <c r="BQ33" i="29" s="1"/>
  <c r="BR33" i="29" s="1"/>
  <c r="BS33" i="29" s="1"/>
  <c r="BT33" i="29" s="1"/>
  <c r="BU33" i="29" s="1"/>
  <c r="BV33" i="29" s="1"/>
  <c r="BW33" i="29" s="1"/>
  <c r="BX33" i="29" s="1"/>
  <c r="BY33" i="29" s="1"/>
  <c r="BZ33" i="29" s="1"/>
  <c r="CA33" i="29" s="1"/>
  <c r="CB33" i="29" s="1"/>
  <c r="CC33" i="29" s="1"/>
  <c r="CD33" i="29" s="1"/>
  <c r="CE33" i="29" s="1"/>
  <c r="CF33" i="29" s="1"/>
  <c r="CG33" i="29" s="1"/>
  <c r="CH33" i="29" s="1"/>
  <c r="CI33" i="29" s="1"/>
  <c r="CJ33" i="29" s="1"/>
  <c r="CK33" i="29" s="1"/>
  <c r="CL33" i="29" s="1"/>
  <c r="CM33" i="29" s="1"/>
  <c r="CN33" i="29" s="1"/>
  <c r="CO33" i="29" s="1"/>
  <c r="CP33" i="29" s="1"/>
  <c r="CQ33" i="29" s="1"/>
  <c r="CR33" i="29" s="1"/>
  <c r="CS33" i="29" s="1"/>
  <c r="CT33" i="29" s="1"/>
  <c r="CU33" i="29" s="1"/>
  <c r="CV33" i="29" s="1"/>
  <c r="CW33" i="29" s="1"/>
  <c r="CX33" i="29" s="1"/>
  <c r="CY33" i="29" s="1"/>
  <c r="CZ33" i="29" s="1"/>
  <c r="DA33" i="29" s="1"/>
  <c r="BJ186" i="29"/>
  <c r="BJ50" i="28"/>
  <c r="BI186" i="28"/>
  <c r="BE192" i="28"/>
  <c r="BF22" i="28"/>
  <c r="BF191" i="28" s="1"/>
  <c r="BF23" i="28"/>
  <c r="BG185" i="29"/>
  <c r="BH47" i="18" s="1"/>
  <c r="BH16" i="29"/>
  <c r="BG19" i="29"/>
  <c r="BF187" i="29"/>
  <c r="BF188" i="29"/>
  <c r="BG18" i="29"/>
  <c r="BC196" i="28"/>
  <c r="BD66" i="18"/>
  <c r="BD77" i="18" s="1"/>
  <c r="BF188" i="28"/>
  <c r="BG18" i="28"/>
  <c r="BD196" i="28"/>
  <c r="BE66" i="18"/>
  <c r="BE77" i="18" s="1"/>
  <c r="BG185" i="28"/>
  <c r="BH74" i="18" s="1"/>
  <c r="BH16" i="28"/>
  <c r="BG19" i="28"/>
  <c r="BE192" i="29"/>
  <c r="BF23" i="29"/>
  <c r="BF22" i="29"/>
  <c r="BF191" i="29" s="1"/>
  <c r="BI74" i="28"/>
  <c r="BI73" i="28"/>
  <c r="BH76" i="28"/>
  <c r="BH78" i="28" s="1"/>
  <c r="BJ53" i="18"/>
  <c r="BK169" i="29"/>
  <c r="BL168" i="29"/>
  <c r="BL184" i="29" s="1"/>
  <c r="BJ172" i="29"/>
  <c r="BK171" i="29" s="1"/>
  <c r="BI172" i="29"/>
  <c r="BJ171" i="29" s="1"/>
  <c r="BJ155" i="29"/>
  <c r="BK154" i="29" s="1"/>
  <c r="BI70" i="29"/>
  <c r="BJ69" i="29" s="1"/>
  <c r="BK170" i="29"/>
  <c r="BK186" i="29" s="1"/>
  <c r="BL40" i="18"/>
  <c r="BK67" i="19"/>
  <c r="BK69" i="19" s="1"/>
  <c r="BK39" i="19"/>
  <c r="BK41" i="19" s="1"/>
  <c r="BH178" i="28"/>
  <c r="BH180" i="28" s="1"/>
  <c r="BL66" i="19"/>
  <c r="BL65" i="19"/>
  <c r="BI172" i="28"/>
  <c r="BJ171" i="28" s="1"/>
  <c r="BH144" i="28"/>
  <c r="BH146" i="28" s="1"/>
  <c r="BL37" i="19"/>
  <c r="BL38" i="19"/>
  <c r="BH93" i="29"/>
  <c r="BH95" i="29" s="1"/>
  <c r="BH144" i="29"/>
  <c r="BH146" i="29" s="1"/>
  <c r="BH127" i="29"/>
  <c r="BH129" i="29" s="1"/>
  <c r="BH110" i="29"/>
  <c r="BH112" i="29" s="1"/>
  <c r="BK121" i="28"/>
  <c r="BL120" i="28" s="1"/>
  <c r="BH42" i="28"/>
  <c r="BH44" i="28" s="1"/>
  <c r="BH110" i="28"/>
  <c r="BH112" i="28" s="1"/>
  <c r="BH161" i="29"/>
  <c r="BH163" i="29" s="1"/>
  <c r="BI142" i="29"/>
  <c r="BI141" i="29"/>
  <c r="BJ87" i="29"/>
  <c r="BK86" i="29" s="1"/>
  <c r="BK138" i="28"/>
  <c r="BL137" i="28" s="1"/>
  <c r="BI108" i="29"/>
  <c r="BI107" i="29"/>
  <c r="BI171" i="29"/>
  <c r="BH178" i="29"/>
  <c r="BH180" i="29" s="1"/>
  <c r="BH76" i="29"/>
  <c r="BH78" i="29" s="1"/>
  <c r="BI124" i="29"/>
  <c r="BI125" i="29"/>
  <c r="BJ138" i="29"/>
  <c r="BK137" i="29" s="1"/>
  <c r="BK70" i="28"/>
  <c r="BL69" i="28" s="1"/>
  <c r="BK69" i="28"/>
  <c r="BI107" i="28"/>
  <c r="BI108" i="28"/>
  <c r="BH59" i="28"/>
  <c r="BH61" i="28" s="1"/>
  <c r="BI104" i="29"/>
  <c r="BJ103" i="29" s="1"/>
  <c r="BI125" i="28"/>
  <c r="BI124" i="28"/>
  <c r="BI90" i="28"/>
  <c r="BI91" i="28"/>
  <c r="BI74" i="29"/>
  <c r="BI73" i="29"/>
  <c r="BI158" i="28"/>
  <c r="BI159" i="28"/>
  <c r="BH93" i="28"/>
  <c r="BH95" i="28" s="1"/>
  <c r="BI155" i="28"/>
  <c r="BJ154" i="28" s="1"/>
  <c r="BI56" i="28"/>
  <c r="BI57" i="28"/>
  <c r="BJ121" i="29"/>
  <c r="BK120" i="29" s="1"/>
  <c r="BI40" i="28"/>
  <c r="BI39" i="28"/>
  <c r="BI176" i="29"/>
  <c r="BI175" i="29"/>
  <c r="BI142" i="28"/>
  <c r="BI141" i="28"/>
  <c r="BI36" i="28"/>
  <c r="BJ35" i="28" s="1"/>
  <c r="BK67" i="18"/>
  <c r="BK49" i="28"/>
  <c r="BH161" i="28"/>
  <c r="BH163" i="28" s="1"/>
  <c r="BI53" i="28"/>
  <c r="BH127" i="28"/>
  <c r="BH129" i="28" s="1"/>
  <c r="BI90" i="29"/>
  <c r="BI91" i="29"/>
  <c r="BK168" i="28"/>
  <c r="BJ170" i="28"/>
  <c r="BK169" i="28" s="1"/>
  <c r="BI158" i="29"/>
  <c r="BI159" i="29"/>
  <c r="BM104" i="28"/>
  <c r="BN103" i="28" s="1"/>
  <c r="BJ175" i="28"/>
  <c r="BJ176" i="28"/>
  <c r="BM86" i="28"/>
  <c r="BM87" i="28"/>
  <c r="BN86" i="28" s="1"/>
  <c r="BJ59" i="29"/>
  <c r="BJ61" i="29" s="1"/>
  <c r="BI42" i="29"/>
  <c r="BI44" i="29" s="1"/>
  <c r="BJ40" i="29"/>
  <c r="BJ39" i="29"/>
  <c r="BK53" i="29"/>
  <c r="BL52" i="29" s="1"/>
  <c r="BJ36" i="29"/>
  <c r="BK35" i="29" s="1"/>
  <c r="BK56" i="29"/>
  <c r="BK57" i="29"/>
  <c r="BJ52" i="19"/>
  <c r="BJ80" i="19"/>
  <c r="BI80" i="19"/>
  <c r="BD196" i="29" l="1"/>
  <c r="BE27" i="28"/>
  <c r="BE196" i="28" s="1"/>
  <c r="BK36" i="29"/>
  <c r="BL35" i="29" s="1"/>
  <c r="BE194" i="29"/>
  <c r="BK50" i="28"/>
  <c r="BJ53" i="28"/>
  <c r="BK52" i="28" s="1"/>
  <c r="BH18" i="29"/>
  <c r="BG188" i="29"/>
  <c r="BH18" i="28"/>
  <c r="BG188" i="28"/>
  <c r="BH185" i="29"/>
  <c r="BI47" i="18" s="1"/>
  <c r="BH19" i="29"/>
  <c r="BI16" i="29"/>
  <c r="BJ186" i="28"/>
  <c r="BH185" i="28"/>
  <c r="BI74" i="18" s="1"/>
  <c r="BI16" i="28"/>
  <c r="BH19" i="28"/>
  <c r="BK184" i="28"/>
  <c r="BG187" i="28"/>
  <c r="BF192" i="28"/>
  <c r="BG23" i="28"/>
  <c r="BG22" i="28"/>
  <c r="BG191" i="28" s="1"/>
  <c r="BF25" i="28"/>
  <c r="BG187" i="29"/>
  <c r="BF25" i="29"/>
  <c r="BF192" i="29"/>
  <c r="BG22" i="29"/>
  <c r="BG191" i="29" s="1"/>
  <c r="BG23" i="29"/>
  <c r="BE196" i="29"/>
  <c r="BF39" i="18"/>
  <c r="BF50" i="18" s="1"/>
  <c r="H4" i="3"/>
  <c r="G4" i="45" s="1"/>
  <c r="BI76" i="28"/>
  <c r="BI78" i="28" s="1"/>
  <c r="BJ74" i="28"/>
  <c r="BJ73" i="28"/>
  <c r="BL169" i="29"/>
  <c r="BL170" i="29"/>
  <c r="BL186" i="29" s="1"/>
  <c r="BM40" i="18"/>
  <c r="BN104" i="28"/>
  <c r="BO103" i="28" s="1"/>
  <c r="BL70" i="28"/>
  <c r="BM69" i="28" s="1"/>
  <c r="BK155" i="29"/>
  <c r="BL154" i="29" s="1"/>
  <c r="BJ70" i="29"/>
  <c r="BK69" i="29" s="1"/>
  <c r="BI178" i="28"/>
  <c r="BI180" i="28" s="1"/>
  <c r="BL67" i="19"/>
  <c r="BL69" i="19" s="1"/>
  <c r="BK172" i="29"/>
  <c r="BL171" i="29" s="1"/>
  <c r="BM65" i="19"/>
  <c r="BM66" i="19"/>
  <c r="BM37" i="19"/>
  <c r="BM38" i="19"/>
  <c r="BL39" i="19"/>
  <c r="BL41" i="19" s="1"/>
  <c r="BI110" i="28"/>
  <c r="BI112" i="28" s="1"/>
  <c r="BI93" i="28"/>
  <c r="BI95" i="28" s="1"/>
  <c r="BI144" i="29"/>
  <c r="BI146" i="29" s="1"/>
  <c r="BL121" i="28"/>
  <c r="BM120" i="28" s="1"/>
  <c r="BI178" i="29"/>
  <c r="BI180" i="29" s="1"/>
  <c r="BI144" i="28"/>
  <c r="BI146" i="28" s="1"/>
  <c r="BI127" i="29"/>
  <c r="BI129" i="29" s="1"/>
  <c r="BI93" i="29"/>
  <c r="BI95" i="29" s="1"/>
  <c r="BJ159" i="29"/>
  <c r="BJ158" i="29"/>
  <c r="BJ125" i="28"/>
  <c r="BJ124" i="28"/>
  <c r="BI76" i="29"/>
  <c r="BI78" i="29" s="1"/>
  <c r="BK87" i="29"/>
  <c r="BL86" i="29" s="1"/>
  <c r="BJ56" i="28"/>
  <c r="BJ57" i="28"/>
  <c r="BI110" i="29"/>
  <c r="BI112" i="29" s="1"/>
  <c r="BJ142" i="29"/>
  <c r="BJ141" i="29"/>
  <c r="BJ52" i="28"/>
  <c r="BI59" i="28"/>
  <c r="BI61" i="28" s="1"/>
  <c r="BL67" i="18"/>
  <c r="BK51" i="28"/>
  <c r="A49" i="28"/>
  <c r="BL168" i="28"/>
  <c r="BL184" i="28" s="1"/>
  <c r="BK170" i="28"/>
  <c r="BL169" i="28" s="1"/>
  <c r="BJ74" i="29"/>
  <c r="BJ73" i="29"/>
  <c r="BJ176" i="29"/>
  <c r="BJ175" i="29"/>
  <c r="BK176" i="28"/>
  <c r="BK175" i="28"/>
  <c r="BJ172" i="28"/>
  <c r="BJ39" i="28"/>
  <c r="BJ40" i="28"/>
  <c r="BJ155" i="28"/>
  <c r="BK154" i="28" s="1"/>
  <c r="BI161" i="28"/>
  <c r="BI163" i="28" s="1"/>
  <c r="BK121" i="29"/>
  <c r="BL120" i="29" s="1"/>
  <c r="BJ90" i="28"/>
  <c r="BJ91" i="28"/>
  <c r="BJ107" i="28"/>
  <c r="BJ108" i="28"/>
  <c r="BJ91" i="29"/>
  <c r="BJ90" i="29"/>
  <c r="BK138" i="29"/>
  <c r="BL137" i="29" s="1"/>
  <c r="BJ108" i="29"/>
  <c r="BJ107" i="29"/>
  <c r="BJ104" i="29"/>
  <c r="BK103" i="29" s="1"/>
  <c r="BJ36" i="28"/>
  <c r="BK35" i="28" s="1"/>
  <c r="BJ158" i="28"/>
  <c r="BJ159" i="28"/>
  <c r="BI127" i="28"/>
  <c r="BI129" i="28" s="1"/>
  <c r="BJ124" i="29"/>
  <c r="BJ125" i="29"/>
  <c r="BL138" i="28"/>
  <c r="BM137" i="28" s="1"/>
  <c r="BI161" i="29"/>
  <c r="BI163" i="29" s="1"/>
  <c r="BI42" i="28"/>
  <c r="BI44" i="28" s="1"/>
  <c r="BJ142" i="28"/>
  <c r="BJ141" i="28"/>
  <c r="BN87" i="28"/>
  <c r="BJ42" i="29"/>
  <c r="BJ44" i="29" s="1"/>
  <c r="BK59" i="29"/>
  <c r="BK61" i="29" s="1"/>
  <c r="BL56" i="29"/>
  <c r="BL57" i="29"/>
  <c r="BL53" i="29"/>
  <c r="BM52" i="29" s="1"/>
  <c r="BK40" i="29"/>
  <c r="BK39" i="29"/>
  <c r="BL36" i="29"/>
  <c r="BM35" i="29" s="1"/>
  <c r="BK52" i="19"/>
  <c r="BK80" i="19"/>
  <c r="BF66" i="18" l="1"/>
  <c r="BF77" i="18" s="1"/>
  <c r="H19" i="3"/>
  <c r="C29" i="45" s="1"/>
  <c r="BG25" i="29"/>
  <c r="BH188" i="28"/>
  <c r="BI18" i="28"/>
  <c r="BF27" i="28"/>
  <c r="BF194" i="28"/>
  <c r="BI185" i="28"/>
  <c r="BJ74" i="18" s="1"/>
  <c r="BJ16" i="28"/>
  <c r="BI19" i="28"/>
  <c r="BI185" i="29"/>
  <c r="BJ47" i="18" s="1"/>
  <c r="BJ16" i="29"/>
  <c r="BI19" i="29"/>
  <c r="BG192" i="29"/>
  <c r="BH22" i="29"/>
  <c r="BH191" i="29" s="1"/>
  <c r="BH23" i="29"/>
  <c r="BG192" i="28"/>
  <c r="BH22" i="28"/>
  <c r="BH191" i="28" s="1"/>
  <c r="BH23" i="28"/>
  <c r="BI18" i="29"/>
  <c r="BH188" i="29"/>
  <c r="BG25" i="28"/>
  <c r="BH187" i="28"/>
  <c r="BF27" i="29"/>
  <c r="BF194" i="29"/>
  <c r="BL50" i="28"/>
  <c r="BM50" i="28" s="1"/>
  <c r="BN50" i="28" s="1"/>
  <c r="BO50" i="28" s="1"/>
  <c r="BP50" i="28" s="1"/>
  <c r="BQ50" i="28" s="1"/>
  <c r="BR50" i="28" s="1"/>
  <c r="BS50" i="28" s="1"/>
  <c r="BT50" i="28" s="1"/>
  <c r="BU50" i="28" s="1"/>
  <c r="BV50" i="28" s="1"/>
  <c r="BW50" i="28" s="1"/>
  <c r="BX50" i="28" s="1"/>
  <c r="BY50" i="28" s="1"/>
  <c r="BZ50" i="28" s="1"/>
  <c r="CA50" i="28" s="1"/>
  <c r="CB50" i="28" s="1"/>
  <c r="CC50" i="28" s="1"/>
  <c r="CD50" i="28" s="1"/>
  <c r="CE50" i="28" s="1"/>
  <c r="CF50" i="28" s="1"/>
  <c r="CG50" i="28" s="1"/>
  <c r="CH50" i="28" s="1"/>
  <c r="CI50" i="28" s="1"/>
  <c r="CJ50" i="28" s="1"/>
  <c r="CK50" i="28" s="1"/>
  <c r="CL50" i="28" s="1"/>
  <c r="CM50" i="28" s="1"/>
  <c r="CN50" i="28" s="1"/>
  <c r="CO50" i="28" s="1"/>
  <c r="CP50" i="28" s="1"/>
  <c r="CQ50" i="28" s="1"/>
  <c r="CR50" i="28" s="1"/>
  <c r="CS50" i="28" s="1"/>
  <c r="CT50" i="28" s="1"/>
  <c r="CU50" i="28" s="1"/>
  <c r="CV50" i="28" s="1"/>
  <c r="CW50" i="28" s="1"/>
  <c r="CX50" i="28" s="1"/>
  <c r="CY50" i="28" s="1"/>
  <c r="CZ50" i="28" s="1"/>
  <c r="DA50" i="28" s="1"/>
  <c r="BK186" i="28"/>
  <c r="BH187" i="29"/>
  <c r="BJ76" i="28"/>
  <c r="BJ78" i="28" s="1"/>
  <c r="BK73" i="28"/>
  <c r="BK74" i="28"/>
  <c r="BL172" i="29"/>
  <c r="BM171" i="29" s="1"/>
  <c r="BM169" i="29"/>
  <c r="BN169" i="29" s="1"/>
  <c r="BO169" i="29" s="1"/>
  <c r="BP169" i="29" s="1"/>
  <c r="BQ169" i="29" s="1"/>
  <c r="BR169" i="29" s="1"/>
  <c r="BS169" i="29" s="1"/>
  <c r="BT169" i="29" s="1"/>
  <c r="BU169" i="29" s="1"/>
  <c r="BV169" i="29" s="1"/>
  <c r="BW169" i="29" s="1"/>
  <c r="BX169" i="29" s="1"/>
  <c r="BY169" i="29" s="1"/>
  <c r="BZ169" i="29" s="1"/>
  <c r="CA169" i="29" s="1"/>
  <c r="CB169" i="29" s="1"/>
  <c r="CC169" i="29" s="1"/>
  <c r="CD169" i="29" s="1"/>
  <c r="CE169" i="29" s="1"/>
  <c r="CF169" i="29" s="1"/>
  <c r="CG169" i="29" s="1"/>
  <c r="CH169" i="29" s="1"/>
  <c r="CI169" i="29" s="1"/>
  <c r="CJ169" i="29" s="1"/>
  <c r="CK169" i="29" s="1"/>
  <c r="CL169" i="29" s="1"/>
  <c r="CM169" i="29" s="1"/>
  <c r="CN169" i="29" s="1"/>
  <c r="CO169" i="29" s="1"/>
  <c r="CP169" i="29" s="1"/>
  <c r="CQ169" i="29" s="1"/>
  <c r="CR169" i="29" s="1"/>
  <c r="CS169" i="29" s="1"/>
  <c r="CT169" i="29" s="1"/>
  <c r="CU169" i="29" s="1"/>
  <c r="CV169" i="29" s="1"/>
  <c r="CW169" i="29" s="1"/>
  <c r="CX169" i="29" s="1"/>
  <c r="CY169" i="29" s="1"/>
  <c r="CZ169" i="29" s="1"/>
  <c r="DA169" i="29" s="1"/>
  <c r="BO104" i="28"/>
  <c r="BP103" i="28" s="1"/>
  <c r="BM70" i="28"/>
  <c r="BN69" i="28" s="1"/>
  <c r="BL155" i="29"/>
  <c r="BM154" i="29" s="1"/>
  <c r="BK70" i="29"/>
  <c r="BL69" i="29" s="1"/>
  <c r="BN65" i="19"/>
  <c r="BN66" i="19"/>
  <c r="BM67" i="19"/>
  <c r="BM69" i="19" s="1"/>
  <c r="BJ127" i="28"/>
  <c r="BJ129" i="28" s="1"/>
  <c r="BJ178" i="29"/>
  <c r="BJ180" i="29" s="1"/>
  <c r="BN37" i="19"/>
  <c r="BN38" i="19"/>
  <c r="BJ161" i="29"/>
  <c r="BJ163" i="29" s="1"/>
  <c r="BM39" i="19"/>
  <c r="BM41" i="19" s="1"/>
  <c r="BJ76" i="29"/>
  <c r="BJ78" i="29" s="1"/>
  <c r="BJ144" i="28"/>
  <c r="BJ146" i="28" s="1"/>
  <c r="BJ144" i="29"/>
  <c r="BJ146" i="29" s="1"/>
  <c r="BM121" i="28"/>
  <c r="BN120" i="28" s="1"/>
  <c r="BJ127" i="29"/>
  <c r="BJ129" i="29" s="1"/>
  <c r="BK125" i="29"/>
  <c r="BK124" i="29"/>
  <c r="BK171" i="28"/>
  <c r="BJ178" i="28"/>
  <c r="BJ180" i="28" s="1"/>
  <c r="BL176" i="28"/>
  <c r="BL175" i="28"/>
  <c r="BM168" i="28"/>
  <c r="BM184" i="28" s="1"/>
  <c r="BM67" i="18"/>
  <c r="BL170" i="28"/>
  <c r="BK158" i="28"/>
  <c r="BK159" i="28"/>
  <c r="BK108" i="29"/>
  <c r="BK107" i="29"/>
  <c r="BJ110" i="29"/>
  <c r="BJ112" i="29" s="1"/>
  <c r="BK141" i="28"/>
  <c r="BK142" i="28"/>
  <c r="BJ93" i="29"/>
  <c r="BJ95" i="29" s="1"/>
  <c r="BL121" i="29"/>
  <c r="BM120" i="29" s="1"/>
  <c r="BK90" i="29"/>
  <c r="BK91" i="29"/>
  <c r="BK176" i="29"/>
  <c r="BK175" i="29"/>
  <c r="BJ59" i="28"/>
  <c r="BJ61" i="28" s="1"/>
  <c r="BK124" i="28"/>
  <c r="BK125" i="28"/>
  <c r="BK36" i="28"/>
  <c r="BL35" i="28" s="1"/>
  <c r="BK172" i="28"/>
  <c r="BL171" i="28" s="1"/>
  <c r="BJ42" i="28"/>
  <c r="BJ44" i="28" s="1"/>
  <c r="BK108" i="28"/>
  <c r="BK107" i="28"/>
  <c r="BK155" i="28"/>
  <c r="BL154" i="28" s="1"/>
  <c r="BK74" i="29"/>
  <c r="BK73" i="29"/>
  <c r="BJ110" i="28"/>
  <c r="BJ112" i="28" s="1"/>
  <c r="BK142" i="29"/>
  <c r="BK141" i="29"/>
  <c r="BK158" i="29"/>
  <c r="BK159" i="29"/>
  <c r="BM138" i="28"/>
  <c r="BN137" i="28" s="1"/>
  <c r="BK90" i="28"/>
  <c r="BK91" i="28"/>
  <c r="BK40" i="28"/>
  <c r="BK39" i="28"/>
  <c r="BJ161" i="28"/>
  <c r="BJ163" i="28" s="1"/>
  <c r="BL138" i="29"/>
  <c r="BM137" i="29" s="1"/>
  <c r="BL87" i="29"/>
  <c r="BM86" i="29" s="1"/>
  <c r="BK53" i="28"/>
  <c r="BK104" i="29"/>
  <c r="BL103" i="29" s="1"/>
  <c r="BJ93" i="28"/>
  <c r="BJ95" i="28" s="1"/>
  <c r="BK57" i="28"/>
  <c r="BK56" i="28"/>
  <c r="BO87" i="28"/>
  <c r="BP86" i="28" s="1"/>
  <c r="BO86" i="28"/>
  <c r="BL59" i="29"/>
  <c r="BL61" i="29" s="1"/>
  <c r="BK42" i="29"/>
  <c r="BK44" i="29" s="1"/>
  <c r="BM36" i="29"/>
  <c r="BN35" i="29" s="1"/>
  <c r="BL40" i="29"/>
  <c r="BL39" i="29"/>
  <c r="BM53" i="29"/>
  <c r="BN52" i="29" s="1"/>
  <c r="BM57" i="29"/>
  <c r="BM56" i="29"/>
  <c r="BL52" i="19"/>
  <c r="BL80" i="19"/>
  <c r="BH25" i="29" l="1"/>
  <c r="BG27" i="28"/>
  <c r="BG194" i="28"/>
  <c r="BI187" i="29"/>
  <c r="BH192" i="28"/>
  <c r="BI22" i="28"/>
  <c r="BI191" i="28" s="1"/>
  <c r="BI23" i="28"/>
  <c r="BJ18" i="28"/>
  <c r="BI188" i="28"/>
  <c r="BH192" i="29"/>
  <c r="BI22" i="29"/>
  <c r="BI191" i="29" s="1"/>
  <c r="BI23" i="29"/>
  <c r="BK16" i="28"/>
  <c r="BJ185" i="28"/>
  <c r="BK74" i="18" s="1"/>
  <c r="BJ19" i="28"/>
  <c r="BF196" i="29"/>
  <c r="BG39" i="18"/>
  <c r="BG50" i="18" s="1"/>
  <c r="BJ18" i="29"/>
  <c r="BI188" i="29"/>
  <c r="BF196" i="28"/>
  <c r="BG66" i="18"/>
  <c r="BG77" i="18" s="1"/>
  <c r="BM169" i="28"/>
  <c r="BL186" i="28"/>
  <c r="BK16" i="29"/>
  <c r="BJ185" i="29"/>
  <c r="BK47" i="18" s="1"/>
  <c r="BK51" i="18" s="1"/>
  <c r="BJ19" i="29"/>
  <c r="BI187" i="28"/>
  <c r="BH27" i="29"/>
  <c r="BH194" i="29"/>
  <c r="BH25" i="28"/>
  <c r="BG27" i="29"/>
  <c r="BG194" i="29"/>
  <c r="BL73" i="28"/>
  <c r="BL74" i="28"/>
  <c r="BK76" i="28"/>
  <c r="BK78" i="28" s="1"/>
  <c r="BM172" i="29"/>
  <c r="BN171" i="29" s="1"/>
  <c r="BP104" i="28"/>
  <c r="BQ103" i="28" s="1"/>
  <c r="BN70" i="28"/>
  <c r="BO69" i="28" s="1"/>
  <c r="BM155" i="29"/>
  <c r="BN154" i="29" s="1"/>
  <c r="BL70" i="29"/>
  <c r="BM69" i="29" s="1"/>
  <c r="BK127" i="29"/>
  <c r="BK129" i="29" s="1"/>
  <c r="BO65" i="19"/>
  <c r="BO66" i="19"/>
  <c r="BN67" i="19"/>
  <c r="BN69" i="19" s="1"/>
  <c r="BK93" i="28"/>
  <c r="BK95" i="28" s="1"/>
  <c r="BO37" i="19"/>
  <c r="BO38" i="19"/>
  <c r="BN39" i="19"/>
  <c r="BN41" i="19" s="1"/>
  <c r="BK144" i="29"/>
  <c r="BK146" i="29" s="1"/>
  <c r="BK178" i="29"/>
  <c r="BK180" i="29" s="1"/>
  <c r="BN121" i="28"/>
  <c r="BO120" i="28" s="1"/>
  <c r="BL172" i="28"/>
  <c r="BM171" i="28" s="1"/>
  <c r="BK161" i="29"/>
  <c r="BK163" i="29" s="1"/>
  <c r="BK127" i="28"/>
  <c r="BK129" i="28" s="1"/>
  <c r="BK93" i="29"/>
  <c r="BK95" i="29" s="1"/>
  <c r="BL53" i="28"/>
  <c r="BM52" i="28" s="1"/>
  <c r="BK76" i="29"/>
  <c r="BK78" i="29" s="1"/>
  <c r="BL36" i="28"/>
  <c r="BM35" i="28" s="1"/>
  <c r="BN172" i="29"/>
  <c r="BO171" i="29" s="1"/>
  <c r="BL91" i="29"/>
  <c r="BL90" i="29"/>
  <c r="BL52" i="28"/>
  <c r="BK59" i="28"/>
  <c r="BK61" i="28" s="1"/>
  <c r="BL155" i="28"/>
  <c r="BM154" i="28" s="1"/>
  <c r="BL158" i="28"/>
  <c r="BL159" i="28"/>
  <c r="BK178" i="28"/>
  <c r="BK180" i="28" s="1"/>
  <c r="BK42" i="28"/>
  <c r="BK44" i="28" s="1"/>
  <c r="BL107" i="29"/>
  <c r="BL108" i="29"/>
  <c r="BN138" i="28"/>
  <c r="BO137" i="28" s="1"/>
  <c r="BM87" i="29"/>
  <c r="BN86" i="29" s="1"/>
  <c r="BL158" i="29"/>
  <c r="BL159" i="29"/>
  <c r="BK110" i="28"/>
  <c r="BK112" i="28" s="1"/>
  <c r="BL107" i="28"/>
  <c r="BL108" i="28"/>
  <c r="BL74" i="29"/>
  <c r="BL73" i="29"/>
  <c r="BL57" i="28"/>
  <c r="BL56" i="28"/>
  <c r="BM138" i="29"/>
  <c r="BN137" i="29" s="1"/>
  <c r="BM121" i="29"/>
  <c r="BN120" i="29" s="1"/>
  <c r="BL125" i="29"/>
  <c r="BL124" i="29"/>
  <c r="BK110" i="29"/>
  <c r="BK112" i="29" s="1"/>
  <c r="BL141" i="29"/>
  <c r="BL142" i="29"/>
  <c r="BL125" i="28"/>
  <c r="BL124" i="28"/>
  <c r="BN168" i="28"/>
  <c r="BN184" i="28" s="1"/>
  <c r="BN67" i="18"/>
  <c r="BM170" i="28"/>
  <c r="BK161" i="28"/>
  <c r="BK163" i="28" s="1"/>
  <c r="BL141" i="28"/>
  <c r="BL142" i="28"/>
  <c r="BL104" i="29"/>
  <c r="BM103" i="29" s="1"/>
  <c r="BL39" i="28"/>
  <c r="BL40" i="28"/>
  <c r="BK144" i="28"/>
  <c r="BK146" i="28" s="1"/>
  <c r="BM175" i="28"/>
  <c r="BM176" i="28"/>
  <c r="BL90" i="28"/>
  <c r="BL91" i="28"/>
  <c r="BL175" i="29"/>
  <c r="BL176" i="29"/>
  <c r="BP87" i="28"/>
  <c r="BM59" i="29"/>
  <c r="BM61" i="29" s="1"/>
  <c r="BN57" i="29"/>
  <c r="BN56" i="29"/>
  <c r="BM40" i="29"/>
  <c r="BM39" i="29"/>
  <c r="BL42" i="29"/>
  <c r="BL44" i="29" s="1"/>
  <c r="BN53" i="29"/>
  <c r="BO52" i="29" s="1"/>
  <c r="BN36" i="29"/>
  <c r="BO35" i="29" s="1"/>
  <c r="BM80" i="19"/>
  <c r="BN85" i="18" l="1"/>
  <c r="BI25" i="28"/>
  <c r="BI27" i="28" s="1"/>
  <c r="BJ188" i="28"/>
  <c r="BK18" i="28"/>
  <c r="BL16" i="29"/>
  <c r="BK185" i="29"/>
  <c r="BL47" i="18" s="1"/>
  <c r="BL51" i="18" s="1"/>
  <c r="BK19" i="29"/>
  <c r="BL16" i="28"/>
  <c r="BK185" i="28"/>
  <c r="BL74" i="18" s="1"/>
  <c r="BK19" i="28"/>
  <c r="BI192" i="29"/>
  <c r="BJ23" i="29"/>
  <c r="BJ22" i="29"/>
  <c r="BJ191" i="29" s="1"/>
  <c r="BI25" i="29"/>
  <c r="BK18" i="29"/>
  <c r="BJ188" i="29"/>
  <c r="BG196" i="29"/>
  <c r="BH39" i="18"/>
  <c r="BH50" i="18" s="1"/>
  <c r="BH27" i="28"/>
  <c r="BH194" i="28"/>
  <c r="BN169" i="28"/>
  <c r="BM186" i="28"/>
  <c r="BJ187" i="29"/>
  <c r="BJ187" i="28"/>
  <c r="BH196" i="29"/>
  <c r="BI39" i="18"/>
  <c r="BI50" i="18" s="1"/>
  <c r="BI192" i="28"/>
  <c r="BJ23" i="28"/>
  <c r="BJ22" i="28"/>
  <c r="BJ191" i="28" s="1"/>
  <c r="BG196" i="28"/>
  <c r="BH66" i="18"/>
  <c r="BH77" i="18" s="1"/>
  <c r="BM73" i="28"/>
  <c r="BM74" i="28"/>
  <c r="BL76" i="28"/>
  <c r="BL78" i="28" s="1"/>
  <c r="BQ104" i="28"/>
  <c r="BR103" i="28" s="1"/>
  <c r="BO70" i="28"/>
  <c r="BP69" i="28" s="1"/>
  <c r="BN155" i="29"/>
  <c r="BO154" i="29" s="1"/>
  <c r="BM70" i="29"/>
  <c r="BN69" i="29" s="1"/>
  <c r="BP65" i="19"/>
  <c r="BP66" i="19"/>
  <c r="BO67" i="19"/>
  <c r="BO69" i="19" s="1"/>
  <c r="BP38" i="19"/>
  <c r="BP37" i="19"/>
  <c r="BO39" i="19"/>
  <c r="BO41" i="19" s="1"/>
  <c r="BL93" i="29"/>
  <c r="BL95" i="29" s="1"/>
  <c r="BL59" i="28"/>
  <c r="BL61" i="28" s="1"/>
  <c r="BL76" i="29"/>
  <c r="BL78" i="29" s="1"/>
  <c r="BL161" i="28"/>
  <c r="BL163" i="28" s="1"/>
  <c r="BL178" i="29"/>
  <c r="BL180" i="29" s="1"/>
  <c r="BO121" i="28"/>
  <c r="BP120" i="28" s="1"/>
  <c r="BL144" i="28"/>
  <c r="BL146" i="28" s="1"/>
  <c r="BL178" i="28"/>
  <c r="BL180" i="28" s="1"/>
  <c r="BL127" i="28"/>
  <c r="BL129" i="28" s="1"/>
  <c r="BL93" i="28"/>
  <c r="BL95" i="28" s="1"/>
  <c r="BM53" i="28"/>
  <c r="BN52" i="28" s="1"/>
  <c r="BL144" i="29"/>
  <c r="BL146" i="29" s="1"/>
  <c r="BL161" i="29"/>
  <c r="BL163" i="29" s="1"/>
  <c r="BL127" i="29"/>
  <c r="BL129" i="29" s="1"/>
  <c r="BM172" i="28"/>
  <c r="BN171" i="28" s="1"/>
  <c r="BM176" i="29"/>
  <c r="BM175" i="29"/>
  <c r="BL110" i="29"/>
  <c r="BL112" i="29" s="1"/>
  <c r="BM40" i="28"/>
  <c r="BM39" i="28"/>
  <c r="BM91" i="28"/>
  <c r="BM90" i="28"/>
  <c r="BM125" i="29"/>
  <c r="BM124" i="29"/>
  <c r="BN121" i="29"/>
  <c r="BO120" i="29" s="1"/>
  <c r="BM91" i="29"/>
  <c r="BM90" i="29"/>
  <c r="BM104" i="29"/>
  <c r="BN103" i="29" s="1"/>
  <c r="BM124" i="28"/>
  <c r="BM125" i="28"/>
  <c r="BM108" i="28"/>
  <c r="BM107" i="28"/>
  <c r="BO172" i="29"/>
  <c r="BP171" i="29" s="1"/>
  <c r="BN87" i="29"/>
  <c r="BO86" i="29" s="1"/>
  <c r="BO168" i="28"/>
  <c r="BO184" i="28" s="1"/>
  <c r="BO67" i="18"/>
  <c r="BN170" i="28"/>
  <c r="BM142" i="29"/>
  <c r="BM141" i="29"/>
  <c r="BN138" i="29"/>
  <c r="BO137" i="29" s="1"/>
  <c r="BL110" i="28"/>
  <c r="BL112" i="28" s="1"/>
  <c r="BM158" i="28"/>
  <c r="BM159" i="28"/>
  <c r="BM36" i="28"/>
  <c r="BN35" i="28" s="1"/>
  <c r="BM141" i="28"/>
  <c r="BM142" i="28"/>
  <c r="BO138" i="28"/>
  <c r="BP137" i="28" s="1"/>
  <c r="BM57" i="28"/>
  <c r="BM56" i="28"/>
  <c r="BL42" i="28"/>
  <c r="BL44" i="28" s="1"/>
  <c r="BN175" i="28"/>
  <c r="BN176" i="28"/>
  <c r="BM107" i="29"/>
  <c r="BM108" i="29"/>
  <c r="BM155" i="28"/>
  <c r="BN154" i="28" s="1"/>
  <c r="BM74" i="29"/>
  <c r="BM73" i="29"/>
  <c r="BM158" i="29"/>
  <c r="BM159" i="29"/>
  <c r="BQ87" i="28"/>
  <c r="BR86" i="28" s="1"/>
  <c r="BQ86" i="28"/>
  <c r="BM42" i="29"/>
  <c r="BM44" i="29" s="1"/>
  <c r="BN59" i="29"/>
  <c r="BN61" i="29" s="1"/>
  <c r="BN40" i="29"/>
  <c r="BN39" i="29"/>
  <c r="BO36" i="29"/>
  <c r="BP35" i="29" s="1"/>
  <c r="BO57" i="29"/>
  <c r="BO56" i="29"/>
  <c r="BO53" i="29"/>
  <c r="BP52" i="29" s="1"/>
  <c r="BM52" i="19"/>
  <c r="BI194" i="28" l="1"/>
  <c r="BO85" i="18"/>
  <c r="BJ25" i="28"/>
  <c r="BJ27" i="28" s="1"/>
  <c r="BJ25" i="29"/>
  <c r="BJ27" i="29" s="1"/>
  <c r="BH196" i="28"/>
  <c r="BI66" i="18"/>
  <c r="BI77" i="18" s="1"/>
  <c r="BL18" i="28"/>
  <c r="BK188" i="28"/>
  <c r="BK187" i="29"/>
  <c r="BM16" i="28"/>
  <c r="BL185" i="28"/>
  <c r="BM74" i="18" s="1"/>
  <c r="BL19" i="28"/>
  <c r="BO169" i="28"/>
  <c r="BN186" i="28"/>
  <c r="BL18" i="29"/>
  <c r="BK188" i="29"/>
  <c r="BI196" i="28"/>
  <c r="BJ66" i="18"/>
  <c r="BJ77" i="18" s="1"/>
  <c r="BI27" i="29"/>
  <c r="BI194" i="29"/>
  <c r="BM16" i="29"/>
  <c r="BL185" i="29"/>
  <c r="BM47" i="18" s="1"/>
  <c r="BM51" i="18" s="1"/>
  <c r="BL19" i="29"/>
  <c r="BK187" i="28"/>
  <c r="BJ192" i="29"/>
  <c r="BK22" i="29"/>
  <c r="BK191" i="29" s="1"/>
  <c r="BK23" i="29"/>
  <c r="BJ192" i="28"/>
  <c r="BK23" i="28"/>
  <c r="BK22" i="28"/>
  <c r="BK191" i="28" s="1"/>
  <c r="BN73" i="28"/>
  <c r="BN74" i="28"/>
  <c r="BM76" i="28"/>
  <c r="BM78" i="28" s="1"/>
  <c r="BP138" i="28"/>
  <c r="BQ137" i="28" s="1"/>
  <c r="BR104" i="28"/>
  <c r="BS103" i="28" s="1"/>
  <c r="BP70" i="28"/>
  <c r="BQ69" i="28" s="1"/>
  <c r="BO155" i="29"/>
  <c r="BP154" i="29" s="1"/>
  <c r="BN70" i="29"/>
  <c r="BO69" i="29" s="1"/>
  <c r="BP39" i="19"/>
  <c r="BP41" i="19" s="1"/>
  <c r="BM93" i="29"/>
  <c r="BM95" i="29" s="1"/>
  <c r="BQ65" i="19"/>
  <c r="BQ66" i="19"/>
  <c r="BP67" i="19"/>
  <c r="BP69" i="19" s="1"/>
  <c r="BQ38" i="19"/>
  <c r="BQ37" i="19"/>
  <c r="BM144" i="29"/>
  <c r="BM146" i="29" s="1"/>
  <c r="BM127" i="29"/>
  <c r="BM129" i="29" s="1"/>
  <c r="BP121" i="28"/>
  <c r="BQ120" i="28" s="1"/>
  <c r="BM110" i="28"/>
  <c r="BM112" i="28" s="1"/>
  <c r="BM110" i="29"/>
  <c r="BM112" i="29" s="1"/>
  <c r="BM178" i="29"/>
  <c r="BM180" i="29" s="1"/>
  <c r="BM127" i="28"/>
  <c r="BM129" i="28" s="1"/>
  <c r="BM178" i="28"/>
  <c r="BM180" i="28" s="1"/>
  <c r="BN53" i="28"/>
  <c r="BO52" i="28" s="1"/>
  <c r="BM76" i="29"/>
  <c r="BM78" i="29" s="1"/>
  <c r="BM59" i="28"/>
  <c r="BM61" i="28" s="1"/>
  <c r="BM93" i="28"/>
  <c r="BM95" i="28" s="1"/>
  <c r="BN159" i="28"/>
  <c r="BN158" i="28"/>
  <c r="BN90" i="29"/>
  <c r="BN91" i="29"/>
  <c r="BN159" i="29"/>
  <c r="BN158" i="29"/>
  <c r="BP172" i="29"/>
  <c r="BQ171" i="29" s="1"/>
  <c r="BM161" i="29"/>
  <c r="BM163" i="29" s="1"/>
  <c r="BO138" i="29"/>
  <c r="BP137" i="29" s="1"/>
  <c r="BO175" i="28"/>
  <c r="BO176" i="28"/>
  <c r="BM161" i="28"/>
  <c r="BM163" i="28" s="1"/>
  <c r="BN90" i="28"/>
  <c r="BN91" i="28"/>
  <c r="BN74" i="29"/>
  <c r="BN73" i="29"/>
  <c r="BN141" i="28"/>
  <c r="BN142" i="28"/>
  <c r="BN142" i="29"/>
  <c r="BN141" i="29"/>
  <c r="BN108" i="28"/>
  <c r="BN107" i="28"/>
  <c r="BO121" i="29"/>
  <c r="BP120" i="29" s="1"/>
  <c r="BM144" i="28"/>
  <c r="BM146" i="28" s="1"/>
  <c r="BN125" i="28"/>
  <c r="BN124" i="28"/>
  <c r="BN172" i="28"/>
  <c r="BN56" i="28"/>
  <c r="BN57" i="28"/>
  <c r="BN36" i="28"/>
  <c r="BO35" i="28" s="1"/>
  <c r="BN104" i="29"/>
  <c r="BO103" i="29" s="1"/>
  <c r="BN40" i="28"/>
  <c r="BN39" i="28"/>
  <c r="BP168" i="28"/>
  <c r="BP184" i="28" s="1"/>
  <c r="BP67" i="18"/>
  <c r="BO170" i="28"/>
  <c r="BN155" i="28"/>
  <c r="BO154" i="28" s="1"/>
  <c r="BN124" i="29"/>
  <c r="BN125" i="29"/>
  <c r="BN176" i="29"/>
  <c r="BN175" i="29"/>
  <c r="BN108" i="29"/>
  <c r="BN107" i="29"/>
  <c r="BM42" i="28"/>
  <c r="BM44" i="28" s="1"/>
  <c r="BO87" i="29"/>
  <c r="BP86" i="29" s="1"/>
  <c r="BR87" i="28"/>
  <c r="BP57" i="29"/>
  <c r="BP56" i="29"/>
  <c r="BP36" i="29"/>
  <c r="BQ35" i="29" s="1"/>
  <c r="BO59" i="29"/>
  <c r="BO61" i="29" s="1"/>
  <c r="BP53" i="29"/>
  <c r="BQ52" i="29" s="1"/>
  <c r="BN42" i="29"/>
  <c r="BN44" i="29" s="1"/>
  <c r="BO40" i="29"/>
  <c r="BO39" i="29"/>
  <c r="BN52" i="19"/>
  <c r="BO52" i="19"/>
  <c r="BO80" i="19"/>
  <c r="BN80" i="19"/>
  <c r="BJ194" i="29" l="1"/>
  <c r="BJ194" i="28"/>
  <c r="BP85" i="18"/>
  <c r="BN16" i="29"/>
  <c r="BM185" i="29"/>
  <c r="BN47" i="18" s="1"/>
  <c r="BN51" i="18" s="1"/>
  <c r="BM19" i="29"/>
  <c r="BL188" i="28"/>
  <c r="BM18" i="28"/>
  <c r="BI196" i="29"/>
  <c r="BJ39" i="18"/>
  <c r="BJ50" i="18" s="1"/>
  <c r="BN16" i="28"/>
  <c r="BM185" i="28"/>
  <c r="BN74" i="18" s="1"/>
  <c r="BM19" i="28"/>
  <c r="BJ196" i="29"/>
  <c r="BK39" i="18"/>
  <c r="BK50" i="18" s="1"/>
  <c r="BK25" i="29"/>
  <c r="BP169" i="28"/>
  <c r="BO186" i="28"/>
  <c r="BK192" i="29"/>
  <c r="BL22" i="29"/>
  <c r="BL191" i="29" s="1"/>
  <c r="BL23" i="29"/>
  <c r="BL187" i="28"/>
  <c r="BL187" i="29"/>
  <c r="BK192" i="28"/>
  <c r="BL23" i="28"/>
  <c r="BL22" i="28"/>
  <c r="BL191" i="28" s="1"/>
  <c r="BK25" i="28"/>
  <c r="BJ196" i="28"/>
  <c r="BK66" i="18"/>
  <c r="BK77" i="18" s="1"/>
  <c r="BM18" i="29"/>
  <c r="BL188" i="29"/>
  <c r="BO73" i="28"/>
  <c r="BO74" i="28"/>
  <c r="BN76" i="28"/>
  <c r="BN78" i="28" s="1"/>
  <c r="BQ138" i="28"/>
  <c r="BR137" i="28" s="1"/>
  <c r="BS104" i="28"/>
  <c r="BT103" i="28" s="1"/>
  <c r="BQ70" i="28"/>
  <c r="BR69" i="28" s="1"/>
  <c r="BP155" i="29"/>
  <c r="BQ154" i="29" s="1"/>
  <c r="BO70" i="29"/>
  <c r="BP69" i="29" s="1"/>
  <c r="BQ67" i="19"/>
  <c r="BQ69" i="19" s="1"/>
  <c r="BQ39" i="19"/>
  <c r="BQ41" i="19" s="1"/>
  <c r="BN144" i="29"/>
  <c r="BN146" i="29" s="1"/>
  <c r="BQ121" i="28"/>
  <c r="BR120" i="28" s="1"/>
  <c r="BN127" i="28"/>
  <c r="BN129" i="28" s="1"/>
  <c r="BN42" i="28"/>
  <c r="BN44" i="28" s="1"/>
  <c r="BN127" i="29"/>
  <c r="BN129" i="29" s="1"/>
  <c r="BO53" i="28"/>
  <c r="BP52" i="28" s="1"/>
  <c r="BN144" i="28"/>
  <c r="BN146" i="28" s="1"/>
  <c r="BN178" i="29"/>
  <c r="BN180" i="29" s="1"/>
  <c r="BN110" i="29"/>
  <c r="BN112" i="29" s="1"/>
  <c r="BN93" i="29"/>
  <c r="BN95" i="29" s="1"/>
  <c r="BO155" i="28"/>
  <c r="BP154" i="28" s="1"/>
  <c r="BO108" i="29"/>
  <c r="BO107" i="29"/>
  <c r="BO159" i="29"/>
  <c r="BO158" i="29"/>
  <c r="BO175" i="29"/>
  <c r="BO176" i="29"/>
  <c r="BP87" i="29"/>
  <c r="BQ86" i="29" s="1"/>
  <c r="BO142" i="29"/>
  <c r="BO141" i="29"/>
  <c r="BO40" i="28"/>
  <c r="BO39" i="28"/>
  <c r="BO171" i="28"/>
  <c r="BN178" i="28"/>
  <c r="BN180" i="28" s="1"/>
  <c r="BO141" i="28"/>
  <c r="BO142" i="28"/>
  <c r="BO104" i="29"/>
  <c r="BP103" i="29" s="1"/>
  <c r="BO91" i="29"/>
  <c r="BO90" i="29"/>
  <c r="BO107" i="28"/>
  <c r="BO108" i="28"/>
  <c r="BO124" i="29"/>
  <c r="BO125" i="29"/>
  <c r="BO124" i="28"/>
  <c r="BO125" i="28"/>
  <c r="BN76" i="29"/>
  <c r="BN78" i="29" s="1"/>
  <c r="BO36" i="28"/>
  <c r="BP35" i="28" s="1"/>
  <c r="BO73" i="29"/>
  <c r="BO74" i="29"/>
  <c r="BQ172" i="29"/>
  <c r="BR171" i="29" s="1"/>
  <c r="BQ168" i="28"/>
  <c r="BQ184" i="28" s="1"/>
  <c r="BQ67" i="18"/>
  <c r="BP170" i="28"/>
  <c r="BO91" i="28"/>
  <c r="BO90" i="28"/>
  <c r="BO56" i="28"/>
  <c r="BO57" i="28"/>
  <c r="BN93" i="28"/>
  <c r="BN95" i="28" s="1"/>
  <c r="BP138" i="29"/>
  <c r="BQ137" i="29" s="1"/>
  <c r="BO158" i="28"/>
  <c r="BO159" i="28"/>
  <c r="BN110" i="28"/>
  <c r="BN112" i="28" s="1"/>
  <c r="BN161" i="28"/>
  <c r="BN163" i="28" s="1"/>
  <c r="BN59" i="28"/>
  <c r="BN61" i="28" s="1"/>
  <c r="BO172" i="28"/>
  <c r="BP171" i="28" s="1"/>
  <c r="BP121" i="29"/>
  <c r="BQ120" i="29" s="1"/>
  <c r="BP175" i="28"/>
  <c r="BP176" i="28"/>
  <c r="BN161" i="29"/>
  <c r="BN163" i="29" s="1"/>
  <c r="BS87" i="28"/>
  <c r="BT86" i="28" s="1"/>
  <c r="BS86" i="28"/>
  <c r="BP59" i="29"/>
  <c r="BP61" i="29" s="1"/>
  <c r="BO42" i="29"/>
  <c r="BO44" i="29" s="1"/>
  <c r="BP40" i="29"/>
  <c r="BP39" i="29"/>
  <c r="BQ53" i="29"/>
  <c r="BR52" i="29" s="1"/>
  <c r="BQ36" i="29"/>
  <c r="BR35" i="29" s="1"/>
  <c r="BQ57" i="29"/>
  <c r="BQ56" i="29"/>
  <c r="BQ85" i="18" l="1"/>
  <c r="BM187" i="29"/>
  <c r="BM187" i="28"/>
  <c r="BK27" i="28"/>
  <c r="BK194" i="28"/>
  <c r="BK27" i="29"/>
  <c r="BK194" i="29"/>
  <c r="BL192" i="28"/>
  <c r="BM23" i="28"/>
  <c r="BM22" i="28"/>
  <c r="BM191" i="28" s="1"/>
  <c r="BN18" i="29"/>
  <c r="BM188" i="29"/>
  <c r="BL25" i="29"/>
  <c r="BN18" i="28"/>
  <c r="BM188" i="28"/>
  <c r="BO16" i="29"/>
  <c r="BN185" i="29"/>
  <c r="BO47" i="18" s="1"/>
  <c r="BO51" i="18" s="1"/>
  <c r="BN19" i="29"/>
  <c r="BL25" i="28"/>
  <c r="BO16" i="28"/>
  <c r="BN185" i="28"/>
  <c r="BO74" i="18" s="1"/>
  <c r="BN19" i="28"/>
  <c r="BQ169" i="28"/>
  <c r="BP186" i="28"/>
  <c r="BL192" i="29"/>
  <c r="BM23" i="29"/>
  <c r="BM22" i="29"/>
  <c r="BM191" i="29" s="1"/>
  <c r="BP73" i="28"/>
  <c r="BP74" i="28"/>
  <c r="BO76" i="28"/>
  <c r="BO78" i="28" s="1"/>
  <c r="BR138" i="28"/>
  <c r="BS137" i="28" s="1"/>
  <c r="BT104" i="28"/>
  <c r="BU103" i="28" s="1"/>
  <c r="BR70" i="28"/>
  <c r="BS69" i="28" s="1"/>
  <c r="BQ155" i="29"/>
  <c r="BR154" i="29" s="1"/>
  <c r="BP70" i="29"/>
  <c r="BQ69" i="29" s="1"/>
  <c r="BO161" i="29"/>
  <c r="BO163" i="29" s="1"/>
  <c r="BO110" i="29"/>
  <c r="BO112" i="29" s="1"/>
  <c r="BO178" i="28"/>
  <c r="BO180" i="28" s="1"/>
  <c r="BR121" i="28"/>
  <c r="BS120" i="28" s="1"/>
  <c r="BO93" i="29"/>
  <c r="BO95" i="29" s="1"/>
  <c r="BO144" i="28"/>
  <c r="BO146" i="28" s="1"/>
  <c r="BO76" i="29"/>
  <c r="BO78" i="29" s="1"/>
  <c r="BO144" i="29"/>
  <c r="BO146" i="29" s="1"/>
  <c r="BO178" i="29"/>
  <c r="BO180" i="29" s="1"/>
  <c r="BO161" i="28"/>
  <c r="BO163" i="28" s="1"/>
  <c r="BP53" i="28"/>
  <c r="BQ52" i="28" s="1"/>
  <c r="BP104" i="29"/>
  <c r="BQ103" i="29" s="1"/>
  <c r="BP175" i="29"/>
  <c r="BP176" i="29"/>
  <c r="BP125" i="28"/>
  <c r="BP124" i="28"/>
  <c r="BP159" i="28"/>
  <c r="BP158" i="28"/>
  <c r="BO93" i="28"/>
  <c r="BO95" i="28" s="1"/>
  <c r="BP73" i="29"/>
  <c r="BP74" i="29"/>
  <c r="BO127" i="28"/>
  <c r="BO129" i="28" s="1"/>
  <c r="BP141" i="28"/>
  <c r="BP142" i="28"/>
  <c r="BP159" i="29"/>
  <c r="BP158" i="29"/>
  <c r="BP90" i="28"/>
  <c r="BP91" i="28"/>
  <c r="BO42" i="28"/>
  <c r="BO44" i="28" s="1"/>
  <c r="BP36" i="28"/>
  <c r="BQ35" i="28" s="1"/>
  <c r="BP172" i="28"/>
  <c r="BQ171" i="28" s="1"/>
  <c r="BQ138" i="29"/>
  <c r="BR137" i="29" s="1"/>
  <c r="BP124" i="29"/>
  <c r="BP125" i="29"/>
  <c r="BP142" i="29"/>
  <c r="BP141" i="29"/>
  <c r="BQ121" i="29"/>
  <c r="BR120" i="29" s="1"/>
  <c r="BR67" i="18"/>
  <c r="BR168" i="28"/>
  <c r="BR184" i="28" s="1"/>
  <c r="BQ170" i="28"/>
  <c r="BP108" i="28"/>
  <c r="BP107" i="28"/>
  <c r="BP40" i="28"/>
  <c r="BP39" i="28"/>
  <c r="BQ87" i="29"/>
  <c r="BR86" i="29" s="1"/>
  <c r="BO110" i="28"/>
  <c r="BO112" i="28" s="1"/>
  <c r="BP107" i="29"/>
  <c r="BP108" i="29"/>
  <c r="BP57" i="28"/>
  <c r="BP56" i="28"/>
  <c r="BO127" i="29"/>
  <c r="BO129" i="29" s="1"/>
  <c r="BO59" i="28"/>
  <c r="BO61" i="28" s="1"/>
  <c r="BP91" i="29"/>
  <c r="BP90" i="29"/>
  <c r="BP155" i="28"/>
  <c r="BQ154" i="28" s="1"/>
  <c r="BQ175" i="28"/>
  <c r="BQ176" i="28"/>
  <c r="BR172" i="29"/>
  <c r="BS171" i="29" s="1"/>
  <c r="BT87" i="28"/>
  <c r="BP42" i="29"/>
  <c r="BP44" i="29" s="1"/>
  <c r="BR53" i="29"/>
  <c r="BS52" i="29" s="1"/>
  <c r="BR57" i="29"/>
  <c r="BR56" i="29"/>
  <c r="BR36" i="29"/>
  <c r="BS35" i="29" s="1"/>
  <c r="BQ59" i="29"/>
  <c r="BQ61" i="29" s="1"/>
  <c r="BQ40" i="29"/>
  <c r="BQ39" i="29"/>
  <c r="BQ52" i="19"/>
  <c r="BQ80" i="19"/>
  <c r="BP80" i="19"/>
  <c r="BL27" i="28" l="1"/>
  <c r="BL194" i="28"/>
  <c r="BO18" i="29"/>
  <c r="BN188" i="29"/>
  <c r="BM192" i="29"/>
  <c r="BN22" i="29"/>
  <c r="BN191" i="29" s="1"/>
  <c r="BN23" i="29"/>
  <c r="BP16" i="29"/>
  <c r="BO185" i="29"/>
  <c r="BP47" i="18" s="1"/>
  <c r="BP51" i="18" s="1"/>
  <c r="BO19" i="29"/>
  <c r="BK196" i="29"/>
  <c r="BL39" i="18"/>
  <c r="BL50" i="18" s="1"/>
  <c r="BN187" i="28"/>
  <c r="BK196" i="28"/>
  <c r="BL66" i="18"/>
  <c r="BL77" i="18" s="1"/>
  <c r="BL27" i="29"/>
  <c r="BL194" i="29"/>
  <c r="BM25" i="28"/>
  <c r="BN187" i="29"/>
  <c r="BR169" i="28"/>
  <c r="BQ186" i="28"/>
  <c r="BN188" i="28"/>
  <c r="BO18" i="28"/>
  <c r="BM192" i="28"/>
  <c r="BN23" i="28"/>
  <c r="BN22" i="28"/>
  <c r="BN191" i="28" s="1"/>
  <c r="BM25" i="29"/>
  <c r="BP16" i="28"/>
  <c r="BO185" i="28"/>
  <c r="BP74" i="18" s="1"/>
  <c r="BO19" i="28"/>
  <c r="BQ73" i="28"/>
  <c r="BQ74" i="28"/>
  <c r="BP76" i="28"/>
  <c r="BP78" i="28" s="1"/>
  <c r="BS138" i="28"/>
  <c r="BT137" i="28" s="1"/>
  <c r="BU104" i="28"/>
  <c r="BV103" i="28" s="1"/>
  <c r="BS70" i="28"/>
  <c r="BT69" i="28" s="1"/>
  <c r="BR155" i="29"/>
  <c r="BS154" i="29" s="1"/>
  <c r="BQ70" i="29"/>
  <c r="BR69" i="29" s="1"/>
  <c r="BP110" i="28"/>
  <c r="BP112" i="28" s="1"/>
  <c r="BP93" i="29"/>
  <c r="BP95" i="29" s="1"/>
  <c r="BP161" i="28"/>
  <c r="BP163" i="28" s="1"/>
  <c r="BP127" i="29"/>
  <c r="BP129" i="29" s="1"/>
  <c r="BP76" i="29"/>
  <c r="BP78" i="29" s="1"/>
  <c r="BP178" i="29"/>
  <c r="BP180" i="29" s="1"/>
  <c r="BP93" i="28"/>
  <c r="BP95" i="28" s="1"/>
  <c r="BS121" i="28"/>
  <c r="BT120" i="28" s="1"/>
  <c r="BP42" i="28"/>
  <c r="BP44" i="28" s="1"/>
  <c r="BP110" i="29"/>
  <c r="BP112" i="29" s="1"/>
  <c r="BP127" i="28"/>
  <c r="BP129" i="28" s="1"/>
  <c r="BP59" i="28"/>
  <c r="BP61" i="28" s="1"/>
  <c r="BQ53" i="28"/>
  <c r="BR52" i="28" s="1"/>
  <c r="BP144" i="29"/>
  <c r="BP146" i="29" s="1"/>
  <c r="BQ124" i="28"/>
  <c r="BQ125" i="28"/>
  <c r="BP178" i="28"/>
  <c r="BP180" i="28" s="1"/>
  <c r="BP161" i="29"/>
  <c r="BP163" i="29" s="1"/>
  <c r="BQ142" i="28"/>
  <c r="BQ141" i="28"/>
  <c r="BR87" i="29"/>
  <c r="BS86" i="29" s="1"/>
  <c r="BQ142" i="29"/>
  <c r="BQ141" i="29"/>
  <c r="BP144" i="28"/>
  <c r="BP146" i="28" s="1"/>
  <c r="BQ125" i="29"/>
  <c r="BQ124" i="29"/>
  <c r="BQ159" i="29"/>
  <c r="BQ158" i="29"/>
  <c r="BR121" i="29"/>
  <c r="BS120" i="29" s="1"/>
  <c r="BQ155" i="28"/>
  <c r="BR154" i="28" s="1"/>
  <c r="BQ73" i="29"/>
  <c r="BQ74" i="29"/>
  <c r="BR175" i="28"/>
  <c r="BR176" i="28"/>
  <c r="BQ40" i="28"/>
  <c r="BQ39" i="28"/>
  <c r="BQ172" i="28"/>
  <c r="BR171" i="28" s="1"/>
  <c r="BQ90" i="28"/>
  <c r="BQ91" i="28"/>
  <c r="BQ176" i="29"/>
  <c r="BQ175" i="29"/>
  <c r="BQ108" i="29"/>
  <c r="BQ107" i="29"/>
  <c r="BS172" i="29"/>
  <c r="BT171" i="29" s="1"/>
  <c r="BQ90" i="29"/>
  <c r="BQ91" i="29"/>
  <c r="BQ108" i="28"/>
  <c r="BQ107" i="28"/>
  <c r="BQ159" i="28"/>
  <c r="BQ158" i="28"/>
  <c r="BQ104" i="29"/>
  <c r="BR103" i="29" s="1"/>
  <c r="BQ36" i="28"/>
  <c r="BR35" i="28" s="1"/>
  <c r="BQ57" i="28"/>
  <c r="BQ56" i="28"/>
  <c r="BS67" i="18"/>
  <c r="BR170" i="28"/>
  <c r="BR138" i="29"/>
  <c r="BS137" i="29" s="1"/>
  <c r="BU87" i="28"/>
  <c r="BV86" i="28" s="1"/>
  <c r="BU86" i="28"/>
  <c r="BR59" i="29"/>
  <c r="BR61" i="29" s="1"/>
  <c r="BQ42" i="29"/>
  <c r="BQ44" i="29" s="1"/>
  <c r="BS36" i="29"/>
  <c r="BT35" i="29" s="1"/>
  <c r="BS53" i="29"/>
  <c r="BT52" i="29" s="1"/>
  <c r="BS57" i="29"/>
  <c r="BS56" i="29"/>
  <c r="BR39" i="29"/>
  <c r="BR40" i="29"/>
  <c r="BP52" i="19"/>
  <c r="G12" i="3"/>
  <c r="E12" i="45" s="1"/>
  <c r="BM27" i="29" l="1"/>
  <c r="BM194" i="29"/>
  <c r="BS169" i="28"/>
  <c r="BT169" i="28" s="1"/>
  <c r="BU169" i="28" s="1"/>
  <c r="BV169" i="28" s="1"/>
  <c r="BW169" i="28" s="1"/>
  <c r="BX169" i="28" s="1"/>
  <c r="BY169" i="28" s="1"/>
  <c r="BZ169" i="28" s="1"/>
  <c r="CA169" i="28" s="1"/>
  <c r="CB169" i="28" s="1"/>
  <c r="CC169" i="28" s="1"/>
  <c r="CD169" i="28" s="1"/>
  <c r="CE169" i="28" s="1"/>
  <c r="CF169" i="28" s="1"/>
  <c r="CG169" i="28" s="1"/>
  <c r="CH169" i="28" s="1"/>
  <c r="CI169" i="28" s="1"/>
  <c r="CJ169" i="28" s="1"/>
  <c r="CK169" i="28" s="1"/>
  <c r="CL169" i="28" s="1"/>
  <c r="CM169" i="28" s="1"/>
  <c r="CN169" i="28" s="1"/>
  <c r="CO169" i="28" s="1"/>
  <c r="CP169" i="28" s="1"/>
  <c r="CQ169" i="28" s="1"/>
  <c r="CR169" i="28" s="1"/>
  <c r="CS169" i="28" s="1"/>
  <c r="CT169" i="28" s="1"/>
  <c r="CU169" i="28" s="1"/>
  <c r="CV169" i="28" s="1"/>
  <c r="CW169" i="28" s="1"/>
  <c r="CX169" i="28" s="1"/>
  <c r="CY169" i="28" s="1"/>
  <c r="CZ169" i="28" s="1"/>
  <c r="DA169" i="28" s="1"/>
  <c r="BR186" i="28"/>
  <c r="BN192" i="28"/>
  <c r="BO23" i="28"/>
  <c r="BO22" i="28"/>
  <c r="BO191" i="28" s="1"/>
  <c r="BM27" i="28"/>
  <c r="BM194" i="28"/>
  <c r="BP18" i="29"/>
  <c r="BO188" i="29"/>
  <c r="BL196" i="29"/>
  <c r="BM39" i="18"/>
  <c r="BM50" i="18" s="1"/>
  <c r="BQ16" i="29"/>
  <c r="BP185" i="29"/>
  <c r="BQ47" i="18" s="1"/>
  <c r="BP19" i="29"/>
  <c r="BN192" i="29"/>
  <c r="BO23" i="29"/>
  <c r="BO22" i="29"/>
  <c r="BO191" i="29" s="1"/>
  <c r="BO187" i="28"/>
  <c r="BN25" i="29"/>
  <c r="BN25" i="28"/>
  <c r="BP18" i="28"/>
  <c r="BO188" i="28"/>
  <c r="BO187" i="29"/>
  <c r="BQ16" i="28"/>
  <c r="BP185" i="28"/>
  <c r="BQ74" i="18" s="1"/>
  <c r="BP19" i="28"/>
  <c r="BL196" i="28"/>
  <c r="BM66" i="18"/>
  <c r="BM77" i="18" s="1"/>
  <c r="BR74" i="28"/>
  <c r="BR73" i="28"/>
  <c r="BQ76" i="28"/>
  <c r="BQ78" i="28" s="1"/>
  <c r="BT138" i="28"/>
  <c r="BU137" i="28" s="1"/>
  <c r="BV104" i="28"/>
  <c r="BW103" i="28" s="1"/>
  <c r="BT70" i="28"/>
  <c r="BU69" i="28" s="1"/>
  <c r="BS155" i="29"/>
  <c r="BT154" i="29" s="1"/>
  <c r="BR70" i="29"/>
  <c r="BS69" i="29" s="1"/>
  <c r="BQ178" i="28"/>
  <c r="BQ180" i="28" s="1"/>
  <c r="BT121" i="28"/>
  <c r="BU120" i="28" s="1"/>
  <c r="BQ144" i="28"/>
  <c r="BQ146" i="28" s="1"/>
  <c r="BQ161" i="28"/>
  <c r="BQ163" i="28" s="1"/>
  <c r="BQ127" i="29"/>
  <c r="BQ129" i="29" s="1"/>
  <c r="BR53" i="28"/>
  <c r="BS52" i="28" s="1"/>
  <c r="BQ59" i="28"/>
  <c r="BQ61" i="28" s="1"/>
  <c r="BS138" i="29"/>
  <c r="BT137" i="29" s="1"/>
  <c r="BR172" i="28"/>
  <c r="BS171" i="28" s="1"/>
  <c r="BT172" i="29"/>
  <c r="BU171" i="29" s="1"/>
  <c r="BR141" i="29"/>
  <c r="BR142" i="29"/>
  <c r="BR108" i="29"/>
  <c r="BR107" i="29"/>
  <c r="BS176" i="28"/>
  <c r="BS175" i="28"/>
  <c r="BQ161" i="29"/>
  <c r="BQ163" i="29" s="1"/>
  <c r="BS121" i="29"/>
  <c r="BT120" i="29" s="1"/>
  <c r="BR159" i="29"/>
  <c r="BR158" i="29"/>
  <c r="BS87" i="29"/>
  <c r="BT86" i="29" s="1"/>
  <c r="BR57" i="28"/>
  <c r="BR56" i="28"/>
  <c r="BQ178" i="29"/>
  <c r="BQ180" i="29" s="1"/>
  <c r="BR142" i="28"/>
  <c r="BR141" i="28"/>
  <c r="BR175" i="29"/>
  <c r="BR176" i="29"/>
  <c r="BQ42" i="28"/>
  <c r="BQ44" i="28" s="1"/>
  <c r="BR36" i="28"/>
  <c r="BS35" i="28" s="1"/>
  <c r="BR90" i="28"/>
  <c r="BR91" i="28"/>
  <c r="BR74" i="29"/>
  <c r="BR73" i="29"/>
  <c r="BQ93" i="28"/>
  <c r="BQ95" i="28" s="1"/>
  <c r="BQ76" i="29"/>
  <c r="BQ78" i="29" s="1"/>
  <c r="BQ110" i="29"/>
  <c r="BQ112" i="29" s="1"/>
  <c r="BR104" i="29"/>
  <c r="BS103" i="29" s="1"/>
  <c r="BQ110" i="28"/>
  <c r="BQ112" i="28" s="1"/>
  <c r="BR108" i="28"/>
  <c r="BR107" i="28"/>
  <c r="BR124" i="29"/>
  <c r="BR125" i="29"/>
  <c r="BR39" i="28"/>
  <c r="BR40" i="28"/>
  <c r="BR124" i="28"/>
  <c r="BR125" i="28"/>
  <c r="BR158" i="28"/>
  <c r="BR159" i="28"/>
  <c r="BR90" i="29"/>
  <c r="BR91" i="29"/>
  <c r="BQ93" i="29"/>
  <c r="BQ95" i="29" s="1"/>
  <c r="BR155" i="28"/>
  <c r="BS154" i="28" s="1"/>
  <c r="BQ144" i="29"/>
  <c r="BQ146" i="29" s="1"/>
  <c r="BQ127" i="28"/>
  <c r="BQ129" i="28" s="1"/>
  <c r="BV87" i="28"/>
  <c r="BW86" i="28" s="1"/>
  <c r="BR42" i="29"/>
  <c r="BR44" i="29" s="1"/>
  <c r="BS59" i="29"/>
  <c r="BS61" i="29" s="1"/>
  <c r="BT36" i="29"/>
  <c r="BU35" i="29" s="1"/>
  <c r="BT57" i="29"/>
  <c r="BT56" i="29"/>
  <c r="BT53" i="29"/>
  <c r="BU52" i="29" s="1"/>
  <c r="BS39" i="29"/>
  <c r="BS40" i="29"/>
  <c r="G11" i="3"/>
  <c r="E11" i="45" s="1"/>
  <c r="BS172" i="28" l="1"/>
  <c r="BT171" i="28" s="1"/>
  <c r="BO25" i="29"/>
  <c r="BO194" i="29" s="1"/>
  <c r="I4" i="3"/>
  <c r="BQ51" i="18"/>
  <c r="BP187" i="29"/>
  <c r="BP188" i="28"/>
  <c r="BQ18" i="28"/>
  <c r="BO192" i="29"/>
  <c r="BP23" i="29"/>
  <c r="BP22" i="29"/>
  <c r="BP191" i="29" s="1"/>
  <c r="BM196" i="28"/>
  <c r="BN66" i="18"/>
  <c r="BN77" i="18" s="1"/>
  <c r="BN27" i="28"/>
  <c r="BN194" i="28"/>
  <c r="BR16" i="28"/>
  <c r="BQ185" i="28"/>
  <c r="BR74" i="18" s="1"/>
  <c r="BQ19" i="28"/>
  <c r="BO192" i="28"/>
  <c r="BP23" i="28"/>
  <c r="BP22" i="28"/>
  <c r="BP191" i="28" s="1"/>
  <c r="BP187" i="28"/>
  <c r="BQ18" i="29"/>
  <c r="BP188" i="29"/>
  <c r="BN27" i="29"/>
  <c r="BN194" i="29"/>
  <c r="BR16" i="29"/>
  <c r="BQ185" i="29"/>
  <c r="BQ19" i="29"/>
  <c r="BM196" i="29"/>
  <c r="BN39" i="18"/>
  <c r="BN50" i="18" s="1"/>
  <c r="BO25" i="28"/>
  <c r="BR76" i="28"/>
  <c r="BR78" i="28" s="1"/>
  <c r="BS74" i="28"/>
  <c r="BS73" i="28"/>
  <c r="BU138" i="28"/>
  <c r="BV137" i="28" s="1"/>
  <c r="BW104" i="28"/>
  <c r="BX103" i="28" s="1"/>
  <c r="BU70" i="28"/>
  <c r="BV69" i="28" s="1"/>
  <c r="BT155" i="29"/>
  <c r="BU154" i="29" s="1"/>
  <c r="BS70" i="29"/>
  <c r="BT69" i="29" s="1"/>
  <c r="BR76" i="29"/>
  <c r="BR78" i="29" s="1"/>
  <c r="BR144" i="29"/>
  <c r="BR146" i="29" s="1"/>
  <c r="BR59" i="28"/>
  <c r="BR61" i="28" s="1"/>
  <c r="BR110" i="28"/>
  <c r="BR112" i="28" s="1"/>
  <c r="BU121" i="28"/>
  <c r="BV120" i="28" s="1"/>
  <c r="BS53" i="28"/>
  <c r="BT52" i="28" s="1"/>
  <c r="BR178" i="28"/>
  <c r="BR180" i="28" s="1"/>
  <c r="BR178" i="29"/>
  <c r="BR180" i="29" s="1"/>
  <c r="BR144" i="28"/>
  <c r="BR146" i="28" s="1"/>
  <c r="BS36" i="28"/>
  <c r="BT35" i="28" s="1"/>
  <c r="BR161" i="29"/>
  <c r="BR163" i="29" s="1"/>
  <c r="BS141" i="28"/>
  <c r="BS142" i="28"/>
  <c r="BR110" i="29"/>
  <c r="BR112" i="29" s="1"/>
  <c r="BS159" i="29"/>
  <c r="BS158" i="29"/>
  <c r="BS124" i="28"/>
  <c r="BS125" i="28"/>
  <c r="BS141" i="29"/>
  <c r="BS142" i="29"/>
  <c r="BS155" i="28"/>
  <c r="BT154" i="28" s="1"/>
  <c r="BR127" i="28"/>
  <c r="BR129" i="28" s="1"/>
  <c r="BT121" i="29"/>
  <c r="BU120" i="29" s="1"/>
  <c r="BR161" i="28"/>
  <c r="BR163" i="28" s="1"/>
  <c r="BS40" i="28"/>
  <c r="BS39" i="28"/>
  <c r="BS104" i="29"/>
  <c r="BT103" i="29" s="1"/>
  <c r="BU172" i="29"/>
  <c r="BV171" i="29" s="1"/>
  <c r="BS176" i="29"/>
  <c r="BS175" i="29"/>
  <c r="BS57" i="28"/>
  <c r="BS56" i="28"/>
  <c r="BS178" i="28"/>
  <c r="BS180" i="28" s="1"/>
  <c r="BT138" i="29"/>
  <c r="BU137" i="29" s="1"/>
  <c r="BR93" i="29"/>
  <c r="BR95" i="29" s="1"/>
  <c r="BR127" i="29"/>
  <c r="BR129" i="29" s="1"/>
  <c r="BS74" i="29"/>
  <c r="BS73" i="29"/>
  <c r="BR42" i="28"/>
  <c r="BR44" i="28" s="1"/>
  <c r="BT176" i="28"/>
  <c r="BT175" i="28"/>
  <c r="BS159" i="28"/>
  <c r="BS158" i="28"/>
  <c r="BS91" i="28"/>
  <c r="BS90" i="28"/>
  <c r="BT87" i="29"/>
  <c r="BU86" i="29" s="1"/>
  <c r="BS90" i="29"/>
  <c r="BS91" i="29"/>
  <c r="BS124" i="29"/>
  <c r="BS125" i="29"/>
  <c r="BS108" i="28"/>
  <c r="BS107" i="28"/>
  <c r="BR93" i="28"/>
  <c r="BR95" i="28" s="1"/>
  <c r="BT172" i="28"/>
  <c r="BU171" i="28" s="1"/>
  <c r="BS107" i="29"/>
  <c r="BS108" i="29"/>
  <c r="BW87" i="28"/>
  <c r="BT59" i="29"/>
  <c r="BT61" i="29" s="1"/>
  <c r="BS42" i="29"/>
  <c r="BS44" i="29" s="1"/>
  <c r="BU57" i="29"/>
  <c r="BU56" i="29"/>
  <c r="BT39" i="29"/>
  <c r="BT40" i="29"/>
  <c r="BU53" i="29"/>
  <c r="BV52" i="29" s="1"/>
  <c r="BU36" i="29"/>
  <c r="BV35" i="29" s="1"/>
  <c r="F19" i="3" l="1"/>
  <c r="F4" i="45"/>
  <c r="BO27" i="29"/>
  <c r="BP25" i="28"/>
  <c r="BP194" i="28" s="1"/>
  <c r="BQ187" i="29"/>
  <c r="BR18" i="28"/>
  <c r="BQ188" i="28"/>
  <c r="BS16" i="28"/>
  <c r="BR185" i="28"/>
  <c r="BS74" i="18" s="1"/>
  <c r="BR19" i="28"/>
  <c r="BR18" i="29"/>
  <c r="BQ188" i="29"/>
  <c r="BN196" i="28"/>
  <c r="BO66" i="18"/>
  <c r="BO77" i="18" s="1"/>
  <c r="BS16" i="29"/>
  <c r="BR185" i="29"/>
  <c r="BR19" i="29"/>
  <c r="BP192" i="28"/>
  <c r="BQ23" i="28"/>
  <c r="BQ22" i="28"/>
  <c r="BQ191" i="28" s="1"/>
  <c r="BP192" i="29"/>
  <c r="BQ23" i="29"/>
  <c r="BQ22" i="29"/>
  <c r="BQ191" i="29" s="1"/>
  <c r="BQ187" i="28"/>
  <c r="BO196" i="29"/>
  <c r="BP39" i="18"/>
  <c r="BP50" i="18" s="1"/>
  <c r="BO27" i="28"/>
  <c r="BO194" i="28"/>
  <c r="BN196" i="29"/>
  <c r="BO39" i="18"/>
  <c r="BO50" i="18" s="1"/>
  <c r="BP25" i="29"/>
  <c r="BS76" i="28"/>
  <c r="BS78" i="28" s="1"/>
  <c r="BT73" i="28"/>
  <c r="BT74" i="28"/>
  <c r="BV138" i="28"/>
  <c r="BW137" i="28" s="1"/>
  <c r="BX104" i="28"/>
  <c r="BY103" i="28" s="1"/>
  <c r="BV70" i="28"/>
  <c r="BW69" i="28" s="1"/>
  <c r="BU155" i="29"/>
  <c r="BV154" i="29" s="1"/>
  <c r="BT70" i="29"/>
  <c r="BU69" i="29" s="1"/>
  <c r="BS178" i="29"/>
  <c r="BS180" i="29" s="1"/>
  <c r="BS76" i="29"/>
  <c r="BS78" i="29" s="1"/>
  <c r="BS42" i="28"/>
  <c r="BS44" i="28" s="1"/>
  <c r="BV121" i="28"/>
  <c r="BW120" i="28" s="1"/>
  <c r="BS110" i="29"/>
  <c r="BS112" i="29" s="1"/>
  <c r="BS144" i="29"/>
  <c r="BS146" i="29" s="1"/>
  <c r="BS127" i="29"/>
  <c r="BS129" i="29" s="1"/>
  <c r="BT53" i="28"/>
  <c r="BU52" i="28" s="1"/>
  <c r="BT107" i="28"/>
  <c r="BT108" i="28"/>
  <c r="BU176" i="28"/>
  <c r="BU175" i="28"/>
  <c r="BT57" i="28"/>
  <c r="BT56" i="28"/>
  <c r="BS161" i="29"/>
  <c r="BS163" i="29" s="1"/>
  <c r="BT125" i="29"/>
  <c r="BT124" i="29"/>
  <c r="BS93" i="29"/>
  <c r="BS95" i="29" s="1"/>
  <c r="BT73" i="29"/>
  <c r="BT74" i="29"/>
  <c r="BT155" i="28"/>
  <c r="BU154" i="28" s="1"/>
  <c r="BT176" i="29"/>
  <c r="BT175" i="29"/>
  <c r="BT91" i="29"/>
  <c r="BT90" i="29"/>
  <c r="BU87" i="29"/>
  <c r="BV86" i="29" s="1"/>
  <c r="BV172" i="29"/>
  <c r="BW171" i="29" s="1"/>
  <c r="BT141" i="29"/>
  <c r="BT142" i="29"/>
  <c r="BU138" i="29"/>
  <c r="BV137" i="29" s="1"/>
  <c r="BT159" i="29"/>
  <c r="BT158" i="29"/>
  <c r="BT108" i="29"/>
  <c r="BT107" i="29"/>
  <c r="BS93" i="28"/>
  <c r="BS95" i="28" s="1"/>
  <c r="BS161" i="28"/>
  <c r="BS163" i="28" s="1"/>
  <c r="BT91" i="28"/>
  <c r="BT90" i="28"/>
  <c r="BU172" i="28"/>
  <c r="BV171" i="28" s="1"/>
  <c r="BT104" i="29"/>
  <c r="BU103" i="29" s="1"/>
  <c r="BT142" i="28"/>
  <c r="BT141" i="28"/>
  <c r="BT178" i="28"/>
  <c r="BT180" i="28" s="1"/>
  <c r="BT159" i="28"/>
  <c r="BT158" i="28"/>
  <c r="BU121" i="29"/>
  <c r="BV120" i="29" s="1"/>
  <c r="BS144" i="28"/>
  <c r="BS146" i="28" s="1"/>
  <c r="BT36" i="28"/>
  <c r="BU35" i="28" s="1"/>
  <c r="BT124" i="28"/>
  <c r="BT125" i="28"/>
  <c r="BS110" i="28"/>
  <c r="BS112" i="28" s="1"/>
  <c r="BS59" i="28"/>
  <c r="BS61" i="28" s="1"/>
  <c r="BT40" i="28"/>
  <c r="BT39" i="28"/>
  <c r="BS127" i="28"/>
  <c r="BS129" i="28" s="1"/>
  <c r="BX86" i="28"/>
  <c r="BX87" i="28"/>
  <c r="BY86" i="28" s="1"/>
  <c r="BU59" i="29"/>
  <c r="BU61" i="29" s="1"/>
  <c r="BT42" i="29"/>
  <c r="BT44" i="29" s="1"/>
  <c r="BV57" i="29"/>
  <c r="BV56" i="29"/>
  <c r="BV36" i="29"/>
  <c r="BW35" i="29" s="1"/>
  <c r="BV53" i="29"/>
  <c r="BW52" i="29" s="1"/>
  <c r="BU39" i="29"/>
  <c r="BU40" i="29"/>
  <c r="BP27" i="28" l="1"/>
  <c r="BQ25" i="28"/>
  <c r="BQ27" i="28" s="1"/>
  <c r="BR188" i="28"/>
  <c r="BS18" i="28"/>
  <c r="BS18" i="29"/>
  <c r="BR188" i="29"/>
  <c r="BT16" i="28"/>
  <c r="BS185" i="28"/>
  <c r="BT74" i="18" s="1"/>
  <c r="BS19" i="28"/>
  <c r="BT16" i="29"/>
  <c r="BS185" i="29"/>
  <c r="BS19" i="29"/>
  <c r="BO196" i="28"/>
  <c r="BP66" i="18"/>
  <c r="BP77" i="18" s="1"/>
  <c r="BQ192" i="29"/>
  <c r="BR22" i="29"/>
  <c r="BR191" i="29" s="1"/>
  <c r="BR23" i="29"/>
  <c r="BR187" i="29"/>
  <c r="BR187" i="28"/>
  <c r="BP27" i="29"/>
  <c r="BP194" i="29"/>
  <c r="BQ25" i="29"/>
  <c r="BQ192" i="28"/>
  <c r="BR22" i="28"/>
  <c r="BR191" i="28" s="1"/>
  <c r="BR23" i="28"/>
  <c r="BP196" i="28"/>
  <c r="BQ66" i="18"/>
  <c r="BQ77" i="18" s="1"/>
  <c r="BU74" i="28"/>
  <c r="BU73" i="28"/>
  <c r="BT76" i="28"/>
  <c r="BT78" i="28" s="1"/>
  <c r="BW138" i="28"/>
  <c r="BX137" i="28" s="1"/>
  <c r="BY104" i="28"/>
  <c r="BZ103" i="28" s="1"/>
  <c r="BW70" i="28"/>
  <c r="BX69" i="28" s="1"/>
  <c r="BV155" i="29"/>
  <c r="BW154" i="29" s="1"/>
  <c r="BU70" i="29"/>
  <c r="BV69" i="29" s="1"/>
  <c r="BT93" i="29"/>
  <c r="BT95" i="29" s="1"/>
  <c r="BU178" i="28"/>
  <c r="BU180" i="28" s="1"/>
  <c r="BT127" i="29"/>
  <c r="BT129" i="29" s="1"/>
  <c r="BT144" i="29"/>
  <c r="BT146" i="29" s="1"/>
  <c r="BT178" i="29"/>
  <c r="BT180" i="29" s="1"/>
  <c r="BW121" i="28"/>
  <c r="BX120" i="28" s="1"/>
  <c r="BT42" i="28"/>
  <c r="BT44" i="28" s="1"/>
  <c r="BT127" i="28"/>
  <c r="BT129" i="28" s="1"/>
  <c r="BT76" i="29"/>
  <c r="BT78" i="29" s="1"/>
  <c r="BU53" i="28"/>
  <c r="BV52" i="28" s="1"/>
  <c r="BT161" i="29"/>
  <c r="BT163" i="29" s="1"/>
  <c r="BU91" i="28"/>
  <c r="BU90" i="28"/>
  <c r="BU159" i="29"/>
  <c r="BU158" i="29"/>
  <c r="BU158" i="28"/>
  <c r="BU159" i="28"/>
  <c r="BT93" i="28"/>
  <c r="BT95" i="28" s="1"/>
  <c r="BU108" i="29"/>
  <c r="BU107" i="29"/>
  <c r="BU176" i="29"/>
  <c r="BU175" i="29"/>
  <c r="BU125" i="28"/>
  <c r="BU124" i="28"/>
  <c r="BT144" i="28"/>
  <c r="BT146" i="28" s="1"/>
  <c r="BU155" i="28"/>
  <c r="BV154" i="28" s="1"/>
  <c r="BU142" i="28"/>
  <c r="BU141" i="28"/>
  <c r="BU36" i="28"/>
  <c r="BV35" i="28" s="1"/>
  <c r="BT161" i="28"/>
  <c r="BT163" i="28" s="1"/>
  <c r="BU73" i="29"/>
  <c r="BU74" i="29"/>
  <c r="BT59" i="28"/>
  <c r="BT61" i="28" s="1"/>
  <c r="BU104" i="29"/>
  <c r="BV103" i="29" s="1"/>
  <c r="BV138" i="29"/>
  <c r="BW137" i="29" s="1"/>
  <c r="BV87" i="29"/>
  <c r="BW86" i="29" s="1"/>
  <c r="BU57" i="28"/>
  <c r="BU56" i="28"/>
  <c r="BU40" i="28"/>
  <c r="BU39" i="28"/>
  <c r="BV121" i="29"/>
  <c r="BW120" i="29" s="1"/>
  <c r="BW172" i="29"/>
  <c r="BX171" i="29" s="1"/>
  <c r="BU141" i="29"/>
  <c r="BU142" i="29"/>
  <c r="BV176" i="28"/>
  <c r="BV175" i="28"/>
  <c r="BT110" i="29"/>
  <c r="BT112" i="29" s="1"/>
  <c r="BU125" i="29"/>
  <c r="BU124" i="29"/>
  <c r="BU107" i="28"/>
  <c r="BU108" i="28"/>
  <c r="BV172" i="28"/>
  <c r="BW171" i="28" s="1"/>
  <c r="BU91" i="29"/>
  <c r="BU90" i="29"/>
  <c r="BT110" i="28"/>
  <c r="BT112" i="28" s="1"/>
  <c r="BY87" i="28"/>
  <c r="BV59" i="29"/>
  <c r="BV61" i="29" s="1"/>
  <c r="BW57" i="29"/>
  <c r="BW56" i="29"/>
  <c r="BU42" i="29"/>
  <c r="BU44" i="29" s="1"/>
  <c r="BW36" i="29"/>
  <c r="BX35" i="29" s="1"/>
  <c r="BV39" i="29"/>
  <c r="BV40" i="29"/>
  <c r="BW53" i="29"/>
  <c r="BX52" i="29" s="1"/>
  <c r="BB53" i="19"/>
  <c r="BC53" i="19"/>
  <c r="BD53" i="19"/>
  <c r="T6" i="3"/>
  <c r="V6" i="3" s="1"/>
  <c r="BQ194" i="28" l="1"/>
  <c r="G5" i="3"/>
  <c r="I5" i="3"/>
  <c r="F5" i="45" s="1"/>
  <c r="BT78" i="18"/>
  <c r="BR192" i="29"/>
  <c r="BS23" i="29"/>
  <c r="BS22" i="29"/>
  <c r="BS191" i="29" s="1"/>
  <c r="BR192" i="28"/>
  <c r="BS23" i="28"/>
  <c r="BS22" i="28"/>
  <c r="BS191" i="28" s="1"/>
  <c r="BT18" i="29"/>
  <c r="BS188" i="29"/>
  <c r="BU16" i="29"/>
  <c r="BT185" i="29"/>
  <c r="BT19" i="29"/>
  <c r="BQ27" i="29"/>
  <c r="BQ196" i="29" s="1"/>
  <c r="BQ194" i="29"/>
  <c r="BT18" i="28"/>
  <c r="BS188" i="28"/>
  <c r="BP196" i="29"/>
  <c r="BQ39" i="18"/>
  <c r="BU16" i="28"/>
  <c r="BT185" i="28"/>
  <c r="BT19" i="28"/>
  <c r="BS187" i="29"/>
  <c r="BR25" i="28"/>
  <c r="BQ196" i="28"/>
  <c r="BR66" i="18"/>
  <c r="BR77" i="18" s="1"/>
  <c r="BR25" i="29"/>
  <c r="BS187" i="28"/>
  <c r="BU76" i="28"/>
  <c r="BU78" i="28" s="1"/>
  <c r="BV74" i="28"/>
  <c r="BV73" i="28"/>
  <c r="BX138" i="28"/>
  <c r="BY137" i="28" s="1"/>
  <c r="BZ104" i="28"/>
  <c r="CA103" i="28" s="1"/>
  <c r="BX70" i="28"/>
  <c r="BY69" i="28" s="1"/>
  <c r="BW155" i="29"/>
  <c r="BX154" i="29" s="1"/>
  <c r="BV70" i="29"/>
  <c r="BW69" i="29" s="1"/>
  <c r="BU42" i="28"/>
  <c r="BU44" i="28" s="1"/>
  <c r="BU110" i="29"/>
  <c r="BU112" i="29" s="1"/>
  <c r="BU127" i="29"/>
  <c r="BU129" i="29" s="1"/>
  <c r="BU110" i="28"/>
  <c r="BU112" i="28" s="1"/>
  <c r="BU127" i="28"/>
  <c r="BU129" i="28" s="1"/>
  <c r="BU144" i="28"/>
  <c r="BU146" i="28" s="1"/>
  <c r="BU178" i="29"/>
  <c r="BU180" i="29" s="1"/>
  <c r="BU161" i="28"/>
  <c r="BU163" i="28" s="1"/>
  <c r="BX121" i="28"/>
  <c r="BY120" i="28" s="1"/>
  <c r="BU93" i="28"/>
  <c r="BU95" i="28" s="1"/>
  <c r="BU93" i="29"/>
  <c r="BU95" i="29" s="1"/>
  <c r="BU76" i="29"/>
  <c r="BU78" i="29" s="1"/>
  <c r="BV53" i="28"/>
  <c r="BW52" i="28" s="1"/>
  <c r="BU59" i="28"/>
  <c r="BU61" i="28" s="1"/>
  <c r="BU144" i="29"/>
  <c r="BU146" i="29" s="1"/>
  <c r="BV107" i="28"/>
  <c r="BV108" i="28"/>
  <c r="BV125" i="29"/>
  <c r="BV124" i="29"/>
  <c r="BV178" i="28"/>
  <c r="BV180" i="28" s="1"/>
  <c r="BW121" i="29"/>
  <c r="BX120" i="29" s="1"/>
  <c r="BV125" i="28"/>
  <c r="BV124" i="28"/>
  <c r="BV74" i="29"/>
  <c r="BV73" i="29"/>
  <c r="BV104" i="29"/>
  <c r="BW103" i="29" s="1"/>
  <c r="BV108" i="29"/>
  <c r="BV107" i="29"/>
  <c r="BV39" i="28"/>
  <c r="BV40" i="28"/>
  <c r="BV142" i="28"/>
  <c r="BV141" i="28"/>
  <c r="BV159" i="28"/>
  <c r="BV158" i="28"/>
  <c r="BW175" i="28"/>
  <c r="BW176" i="28"/>
  <c r="BV91" i="29"/>
  <c r="BV90" i="29"/>
  <c r="BV142" i="29"/>
  <c r="BV141" i="29"/>
  <c r="BV57" i="28"/>
  <c r="BV56" i="28"/>
  <c r="BV155" i="28"/>
  <c r="BW154" i="28" s="1"/>
  <c r="BV175" i="29"/>
  <c r="BV176" i="29"/>
  <c r="BU161" i="29"/>
  <c r="BU163" i="29" s="1"/>
  <c r="BW87" i="29"/>
  <c r="BX86" i="29" s="1"/>
  <c r="BV36" i="28"/>
  <c r="BW35" i="28" s="1"/>
  <c r="BV159" i="29"/>
  <c r="BV158" i="29"/>
  <c r="BX172" i="29"/>
  <c r="BY171" i="29" s="1"/>
  <c r="BW172" i="28"/>
  <c r="BX171" i="28" s="1"/>
  <c r="BW138" i="29"/>
  <c r="BX137" i="29" s="1"/>
  <c r="BV90" i="28"/>
  <c r="BV91" i="28"/>
  <c r="BZ86" i="28"/>
  <c r="BZ87" i="28"/>
  <c r="CA86" i="28" s="1"/>
  <c r="BV42" i="29"/>
  <c r="BV44" i="29" s="1"/>
  <c r="BW59" i="29"/>
  <c r="BW61" i="29" s="1"/>
  <c r="BX53" i="29"/>
  <c r="BY52" i="29" s="1"/>
  <c r="BW40" i="29"/>
  <c r="BW39" i="29"/>
  <c r="BX36" i="29"/>
  <c r="BY35" i="29" s="1"/>
  <c r="BX57" i="29"/>
  <c r="BX56" i="29"/>
  <c r="E20" i="3" l="1"/>
  <c r="E5" i="45"/>
  <c r="F20" i="3"/>
  <c r="BS25" i="29"/>
  <c r="BS27" i="29" s="1"/>
  <c r="BS196" i="29" s="1"/>
  <c r="BS25" i="28"/>
  <c r="BS27" i="28" s="1"/>
  <c r="BV16" i="28"/>
  <c r="BU185" i="28"/>
  <c r="BU19" i="28"/>
  <c r="BQ50" i="18"/>
  <c r="BR27" i="29"/>
  <c r="BR196" i="29" s="1"/>
  <c r="BR194" i="29"/>
  <c r="BT187" i="29"/>
  <c r="BT187" i="28"/>
  <c r="BS192" i="28"/>
  <c r="BT22" i="28"/>
  <c r="BT191" i="28" s="1"/>
  <c r="BT23" i="28"/>
  <c r="BR27" i="28"/>
  <c r="BR194" i="28"/>
  <c r="BU18" i="29"/>
  <c r="BT188" i="29"/>
  <c r="BV16" i="29"/>
  <c r="BU185" i="29"/>
  <c r="BU19" i="29"/>
  <c r="BS192" i="29"/>
  <c r="BT22" i="29"/>
  <c r="BT191" i="29" s="1"/>
  <c r="BT23" i="29"/>
  <c r="BT188" i="28"/>
  <c r="BU18" i="28"/>
  <c r="BV76" i="28"/>
  <c r="BV78" i="28" s="1"/>
  <c r="BW73" i="28"/>
  <c r="BW74" i="28"/>
  <c r="BY138" i="28"/>
  <c r="BZ137" i="28" s="1"/>
  <c r="CA104" i="28"/>
  <c r="CB103" i="28" s="1"/>
  <c r="BY70" i="28"/>
  <c r="BZ69" i="28" s="1"/>
  <c r="BX155" i="29"/>
  <c r="BY154" i="29" s="1"/>
  <c r="BW70" i="29"/>
  <c r="BX69" i="29" s="1"/>
  <c r="BV93" i="29"/>
  <c r="BV95" i="29" s="1"/>
  <c r="BV161" i="29"/>
  <c r="BV163" i="29" s="1"/>
  <c r="BV144" i="29"/>
  <c r="BV146" i="29" s="1"/>
  <c r="BV76" i="29"/>
  <c r="BV78" i="29" s="1"/>
  <c r="BV178" i="29"/>
  <c r="BV180" i="29" s="1"/>
  <c r="BY121" i="28"/>
  <c r="BZ120" i="28" s="1"/>
  <c r="BW53" i="28"/>
  <c r="BX52" i="28" s="1"/>
  <c r="BY172" i="29"/>
  <c r="BZ171" i="29" s="1"/>
  <c r="BV59" i="28"/>
  <c r="BV61" i="28" s="1"/>
  <c r="BV144" i="28"/>
  <c r="BV146" i="28" s="1"/>
  <c r="BW142" i="29"/>
  <c r="BW141" i="29"/>
  <c r="BW39" i="28"/>
  <c r="BW40" i="28"/>
  <c r="BW158" i="29"/>
  <c r="BW159" i="29"/>
  <c r="BW91" i="29"/>
  <c r="BW90" i="29"/>
  <c r="BX138" i="29"/>
  <c r="BY137" i="29" s="1"/>
  <c r="BW74" i="29"/>
  <c r="BW73" i="29"/>
  <c r="BV110" i="29"/>
  <c r="BV112" i="29" s="1"/>
  <c r="BW36" i="28"/>
  <c r="BX35" i="28" s="1"/>
  <c r="BX175" i="28"/>
  <c r="BX176" i="28"/>
  <c r="BV127" i="29"/>
  <c r="BV129" i="29" s="1"/>
  <c r="BW107" i="29"/>
  <c r="BW108" i="29"/>
  <c r="BW124" i="29"/>
  <c r="BW125" i="29"/>
  <c r="BX87" i="29"/>
  <c r="BY86" i="29" s="1"/>
  <c r="BW176" i="29"/>
  <c r="BW175" i="29"/>
  <c r="BV127" i="28"/>
  <c r="BV129" i="28" s="1"/>
  <c r="BW90" i="28"/>
  <c r="BW91" i="28"/>
  <c r="BW125" i="28"/>
  <c r="BW124" i="28"/>
  <c r="BW108" i="28"/>
  <c r="BW107" i="28"/>
  <c r="BW142" i="28"/>
  <c r="BW141" i="28"/>
  <c r="BV93" i="28"/>
  <c r="BV95" i="28" s="1"/>
  <c r="BW178" i="28"/>
  <c r="BW180" i="28" s="1"/>
  <c r="BW104" i="29"/>
  <c r="BX103" i="29" s="1"/>
  <c r="BV110" i="28"/>
  <c r="BV112" i="28" s="1"/>
  <c r="BX172" i="28"/>
  <c r="BY171" i="28" s="1"/>
  <c r="BW155" i="28"/>
  <c r="BX154" i="28" s="1"/>
  <c r="BW159" i="28"/>
  <c r="BW158" i="28"/>
  <c r="BW57" i="28"/>
  <c r="BW56" i="28"/>
  <c r="BV42" i="28"/>
  <c r="BV44" i="28" s="1"/>
  <c r="BV161" i="28"/>
  <c r="BV163" i="28" s="1"/>
  <c r="BX121" i="29"/>
  <c r="BY120" i="29" s="1"/>
  <c r="CA87" i="28"/>
  <c r="BX59" i="29"/>
  <c r="BX61" i="29" s="1"/>
  <c r="BW42" i="29"/>
  <c r="BW44" i="29" s="1"/>
  <c r="BX40" i="29"/>
  <c r="BX39" i="29"/>
  <c r="BY53" i="29"/>
  <c r="BZ52" i="29" s="1"/>
  <c r="BY36" i="29"/>
  <c r="BZ35" i="29" s="1"/>
  <c r="BY57" i="29"/>
  <c r="BY56" i="29"/>
  <c r="D20" i="3" l="1"/>
  <c r="D19" i="45" s="1"/>
  <c r="BS194" i="29"/>
  <c r="BS194" i="28"/>
  <c r="BT25" i="28"/>
  <c r="BT27" i="28" s="1"/>
  <c r="BT196" i="28" s="1"/>
  <c r="BT25" i="29"/>
  <c r="BT27" i="29" s="1"/>
  <c r="BT196" i="29" s="1"/>
  <c r="BT192" i="29"/>
  <c r="BU23" i="29"/>
  <c r="BU22" i="29"/>
  <c r="BU191" i="29" s="1"/>
  <c r="BR196" i="28"/>
  <c r="BS66" i="18"/>
  <c r="BT192" i="28"/>
  <c r="BU23" i="28"/>
  <c r="BU22" i="28"/>
  <c r="BU191" i="28" s="1"/>
  <c r="G4" i="3"/>
  <c r="BW16" i="29"/>
  <c r="BV185" i="29"/>
  <c r="BV19" i="29"/>
  <c r="BV18" i="28"/>
  <c r="BU188" i="28"/>
  <c r="BV18" i="29"/>
  <c r="BU188" i="29"/>
  <c r="BW16" i="28"/>
  <c r="BV185" i="28"/>
  <c r="BV19" i="28"/>
  <c r="BU187" i="29"/>
  <c r="BU187" i="28"/>
  <c r="BS196" i="28"/>
  <c r="BT66" i="18"/>
  <c r="BX74" i="28"/>
  <c r="BX73" i="28"/>
  <c r="BW76" i="28"/>
  <c r="BW78" i="28" s="1"/>
  <c r="BZ138" i="28"/>
  <c r="CA137" i="28" s="1"/>
  <c r="CB104" i="28"/>
  <c r="CC103" i="28" s="1"/>
  <c r="BZ70" i="28"/>
  <c r="CA69" i="28" s="1"/>
  <c r="BY155" i="29"/>
  <c r="BZ154" i="29" s="1"/>
  <c r="BX70" i="29"/>
  <c r="BY69" i="29" s="1"/>
  <c r="BW110" i="28"/>
  <c r="BW112" i="28" s="1"/>
  <c r="BW144" i="28"/>
  <c r="BW146" i="28" s="1"/>
  <c r="BW144" i="29"/>
  <c r="BW146" i="29" s="1"/>
  <c r="BW161" i="28"/>
  <c r="BW163" i="28" s="1"/>
  <c r="BW93" i="29"/>
  <c r="BW95" i="29" s="1"/>
  <c r="BW42" i="28"/>
  <c r="BW44" i="28" s="1"/>
  <c r="BZ121" i="28"/>
  <c r="CA120" i="28" s="1"/>
  <c r="BW127" i="28"/>
  <c r="BW129" i="28" s="1"/>
  <c r="BW178" i="29"/>
  <c r="BW180" i="29" s="1"/>
  <c r="BX53" i="28"/>
  <c r="BY52" i="28" s="1"/>
  <c r="BW127" i="29"/>
  <c r="BW129" i="29" s="1"/>
  <c r="BX57" i="28"/>
  <c r="BX56" i="28"/>
  <c r="BW76" i="29"/>
  <c r="BW78" i="29" s="1"/>
  <c r="BW93" i="28"/>
  <c r="BW95" i="28" s="1"/>
  <c r="BX107" i="29"/>
  <c r="BX108" i="29"/>
  <c r="BX142" i="29"/>
  <c r="BX141" i="29"/>
  <c r="BX142" i="28"/>
  <c r="BX141" i="28"/>
  <c r="BX159" i="28"/>
  <c r="BX158" i="28"/>
  <c r="BX178" i="28"/>
  <c r="BX180" i="28" s="1"/>
  <c r="BX159" i="29"/>
  <c r="BX158" i="29"/>
  <c r="BX125" i="29"/>
  <c r="BX124" i="29"/>
  <c r="BX90" i="29"/>
  <c r="BX91" i="29"/>
  <c r="BY121" i="29"/>
  <c r="BZ120" i="29" s="1"/>
  <c r="BX108" i="28"/>
  <c r="BX107" i="28"/>
  <c r="BW161" i="29"/>
  <c r="BW163" i="29" s="1"/>
  <c r="BX155" i="28"/>
  <c r="BY154" i="28" s="1"/>
  <c r="BY176" i="28"/>
  <c r="BY175" i="28"/>
  <c r="BY138" i="29"/>
  <c r="BZ137" i="29" s="1"/>
  <c r="BX90" i="28"/>
  <c r="BX91" i="28"/>
  <c r="BY172" i="28"/>
  <c r="BZ171" i="28" s="1"/>
  <c r="BX125" i="28"/>
  <c r="BX124" i="28"/>
  <c r="BX36" i="28"/>
  <c r="BY35" i="28" s="1"/>
  <c r="BX39" i="28"/>
  <c r="BX40" i="28"/>
  <c r="BX104" i="29"/>
  <c r="BY103" i="29" s="1"/>
  <c r="BX176" i="29"/>
  <c r="BX175" i="29"/>
  <c r="BZ172" i="29"/>
  <c r="CA171" i="29" s="1"/>
  <c r="BX73" i="29"/>
  <c r="BX74" i="29"/>
  <c r="BW110" i="29"/>
  <c r="BW112" i="29" s="1"/>
  <c r="BW59" i="28"/>
  <c r="BW61" i="28" s="1"/>
  <c r="BY87" i="29"/>
  <c r="BZ86" i="29" s="1"/>
  <c r="CB87" i="28"/>
  <c r="CC86" i="28" s="1"/>
  <c r="CB86" i="28"/>
  <c r="BX42" i="29"/>
  <c r="BX44" i="29" s="1"/>
  <c r="BZ53" i="29"/>
  <c r="CA52" i="29" s="1"/>
  <c r="BY40" i="29"/>
  <c r="BY39" i="29"/>
  <c r="BZ57" i="29"/>
  <c r="BZ56" i="29"/>
  <c r="BZ36" i="29"/>
  <c r="CA35" i="29" s="1"/>
  <c r="BY59" i="29"/>
  <c r="BY61" i="29" s="1"/>
  <c r="E19" i="3" l="1"/>
  <c r="D19" i="3" s="1"/>
  <c r="D18" i="45" s="1"/>
  <c r="E4" i="45"/>
  <c r="BT194" i="28"/>
  <c r="BU25" i="28"/>
  <c r="BU194" i="28" s="1"/>
  <c r="BT194" i="29"/>
  <c r="BV188" i="28"/>
  <c r="BW18" i="28"/>
  <c r="BU192" i="28"/>
  <c r="BV23" i="28"/>
  <c r="BV22" i="28"/>
  <c r="BV191" i="28" s="1"/>
  <c r="BX16" i="28"/>
  <c r="BW185" i="28"/>
  <c r="BW19" i="28"/>
  <c r="BW18" i="29"/>
  <c r="BV188" i="29"/>
  <c r="BX16" i="29"/>
  <c r="BW185" i="29"/>
  <c r="BW19" i="29"/>
  <c r="BT76" i="18"/>
  <c r="BT77" i="18"/>
  <c r="BS77" i="18"/>
  <c r="BV187" i="29"/>
  <c r="BU192" i="29"/>
  <c r="BV23" i="29"/>
  <c r="BV22" i="29"/>
  <c r="BV191" i="29" s="1"/>
  <c r="BU25" i="29"/>
  <c r="BV187" i="28"/>
  <c r="BX76" i="28"/>
  <c r="BX78" i="28" s="1"/>
  <c r="BY73" i="28"/>
  <c r="BY74" i="28"/>
  <c r="CA138" i="28"/>
  <c r="CB137" i="28" s="1"/>
  <c r="CC104" i="28"/>
  <c r="CD103" i="28" s="1"/>
  <c r="CA70" i="28"/>
  <c r="CB69" i="28" s="1"/>
  <c r="BZ155" i="29"/>
  <c r="CA154" i="29" s="1"/>
  <c r="BY70" i="29"/>
  <c r="BZ69" i="29" s="1"/>
  <c r="BX93" i="29"/>
  <c r="BX95" i="29" s="1"/>
  <c r="BX144" i="28"/>
  <c r="BX146" i="28" s="1"/>
  <c r="BX76" i="29"/>
  <c r="BX78" i="29" s="1"/>
  <c r="BX127" i="29"/>
  <c r="BX129" i="29" s="1"/>
  <c r="BX161" i="29"/>
  <c r="BX163" i="29" s="1"/>
  <c r="BX110" i="29"/>
  <c r="BX112" i="29" s="1"/>
  <c r="BX110" i="28"/>
  <c r="BX112" i="28" s="1"/>
  <c r="CA121" i="28"/>
  <c r="CB120" i="28" s="1"/>
  <c r="BX161" i="28"/>
  <c r="BX163" i="28" s="1"/>
  <c r="BX59" i="28"/>
  <c r="BX61" i="28" s="1"/>
  <c r="BX93" i="28"/>
  <c r="BX95" i="28" s="1"/>
  <c r="BY53" i="28"/>
  <c r="BZ52" i="28" s="1"/>
  <c r="BY39" i="28"/>
  <c r="BY40" i="28"/>
  <c r="BY90" i="28"/>
  <c r="BY91" i="28"/>
  <c r="BY107" i="28"/>
  <c r="BY108" i="28"/>
  <c r="BY108" i="29"/>
  <c r="BY107" i="29"/>
  <c r="BZ121" i="29"/>
  <c r="CA120" i="29" s="1"/>
  <c r="BY73" i="29"/>
  <c r="BY74" i="29"/>
  <c r="BY36" i="28"/>
  <c r="BZ35" i="28" s="1"/>
  <c r="BY178" i="28"/>
  <c r="BY180" i="28" s="1"/>
  <c r="BZ138" i="29"/>
  <c r="CA137" i="29" s="1"/>
  <c r="BY158" i="28"/>
  <c r="BY159" i="28"/>
  <c r="BY90" i="29"/>
  <c r="BY91" i="29"/>
  <c r="CA172" i="29"/>
  <c r="CB171" i="29" s="1"/>
  <c r="BZ176" i="28"/>
  <c r="BZ175" i="28"/>
  <c r="BY141" i="28"/>
  <c r="BY142" i="28"/>
  <c r="BX42" i="28"/>
  <c r="BX44" i="28" s="1"/>
  <c r="BX127" i="28"/>
  <c r="BX129" i="28" s="1"/>
  <c r="BY155" i="28"/>
  <c r="BZ154" i="28" s="1"/>
  <c r="BY125" i="29"/>
  <c r="BY124" i="29"/>
  <c r="BX144" i="29"/>
  <c r="BX146" i="29" s="1"/>
  <c r="BX178" i="29"/>
  <c r="BX180" i="29" s="1"/>
  <c r="BY124" i="28"/>
  <c r="BY125" i="28"/>
  <c r="BY142" i="29"/>
  <c r="BY141" i="29"/>
  <c r="BY175" i="29"/>
  <c r="BY176" i="29"/>
  <c r="BY104" i="29"/>
  <c r="BZ103" i="29" s="1"/>
  <c r="BZ172" i="28"/>
  <c r="CA171" i="28" s="1"/>
  <c r="BY57" i="28"/>
  <c r="BY56" i="28"/>
  <c r="BZ87" i="29"/>
  <c r="CA86" i="29" s="1"/>
  <c r="BY158" i="29"/>
  <c r="BY159" i="29"/>
  <c r="CC87" i="28"/>
  <c r="BY42" i="29"/>
  <c r="BY44" i="29" s="1"/>
  <c r="BZ40" i="29"/>
  <c r="BZ39" i="29"/>
  <c r="CA53" i="29"/>
  <c r="CB52" i="29" s="1"/>
  <c r="CA36" i="29"/>
  <c r="CB35" i="29" s="1"/>
  <c r="CA57" i="29"/>
  <c r="CA56" i="29"/>
  <c r="BZ59" i="29"/>
  <c r="BZ61" i="29" s="1"/>
  <c r="BE51" i="19"/>
  <c r="BQ51" i="19"/>
  <c r="BP49" i="18"/>
  <c r="BP51" i="19"/>
  <c r="BO49" i="18"/>
  <c r="BO51" i="19"/>
  <c r="BN49" i="18"/>
  <c r="BN51" i="19"/>
  <c r="BM49" i="18"/>
  <c r="BM51" i="19"/>
  <c r="BL49" i="18"/>
  <c r="BL51" i="19"/>
  <c r="BD26" i="19"/>
  <c r="BK49" i="18"/>
  <c r="BK51" i="19"/>
  <c r="BC26" i="19"/>
  <c r="BJ51" i="19"/>
  <c r="BI51" i="19"/>
  <c r="BF51" i="19"/>
  <c r="BQ49" i="18"/>
  <c r="BH51" i="19"/>
  <c r="BG51" i="19"/>
  <c r="BU27" i="28" l="1"/>
  <c r="BU196" i="28" s="1"/>
  <c r="BW187" i="29"/>
  <c r="BU27" i="29"/>
  <c r="BU196" i="29" s="1"/>
  <c r="BU194" i="29"/>
  <c r="BX18" i="28"/>
  <c r="BW188" i="28"/>
  <c r="BV192" i="29"/>
  <c r="BW22" i="29"/>
  <c r="BW191" i="29" s="1"/>
  <c r="BW23" i="29"/>
  <c r="BY16" i="28"/>
  <c r="BX185" i="28"/>
  <c r="BX19" i="28"/>
  <c r="BV25" i="29"/>
  <c r="BV192" i="28"/>
  <c r="BW22" i="28"/>
  <c r="BW191" i="28" s="1"/>
  <c r="BW23" i="28"/>
  <c r="BW187" i="28"/>
  <c r="BX18" i="29"/>
  <c r="BW188" i="29"/>
  <c r="BY16" i="29"/>
  <c r="BX185" i="29"/>
  <c r="BX19" i="29"/>
  <c r="BV25" i="28"/>
  <c r="BZ74" i="28"/>
  <c r="BZ73" i="28"/>
  <c r="BY76" i="28"/>
  <c r="BY78" i="28" s="1"/>
  <c r="CB138" i="28"/>
  <c r="CC137" i="28" s="1"/>
  <c r="CD104" i="28"/>
  <c r="CE103" i="28" s="1"/>
  <c r="CB70" i="28"/>
  <c r="CC69" i="28" s="1"/>
  <c r="CA155" i="29"/>
  <c r="CB154" i="29" s="1"/>
  <c r="BZ70" i="29"/>
  <c r="CA69" i="29" s="1"/>
  <c r="BY59" i="28"/>
  <c r="BY61" i="28" s="1"/>
  <c r="BY93" i="28"/>
  <c r="BY95" i="28" s="1"/>
  <c r="BY110" i="28"/>
  <c r="BY112" i="28" s="1"/>
  <c r="CB121" i="28"/>
  <c r="CC120" i="28" s="1"/>
  <c r="BY161" i="28"/>
  <c r="BY163" i="28" s="1"/>
  <c r="BY93" i="29"/>
  <c r="BY95" i="29" s="1"/>
  <c r="BY110" i="29"/>
  <c r="BY112" i="29" s="1"/>
  <c r="BZ53" i="28"/>
  <c r="CA52" i="28" s="1"/>
  <c r="BY76" i="29"/>
  <c r="BY78" i="29" s="1"/>
  <c r="BY144" i="29"/>
  <c r="BY146" i="29" s="1"/>
  <c r="BZ36" i="28"/>
  <c r="CA35" i="28" s="1"/>
  <c r="BZ108" i="28"/>
  <c r="BZ107" i="28"/>
  <c r="BZ73" i="29"/>
  <c r="BZ74" i="29"/>
  <c r="BZ178" i="28"/>
  <c r="BZ180" i="28" s="1"/>
  <c r="BZ125" i="28"/>
  <c r="BZ124" i="28"/>
  <c r="BZ57" i="28"/>
  <c r="BZ56" i="28"/>
  <c r="BY127" i="28"/>
  <c r="BY129" i="28" s="1"/>
  <c r="BZ91" i="29"/>
  <c r="BZ90" i="29"/>
  <c r="CA121" i="29"/>
  <c r="CB120" i="29" s="1"/>
  <c r="CB172" i="29"/>
  <c r="CC171" i="29" s="1"/>
  <c r="BZ141" i="28"/>
  <c r="BZ142" i="28"/>
  <c r="BZ90" i="28"/>
  <c r="BZ91" i="28"/>
  <c r="BZ175" i="29"/>
  <c r="BZ176" i="29"/>
  <c r="BY144" i="28"/>
  <c r="BY146" i="28" s="1"/>
  <c r="CA87" i="29"/>
  <c r="CB86" i="29" s="1"/>
  <c r="BY178" i="29"/>
  <c r="BY180" i="29" s="1"/>
  <c r="BY42" i="28"/>
  <c r="BY44" i="28" s="1"/>
  <c r="BZ107" i="29"/>
  <c r="BZ108" i="29"/>
  <c r="CA172" i="28"/>
  <c r="CB171" i="28" s="1"/>
  <c r="BY127" i="29"/>
  <c r="BY129" i="29" s="1"/>
  <c r="CA175" i="28"/>
  <c r="CA176" i="28"/>
  <c r="BZ158" i="28"/>
  <c r="BZ159" i="28"/>
  <c r="BZ125" i="29"/>
  <c r="BZ124" i="29"/>
  <c r="BZ39" i="28"/>
  <c r="BZ40" i="28"/>
  <c r="BZ158" i="29"/>
  <c r="BZ159" i="29"/>
  <c r="BZ104" i="29"/>
  <c r="CA103" i="29" s="1"/>
  <c r="BZ142" i="29"/>
  <c r="BZ141" i="29"/>
  <c r="BY161" i="29"/>
  <c r="BY163" i="29" s="1"/>
  <c r="BZ155" i="28"/>
  <c r="CA154" i="28" s="1"/>
  <c r="CA138" i="29"/>
  <c r="CB137" i="29" s="1"/>
  <c r="CD87" i="28"/>
  <c r="CE86" i="28" s="1"/>
  <c r="CD86" i="28"/>
  <c r="BZ42" i="29"/>
  <c r="BZ44" i="29" s="1"/>
  <c r="CA59" i="29"/>
  <c r="CA61" i="29" s="1"/>
  <c r="CB57" i="29"/>
  <c r="CB56" i="29"/>
  <c r="CB36" i="29"/>
  <c r="CC35" i="29" s="1"/>
  <c r="CB53" i="29"/>
  <c r="CC52" i="29" s="1"/>
  <c r="CA40" i="29"/>
  <c r="CA39" i="29"/>
  <c r="BB26" i="19"/>
  <c r="BD51" i="19"/>
  <c r="BB51" i="19"/>
  <c r="BC51" i="19"/>
  <c r="BW25" i="28" l="1"/>
  <c r="BW194" i="28" s="1"/>
  <c r="BZ16" i="28"/>
  <c r="BY185" i="28"/>
  <c r="BY19" i="28"/>
  <c r="BX187" i="29"/>
  <c r="BW192" i="29"/>
  <c r="BX22" i="29"/>
  <c r="BX191" i="29" s="1"/>
  <c r="BX23" i="29"/>
  <c r="BW27" i="28"/>
  <c r="BW196" i="28" s="1"/>
  <c r="BV27" i="28"/>
  <c r="BV196" i="28" s="1"/>
  <c r="BV194" i="28"/>
  <c r="BW192" i="28"/>
  <c r="BX22" i="28"/>
  <c r="BX191" i="28" s="1"/>
  <c r="BX23" i="28"/>
  <c r="BX187" i="28"/>
  <c r="BY18" i="29"/>
  <c r="BX188" i="29"/>
  <c r="BV27" i="29"/>
  <c r="BV196" i="29" s="1"/>
  <c r="BV194" i="29"/>
  <c r="BZ16" i="29"/>
  <c r="BY185" i="29"/>
  <c r="BY19" i="29"/>
  <c r="BX188" i="28"/>
  <c r="BY18" i="28"/>
  <c r="BW25" i="29"/>
  <c r="BZ76" i="28"/>
  <c r="BZ78" i="28" s="1"/>
  <c r="CA74" i="28"/>
  <c r="CA73" i="28"/>
  <c r="CC138" i="28"/>
  <c r="CD137" i="28" s="1"/>
  <c r="CE104" i="28"/>
  <c r="CF103" i="28" s="1"/>
  <c r="CC70" i="28"/>
  <c r="CD69" i="28" s="1"/>
  <c r="CB155" i="29"/>
  <c r="CC154" i="29" s="1"/>
  <c r="CA70" i="29"/>
  <c r="CB69" i="29" s="1"/>
  <c r="BZ144" i="29"/>
  <c r="BZ146" i="29" s="1"/>
  <c r="BZ127" i="29"/>
  <c r="BZ129" i="29" s="1"/>
  <c r="CA178" i="28"/>
  <c r="CA180" i="28" s="1"/>
  <c r="BZ93" i="29"/>
  <c r="BZ95" i="29" s="1"/>
  <c r="BZ144" i="28"/>
  <c r="BZ146" i="28" s="1"/>
  <c r="CC121" i="28"/>
  <c r="CD120" i="28" s="1"/>
  <c r="BZ127" i="28"/>
  <c r="BZ129" i="28" s="1"/>
  <c r="BZ161" i="28"/>
  <c r="BZ163" i="28" s="1"/>
  <c r="BZ42" i="28"/>
  <c r="BZ44" i="28" s="1"/>
  <c r="BZ76" i="29"/>
  <c r="BZ78" i="29" s="1"/>
  <c r="CA53" i="28"/>
  <c r="CB52" i="28" s="1"/>
  <c r="BZ178" i="29"/>
  <c r="BZ180" i="29" s="1"/>
  <c r="CA40" i="28"/>
  <c r="CA39" i="28"/>
  <c r="CA141" i="28"/>
  <c r="CA142" i="28"/>
  <c r="CA57" i="28"/>
  <c r="CA56" i="28"/>
  <c r="BZ110" i="28"/>
  <c r="BZ112" i="28" s="1"/>
  <c r="CA124" i="29"/>
  <c r="CA125" i="29"/>
  <c r="CC172" i="29"/>
  <c r="CD171" i="29" s="1"/>
  <c r="CA142" i="29"/>
  <c r="CA141" i="29"/>
  <c r="CB172" i="28"/>
  <c r="CC171" i="28" s="1"/>
  <c r="CB138" i="29"/>
  <c r="CC137" i="29" s="1"/>
  <c r="CA175" i="29"/>
  <c r="CA176" i="29"/>
  <c r="CA125" i="28"/>
  <c r="CA124" i="28"/>
  <c r="CA155" i="28"/>
  <c r="CB154" i="28" s="1"/>
  <c r="CB121" i="29"/>
  <c r="CC120" i="29" s="1"/>
  <c r="CA108" i="29"/>
  <c r="CA107" i="29"/>
  <c r="CA73" i="29"/>
  <c r="CA74" i="29"/>
  <c r="CA90" i="29"/>
  <c r="CA91" i="29"/>
  <c r="CA107" i="28"/>
  <c r="CA108" i="28"/>
  <c r="BZ110" i="29"/>
  <c r="BZ112" i="29" s="1"/>
  <c r="CA104" i="29"/>
  <c r="CB103" i="29" s="1"/>
  <c r="CA158" i="28"/>
  <c r="CA159" i="28"/>
  <c r="CA91" i="28"/>
  <c r="CA90" i="28"/>
  <c r="CA158" i="29"/>
  <c r="CA159" i="29"/>
  <c r="BZ93" i="28"/>
  <c r="BZ95" i="28" s="1"/>
  <c r="CA36" i="28"/>
  <c r="CB35" i="28" s="1"/>
  <c r="BZ161" i="29"/>
  <c r="BZ163" i="29" s="1"/>
  <c r="CB176" i="28"/>
  <c r="CB175" i="28"/>
  <c r="CB87" i="29"/>
  <c r="CC86" i="29" s="1"/>
  <c r="BZ59" i="28"/>
  <c r="BZ61" i="28" s="1"/>
  <c r="CE87" i="28"/>
  <c r="CA42" i="29"/>
  <c r="CA44" i="29" s="1"/>
  <c r="CB59" i="29"/>
  <c r="CB61" i="29" s="1"/>
  <c r="CC36" i="29"/>
  <c r="CD35" i="29" s="1"/>
  <c r="CC53" i="29"/>
  <c r="CD52" i="29" s="1"/>
  <c r="CC57" i="29"/>
  <c r="CC56" i="29"/>
  <c r="CB40" i="29"/>
  <c r="CB39" i="29"/>
  <c r="BX25" i="28" l="1"/>
  <c r="BY187" i="29"/>
  <c r="BW27" i="29"/>
  <c r="BW196" i="29" s="1"/>
  <c r="BW194" i="29"/>
  <c r="BX27" i="28"/>
  <c r="BX196" i="28" s="1"/>
  <c r="BX194" i="28"/>
  <c r="BX192" i="29"/>
  <c r="BY22" i="29"/>
  <c r="BY191" i="29" s="1"/>
  <c r="BY23" i="29"/>
  <c r="BY187" i="28"/>
  <c r="BX25" i="29"/>
  <c r="BZ18" i="29"/>
  <c r="BY188" i="29"/>
  <c r="BX192" i="28"/>
  <c r="BY22" i="28"/>
  <c r="BY191" i="28" s="1"/>
  <c r="BY23" i="28"/>
  <c r="BZ18" i="28"/>
  <c r="BY188" i="28"/>
  <c r="CA16" i="29"/>
  <c r="BZ185" i="29"/>
  <c r="BZ19" i="29"/>
  <c r="CA16" i="28"/>
  <c r="BZ185" i="28"/>
  <c r="BZ19" i="28"/>
  <c r="CA76" i="28"/>
  <c r="CA78" i="28" s="1"/>
  <c r="CB74" i="28"/>
  <c r="CB73" i="28"/>
  <c r="CD138" i="28"/>
  <c r="CE137" i="28" s="1"/>
  <c r="CF104" i="28"/>
  <c r="CG103" i="28" s="1"/>
  <c r="CD70" i="28"/>
  <c r="CE69" i="28" s="1"/>
  <c r="CC155" i="29"/>
  <c r="CD154" i="29" s="1"/>
  <c r="CB70" i="29"/>
  <c r="CC69" i="29" s="1"/>
  <c r="CA127" i="29"/>
  <c r="CA129" i="29" s="1"/>
  <c r="CA144" i="29"/>
  <c r="CA146" i="29" s="1"/>
  <c r="CD121" i="28"/>
  <c r="CE120" i="28" s="1"/>
  <c r="CA127" i="28"/>
  <c r="CA129" i="28" s="1"/>
  <c r="CA59" i="28"/>
  <c r="CA61" i="28" s="1"/>
  <c r="CA144" i="28"/>
  <c r="CA146" i="28" s="1"/>
  <c r="CB53" i="28"/>
  <c r="CC52" i="28" s="1"/>
  <c r="CA161" i="28"/>
  <c r="CA163" i="28" s="1"/>
  <c r="CA93" i="29"/>
  <c r="CA95" i="29" s="1"/>
  <c r="CA110" i="29"/>
  <c r="CA112" i="29" s="1"/>
  <c r="CB108" i="28"/>
  <c r="CB107" i="28"/>
  <c r="CB159" i="28"/>
  <c r="CB158" i="28"/>
  <c r="CC175" i="28"/>
  <c r="CC176" i="28"/>
  <c r="CA93" i="28"/>
  <c r="CA95" i="28" s="1"/>
  <c r="CC138" i="29"/>
  <c r="CD137" i="29" s="1"/>
  <c r="CB91" i="29"/>
  <c r="CB90" i="29"/>
  <c r="CB125" i="29"/>
  <c r="CB124" i="29"/>
  <c r="CB125" i="28"/>
  <c r="CB124" i="28"/>
  <c r="CC121" i="29"/>
  <c r="CD120" i="29" s="1"/>
  <c r="CC172" i="28"/>
  <c r="CD171" i="28" s="1"/>
  <c r="CB36" i="28"/>
  <c r="CC35" i="28" s="1"/>
  <c r="CB73" i="29"/>
  <c r="CB74" i="29"/>
  <c r="CB175" i="29"/>
  <c r="CB176" i="29"/>
  <c r="CA76" i="29"/>
  <c r="CA78" i="29" s="1"/>
  <c r="CA178" i="29"/>
  <c r="CA180" i="29" s="1"/>
  <c r="CB57" i="28"/>
  <c r="CB56" i="28"/>
  <c r="CB142" i="28"/>
  <c r="CB141" i="28"/>
  <c r="CB158" i="29"/>
  <c r="CB159" i="29"/>
  <c r="CB107" i="29"/>
  <c r="CB108" i="29"/>
  <c r="CC87" i="29"/>
  <c r="CD86" i="29" s="1"/>
  <c r="CA161" i="29"/>
  <c r="CA163" i="29" s="1"/>
  <c r="CB104" i="29"/>
  <c r="CC103" i="29" s="1"/>
  <c r="CB155" i="28"/>
  <c r="CC154" i="28" s="1"/>
  <c r="CB142" i="29"/>
  <c r="CB141" i="29"/>
  <c r="CB91" i="28"/>
  <c r="CB90" i="28"/>
  <c r="CA110" i="28"/>
  <c r="CA112" i="28" s="1"/>
  <c r="CB178" i="28"/>
  <c r="CB180" i="28" s="1"/>
  <c r="CA42" i="28"/>
  <c r="CA44" i="28" s="1"/>
  <c r="CD172" i="29"/>
  <c r="CE171" i="29" s="1"/>
  <c r="CB39" i="28"/>
  <c r="CB40" i="28"/>
  <c r="CF87" i="28"/>
  <c r="CG86" i="28" s="1"/>
  <c r="CF86" i="28"/>
  <c r="CB42" i="29"/>
  <c r="CB44" i="29" s="1"/>
  <c r="CD53" i="29"/>
  <c r="CE52" i="29" s="1"/>
  <c r="CC40" i="29"/>
  <c r="CC39" i="29"/>
  <c r="CD57" i="29"/>
  <c r="CD56" i="29"/>
  <c r="CC59" i="29"/>
  <c r="CC61" i="29" s="1"/>
  <c r="CD36" i="29"/>
  <c r="CE35" i="29" s="1"/>
  <c r="BY192" i="28" l="1"/>
  <c r="BZ22" i="28"/>
  <c r="BZ191" i="28" s="1"/>
  <c r="BZ23" i="28"/>
  <c r="BZ187" i="29"/>
  <c r="BX27" i="29"/>
  <c r="BX196" i="29" s="1"/>
  <c r="BX194" i="29"/>
  <c r="BZ188" i="28"/>
  <c r="CA18" i="28"/>
  <c r="BY25" i="29"/>
  <c r="CB16" i="28"/>
  <c r="CA185" i="28"/>
  <c r="CA19" i="28"/>
  <c r="CA18" i="29"/>
  <c r="BZ188" i="29"/>
  <c r="CB16" i="29"/>
  <c r="CA185" i="29"/>
  <c r="CA19" i="29"/>
  <c r="BY25" i="28"/>
  <c r="BZ187" i="28"/>
  <c r="BY192" i="29"/>
  <c r="BZ22" i="29"/>
  <c r="BZ191" i="29" s="1"/>
  <c r="BZ23" i="29"/>
  <c r="CB76" i="28"/>
  <c r="CB78" i="28" s="1"/>
  <c r="CC73" i="28"/>
  <c r="CC74" i="28"/>
  <c r="CE138" i="28"/>
  <c r="CF137" i="28" s="1"/>
  <c r="CG104" i="28"/>
  <c r="CH103" i="28" s="1"/>
  <c r="CE70" i="28"/>
  <c r="CF69" i="28" s="1"/>
  <c r="CD155" i="29"/>
  <c r="CE154" i="29" s="1"/>
  <c r="CC70" i="29"/>
  <c r="CD69" i="29" s="1"/>
  <c r="CB144" i="29"/>
  <c r="CB146" i="29" s="1"/>
  <c r="CB59" i="28"/>
  <c r="CB61" i="28" s="1"/>
  <c r="CE121" i="28"/>
  <c r="CF120" i="28" s="1"/>
  <c r="CB127" i="29"/>
  <c r="CB129" i="29" s="1"/>
  <c r="CB161" i="28"/>
  <c r="CB163" i="28" s="1"/>
  <c r="CB110" i="28"/>
  <c r="CB112" i="28" s="1"/>
  <c r="CB42" i="28"/>
  <c r="CB44" i="28" s="1"/>
  <c r="CC53" i="28"/>
  <c r="CD52" i="28" s="1"/>
  <c r="CB110" i="29"/>
  <c r="CB112" i="29" s="1"/>
  <c r="CC124" i="28"/>
  <c r="CC125" i="28"/>
  <c r="CB161" i="29"/>
  <c r="CB163" i="29" s="1"/>
  <c r="CD172" i="28"/>
  <c r="CE171" i="28" s="1"/>
  <c r="CC40" i="28"/>
  <c r="CC39" i="28"/>
  <c r="CB144" i="28"/>
  <c r="CB146" i="28" s="1"/>
  <c r="CC178" i="28"/>
  <c r="CC180" i="28" s="1"/>
  <c r="CD87" i="29"/>
  <c r="CE86" i="29" s="1"/>
  <c r="CC141" i="28"/>
  <c r="CC142" i="28"/>
  <c r="CC175" i="29"/>
  <c r="CC176" i="29"/>
  <c r="CD121" i="29"/>
  <c r="CE120" i="29" s="1"/>
  <c r="CE172" i="29"/>
  <c r="CF171" i="29" s="1"/>
  <c r="CB178" i="29"/>
  <c r="CB180" i="29" s="1"/>
  <c r="CD138" i="29"/>
  <c r="CE137" i="29" s="1"/>
  <c r="CC158" i="29"/>
  <c r="CC159" i="29"/>
  <c r="CC104" i="29"/>
  <c r="CD103" i="29" s="1"/>
  <c r="CB93" i="28"/>
  <c r="CB95" i="28" s="1"/>
  <c r="CC73" i="29"/>
  <c r="CC74" i="29"/>
  <c r="CC91" i="28"/>
  <c r="CC90" i="28"/>
  <c r="CB76" i="29"/>
  <c r="CB78" i="29" s="1"/>
  <c r="CD176" i="28"/>
  <c r="CD175" i="28"/>
  <c r="CC90" i="29"/>
  <c r="CC91" i="29"/>
  <c r="CC124" i="29"/>
  <c r="CC125" i="29"/>
  <c r="CC142" i="29"/>
  <c r="CC141" i="29"/>
  <c r="CC108" i="29"/>
  <c r="CC107" i="29"/>
  <c r="CC56" i="28"/>
  <c r="CC57" i="28"/>
  <c r="CC158" i="28"/>
  <c r="CC159" i="28"/>
  <c r="CC155" i="28"/>
  <c r="CD154" i="28" s="1"/>
  <c r="CB93" i="29"/>
  <c r="CB95" i="29" s="1"/>
  <c r="CC36" i="28"/>
  <c r="CD35" i="28" s="1"/>
  <c r="CB127" i="28"/>
  <c r="CB129" i="28" s="1"/>
  <c r="CC108" i="28"/>
  <c r="CC107" i="28"/>
  <c r="CG87" i="28"/>
  <c r="CC42" i="29"/>
  <c r="CC44" i="29" s="1"/>
  <c r="CD59" i="29"/>
  <c r="CD61" i="29" s="1"/>
  <c r="CE57" i="29"/>
  <c r="CE56" i="29"/>
  <c r="CD40" i="29"/>
  <c r="CD39" i="29"/>
  <c r="CE36" i="29"/>
  <c r="CF35" i="29" s="1"/>
  <c r="CE53" i="29"/>
  <c r="CF52" i="29" s="1"/>
  <c r="BZ25" i="28" l="1"/>
  <c r="BY27" i="28"/>
  <c r="BY196" i="28" s="1"/>
  <c r="BY194" i="28"/>
  <c r="CB18" i="29"/>
  <c r="CA188" i="29"/>
  <c r="CC16" i="28"/>
  <c r="CB185" i="28"/>
  <c r="CB19" i="28"/>
  <c r="BY27" i="29"/>
  <c r="BY196" i="29" s="1"/>
  <c r="BY194" i="29"/>
  <c r="CC16" i="29"/>
  <c r="CB185" i="29"/>
  <c r="CB19" i="29"/>
  <c r="CA187" i="28"/>
  <c r="BZ192" i="29"/>
  <c r="CA22" i="29"/>
  <c r="CA191" i="29" s="1"/>
  <c r="CA23" i="29"/>
  <c r="CA187" i="29"/>
  <c r="BZ25" i="29"/>
  <c r="BZ27" i="28"/>
  <c r="BZ196" i="28" s="1"/>
  <c r="BZ194" i="28"/>
  <c r="BZ192" i="28"/>
  <c r="CA23" i="28"/>
  <c r="CA22" i="28"/>
  <c r="CA191" i="28" s="1"/>
  <c r="CB18" i="28"/>
  <c r="CA188" i="28"/>
  <c r="CD73" i="28"/>
  <c r="CD74" i="28"/>
  <c r="CC76" i="28"/>
  <c r="CC78" i="28" s="1"/>
  <c r="CF138" i="28"/>
  <c r="CG137" i="28" s="1"/>
  <c r="CH104" i="28"/>
  <c r="CI103" i="28" s="1"/>
  <c r="CF70" i="28"/>
  <c r="CG69" i="28" s="1"/>
  <c r="CE155" i="29"/>
  <c r="CF154" i="29" s="1"/>
  <c r="CD70" i="29"/>
  <c r="CE69" i="29" s="1"/>
  <c r="CC93" i="28"/>
  <c r="CC95" i="28" s="1"/>
  <c r="CC110" i="28"/>
  <c r="CC112" i="28" s="1"/>
  <c r="CF121" i="28"/>
  <c r="CG120" i="28" s="1"/>
  <c r="CD53" i="28"/>
  <c r="CE52" i="28" s="1"/>
  <c r="CC178" i="29"/>
  <c r="CC180" i="29" s="1"/>
  <c r="CC59" i="28"/>
  <c r="CC61" i="28" s="1"/>
  <c r="CC127" i="29"/>
  <c r="CC129" i="29" s="1"/>
  <c r="CD178" i="28"/>
  <c r="CD180" i="28" s="1"/>
  <c r="CC42" i="28"/>
  <c r="CC44" i="28" s="1"/>
  <c r="CE121" i="29"/>
  <c r="CF120" i="29" s="1"/>
  <c r="CC161" i="28"/>
  <c r="CC163" i="28" s="1"/>
  <c r="CD56" i="28"/>
  <c r="CD57" i="28"/>
  <c r="CD124" i="29"/>
  <c r="CD125" i="29"/>
  <c r="CD175" i="29"/>
  <c r="CD176" i="29"/>
  <c r="CD40" i="28"/>
  <c r="CD39" i="28"/>
  <c r="CD141" i="28"/>
  <c r="CD142" i="28"/>
  <c r="CE172" i="28"/>
  <c r="CF171" i="28" s="1"/>
  <c r="CD91" i="29"/>
  <c r="CD90" i="29"/>
  <c r="CD108" i="29"/>
  <c r="CD107" i="29"/>
  <c r="CC93" i="29"/>
  <c r="CC95" i="29" s="1"/>
  <c r="CD73" i="29"/>
  <c r="CD74" i="29"/>
  <c r="CD159" i="29"/>
  <c r="CD158" i="29"/>
  <c r="CC144" i="28"/>
  <c r="CC146" i="28" s="1"/>
  <c r="CC144" i="29"/>
  <c r="CC146" i="29" s="1"/>
  <c r="CC76" i="29"/>
  <c r="CC78" i="29" s="1"/>
  <c r="CC161" i="29"/>
  <c r="CC163" i="29" s="1"/>
  <c r="CD142" i="29"/>
  <c r="CD141" i="29"/>
  <c r="CE138" i="29"/>
  <c r="CF137" i="29" s="1"/>
  <c r="CE87" i="29"/>
  <c r="CF86" i="29" s="1"/>
  <c r="CD124" i="28"/>
  <c r="CD125" i="28"/>
  <c r="CD107" i="28"/>
  <c r="CD108" i="28"/>
  <c r="CE176" i="28"/>
  <c r="CE175" i="28"/>
  <c r="CC127" i="28"/>
  <c r="CC129" i="28" s="1"/>
  <c r="CD155" i="28"/>
  <c r="CE154" i="28" s="1"/>
  <c r="CC110" i="29"/>
  <c r="CC112" i="29" s="1"/>
  <c r="CD104" i="29"/>
  <c r="CE103" i="29" s="1"/>
  <c r="CD158" i="28"/>
  <c r="CD159" i="28"/>
  <c r="CF172" i="29"/>
  <c r="CG171" i="29" s="1"/>
  <c r="CD36" i="28"/>
  <c r="CE35" i="28" s="1"/>
  <c r="CD90" i="28"/>
  <c r="CD91" i="28"/>
  <c r="CH87" i="28"/>
  <c r="CI86" i="28" s="1"/>
  <c r="CH86" i="28"/>
  <c r="CF53" i="29"/>
  <c r="CG52" i="29" s="1"/>
  <c r="CD42" i="29"/>
  <c r="CD44" i="29" s="1"/>
  <c r="CE40" i="29"/>
  <c r="CE39" i="29"/>
  <c r="CE59" i="29"/>
  <c r="CE61" i="29" s="1"/>
  <c r="CF36" i="29"/>
  <c r="CG35" i="29" s="1"/>
  <c r="CF57" i="29"/>
  <c r="CF56" i="29"/>
  <c r="CA25" i="29" l="1"/>
  <c r="CA27" i="29" s="1"/>
  <c r="CA196" i="29" s="1"/>
  <c r="CA25" i="28"/>
  <c r="CC18" i="29"/>
  <c r="CB188" i="29"/>
  <c r="BZ27" i="29"/>
  <c r="BZ196" i="29" s="1"/>
  <c r="BZ194" i="29"/>
  <c r="CD16" i="29"/>
  <c r="CC185" i="29"/>
  <c r="CC19" i="29"/>
  <c r="CB187" i="28"/>
  <c r="CA192" i="29"/>
  <c r="CB23" i="29"/>
  <c r="CB22" i="29"/>
  <c r="CB191" i="29" s="1"/>
  <c r="CB188" i="28"/>
  <c r="CC18" i="28"/>
  <c r="CA192" i="28"/>
  <c r="CB22" i="28"/>
  <c r="CB191" i="28" s="1"/>
  <c r="CB23" i="28"/>
  <c r="CD16" i="28"/>
  <c r="CC185" i="28"/>
  <c r="CC19" i="28"/>
  <c r="CB187" i="29"/>
  <c r="CE74" i="28"/>
  <c r="CE73" i="28"/>
  <c r="CD76" i="28"/>
  <c r="CD78" i="28" s="1"/>
  <c r="CG138" i="28"/>
  <c r="CH137" i="28" s="1"/>
  <c r="CI104" i="28"/>
  <c r="CJ103" i="28" s="1"/>
  <c r="CG70" i="28"/>
  <c r="CH69" i="28" s="1"/>
  <c r="CF155" i="29"/>
  <c r="CG154" i="29" s="1"/>
  <c r="CE70" i="29"/>
  <c r="CF69" i="29" s="1"/>
  <c r="CD144" i="29"/>
  <c r="CD146" i="29" s="1"/>
  <c r="CD127" i="29"/>
  <c r="CD129" i="29" s="1"/>
  <c r="CD76" i="29"/>
  <c r="CD78" i="29" s="1"/>
  <c r="CD161" i="28"/>
  <c r="CD163" i="28" s="1"/>
  <c r="CG121" i="28"/>
  <c r="CH120" i="28" s="1"/>
  <c r="CD93" i="29"/>
  <c r="CD95" i="29" s="1"/>
  <c r="CD110" i="28"/>
  <c r="CD112" i="28" s="1"/>
  <c r="CE53" i="28"/>
  <c r="CF52" i="28" s="1"/>
  <c r="CE104" i="29"/>
  <c r="CF103" i="29" s="1"/>
  <c r="CD161" i="29"/>
  <c r="CD163" i="29" s="1"/>
  <c r="CE73" i="29"/>
  <c r="CE74" i="29"/>
  <c r="CD144" i="28"/>
  <c r="CD146" i="28" s="1"/>
  <c r="CE124" i="29"/>
  <c r="CE125" i="29"/>
  <c r="CF175" i="28"/>
  <c r="CF176" i="28"/>
  <c r="CE142" i="29"/>
  <c r="CE141" i="29"/>
  <c r="CE57" i="28"/>
  <c r="CE56" i="28"/>
  <c r="CE90" i="28"/>
  <c r="CE91" i="28"/>
  <c r="CD93" i="28"/>
  <c r="CD95" i="28" s="1"/>
  <c r="CD59" i="28"/>
  <c r="CD61" i="28" s="1"/>
  <c r="CE108" i="29"/>
  <c r="CE107" i="29"/>
  <c r="CG172" i="29"/>
  <c r="CH171" i="29" s="1"/>
  <c r="CE108" i="28"/>
  <c r="CE107" i="28"/>
  <c r="CE36" i="28"/>
  <c r="CF35" i="28" s="1"/>
  <c r="CE90" i="29"/>
  <c r="CE91" i="29"/>
  <c r="CF121" i="29"/>
  <c r="CG120" i="29" s="1"/>
  <c r="CE159" i="29"/>
  <c r="CE158" i="29"/>
  <c r="CD42" i="28"/>
  <c r="CD44" i="28" s="1"/>
  <c r="CD110" i="29"/>
  <c r="CD112" i="29" s="1"/>
  <c r="CE155" i="28"/>
  <c r="CF154" i="28" s="1"/>
  <c r="CE124" i="28"/>
  <c r="CE125" i="28"/>
  <c r="CE141" i="28"/>
  <c r="CE142" i="28"/>
  <c r="CD127" i="28"/>
  <c r="CD129" i="28" s="1"/>
  <c r="CE40" i="28"/>
  <c r="CE39" i="28"/>
  <c r="CE159" i="28"/>
  <c r="CE158" i="28"/>
  <c r="CF87" i="29"/>
  <c r="CG86" i="29" s="1"/>
  <c r="CE178" i="28"/>
  <c r="CE180" i="28" s="1"/>
  <c r="CE176" i="29"/>
  <c r="CE175" i="29"/>
  <c r="CF138" i="29"/>
  <c r="CG137" i="29" s="1"/>
  <c r="CF172" i="28"/>
  <c r="CG171" i="28" s="1"/>
  <c r="CD178" i="29"/>
  <c r="CD180" i="29" s="1"/>
  <c r="CI87" i="28"/>
  <c r="CF59" i="29"/>
  <c r="CF61" i="29" s="1"/>
  <c r="CG57" i="29"/>
  <c r="CG56" i="29"/>
  <c r="CG53" i="29"/>
  <c r="CH52" i="29" s="1"/>
  <c r="CG36" i="29"/>
  <c r="CH35" i="29" s="1"/>
  <c r="CE42" i="29"/>
  <c r="CE44" i="29" s="1"/>
  <c r="CF39" i="29"/>
  <c r="CF40" i="29"/>
  <c r="CA194" i="29" l="1"/>
  <c r="CB25" i="28"/>
  <c r="CB194" i="28" s="1"/>
  <c r="CB25" i="29"/>
  <c r="CB27" i="29" s="1"/>
  <c r="CB196" i="29" s="1"/>
  <c r="CD18" i="28"/>
  <c r="CC188" i="28"/>
  <c r="CD18" i="29"/>
  <c r="CC188" i="29"/>
  <c r="CE16" i="28"/>
  <c r="CD185" i="28"/>
  <c r="CD19" i="28"/>
  <c r="CB192" i="28"/>
  <c r="CC22" i="28"/>
  <c r="CC191" i="28" s="1"/>
  <c r="CC23" i="28"/>
  <c r="CE16" i="29"/>
  <c r="CD185" i="29"/>
  <c r="CD19" i="29"/>
  <c r="CC187" i="28"/>
  <c r="CC187" i="29"/>
  <c r="CA27" i="28"/>
  <c r="CA196" i="28" s="1"/>
  <c r="CA194" i="28"/>
  <c r="CB192" i="29"/>
  <c r="CC23" i="29"/>
  <c r="CC22" i="29"/>
  <c r="CC191" i="29" s="1"/>
  <c r="CE76" i="28"/>
  <c r="CE78" i="28" s="1"/>
  <c r="CF74" i="28"/>
  <c r="CF73" i="28"/>
  <c r="CH138" i="28"/>
  <c r="CI137" i="28" s="1"/>
  <c r="CJ104" i="28"/>
  <c r="CK103" i="28" s="1"/>
  <c r="CH70" i="28"/>
  <c r="CI69" i="28" s="1"/>
  <c r="CG155" i="29"/>
  <c r="CH154" i="29" s="1"/>
  <c r="CF70" i="29"/>
  <c r="CG69" i="29" s="1"/>
  <c r="CE144" i="29"/>
  <c r="CE146" i="29" s="1"/>
  <c r="CH121" i="28"/>
  <c r="CI120" i="28" s="1"/>
  <c r="CE42" i="28"/>
  <c r="CE44" i="28" s="1"/>
  <c r="CE178" i="29"/>
  <c r="CE180" i="29" s="1"/>
  <c r="CE127" i="29"/>
  <c r="CE129" i="29" s="1"/>
  <c r="CE110" i="29"/>
  <c r="CE112" i="29" s="1"/>
  <c r="CE59" i="28"/>
  <c r="CE61" i="28" s="1"/>
  <c r="CE93" i="29"/>
  <c r="CE95" i="29" s="1"/>
  <c r="CF53" i="28"/>
  <c r="CG52" i="28" s="1"/>
  <c r="CE161" i="28"/>
  <c r="CE163" i="28" s="1"/>
  <c r="CE110" i="28"/>
  <c r="CE112" i="28" s="1"/>
  <c r="CF159" i="29"/>
  <c r="CF158" i="29"/>
  <c r="CF108" i="28"/>
  <c r="CF107" i="28"/>
  <c r="CE127" i="28"/>
  <c r="CE129" i="28" s="1"/>
  <c r="CG138" i="29"/>
  <c r="CH137" i="29" s="1"/>
  <c r="CF155" i="28"/>
  <c r="CG154" i="28" s="1"/>
  <c r="CG121" i="29"/>
  <c r="CH120" i="29" s="1"/>
  <c r="CH172" i="29"/>
  <c r="CI171" i="29" s="1"/>
  <c r="CF175" i="29"/>
  <c r="CF176" i="29"/>
  <c r="CF90" i="28"/>
  <c r="CF91" i="28"/>
  <c r="CF124" i="29"/>
  <c r="CF125" i="29"/>
  <c r="CF125" i="28"/>
  <c r="CF124" i="28"/>
  <c r="CF39" i="28"/>
  <c r="CF40" i="28"/>
  <c r="CE93" i="28"/>
  <c r="CE95" i="28" s="1"/>
  <c r="CF91" i="29"/>
  <c r="CF90" i="29"/>
  <c r="CF108" i="29"/>
  <c r="CF107" i="29"/>
  <c r="CG87" i="29"/>
  <c r="CH86" i="29" s="1"/>
  <c r="CF74" i="29"/>
  <c r="CF73" i="29"/>
  <c r="CE161" i="29"/>
  <c r="CE163" i="29" s="1"/>
  <c r="CE76" i="29"/>
  <c r="CE78" i="29" s="1"/>
  <c r="CF56" i="28"/>
  <c r="CF57" i="28"/>
  <c r="CG172" i="28"/>
  <c r="CH171" i="28" s="1"/>
  <c r="CF141" i="28"/>
  <c r="CF142" i="28"/>
  <c r="CF178" i="28"/>
  <c r="CF180" i="28" s="1"/>
  <c r="CE144" i="28"/>
  <c r="CE146" i="28" s="1"/>
  <c r="CF36" i="28"/>
  <c r="CG35" i="28" s="1"/>
  <c r="CF141" i="29"/>
  <c r="CF142" i="29"/>
  <c r="CF104" i="29"/>
  <c r="CG103" i="29" s="1"/>
  <c r="CF159" i="28"/>
  <c r="CF158" i="28"/>
  <c r="CG175" i="28"/>
  <c r="CG176" i="28"/>
  <c r="CJ87" i="28"/>
  <c r="CK86" i="28" s="1"/>
  <c r="CJ86" i="28"/>
  <c r="CG59" i="29"/>
  <c r="CG61" i="29" s="1"/>
  <c r="CH36" i="29"/>
  <c r="CI35" i="29" s="1"/>
  <c r="CF42" i="29"/>
  <c r="CF44" i="29" s="1"/>
  <c r="CH57" i="29"/>
  <c r="CH56" i="29"/>
  <c r="CG39" i="29"/>
  <c r="CG40" i="29"/>
  <c r="CH53" i="29"/>
  <c r="CI52" i="29" s="1"/>
  <c r="CB194" i="29" l="1"/>
  <c r="AI16" i="12"/>
  <c r="CJ47" i="20"/>
  <c r="CK47" i="20"/>
  <c r="CL47" i="20"/>
  <c r="CM47" i="20"/>
  <c r="CO47" i="20"/>
  <c r="CN47" i="20"/>
  <c r="CP47" i="20"/>
  <c r="CQ47" i="20"/>
  <c r="CR47" i="20"/>
  <c r="CS47" i="20"/>
  <c r="CB27" i="28"/>
  <c r="CB196" i="28" s="1"/>
  <c r="CC25" i="29"/>
  <c r="CC27" i="29" s="1"/>
  <c r="CC196" i="29" s="1"/>
  <c r="CC25" i="28"/>
  <c r="CC27" i="28" s="1"/>
  <c r="CC196" i="28" s="1"/>
  <c r="CC192" i="29"/>
  <c r="CD23" i="29"/>
  <c r="CD22" i="29"/>
  <c r="CD191" i="29" s="1"/>
  <c r="CF16" i="29"/>
  <c r="CE185" i="29"/>
  <c r="CE19" i="29"/>
  <c r="CC192" i="28"/>
  <c r="CD23" i="28"/>
  <c r="CD22" i="28"/>
  <c r="CD191" i="28" s="1"/>
  <c r="CD188" i="28"/>
  <c r="CE18" i="28"/>
  <c r="CF16" i="28"/>
  <c r="CE185" i="28"/>
  <c r="CE19" i="28"/>
  <c r="CD187" i="29"/>
  <c r="CD187" i="28"/>
  <c r="CE18" i="29"/>
  <c r="CD188" i="29"/>
  <c r="CF76" i="28"/>
  <c r="CF78" i="28" s="1"/>
  <c r="CG73" i="28"/>
  <c r="CG74" i="28"/>
  <c r="CI138" i="28"/>
  <c r="CJ137" i="28" s="1"/>
  <c r="CK104" i="28"/>
  <c r="CL103" i="28" s="1"/>
  <c r="CI70" i="28"/>
  <c r="CJ69" i="28" s="1"/>
  <c r="CH155" i="29"/>
  <c r="CI154" i="29" s="1"/>
  <c r="CG70" i="29"/>
  <c r="CH69" i="29" s="1"/>
  <c r="CF110" i="28"/>
  <c r="CF112" i="28" s="1"/>
  <c r="CF93" i="29"/>
  <c r="CF95" i="29" s="1"/>
  <c r="CF161" i="29"/>
  <c r="CF163" i="29" s="1"/>
  <c r="CF127" i="28"/>
  <c r="CF129" i="28" s="1"/>
  <c r="CG178" i="28"/>
  <c r="CG180" i="28" s="1"/>
  <c r="CF144" i="29"/>
  <c r="CF146" i="29" s="1"/>
  <c r="CI121" i="28"/>
  <c r="CJ120" i="28" s="1"/>
  <c r="CF161" i="28"/>
  <c r="CF163" i="28" s="1"/>
  <c r="CF76" i="29"/>
  <c r="CF78" i="29" s="1"/>
  <c r="CG53" i="28"/>
  <c r="CH52" i="28" s="1"/>
  <c r="CF110" i="29"/>
  <c r="CF112" i="29" s="1"/>
  <c r="CG159" i="28"/>
  <c r="CG158" i="28"/>
  <c r="CG142" i="28"/>
  <c r="CG141" i="28"/>
  <c r="CH87" i="29"/>
  <c r="CI86" i="29" s="1"/>
  <c r="CF144" i="28"/>
  <c r="CF146" i="28" s="1"/>
  <c r="CG176" i="29"/>
  <c r="CG175" i="29"/>
  <c r="CF178" i="29"/>
  <c r="CF180" i="29" s="1"/>
  <c r="CG155" i="28"/>
  <c r="CH154" i="28" s="1"/>
  <c r="CH172" i="28"/>
  <c r="CI171" i="28" s="1"/>
  <c r="CG40" i="28"/>
  <c r="CG39" i="28"/>
  <c r="CG141" i="29"/>
  <c r="CG142" i="29"/>
  <c r="CG108" i="29"/>
  <c r="CG107" i="29"/>
  <c r="CH138" i="29"/>
  <c r="CI137" i="29" s="1"/>
  <c r="CG125" i="28"/>
  <c r="CG124" i="28"/>
  <c r="CH175" i="28"/>
  <c r="CH176" i="28"/>
  <c r="CG56" i="28"/>
  <c r="CG57" i="28"/>
  <c r="CG91" i="29"/>
  <c r="CG90" i="29"/>
  <c r="CG124" i="29"/>
  <c r="CG125" i="29"/>
  <c r="CG36" i="28"/>
  <c r="CH35" i="28" s="1"/>
  <c r="CF59" i="28"/>
  <c r="CF61" i="28" s="1"/>
  <c r="CF127" i="29"/>
  <c r="CF129" i="29" s="1"/>
  <c r="CG90" i="28"/>
  <c r="CG91" i="28"/>
  <c r="CI172" i="29"/>
  <c r="CJ171" i="29" s="1"/>
  <c r="CG73" i="29"/>
  <c r="CG74" i="29"/>
  <c r="CF93" i="28"/>
  <c r="CF95" i="28" s="1"/>
  <c r="CG108" i="28"/>
  <c r="CG107" i="28"/>
  <c r="CF42" i="28"/>
  <c r="CF44" i="28" s="1"/>
  <c r="CH121" i="29"/>
  <c r="CI120" i="29" s="1"/>
  <c r="CG104" i="29"/>
  <c r="CH103" i="29" s="1"/>
  <c r="CG159" i="29"/>
  <c r="CG158" i="29"/>
  <c r="CK87" i="28"/>
  <c r="CH59" i="29"/>
  <c r="CH61" i="29" s="1"/>
  <c r="CH40" i="29"/>
  <c r="CH39" i="29"/>
  <c r="CG42" i="29"/>
  <c r="CG44" i="29" s="1"/>
  <c r="CI57" i="29"/>
  <c r="CI56" i="29"/>
  <c r="CI36" i="29"/>
  <c r="CJ35" i="29" s="1"/>
  <c r="CI53" i="29"/>
  <c r="CJ52" i="29" s="1"/>
  <c r="CC194" i="29" l="1"/>
  <c r="CC194" i="28"/>
  <c r="CD25" i="29"/>
  <c r="CD27" i="29" s="1"/>
  <c r="CD196" i="29" s="1"/>
  <c r="CE187" i="28"/>
  <c r="CD192" i="28"/>
  <c r="CE23" i="28"/>
  <c r="CE22" i="28"/>
  <c r="CE191" i="28" s="1"/>
  <c r="CE187" i="29"/>
  <c r="CF18" i="28"/>
  <c r="CE188" i="28"/>
  <c r="CF18" i="29"/>
  <c r="CE188" i="29"/>
  <c r="CG16" i="28"/>
  <c r="CF185" i="28"/>
  <c r="CF19" i="28"/>
  <c r="CG16" i="29"/>
  <c r="CF185" i="29"/>
  <c r="CF19" i="29"/>
  <c r="CD192" i="29"/>
  <c r="CE23" i="29"/>
  <c r="CE22" i="29"/>
  <c r="CE191" i="29" s="1"/>
  <c r="CD25" i="28"/>
  <c r="CH74" i="28"/>
  <c r="CH73" i="28"/>
  <c r="CG76" i="28"/>
  <c r="CG78" i="28" s="1"/>
  <c r="CJ138" i="28"/>
  <c r="CK137" i="28" s="1"/>
  <c r="CL104" i="28"/>
  <c r="CM103" i="28" s="1"/>
  <c r="CJ70" i="28"/>
  <c r="CK69" i="28" s="1"/>
  <c r="CI155" i="29"/>
  <c r="CJ154" i="29" s="1"/>
  <c r="CH70" i="29"/>
  <c r="CI69" i="29" s="1"/>
  <c r="CG127" i="28"/>
  <c r="CG129" i="28" s="1"/>
  <c r="CG161" i="29"/>
  <c r="CG163" i="29" s="1"/>
  <c r="CG110" i="28"/>
  <c r="CG112" i="28" s="1"/>
  <c r="CJ121" i="28"/>
  <c r="CK120" i="28" s="1"/>
  <c r="CG178" i="29"/>
  <c r="CG180" i="29" s="1"/>
  <c r="CH53" i="28"/>
  <c r="CI52" i="28" s="1"/>
  <c r="CH56" i="28"/>
  <c r="CH57" i="28"/>
  <c r="CH108" i="28"/>
  <c r="CH107" i="28"/>
  <c r="CG59" i="28"/>
  <c r="CG61" i="28" s="1"/>
  <c r="CI172" i="28"/>
  <c r="CJ171" i="28" s="1"/>
  <c r="CI176" i="28"/>
  <c r="CI175" i="28"/>
  <c r="CH155" i="28"/>
  <c r="CI154" i="28" s="1"/>
  <c r="CH90" i="29"/>
  <c r="CH91" i="29"/>
  <c r="CH108" i="29"/>
  <c r="CH107" i="29"/>
  <c r="CG76" i="29"/>
  <c r="CG78" i="29" s="1"/>
  <c r="CG110" i="29"/>
  <c r="CG112" i="29" s="1"/>
  <c r="CH36" i="28"/>
  <c r="CI35" i="28" s="1"/>
  <c r="CG161" i="28"/>
  <c r="CG163" i="28" s="1"/>
  <c r="CH124" i="28"/>
  <c r="CH125" i="28"/>
  <c r="CI87" i="29"/>
  <c r="CJ86" i="29" s="1"/>
  <c r="CI121" i="29"/>
  <c r="CJ120" i="29" s="1"/>
  <c r="CH178" i="28"/>
  <c r="CH180" i="28" s="1"/>
  <c r="CH176" i="29"/>
  <c r="CH175" i="29"/>
  <c r="CJ172" i="29"/>
  <c r="CK171" i="29" s="1"/>
  <c r="CH142" i="29"/>
  <c r="CH141" i="29"/>
  <c r="CG144" i="28"/>
  <c r="CG146" i="28" s="1"/>
  <c r="CH74" i="29"/>
  <c r="CH73" i="29"/>
  <c r="CH124" i="29"/>
  <c r="CH125" i="29"/>
  <c r="CG42" i="28"/>
  <c r="CG44" i="28" s="1"/>
  <c r="CG144" i="29"/>
  <c r="CG146" i="29" s="1"/>
  <c r="CH141" i="28"/>
  <c r="CH142" i="28"/>
  <c r="CH158" i="29"/>
  <c r="CH159" i="29"/>
  <c r="CH91" i="28"/>
  <c r="CH90" i="28"/>
  <c r="CG127" i="29"/>
  <c r="CG129" i="29" s="1"/>
  <c r="CI138" i="29"/>
  <c r="CJ137" i="29" s="1"/>
  <c r="CH104" i="29"/>
  <c r="CI103" i="29" s="1"/>
  <c r="CG93" i="28"/>
  <c r="CG95" i="28" s="1"/>
  <c r="CG93" i="29"/>
  <c r="CG95" i="29" s="1"/>
  <c r="CH40" i="28"/>
  <c r="CH39" i="28"/>
  <c r="CH159" i="28"/>
  <c r="CH158" i="28"/>
  <c r="CL87" i="28"/>
  <c r="CM86" i="28" s="1"/>
  <c r="CL86" i="28"/>
  <c r="CI59" i="29"/>
  <c r="CI61" i="29" s="1"/>
  <c r="CH42" i="29"/>
  <c r="CH44" i="29" s="1"/>
  <c r="CI40" i="29"/>
  <c r="CI39" i="29"/>
  <c r="CJ57" i="29"/>
  <c r="CJ56" i="29"/>
  <c r="CJ53" i="29"/>
  <c r="CK52" i="29" s="1"/>
  <c r="CJ36" i="29"/>
  <c r="CK35" i="29" s="1"/>
  <c r="CD194" i="29" l="1"/>
  <c r="CE192" i="28"/>
  <c r="CF22" i="28"/>
  <c r="CF191" i="28" s="1"/>
  <c r="CF23" i="28"/>
  <c r="CG18" i="29"/>
  <c r="CF188" i="29"/>
  <c r="CH16" i="29"/>
  <c r="CG185" i="29"/>
  <c r="CG19" i="29"/>
  <c r="CF188" i="28"/>
  <c r="CG18" i="28"/>
  <c r="CH16" i="28"/>
  <c r="CG185" i="28"/>
  <c r="CG19" i="28"/>
  <c r="CD27" i="28"/>
  <c r="CD196" i="28" s="1"/>
  <c r="CD194" i="28"/>
  <c r="CE25" i="28"/>
  <c r="CF187" i="29"/>
  <c r="CF187" i="28"/>
  <c r="CE25" i="29"/>
  <c r="CE192" i="29"/>
  <c r="CF23" i="29"/>
  <c r="CF22" i="29"/>
  <c r="CF191" i="29" s="1"/>
  <c r="CH76" i="28"/>
  <c r="CH78" i="28" s="1"/>
  <c r="CI73" i="28"/>
  <c r="CI74" i="28"/>
  <c r="CK138" i="28"/>
  <c r="CL137" i="28" s="1"/>
  <c r="CM104" i="28"/>
  <c r="CN103" i="28" s="1"/>
  <c r="CK70" i="28"/>
  <c r="CL69" i="28" s="1"/>
  <c r="CJ155" i="29"/>
  <c r="CK154" i="29" s="1"/>
  <c r="CI70" i="29"/>
  <c r="CJ69" i="29" s="1"/>
  <c r="CH110" i="28"/>
  <c r="CH112" i="28" s="1"/>
  <c r="CH144" i="29"/>
  <c r="CH146" i="29" s="1"/>
  <c r="CH76" i="29"/>
  <c r="CH78" i="29" s="1"/>
  <c r="CH42" i="28"/>
  <c r="CH44" i="28" s="1"/>
  <c r="CK121" i="28"/>
  <c r="CL120" i="28" s="1"/>
  <c r="CH144" i="28"/>
  <c r="CH146" i="28" s="1"/>
  <c r="CH127" i="28"/>
  <c r="CH129" i="28" s="1"/>
  <c r="CH127" i="29"/>
  <c r="CH129" i="29" s="1"/>
  <c r="CH110" i="29"/>
  <c r="CH112" i="29" s="1"/>
  <c r="CI53" i="28"/>
  <c r="CJ52" i="28" s="1"/>
  <c r="CH161" i="28"/>
  <c r="CH163" i="28" s="1"/>
  <c r="CI104" i="29"/>
  <c r="CJ103" i="29" s="1"/>
  <c r="CJ87" i="29"/>
  <c r="CK86" i="29" s="1"/>
  <c r="CI125" i="29"/>
  <c r="CI124" i="29"/>
  <c r="CK172" i="29"/>
  <c r="CL171" i="29" s="1"/>
  <c r="CI36" i="28"/>
  <c r="CJ35" i="28" s="1"/>
  <c r="CI107" i="29"/>
  <c r="CI108" i="29"/>
  <c r="CI159" i="28"/>
  <c r="CI158" i="28"/>
  <c r="CI125" i="28"/>
  <c r="CI124" i="28"/>
  <c r="CI91" i="29"/>
  <c r="CI90" i="29"/>
  <c r="CH93" i="29"/>
  <c r="CH95" i="29" s="1"/>
  <c r="CI155" i="28"/>
  <c r="CJ154" i="28" s="1"/>
  <c r="CJ138" i="29"/>
  <c r="CK137" i="29" s="1"/>
  <c r="CI40" i="28"/>
  <c r="CI39" i="28"/>
  <c r="CI74" i="29"/>
  <c r="CI73" i="29"/>
  <c r="CH178" i="29"/>
  <c r="CH180" i="29" s="1"/>
  <c r="CI107" i="28"/>
  <c r="CI108" i="28"/>
  <c r="CI176" i="29"/>
  <c r="CI175" i="29"/>
  <c r="CH93" i="28"/>
  <c r="CH95" i="28" s="1"/>
  <c r="CJ176" i="28"/>
  <c r="CJ175" i="28"/>
  <c r="CI56" i="28"/>
  <c r="CI57" i="28"/>
  <c r="CH59" i="28"/>
  <c r="CH61" i="28" s="1"/>
  <c r="CI158" i="29"/>
  <c r="CI159" i="29"/>
  <c r="CJ172" i="28"/>
  <c r="CK171" i="28" s="1"/>
  <c r="CH161" i="29"/>
  <c r="CH163" i="29" s="1"/>
  <c r="CI141" i="29"/>
  <c r="CI142" i="29"/>
  <c r="CJ121" i="29"/>
  <c r="CK120" i="29" s="1"/>
  <c r="CI91" i="28"/>
  <c r="CI90" i="28"/>
  <c r="CI142" i="28"/>
  <c r="CI141" i="28"/>
  <c r="CI178" i="28"/>
  <c r="CI180" i="28" s="1"/>
  <c r="CM87" i="28"/>
  <c r="CI42" i="29"/>
  <c r="CI44" i="29" s="1"/>
  <c r="CJ40" i="29"/>
  <c r="CJ39" i="29"/>
  <c r="CK53" i="29"/>
  <c r="CL52" i="29" s="1"/>
  <c r="CK57" i="29"/>
  <c r="CK56" i="29"/>
  <c r="CK36" i="29"/>
  <c r="CL35" i="29" s="1"/>
  <c r="CJ59" i="29"/>
  <c r="CJ61" i="29" s="1"/>
  <c r="CG187" i="28" l="1"/>
  <c r="CF25" i="29"/>
  <c r="CH18" i="29"/>
  <c r="CG188" i="29"/>
  <c r="CE27" i="28"/>
  <c r="CE196" i="28" s="1"/>
  <c r="CE194" i="28"/>
  <c r="CI16" i="29"/>
  <c r="CH185" i="29"/>
  <c r="CH19" i="29"/>
  <c r="CH18" i="28"/>
  <c r="CG188" i="28"/>
  <c r="CI16" i="28"/>
  <c r="CH185" i="28"/>
  <c r="CH19" i="28"/>
  <c r="CG187" i="29"/>
  <c r="CF192" i="28"/>
  <c r="CG22" i="28"/>
  <c r="CG191" i="28" s="1"/>
  <c r="CG23" i="28"/>
  <c r="CF192" i="29"/>
  <c r="CG23" i="29"/>
  <c r="CG22" i="29"/>
  <c r="CG191" i="29" s="1"/>
  <c r="CE27" i="29"/>
  <c r="CE196" i="29" s="1"/>
  <c r="CE194" i="29"/>
  <c r="CF25" i="28"/>
  <c r="CJ74" i="28"/>
  <c r="CJ73" i="28"/>
  <c r="CI76" i="28"/>
  <c r="CI78" i="28" s="1"/>
  <c r="CL138" i="28"/>
  <c r="CM137" i="28" s="1"/>
  <c r="CN104" i="28"/>
  <c r="CO103" i="28" s="1"/>
  <c r="CL70" i="28"/>
  <c r="CM69" i="28" s="1"/>
  <c r="CK155" i="29"/>
  <c r="CL154" i="29" s="1"/>
  <c r="CJ70" i="29"/>
  <c r="CK69" i="29" s="1"/>
  <c r="CI93" i="28"/>
  <c r="CI95" i="28" s="1"/>
  <c r="CI178" i="29"/>
  <c r="CI180" i="29" s="1"/>
  <c r="CI144" i="28"/>
  <c r="CI146" i="28" s="1"/>
  <c r="CL121" i="28"/>
  <c r="CM120" i="28" s="1"/>
  <c r="CI127" i="28"/>
  <c r="CI129" i="28" s="1"/>
  <c r="CJ53" i="28"/>
  <c r="CK52" i="28" s="1"/>
  <c r="CI110" i="29"/>
  <c r="CI112" i="29" s="1"/>
  <c r="CI161" i="28"/>
  <c r="CI163" i="28" s="1"/>
  <c r="CJ107" i="28"/>
  <c r="CJ108" i="28"/>
  <c r="CJ141" i="29"/>
  <c r="CJ142" i="29"/>
  <c r="CI110" i="28"/>
  <c r="CI112" i="28" s="1"/>
  <c r="CJ155" i="28"/>
  <c r="CK154" i="28" s="1"/>
  <c r="CI144" i="29"/>
  <c r="CI146" i="29" s="1"/>
  <c r="CJ142" i="28"/>
  <c r="CJ141" i="28"/>
  <c r="CJ56" i="28"/>
  <c r="CJ57" i="28"/>
  <c r="CI59" i="28"/>
  <c r="CI61" i="28" s="1"/>
  <c r="CI93" i="29"/>
  <c r="CI95" i="29" s="1"/>
  <c r="CJ91" i="29"/>
  <c r="CJ90" i="29"/>
  <c r="CJ91" i="28"/>
  <c r="CJ90" i="28"/>
  <c r="CK172" i="28"/>
  <c r="CL171" i="28" s="1"/>
  <c r="CK176" i="28"/>
  <c r="CK175" i="28"/>
  <c r="CI76" i="29"/>
  <c r="CI78" i="29" s="1"/>
  <c r="CJ107" i="29"/>
  <c r="CJ108" i="29"/>
  <c r="CJ74" i="29"/>
  <c r="CJ73" i="29"/>
  <c r="CJ125" i="28"/>
  <c r="CJ124" i="28"/>
  <c r="CJ36" i="28"/>
  <c r="CK35" i="28" s="1"/>
  <c r="CI42" i="28"/>
  <c r="CI44" i="28" s="1"/>
  <c r="CK121" i="29"/>
  <c r="CL120" i="29" s="1"/>
  <c r="CJ125" i="29"/>
  <c r="CJ124" i="29"/>
  <c r="CJ178" i="28"/>
  <c r="CJ180" i="28" s="1"/>
  <c r="CJ40" i="28"/>
  <c r="CJ39" i="28"/>
  <c r="CK87" i="29"/>
  <c r="CL86" i="29" s="1"/>
  <c r="CL172" i="29"/>
  <c r="CM171" i="29" s="1"/>
  <c r="CJ158" i="29"/>
  <c r="CJ159" i="29"/>
  <c r="CI161" i="29"/>
  <c r="CI163" i="29" s="1"/>
  <c r="CK138" i="29"/>
  <c r="CL137" i="29" s="1"/>
  <c r="CJ104" i="29"/>
  <c r="CK103" i="29" s="1"/>
  <c r="CJ176" i="29"/>
  <c r="CJ175" i="29"/>
  <c r="CJ159" i="28"/>
  <c r="CJ158" i="28"/>
  <c r="CI127" i="29"/>
  <c r="CI129" i="29" s="1"/>
  <c r="CN87" i="28"/>
  <c r="CO86" i="28" s="1"/>
  <c r="CN86" i="28"/>
  <c r="CJ42" i="29"/>
  <c r="CJ44" i="29" s="1"/>
  <c r="CK59" i="29"/>
  <c r="CK61" i="29" s="1"/>
  <c r="CL57" i="29"/>
  <c r="CL56" i="29"/>
  <c r="CL36" i="29"/>
  <c r="CM35" i="29" s="1"/>
  <c r="CL53" i="29"/>
  <c r="CM52" i="29" s="1"/>
  <c r="CK40" i="29"/>
  <c r="CK39" i="29"/>
  <c r="CJ16" i="28" l="1"/>
  <c r="CI185" i="28"/>
  <c r="CI19" i="28"/>
  <c r="CH187" i="28"/>
  <c r="CG192" i="29"/>
  <c r="CH23" i="29"/>
  <c r="CH22" i="29"/>
  <c r="CH191" i="29" s="1"/>
  <c r="CI18" i="29"/>
  <c r="CH188" i="29"/>
  <c r="CF27" i="28"/>
  <c r="CF196" i="28" s="1"/>
  <c r="CF194" i="28"/>
  <c r="CJ16" i="29"/>
  <c r="CI185" i="29"/>
  <c r="CI19" i="29"/>
  <c r="CG192" i="28"/>
  <c r="CH23" i="28"/>
  <c r="CH22" i="28"/>
  <c r="CH191" i="28" s="1"/>
  <c r="CH187" i="29"/>
  <c r="CG25" i="29"/>
  <c r="CF27" i="29"/>
  <c r="CF196" i="29" s="1"/>
  <c r="CF194" i="29"/>
  <c r="CG25" i="28"/>
  <c r="CH188" i="28"/>
  <c r="CI18" i="28"/>
  <c r="CJ76" i="28"/>
  <c r="CJ78" i="28" s="1"/>
  <c r="CK73" i="28"/>
  <c r="CK74" i="28"/>
  <c r="CM138" i="28"/>
  <c r="CN137" i="28" s="1"/>
  <c r="CO104" i="28"/>
  <c r="CP103" i="28" s="1"/>
  <c r="CM70" i="28"/>
  <c r="CN69" i="28" s="1"/>
  <c r="CL155" i="29"/>
  <c r="CM154" i="29" s="1"/>
  <c r="CK70" i="29"/>
  <c r="CL69" i="29" s="1"/>
  <c r="CJ144" i="29"/>
  <c r="CJ146" i="29" s="1"/>
  <c r="CJ144" i="28"/>
  <c r="CJ146" i="28" s="1"/>
  <c r="CJ178" i="29"/>
  <c r="CJ180" i="29" s="1"/>
  <c r="CJ42" i="28"/>
  <c r="CJ44" i="28" s="1"/>
  <c r="CJ93" i="29"/>
  <c r="CJ95" i="29" s="1"/>
  <c r="CJ76" i="29"/>
  <c r="CJ78" i="29" s="1"/>
  <c r="CJ161" i="29"/>
  <c r="CJ163" i="29" s="1"/>
  <c r="CM121" i="28"/>
  <c r="CN120" i="28" s="1"/>
  <c r="CJ110" i="29"/>
  <c r="CJ112" i="29" s="1"/>
  <c r="CJ127" i="29"/>
  <c r="CJ129" i="29" s="1"/>
  <c r="CJ127" i="28"/>
  <c r="CJ129" i="28" s="1"/>
  <c r="CJ161" i="28"/>
  <c r="CJ163" i="28" s="1"/>
  <c r="CK53" i="28"/>
  <c r="CL52" i="28" s="1"/>
  <c r="CM172" i="29"/>
  <c r="CN171" i="29" s="1"/>
  <c r="CK125" i="29"/>
  <c r="CK124" i="29"/>
  <c r="CK107" i="29"/>
  <c r="CK108" i="29"/>
  <c r="CK125" i="28"/>
  <c r="CK124" i="28"/>
  <c r="CK104" i="29"/>
  <c r="CL103" i="29" s="1"/>
  <c r="CL176" i="28"/>
  <c r="CL175" i="28"/>
  <c r="CL87" i="29"/>
  <c r="CM86" i="29" s="1"/>
  <c r="CL172" i="28"/>
  <c r="CM171" i="28" s="1"/>
  <c r="CK155" i="28"/>
  <c r="CL154" i="28" s="1"/>
  <c r="CL138" i="29"/>
  <c r="CM137" i="29" s="1"/>
  <c r="CK178" i="28"/>
  <c r="CK180" i="28" s="1"/>
  <c r="CJ93" i="28"/>
  <c r="CJ95" i="28" s="1"/>
  <c r="CK36" i="28"/>
  <c r="CL35" i="28" s="1"/>
  <c r="CK158" i="28"/>
  <c r="CK159" i="28"/>
  <c r="CK90" i="28"/>
  <c r="CK91" i="28"/>
  <c r="CK158" i="29"/>
  <c r="CK159" i="29"/>
  <c r="CL121" i="29"/>
  <c r="CM120" i="29" s="1"/>
  <c r="CK57" i="28"/>
  <c r="CK56" i="28"/>
  <c r="CK141" i="29"/>
  <c r="CK142" i="29"/>
  <c r="CK40" i="28"/>
  <c r="CK39" i="28"/>
  <c r="CJ59" i="28"/>
  <c r="CJ61" i="28" s="1"/>
  <c r="CK91" i="29"/>
  <c r="CK90" i="29"/>
  <c r="CK176" i="29"/>
  <c r="CK175" i="29"/>
  <c r="CK74" i="29"/>
  <c r="CK73" i="29"/>
  <c r="CK107" i="28"/>
  <c r="CK108" i="28"/>
  <c r="CK142" i="28"/>
  <c r="CK141" i="28"/>
  <c r="CJ110" i="28"/>
  <c r="CJ112" i="28" s="1"/>
  <c r="CO87" i="28"/>
  <c r="CM36" i="29"/>
  <c r="CN35" i="29" s="1"/>
  <c r="CM53" i="29"/>
  <c r="CN52" i="29" s="1"/>
  <c r="CL59" i="29"/>
  <c r="CL61" i="29" s="1"/>
  <c r="CL40" i="29"/>
  <c r="CL39" i="29"/>
  <c r="CM57" i="29"/>
  <c r="CM56" i="29"/>
  <c r="CK42" i="29"/>
  <c r="CK44" i="29" s="1"/>
  <c r="CH25" i="29" l="1"/>
  <c r="CH27" i="29" s="1"/>
  <c r="CH196" i="29" s="1"/>
  <c r="CH25" i="28"/>
  <c r="CK16" i="29"/>
  <c r="CJ185" i="29"/>
  <c r="CJ19" i="29"/>
  <c r="CI187" i="28"/>
  <c r="CI187" i="29"/>
  <c r="CH192" i="29"/>
  <c r="CI22" i="29"/>
  <c r="CI191" i="29" s="1"/>
  <c r="CI23" i="29"/>
  <c r="CG27" i="28"/>
  <c r="CG196" i="28" s="1"/>
  <c r="CG194" i="28"/>
  <c r="CH27" i="28"/>
  <c r="CH196" i="28" s="1"/>
  <c r="CH194" i="28"/>
  <c r="CH192" i="28"/>
  <c r="CI22" i="28"/>
  <c r="CI191" i="28" s="1"/>
  <c r="CI23" i="28"/>
  <c r="CJ18" i="28"/>
  <c r="CI188" i="28"/>
  <c r="CG27" i="29"/>
  <c r="CG196" i="29" s="1"/>
  <c r="CG194" i="29"/>
  <c r="CJ18" i="29"/>
  <c r="CI188" i="29"/>
  <c r="CK16" i="28"/>
  <c r="CJ185" i="28"/>
  <c r="CJ19" i="28"/>
  <c r="CL73" i="28"/>
  <c r="CL74" i="28"/>
  <c r="CK76" i="28"/>
  <c r="CK78" i="28" s="1"/>
  <c r="CN138" i="28"/>
  <c r="CO137" i="28" s="1"/>
  <c r="CP104" i="28"/>
  <c r="CQ103" i="28" s="1"/>
  <c r="CN70" i="28"/>
  <c r="CO69" i="28" s="1"/>
  <c r="CM155" i="29"/>
  <c r="CN154" i="29" s="1"/>
  <c r="CL70" i="29"/>
  <c r="CM69" i="29" s="1"/>
  <c r="CK144" i="28"/>
  <c r="CK146" i="28" s="1"/>
  <c r="CK127" i="29"/>
  <c r="CK129" i="29" s="1"/>
  <c r="CK127" i="28"/>
  <c r="CK129" i="28" s="1"/>
  <c r="CN121" i="28"/>
  <c r="CO120" i="28" s="1"/>
  <c r="CK42" i="28"/>
  <c r="CK44" i="28" s="1"/>
  <c r="CK76" i="29"/>
  <c r="CK78" i="29" s="1"/>
  <c r="CL53" i="28"/>
  <c r="CM52" i="28" s="1"/>
  <c r="CK110" i="29"/>
  <c r="CK112" i="29" s="1"/>
  <c r="CK161" i="28"/>
  <c r="CK163" i="28" s="1"/>
  <c r="CL158" i="29"/>
  <c r="CL159" i="29"/>
  <c r="CL36" i="28"/>
  <c r="CM35" i="28" s="1"/>
  <c r="CL155" i="28"/>
  <c r="CM154" i="28" s="1"/>
  <c r="CK93" i="29"/>
  <c r="CK95" i="29" s="1"/>
  <c r="CK161" i="29"/>
  <c r="CK163" i="29" s="1"/>
  <c r="CL178" i="28"/>
  <c r="CL180" i="28" s="1"/>
  <c r="CL90" i="29"/>
  <c r="CL91" i="29"/>
  <c r="CM172" i="28"/>
  <c r="CN171" i="28" s="1"/>
  <c r="CM121" i="29"/>
  <c r="CN120" i="29" s="1"/>
  <c r="CL107" i="28"/>
  <c r="CL108" i="28"/>
  <c r="CL104" i="29"/>
  <c r="CM103" i="29" s="1"/>
  <c r="CL175" i="29"/>
  <c r="CL176" i="29"/>
  <c r="CK110" i="28"/>
  <c r="CK112" i="28" s="1"/>
  <c r="CL90" i="28"/>
  <c r="CL91" i="28"/>
  <c r="CL108" i="29"/>
  <c r="CL107" i="29"/>
  <c r="CK93" i="28"/>
  <c r="CK95" i="28" s="1"/>
  <c r="CL40" i="28"/>
  <c r="CL39" i="28"/>
  <c r="CM87" i="29"/>
  <c r="CN86" i="29" s="1"/>
  <c r="CL142" i="29"/>
  <c r="CL141" i="29"/>
  <c r="CL124" i="29"/>
  <c r="CL125" i="29"/>
  <c r="CL142" i="28"/>
  <c r="CL141" i="28"/>
  <c r="CL74" i="29"/>
  <c r="CL73" i="29"/>
  <c r="CK144" i="29"/>
  <c r="CK146" i="29" s="1"/>
  <c r="CM138" i="29"/>
  <c r="CN137" i="29" s="1"/>
  <c r="CN172" i="29"/>
  <c r="CO171" i="29" s="1"/>
  <c r="CK59" i="28"/>
  <c r="CK61" i="28" s="1"/>
  <c r="CL56" i="28"/>
  <c r="CL57" i="28"/>
  <c r="CM176" i="28"/>
  <c r="CM175" i="28"/>
  <c r="CK178" i="29"/>
  <c r="CK180" i="29" s="1"/>
  <c r="CL159" i="28"/>
  <c r="CL158" i="28"/>
  <c r="CL125" i="28"/>
  <c r="CL124" i="28"/>
  <c r="CP87" i="28"/>
  <c r="CQ86" i="28" s="1"/>
  <c r="CP86" i="28"/>
  <c r="CL42" i="29"/>
  <c r="CL44" i="29" s="1"/>
  <c r="CN53" i="29"/>
  <c r="CO52" i="29" s="1"/>
  <c r="CN36" i="29"/>
  <c r="CO35" i="29" s="1"/>
  <c r="CN57" i="29"/>
  <c r="CN56" i="29"/>
  <c r="CM40" i="29"/>
  <c r="CM39" i="29"/>
  <c r="CM59" i="29"/>
  <c r="CM61" i="29" s="1"/>
  <c r="CH194" i="29" l="1"/>
  <c r="CJ187" i="28"/>
  <c r="CI192" i="28"/>
  <c r="CJ22" i="28"/>
  <c r="CJ191" i="28" s="1"/>
  <c r="CJ23" i="28"/>
  <c r="CI25" i="28"/>
  <c r="CJ188" i="28"/>
  <c r="CK18" i="28"/>
  <c r="CL16" i="28"/>
  <c r="CK185" i="28"/>
  <c r="CK19" i="28"/>
  <c r="CJ187" i="29"/>
  <c r="CI192" i="29"/>
  <c r="CJ22" i="29"/>
  <c r="CJ191" i="29" s="1"/>
  <c r="CJ23" i="29"/>
  <c r="CK18" i="29"/>
  <c r="CJ188" i="29"/>
  <c r="CL16" i="29"/>
  <c r="CK185" i="29"/>
  <c r="CK19" i="29"/>
  <c r="CI25" i="29"/>
  <c r="CM74" i="28"/>
  <c r="CM73" i="28"/>
  <c r="CL76" i="28"/>
  <c r="CL78" i="28" s="1"/>
  <c r="CO138" i="28"/>
  <c r="CP137" i="28" s="1"/>
  <c r="CQ104" i="28"/>
  <c r="CR103" i="28" s="1"/>
  <c r="CO70" i="28"/>
  <c r="CP69" i="28" s="1"/>
  <c r="CN155" i="29"/>
  <c r="CO154" i="29" s="1"/>
  <c r="CM70" i="29"/>
  <c r="CN69" i="29" s="1"/>
  <c r="CL178" i="29"/>
  <c r="CL180" i="29" s="1"/>
  <c r="CL110" i="28"/>
  <c r="CL112" i="28" s="1"/>
  <c r="CO121" i="28"/>
  <c r="CP120" i="28" s="1"/>
  <c r="CL127" i="29"/>
  <c r="CL129" i="29" s="1"/>
  <c r="CL144" i="29"/>
  <c r="CL146" i="29" s="1"/>
  <c r="CL59" i="28"/>
  <c r="CL61" i="28" s="1"/>
  <c r="CM53" i="28"/>
  <c r="CN52" i="28" s="1"/>
  <c r="CO172" i="29"/>
  <c r="CP171" i="29" s="1"/>
  <c r="CM91" i="29"/>
  <c r="CM90" i="29"/>
  <c r="CM104" i="29"/>
  <c r="CN103" i="29" s="1"/>
  <c r="CL93" i="29"/>
  <c r="CL95" i="29" s="1"/>
  <c r="CM36" i="28"/>
  <c r="CN35" i="28" s="1"/>
  <c r="CM178" i="28"/>
  <c r="CM180" i="28" s="1"/>
  <c r="CN138" i="29"/>
  <c r="CO137" i="29" s="1"/>
  <c r="CM142" i="29"/>
  <c r="CM141" i="29"/>
  <c r="CL161" i="28"/>
  <c r="CL163" i="28" s="1"/>
  <c r="CN175" i="28"/>
  <c r="CN176" i="28"/>
  <c r="CL42" i="28"/>
  <c r="CL44" i="28" s="1"/>
  <c r="CM108" i="29"/>
  <c r="CM107" i="29"/>
  <c r="CM108" i="28"/>
  <c r="CM107" i="28"/>
  <c r="CM158" i="29"/>
  <c r="CM159" i="29"/>
  <c r="CL127" i="28"/>
  <c r="CL129" i="28" s="1"/>
  <c r="CM56" i="28"/>
  <c r="CM57" i="28"/>
  <c r="CL76" i="29"/>
  <c r="CL78" i="29" s="1"/>
  <c r="CN87" i="29"/>
  <c r="CO86" i="29" s="1"/>
  <c r="CM90" i="28"/>
  <c r="CM91" i="28"/>
  <c r="CL161" i="29"/>
  <c r="CL163" i="29" s="1"/>
  <c r="CM74" i="29"/>
  <c r="CM73" i="29"/>
  <c r="CL93" i="28"/>
  <c r="CL95" i="28" s="1"/>
  <c r="CN121" i="29"/>
  <c r="CO120" i="29" s="1"/>
  <c r="CN172" i="28"/>
  <c r="CO171" i="28" s="1"/>
  <c r="CM155" i="28"/>
  <c r="CN154" i="28" s="1"/>
  <c r="CL144" i="28"/>
  <c r="CL146" i="28" s="1"/>
  <c r="CM141" i="28"/>
  <c r="CM142" i="28"/>
  <c r="CM124" i="28"/>
  <c r="CM125" i="28"/>
  <c r="CM125" i="29"/>
  <c r="CM124" i="29"/>
  <c r="CM158" i="28"/>
  <c r="CM159" i="28"/>
  <c r="CM39" i="28"/>
  <c r="CM40" i="28"/>
  <c r="CM176" i="29"/>
  <c r="CM175" i="29"/>
  <c r="CL110" i="29"/>
  <c r="CL112" i="29" s="1"/>
  <c r="CQ87" i="28"/>
  <c r="CM42" i="29"/>
  <c r="CM44" i="29" s="1"/>
  <c r="CO57" i="29"/>
  <c r="CO56" i="29"/>
  <c r="CO53" i="29"/>
  <c r="CP52" i="29" s="1"/>
  <c r="CO36" i="29"/>
  <c r="CP35" i="29" s="1"/>
  <c r="CN40" i="29"/>
  <c r="CN39" i="29"/>
  <c r="CN59" i="29"/>
  <c r="CN61" i="29" s="1"/>
  <c r="CL18" i="29" l="1"/>
  <c r="CK188" i="29"/>
  <c r="CL18" i="28"/>
  <c r="CK188" i="28"/>
  <c r="CM16" i="29"/>
  <c r="CL185" i="29"/>
  <c r="CL19" i="29"/>
  <c r="CM16" i="28"/>
  <c r="CL185" i="28"/>
  <c r="CL19" i="28"/>
  <c r="CK187" i="29"/>
  <c r="CK187" i="28"/>
  <c r="CI27" i="28"/>
  <c r="CI196" i="28" s="1"/>
  <c r="CI194" i="28"/>
  <c r="CJ192" i="28"/>
  <c r="CK22" i="28"/>
  <c r="CK191" i="28" s="1"/>
  <c r="CK23" i="28"/>
  <c r="CJ192" i="29"/>
  <c r="CK22" i="29"/>
  <c r="CK191" i="29" s="1"/>
  <c r="CK23" i="29"/>
  <c r="CJ25" i="28"/>
  <c r="CI27" i="29"/>
  <c r="CI196" i="29" s="1"/>
  <c r="CI194" i="29"/>
  <c r="CJ25" i="29"/>
  <c r="CM76" i="28"/>
  <c r="CM78" i="28" s="1"/>
  <c r="CN73" i="28"/>
  <c r="CN74" i="28"/>
  <c r="CP138" i="28"/>
  <c r="CQ137" i="28" s="1"/>
  <c r="CR104" i="28"/>
  <c r="CS103" i="28" s="1"/>
  <c r="CP70" i="28"/>
  <c r="CQ69" i="28" s="1"/>
  <c r="CO155" i="29"/>
  <c r="CP154" i="29" s="1"/>
  <c r="CN70" i="29"/>
  <c r="CO69" i="29" s="1"/>
  <c r="CM110" i="28"/>
  <c r="CM112" i="28" s="1"/>
  <c r="CM178" i="29"/>
  <c r="CM180" i="29" s="1"/>
  <c r="CN178" i="28"/>
  <c r="CN180" i="28" s="1"/>
  <c r="CM127" i="28"/>
  <c r="CM129" i="28" s="1"/>
  <c r="CM144" i="29"/>
  <c r="CM146" i="29" s="1"/>
  <c r="CM93" i="29"/>
  <c r="CM95" i="29" s="1"/>
  <c r="CP121" i="28"/>
  <c r="CQ120" i="28" s="1"/>
  <c r="CM59" i="28"/>
  <c r="CM61" i="28" s="1"/>
  <c r="CM42" i="28"/>
  <c r="CM44" i="28" s="1"/>
  <c r="CM161" i="29"/>
  <c r="CM163" i="29" s="1"/>
  <c r="CN53" i="28"/>
  <c r="CO52" i="28" s="1"/>
  <c r="CM127" i="29"/>
  <c r="CM129" i="29" s="1"/>
  <c r="CM144" i="28"/>
  <c r="CM146" i="28" s="1"/>
  <c r="CN142" i="29"/>
  <c r="CN141" i="29"/>
  <c r="CN158" i="28"/>
  <c r="CN159" i="28"/>
  <c r="CN155" i="28"/>
  <c r="CO154" i="28" s="1"/>
  <c r="CN56" i="28"/>
  <c r="CN57" i="28"/>
  <c r="CO172" i="28"/>
  <c r="CP171" i="28" s="1"/>
  <c r="CN124" i="29"/>
  <c r="CN125" i="29"/>
  <c r="CN141" i="28"/>
  <c r="CN142" i="28"/>
  <c r="CO175" i="28"/>
  <c r="CO176" i="28"/>
  <c r="CO138" i="29"/>
  <c r="CP137" i="29" s="1"/>
  <c r="CN90" i="29"/>
  <c r="CN91" i="29"/>
  <c r="CO87" i="29"/>
  <c r="CP86" i="29" s="1"/>
  <c r="CN125" i="28"/>
  <c r="CN124" i="28"/>
  <c r="CN158" i="29"/>
  <c r="CN159" i="29"/>
  <c r="CM110" i="29"/>
  <c r="CM112" i="29" s="1"/>
  <c r="CO121" i="29"/>
  <c r="CP120" i="29" s="1"/>
  <c r="CN104" i="29"/>
  <c r="CO103" i="29" s="1"/>
  <c r="CM76" i="29"/>
  <c r="CM78" i="29" s="1"/>
  <c r="CN73" i="29"/>
  <c r="CN74" i="29"/>
  <c r="CN40" i="28"/>
  <c r="CN39" i="28"/>
  <c r="CN108" i="28"/>
  <c r="CN107" i="28"/>
  <c r="CN36" i="28"/>
  <c r="CO35" i="28" s="1"/>
  <c r="CM161" i="28"/>
  <c r="CM163" i="28" s="1"/>
  <c r="CN91" i="28"/>
  <c r="CN90" i="28"/>
  <c r="CP172" i="29"/>
  <c r="CQ171" i="29" s="1"/>
  <c r="CN176" i="29"/>
  <c r="CN175" i="29"/>
  <c r="CM93" i="28"/>
  <c r="CM95" i="28" s="1"/>
  <c r="CN108" i="29"/>
  <c r="CN107" i="29"/>
  <c r="CR87" i="28"/>
  <c r="CS86" i="28" s="1"/>
  <c r="CR86" i="28"/>
  <c r="CO59" i="29"/>
  <c r="CO61" i="29" s="1"/>
  <c r="CN42" i="29"/>
  <c r="CN44" i="29" s="1"/>
  <c r="CP36" i="29"/>
  <c r="CQ35" i="29" s="1"/>
  <c r="CP53" i="29"/>
  <c r="CQ52" i="29" s="1"/>
  <c r="CO40" i="29"/>
  <c r="CO39" i="29"/>
  <c r="CP57" i="29"/>
  <c r="CP56" i="29"/>
  <c r="CK25" i="28" l="1"/>
  <c r="CK27" i="28" s="1"/>
  <c r="CK196" i="28" s="1"/>
  <c r="CK192" i="29"/>
  <c r="CL22" i="29"/>
  <c r="CL191" i="29" s="1"/>
  <c r="CL23" i="29"/>
  <c r="CK25" i="29"/>
  <c r="CK192" i="28"/>
  <c r="CL23" i="28"/>
  <c r="CL22" i="28"/>
  <c r="CL191" i="28" s="1"/>
  <c r="CL188" i="28"/>
  <c r="CM18" i="28"/>
  <c r="CJ27" i="29"/>
  <c r="CJ196" i="29" s="1"/>
  <c r="CJ194" i="29"/>
  <c r="CN16" i="28"/>
  <c r="CM185" i="28"/>
  <c r="CM19" i="28"/>
  <c r="CM18" i="29"/>
  <c r="CL188" i="29"/>
  <c r="CN16" i="29"/>
  <c r="CM185" i="29"/>
  <c r="CM19" i="29"/>
  <c r="CL187" i="28"/>
  <c r="CJ27" i="28"/>
  <c r="CJ196" i="28" s="1"/>
  <c r="CJ194" i="28"/>
  <c r="CL187" i="29"/>
  <c r="CO74" i="28"/>
  <c r="CO73" i="28"/>
  <c r="CN76" i="28"/>
  <c r="CN78" i="28" s="1"/>
  <c r="CQ138" i="28"/>
  <c r="CR137" i="28" s="1"/>
  <c r="CS104" i="28"/>
  <c r="CT103" i="28" s="1"/>
  <c r="CQ70" i="28"/>
  <c r="CR69" i="28" s="1"/>
  <c r="CP155" i="29"/>
  <c r="CQ154" i="29" s="1"/>
  <c r="CO70" i="29"/>
  <c r="CP69" i="29" s="1"/>
  <c r="CN93" i="28"/>
  <c r="CN95" i="28" s="1"/>
  <c r="CN110" i="28"/>
  <c r="CN112" i="28" s="1"/>
  <c r="CN144" i="28"/>
  <c r="CN146" i="28" s="1"/>
  <c r="CQ121" i="28"/>
  <c r="CR120" i="28" s="1"/>
  <c r="CN144" i="29"/>
  <c r="CN146" i="29" s="1"/>
  <c r="CN76" i="29"/>
  <c r="CN78" i="29" s="1"/>
  <c r="CO53" i="28"/>
  <c r="CP52" i="28" s="1"/>
  <c r="CO178" i="28"/>
  <c r="CO180" i="28" s="1"/>
  <c r="CO56" i="28"/>
  <c r="CO57" i="28"/>
  <c r="CO108" i="29"/>
  <c r="CO107" i="29"/>
  <c r="CO73" i="29"/>
  <c r="CO74" i="29"/>
  <c r="CO141" i="28"/>
  <c r="CO142" i="28"/>
  <c r="CN59" i="28"/>
  <c r="CN61" i="28" s="1"/>
  <c r="CN127" i="28"/>
  <c r="CN129" i="28" s="1"/>
  <c r="CO36" i="28"/>
  <c r="CP35" i="28" s="1"/>
  <c r="CO104" i="29"/>
  <c r="CP103" i="29" s="1"/>
  <c r="CO124" i="28"/>
  <c r="CO125" i="28"/>
  <c r="CO125" i="29"/>
  <c r="CO124" i="29"/>
  <c r="CO155" i="28"/>
  <c r="CP154" i="28" s="1"/>
  <c r="CN178" i="29"/>
  <c r="CN180" i="29" s="1"/>
  <c r="CN127" i="29"/>
  <c r="CN129" i="29" s="1"/>
  <c r="CO176" i="29"/>
  <c r="CO175" i="29"/>
  <c r="CP87" i="29"/>
  <c r="CQ86" i="29" s="1"/>
  <c r="CN161" i="28"/>
  <c r="CN163" i="28" s="1"/>
  <c r="CN161" i="29"/>
  <c r="CN163" i="29" s="1"/>
  <c r="CO108" i="28"/>
  <c r="CO107" i="28"/>
  <c r="CP172" i="28"/>
  <c r="CQ171" i="28" s="1"/>
  <c r="CQ172" i="29"/>
  <c r="CR171" i="29" s="1"/>
  <c r="CO158" i="28"/>
  <c r="CO159" i="28"/>
  <c r="CO158" i="29"/>
  <c r="CO159" i="29"/>
  <c r="CN42" i="28"/>
  <c r="CN44" i="28" s="1"/>
  <c r="CP121" i="29"/>
  <c r="CQ120" i="29" s="1"/>
  <c r="CN93" i="29"/>
  <c r="CN95" i="29" s="1"/>
  <c r="CO90" i="29"/>
  <c r="CO91" i="29"/>
  <c r="CN110" i="29"/>
  <c r="CN112" i="29" s="1"/>
  <c r="CO39" i="28"/>
  <c r="CO40" i="28"/>
  <c r="CO142" i="29"/>
  <c r="CO141" i="29"/>
  <c r="CP138" i="29"/>
  <c r="CQ137" i="29" s="1"/>
  <c r="CO90" i="28"/>
  <c r="CO91" i="28"/>
  <c r="CP175" i="28"/>
  <c r="CP176" i="28"/>
  <c r="CS87" i="28"/>
  <c r="CP59" i="29"/>
  <c r="CP61" i="29" s="1"/>
  <c r="CP40" i="29"/>
  <c r="CP39" i="29"/>
  <c r="CQ36" i="29"/>
  <c r="CR35" i="29" s="1"/>
  <c r="CO42" i="29"/>
  <c r="CO44" i="29" s="1"/>
  <c r="CQ53" i="29"/>
  <c r="CR52" i="29" s="1"/>
  <c r="CQ57" i="29"/>
  <c r="CQ56" i="29"/>
  <c r="CL25" i="29" l="1"/>
  <c r="CL27" i="29" s="1"/>
  <c r="CL196" i="29" s="1"/>
  <c r="CK194" i="28"/>
  <c r="CO16" i="28"/>
  <c r="CN185" i="28"/>
  <c r="CN19" i="28"/>
  <c r="CN18" i="29"/>
  <c r="CM188" i="29"/>
  <c r="CM187" i="28"/>
  <c r="CO16" i="29"/>
  <c r="CN185" i="29"/>
  <c r="CN19" i="29"/>
  <c r="CL192" i="28"/>
  <c r="CM22" i="28"/>
  <c r="CM191" i="28" s="1"/>
  <c r="CM23" i="28"/>
  <c r="CK27" i="29"/>
  <c r="CK196" i="29" s="1"/>
  <c r="CK194" i="29"/>
  <c r="CM187" i="29"/>
  <c r="CL192" i="29"/>
  <c r="CM22" i="29"/>
  <c r="CM191" i="29" s="1"/>
  <c r="CM23" i="29"/>
  <c r="CL25" i="28"/>
  <c r="CN18" i="28"/>
  <c r="CM188" i="28"/>
  <c r="CO76" i="28"/>
  <c r="CO78" i="28" s="1"/>
  <c r="CP73" i="28"/>
  <c r="CP74" i="28"/>
  <c r="CR138" i="28"/>
  <c r="CS137" i="28" s="1"/>
  <c r="CT104" i="28"/>
  <c r="CU103" i="28" s="1"/>
  <c r="CR70" i="28"/>
  <c r="CS69" i="28" s="1"/>
  <c r="CQ155" i="29"/>
  <c r="CR154" i="29" s="1"/>
  <c r="CP70" i="29"/>
  <c r="CQ69" i="29" s="1"/>
  <c r="CO144" i="29"/>
  <c r="CO146" i="29" s="1"/>
  <c r="CO178" i="29"/>
  <c r="CO180" i="29" s="1"/>
  <c r="CO127" i="29"/>
  <c r="CO129" i="29" s="1"/>
  <c r="CR121" i="28"/>
  <c r="CS120" i="28" s="1"/>
  <c r="CP178" i="28"/>
  <c r="CP180" i="28" s="1"/>
  <c r="CP53" i="28"/>
  <c r="CQ52" i="28" s="1"/>
  <c r="CO76" i="29"/>
  <c r="CO78" i="29" s="1"/>
  <c r="CO144" i="28"/>
  <c r="CO146" i="28" s="1"/>
  <c r="CO93" i="28"/>
  <c r="CO95" i="28" s="1"/>
  <c r="CP39" i="28"/>
  <c r="CP40" i="28"/>
  <c r="CO127" i="28"/>
  <c r="CO129" i="28" s="1"/>
  <c r="CP175" i="29"/>
  <c r="CP176" i="29"/>
  <c r="CP158" i="29"/>
  <c r="CP159" i="29"/>
  <c r="CP104" i="29"/>
  <c r="CQ103" i="29" s="1"/>
  <c r="CQ138" i="29"/>
  <c r="CR137" i="29" s="1"/>
  <c r="CO161" i="29"/>
  <c r="CO163" i="29" s="1"/>
  <c r="CP158" i="28"/>
  <c r="CP159" i="28"/>
  <c r="CO110" i="28"/>
  <c r="CO112" i="28" s="1"/>
  <c r="CO110" i="29"/>
  <c r="CO112" i="29" s="1"/>
  <c r="CP141" i="28"/>
  <c r="CP142" i="28"/>
  <c r="CP108" i="28"/>
  <c r="CP107" i="28"/>
  <c r="CP36" i="28"/>
  <c r="CQ35" i="28" s="1"/>
  <c r="CQ172" i="28"/>
  <c r="CR171" i="28" s="1"/>
  <c r="CQ175" i="28"/>
  <c r="CQ176" i="28"/>
  <c r="CP73" i="29"/>
  <c r="CP74" i="29"/>
  <c r="CP141" i="29"/>
  <c r="CP142" i="29"/>
  <c r="CP90" i="29"/>
  <c r="CP91" i="29"/>
  <c r="CO93" i="29"/>
  <c r="CO95" i="29" s="1"/>
  <c r="CO161" i="28"/>
  <c r="CO163" i="28" s="1"/>
  <c r="CP125" i="28"/>
  <c r="CP124" i="28"/>
  <c r="CR172" i="29"/>
  <c r="CS171" i="29" s="1"/>
  <c r="CQ87" i="29"/>
  <c r="CR86" i="29" s="1"/>
  <c r="CP155" i="28"/>
  <c r="CQ154" i="28" s="1"/>
  <c r="CP108" i="29"/>
  <c r="CP107" i="29"/>
  <c r="CQ121" i="29"/>
  <c r="CR120" i="29" s="1"/>
  <c r="CP57" i="28"/>
  <c r="CP56" i="28"/>
  <c r="CP91" i="28"/>
  <c r="CP90" i="28"/>
  <c r="CP124" i="29"/>
  <c r="CP125" i="29"/>
  <c r="CO42" i="28"/>
  <c r="CO44" i="28" s="1"/>
  <c r="CO59" i="28"/>
  <c r="CO61" i="28" s="1"/>
  <c r="CT87" i="28"/>
  <c r="CU86" i="28" s="1"/>
  <c r="CT86" i="28"/>
  <c r="CP42" i="29"/>
  <c r="CP44" i="29" s="1"/>
  <c r="CR53" i="29"/>
  <c r="CS52" i="29" s="1"/>
  <c r="CQ40" i="29"/>
  <c r="CQ39" i="29"/>
  <c r="CR57" i="29"/>
  <c r="CR56" i="29"/>
  <c r="CR36" i="29"/>
  <c r="CS35" i="29" s="1"/>
  <c r="CQ59" i="29"/>
  <c r="CQ61" i="29" s="1"/>
  <c r="CL194" i="29" l="1"/>
  <c r="CM25" i="29"/>
  <c r="CM27" i="29" s="1"/>
  <c r="CM196" i="29" s="1"/>
  <c r="CM25" i="28"/>
  <c r="CM27" i="28" s="1"/>
  <c r="CM196" i="28" s="1"/>
  <c r="CO18" i="29"/>
  <c r="CN188" i="29"/>
  <c r="CP16" i="29"/>
  <c r="CO185" i="29"/>
  <c r="CO19" i="29"/>
  <c r="CM192" i="28"/>
  <c r="CN22" i="28"/>
  <c r="CN191" i="28" s="1"/>
  <c r="CN23" i="28"/>
  <c r="CN187" i="28"/>
  <c r="CN187" i="29"/>
  <c r="CL27" i="28"/>
  <c r="CL196" i="28" s="1"/>
  <c r="CL194" i="28"/>
  <c r="CN188" i="28"/>
  <c r="CO18" i="28"/>
  <c r="CM192" i="29"/>
  <c r="CN22" i="29"/>
  <c r="CN191" i="29" s="1"/>
  <c r="CN23" i="29"/>
  <c r="CP16" i="28"/>
  <c r="CO185" i="28"/>
  <c r="CO19" i="28"/>
  <c r="CQ74" i="28"/>
  <c r="CQ73" i="28"/>
  <c r="CP76" i="28"/>
  <c r="CP78" i="28" s="1"/>
  <c r="CS138" i="28"/>
  <c r="CT137" i="28" s="1"/>
  <c r="CU104" i="28"/>
  <c r="CV103" i="28" s="1"/>
  <c r="CS70" i="28"/>
  <c r="CT69" i="28" s="1"/>
  <c r="CR155" i="29"/>
  <c r="CS154" i="29" s="1"/>
  <c r="CQ70" i="29"/>
  <c r="CR69" i="29" s="1"/>
  <c r="CP110" i="28"/>
  <c r="CP112" i="28" s="1"/>
  <c r="CP93" i="28"/>
  <c r="CP95" i="28" s="1"/>
  <c r="CS121" i="28"/>
  <c r="CT120" i="28" s="1"/>
  <c r="CP161" i="28"/>
  <c r="CP163" i="28" s="1"/>
  <c r="CP42" i="28"/>
  <c r="CP44" i="28" s="1"/>
  <c r="CP161" i="29"/>
  <c r="CP163" i="29" s="1"/>
  <c r="CP93" i="29"/>
  <c r="CP95" i="29" s="1"/>
  <c r="CP59" i="28"/>
  <c r="CP61" i="28" s="1"/>
  <c r="CP144" i="29"/>
  <c r="CP146" i="29" s="1"/>
  <c r="CP127" i="28"/>
  <c r="CP129" i="28" s="1"/>
  <c r="CQ53" i="28"/>
  <c r="CR52" i="28" s="1"/>
  <c r="CP178" i="29"/>
  <c r="CP180" i="29" s="1"/>
  <c r="CR172" i="28"/>
  <c r="CS171" i="28" s="1"/>
  <c r="CR87" i="29"/>
  <c r="CS86" i="29" s="1"/>
  <c r="CQ107" i="29"/>
  <c r="CQ108" i="29"/>
  <c r="CP110" i="29"/>
  <c r="CP112" i="29" s="1"/>
  <c r="CQ91" i="28"/>
  <c r="CQ90" i="28"/>
  <c r="CS172" i="29"/>
  <c r="CT171" i="29" s="1"/>
  <c r="CQ142" i="28"/>
  <c r="CQ141" i="28"/>
  <c r="CP144" i="28"/>
  <c r="CP146" i="28" s="1"/>
  <c r="CR138" i="29"/>
  <c r="CS137" i="29" s="1"/>
  <c r="CQ57" i="28"/>
  <c r="CQ56" i="28"/>
  <c r="CQ155" i="28"/>
  <c r="CR154" i="28" s="1"/>
  <c r="CQ90" i="29"/>
  <c r="CQ91" i="29"/>
  <c r="CQ104" i="29"/>
  <c r="CR103" i="29" s="1"/>
  <c r="CR175" i="28"/>
  <c r="CR176" i="28"/>
  <c r="CQ124" i="29"/>
  <c r="CQ125" i="29"/>
  <c r="CQ158" i="29"/>
  <c r="CQ159" i="29"/>
  <c r="CQ176" i="29"/>
  <c r="CQ175" i="29"/>
  <c r="CP127" i="29"/>
  <c r="CP129" i="29" s="1"/>
  <c r="CR121" i="29"/>
  <c r="CS120" i="29" s="1"/>
  <c r="CQ142" i="29"/>
  <c r="CQ141" i="29"/>
  <c r="CQ158" i="28"/>
  <c r="CQ159" i="28"/>
  <c r="CQ40" i="28"/>
  <c r="CQ39" i="28"/>
  <c r="CQ36" i="28"/>
  <c r="CR35" i="28" s="1"/>
  <c r="CQ124" i="28"/>
  <c r="CQ125" i="28"/>
  <c r="CQ73" i="29"/>
  <c r="CQ74" i="29"/>
  <c r="CQ178" i="28"/>
  <c r="CQ180" i="28" s="1"/>
  <c r="CP76" i="29"/>
  <c r="CP78" i="29" s="1"/>
  <c r="CQ107" i="28"/>
  <c r="CQ108" i="28"/>
  <c r="CU87" i="28"/>
  <c r="CV86" i="28" s="1"/>
  <c r="CR59" i="29"/>
  <c r="CR61" i="29" s="1"/>
  <c r="CS36" i="29"/>
  <c r="CT35" i="29" s="1"/>
  <c r="CQ42" i="29"/>
  <c r="CQ44" i="29" s="1"/>
  <c r="CS53" i="29"/>
  <c r="CT52" i="29" s="1"/>
  <c r="CR40" i="29"/>
  <c r="CR39" i="29"/>
  <c r="CS57" i="29"/>
  <c r="CS56" i="29"/>
  <c r="CM194" i="28" l="1"/>
  <c r="CM194" i="29"/>
  <c r="CN25" i="28"/>
  <c r="CN192" i="28"/>
  <c r="CO22" i="28"/>
  <c r="CO191" i="28" s="1"/>
  <c r="CO23" i="28"/>
  <c r="CO187" i="28"/>
  <c r="CP18" i="28"/>
  <c r="CO188" i="28"/>
  <c r="CQ16" i="28"/>
  <c r="CP185" i="28"/>
  <c r="CP19" i="28"/>
  <c r="CP18" i="29"/>
  <c r="CO188" i="29"/>
  <c r="CQ16" i="29"/>
  <c r="CP185" i="29"/>
  <c r="CP19" i="29"/>
  <c r="CN192" i="29"/>
  <c r="CO23" i="29"/>
  <c r="CO22" i="29"/>
  <c r="CO191" i="29" s="1"/>
  <c r="CO187" i="29"/>
  <c r="CN25" i="29"/>
  <c r="CQ76" i="28"/>
  <c r="CQ78" i="28" s="1"/>
  <c r="CR74" i="28"/>
  <c r="CR73" i="28"/>
  <c r="CT138" i="28"/>
  <c r="CU137" i="28" s="1"/>
  <c r="CV104" i="28"/>
  <c r="CW103" i="28" s="1"/>
  <c r="CT70" i="28"/>
  <c r="CU69" i="28" s="1"/>
  <c r="CS155" i="29"/>
  <c r="CT154" i="29" s="1"/>
  <c r="CR70" i="29"/>
  <c r="CS69" i="29" s="1"/>
  <c r="CR178" i="28"/>
  <c r="CR180" i="28" s="1"/>
  <c r="CQ42" i="28"/>
  <c r="CQ44" i="28" s="1"/>
  <c r="CQ93" i="28"/>
  <c r="CQ95" i="28" s="1"/>
  <c r="CQ59" i="28"/>
  <c r="CQ61" i="28" s="1"/>
  <c r="CQ161" i="29"/>
  <c r="CQ163" i="29" s="1"/>
  <c r="CT121" i="28"/>
  <c r="CU120" i="28" s="1"/>
  <c r="CQ110" i="29"/>
  <c r="CQ112" i="29" s="1"/>
  <c r="CQ144" i="28"/>
  <c r="CQ146" i="28" s="1"/>
  <c r="CQ144" i="29"/>
  <c r="CQ146" i="29" s="1"/>
  <c r="CQ93" i="29"/>
  <c r="CQ95" i="29" s="1"/>
  <c r="CR53" i="28"/>
  <c r="CS52" i="28" s="1"/>
  <c r="CQ76" i="29"/>
  <c r="CQ78" i="29" s="1"/>
  <c r="CQ110" i="28"/>
  <c r="CQ112" i="28" s="1"/>
  <c r="CR175" i="29"/>
  <c r="CR176" i="29"/>
  <c r="CR104" i="29"/>
  <c r="CS103" i="29" s="1"/>
  <c r="CR56" i="28"/>
  <c r="CR57" i="28"/>
  <c r="CR90" i="28"/>
  <c r="CR91" i="28"/>
  <c r="CR40" i="28"/>
  <c r="CR39" i="28"/>
  <c r="CR158" i="29"/>
  <c r="CR159" i="29"/>
  <c r="CR91" i="29"/>
  <c r="CR90" i="29"/>
  <c r="CR158" i="28"/>
  <c r="CR159" i="28"/>
  <c r="CR107" i="29"/>
  <c r="CR108" i="29"/>
  <c r="CR74" i="29"/>
  <c r="CR73" i="29"/>
  <c r="CS138" i="29"/>
  <c r="CT137" i="29" s="1"/>
  <c r="CS172" i="28"/>
  <c r="CT171" i="28" s="1"/>
  <c r="CR155" i="28"/>
  <c r="CS154" i="28" s="1"/>
  <c r="CR125" i="28"/>
  <c r="CR124" i="28"/>
  <c r="CQ127" i="28"/>
  <c r="CQ129" i="28" s="1"/>
  <c r="CR142" i="29"/>
  <c r="CR141" i="29"/>
  <c r="CS121" i="29"/>
  <c r="CT120" i="29" s="1"/>
  <c r="CR124" i="29"/>
  <c r="CR125" i="29"/>
  <c r="CR36" i="28"/>
  <c r="CS35" i="28" s="1"/>
  <c r="CQ127" i="29"/>
  <c r="CQ129" i="29" s="1"/>
  <c r="CQ161" i="28"/>
  <c r="CQ163" i="28" s="1"/>
  <c r="CS175" i="28"/>
  <c r="CS176" i="28"/>
  <c r="CR141" i="28"/>
  <c r="CR142" i="28"/>
  <c r="CS87" i="29"/>
  <c r="CT86" i="29" s="1"/>
  <c r="CR108" i="28"/>
  <c r="CR107" i="28"/>
  <c r="CQ178" i="29"/>
  <c r="CQ180" i="29" s="1"/>
  <c r="CT172" i="29"/>
  <c r="CU171" i="29" s="1"/>
  <c r="CV87" i="28"/>
  <c r="CW86" i="28" s="1"/>
  <c r="CS59" i="29"/>
  <c r="CS61" i="29" s="1"/>
  <c r="CR42" i="29"/>
  <c r="CR44" i="29" s="1"/>
  <c r="CS40" i="29"/>
  <c r="CS39" i="29"/>
  <c r="CT53" i="29"/>
  <c r="CU52" i="29" s="1"/>
  <c r="CT57" i="29"/>
  <c r="CT56" i="29"/>
  <c r="CT36" i="29"/>
  <c r="CU35" i="29" s="1"/>
  <c r="CO25" i="29" l="1"/>
  <c r="CO194" i="29" s="1"/>
  <c r="CO25" i="28"/>
  <c r="CO27" i="28" s="1"/>
  <c r="CO196" i="28" s="1"/>
  <c r="CQ18" i="29"/>
  <c r="CP188" i="29"/>
  <c r="CP187" i="28"/>
  <c r="CR16" i="29"/>
  <c r="CQ185" i="29"/>
  <c r="CQ19" i="29"/>
  <c r="CP187" i="29"/>
  <c r="CP188" i="28"/>
  <c r="CQ18" i="28"/>
  <c r="CO192" i="28"/>
  <c r="CP23" i="28"/>
  <c r="CP22" i="28"/>
  <c r="CP191" i="28" s="1"/>
  <c r="CR16" i="28"/>
  <c r="CQ185" i="28"/>
  <c r="CQ19" i="28"/>
  <c r="CN27" i="29"/>
  <c r="CN196" i="29" s="1"/>
  <c r="CN194" i="29"/>
  <c r="CN27" i="28"/>
  <c r="CN196" i="28" s="1"/>
  <c r="CN194" i="28"/>
  <c r="CO192" i="29"/>
  <c r="CP22" i="29"/>
  <c r="CP191" i="29" s="1"/>
  <c r="CP23" i="29"/>
  <c r="CR76" i="28"/>
  <c r="CR78" i="28" s="1"/>
  <c r="CS74" i="28"/>
  <c r="CS73" i="28"/>
  <c r="CU138" i="28"/>
  <c r="CV137" i="28" s="1"/>
  <c r="CW104" i="28"/>
  <c r="CX103" i="28" s="1"/>
  <c r="CU70" i="28"/>
  <c r="CV69" i="28" s="1"/>
  <c r="CT155" i="29"/>
  <c r="CU154" i="29" s="1"/>
  <c r="CS70" i="29"/>
  <c r="CT69" i="29" s="1"/>
  <c r="CR127" i="28"/>
  <c r="CR129" i="28" s="1"/>
  <c r="CR127" i="29"/>
  <c r="CR129" i="29" s="1"/>
  <c r="CR76" i="29"/>
  <c r="CR78" i="29" s="1"/>
  <c r="CR42" i="28"/>
  <c r="CR44" i="28" s="1"/>
  <c r="CR110" i="29"/>
  <c r="CR112" i="29" s="1"/>
  <c r="CR144" i="29"/>
  <c r="CR146" i="29" s="1"/>
  <c r="CU121" i="28"/>
  <c r="CV120" i="28" s="1"/>
  <c r="CR93" i="29"/>
  <c r="CR95" i="29" s="1"/>
  <c r="CR161" i="29"/>
  <c r="CR163" i="29" s="1"/>
  <c r="CS53" i="28"/>
  <c r="CT52" i="28" s="1"/>
  <c r="CR59" i="28"/>
  <c r="CR61" i="28" s="1"/>
  <c r="CT175" i="28"/>
  <c r="CT176" i="28"/>
  <c r="CS91" i="28"/>
  <c r="CS90" i="28"/>
  <c r="CS155" i="28"/>
  <c r="CT154" i="28" s="1"/>
  <c r="CS158" i="28"/>
  <c r="CS159" i="28"/>
  <c r="CR93" i="28"/>
  <c r="CR95" i="28" s="1"/>
  <c r="CR110" i="28"/>
  <c r="CR112" i="28" s="1"/>
  <c r="CS124" i="29"/>
  <c r="CS125" i="29"/>
  <c r="CS56" i="28"/>
  <c r="CS57" i="28"/>
  <c r="CS107" i="28"/>
  <c r="CS108" i="28"/>
  <c r="CS142" i="29"/>
  <c r="CS141" i="29"/>
  <c r="CT121" i="29"/>
  <c r="CU120" i="29" s="1"/>
  <c r="CT172" i="28"/>
  <c r="CU171" i="28" s="1"/>
  <c r="CS125" i="28"/>
  <c r="CS124" i="28"/>
  <c r="CT138" i="29"/>
  <c r="CU137" i="29" s="1"/>
  <c r="CT87" i="29"/>
  <c r="CU86" i="29" s="1"/>
  <c r="CS91" i="29"/>
  <c r="CS90" i="29"/>
  <c r="CS159" i="29"/>
  <c r="CS158" i="29"/>
  <c r="CS104" i="29"/>
  <c r="CT103" i="29" s="1"/>
  <c r="CU172" i="29"/>
  <c r="CV171" i="29" s="1"/>
  <c r="CS141" i="28"/>
  <c r="CS142" i="28"/>
  <c r="CR161" i="28"/>
  <c r="CR163" i="28" s="1"/>
  <c r="CS175" i="29"/>
  <c r="CS176" i="29"/>
  <c r="CR144" i="28"/>
  <c r="CR146" i="28" s="1"/>
  <c r="CS36" i="28"/>
  <c r="CT35" i="28" s="1"/>
  <c r="CR178" i="29"/>
  <c r="CR180" i="29" s="1"/>
  <c r="CS73" i="29"/>
  <c r="CS74" i="29"/>
  <c r="CS39" i="28"/>
  <c r="CS40" i="28"/>
  <c r="CS178" i="28"/>
  <c r="CS180" i="28" s="1"/>
  <c r="CS108" i="29"/>
  <c r="CS107" i="29"/>
  <c r="CW87" i="28"/>
  <c r="CS42" i="29"/>
  <c r="CS44" i="29" s="1"/>
  <c r="CU53" i="29"/>
  <c r="CV52" i="29" s="1"/>
  <c r="CU57" i="29"/>
  <c r="CU56" i="29"/>
  <c r="CT39" i="29"/>
  <c r="CT40" i="29"/>
  <c r="CU36" i="29"/>
  <c r="CV35" i="29" s="1"/>
  <c r="CT59" i="29"/>
  <c r="CT61" i="29" s="1"/>
  <c r="CO27" i="29" l="1"/>
  <c r="CO196" i="29" s="1"/>
  <c r="CP25" i="28"/>
  <c r="CP27" i="28" s="1"/>
  <c r="CP196" i="28" s="1"/>
  <c r="CO194" i="28"/>
  <c r="CQ187" i="28"/>
  <c r="CP25" i="29"/>
  <c r="CP192" i="29"/>
  <c r="CQ23" i="29"/>
  <c r="CQ22" i="29"/>
  <c r="CQ191" i="29" s="1"/>
  <c r="CR18" i="29"/>
  <c r="CQ188" i="29"/>
  <c r="CS16" i="29"/>
  <c r="CR185" i="29"/>
  <c r="CR19" i="29"/>
  <c r="CR18" i="28"/>
  <c r="CQ188" i="28"/>
  <c r="CS16" i="28"/>
  <c r="CR185" i="28"/>
  <c r="CR19" i="28"/>
  <c r="CQ187" i="29"/>
  <c r="CP192" i="28"/>
  <c r="CQ23" i="28"/>
  <c r="CQ22" i="28"/>
  <c r="CQ191" i="28" s="1"/>
  <c r="CS76" i="28"/>
  <c r="CS78" i="28" s="1"/>
  <c r="CT74" i="28"/>
  <c r="CT73" i="28"/>
  <c r="CV138" i="28"/>
  <c r="CW137" i="28" s="1"/>
  <c r="CX104" i="28"/>
  <c r="CY103" i="28" s="1"/>
  <c r="CV70" i="28"/>
  <c r="CW69" i="28" s="1"/>
  <c r="CU155" i="29"/>
  <c r="CV154" i="29" s="1"/>
  <c r="CT70" i="29"/>
  <c r="CU69" i="29" s="1"/>
  <c r="CS127" i="29"/>
  <c r="CS129" i="29" s="1"/>
  <c r="CS127" i="28"/>
  <c r="CS129" i="28" s="1"/>
  <c r="CS144" i="29"/>
  <c r="CS146" i="29" s="1"/>
  <c r="CT178" i="28"/>
  <c r="CT180" i="28" s="1"/>
  <c r="CV121" i="28"/>
  <c r="CW120" i="28" s="1"/>
  <c r="CT53" i="28"/>
  <c r="CU52" i="28" s="1"/>
  <c r="CS178" i="29"/>
  <c r="CS180" i="29" s="1"/>
  <c r="CT107" i="29"/>
  <c r="CT108" i="29"/>
  <c r="CS42" i="28"/>
  <c r="CS44" i="28" s="1"/>
  <c r="CU121" i="29"/>
  <c r="CV120" i="29" s="1"/>
  <c r="CT141" i="28"/>
  <c r="CT142" i="28"/>
  <c r="CU138" i="29"/>
  <c r="CV137" i="29" s="1"/>
  <c r="CS144" i="28"/>
  <c r="CS146" i="28" s="1"/>
  <c r="CT142" i="29"/>
  <c r="CT141" i="29"/>
  <c r="CT158" i="28"/>
  <c r="CT159" i="28"/>
  <c r="CV172" i="29"/>
  <c r="CW171" i="29" s="1"/>
  <c r="CT125" i="28"/>
  <c r="CT124" i="28"/>
  <c r="CT155" i="28"/>
  <c r="CU154" i="28" s="1"/>
  <c r="CS110" i="29"/>
  <c r="CS112" i="29" s="1"/>
  <c r="CT108" i="28"/>
  <c r="CT107" i="28"/>
  <c r="CT104" i="29"/>
  <c r="CU103" i="29" s="1"/>
  <c r="CS93" i="29"/>
  <c r="CS95" i="29" s="1"/>
  <c r="CS110" i="28"/>
  <c r="CS112" i="28" s="1"/>
  <c r="CS93" i="28"/>
  <c r="CS95" i="28" s="1"/>
  <c r="CT39" i="28"/>
  <c r="CT40" i="28"/>
  <c r="CT36" i="28"/>
  <c r="CU35" i="28" s="1"/>
  <c r="CT90" i="29"/>
  <c r="CT91" i="29"/>
  <c r="CT57" i="28"/>
  <c r="CT56" i="28"/>
  <c r="CT90" i="28"/>
  <c r="CT91" i="28"/>
  <c r="CS161" i="29"/>
  <c r="CS163" i="29" s="1"/>
  <c r="CS59" i="28"/>
  <c r="CS61" i="28" s="1"/>
  <c r="CS161" i="28"/>
  <c r="CS163" i="28" s="1"/>
  <c r="CT73" i="29"/>
  <c r="CT74" i="29"/>
  <c r="CT159" i="29"/>
  <c r="CT158" i="29"/>
  <c r="CS76" i="29"/>
  <c r="CS78" i="29" s="1"/>
  <c r="CU172" i="28"/>
  <c r="CV171" i="28" s="1"/>
  <c r="CU176" i="28"/>
  <c r="CU175" i="28"/>
  <c r="CT176" i="29"/>
  <c r="CT175" i="29"/>
  <c r="CU87" i="29"/>
  <c r="CV86" i="29" s="1"/>
  <c r="CT124" i="29"/>
  <c r="CT125" i="29"/>
  <c r="CX86" i="28"/>
  <c r="CX87" i="28"/>
  <c r="CY86" i="28" s="1"/>
  <c r="CT42" i="29"/>
  <c r="CT44" i="29" s="1"/>
  <c r="CV57" i="29"/>
  <c r="CV56" i="29"/>
  <c r="CV36" i="29"/>
  <c r="CW35" i="29" s="1"/>
  <c r="CU59" i="29"/>
  <c r="CU61" i="29" s="1"/>
  <c r="CV53" i="29"/>
  <c r="CW52" i="29" s="1"/>
  <c r="CU39" i="29"/>
  <c r="CU40" i="29"/>
  <c r="CP194" i="28" l="1"/>
  <c r="CR188" i="28"/>
  <c r="CS18" i="28"/>
  <c r="CT16" i="29"/>
  <c r="CS185" i="29"/>
  <c r="CS19" i="29"/>
  <c r="CT16" i="28"/>
  <c r="CS185" i="28"/>
  <c r="CS19" i="28"/>
  <c r="CR187" i="29"/>
  <c r="CR187" i="28"/>
  <c r="CQ192" i="29"/>
  <c r="CR23" i="29"/>
  <c r="CR22" i="29"/>
  <c r="CR191" i="29" s="1"/>
  <c r="CQ192" i="28"/>
  <c r="CR23" i="28"/>
  <c r="CR22" i="28"/>
  <c r="CR191" i="28" s="1"/>
  <c r="CP27" i="29"/>
  <c r="CP196" i="29" s="1"/>
  <c r="CP194" i="29"/>
  <c r="CQ25" i="28"/>
  <c r="CQ25" i="29"/>
  <c r="CS18" i="29"/>
  <c r="CR188" i="29"/>
  <c r="CT76" i="28"/>
  <c r="CT78" i="28" s="1"/>
  <c r="CU73" i="28"/>
  <c r="CU74" i="28"/>
  <c r="CW138" i="28"/>
  <c r="CX137" i="28" s="1"/>
  <c r="CY104" i="28"/>
  <c r="CZ103" i="28" s="1"/>
  <c r="CW70" i="28"/>
  <c r="CX69" i="28" s="1"/>
  <c r="CV155" i="29"/>
  <c r="CW154" i="29" s="1"/>
  <c r="CU70" i="29"/>
  <c r="CV69" i="29" s="1"/>
  <c r="CT144" i="29"/>
  <c r="CT146" i="29" s="1"/>
  <c r="CT93" i="29"/>
  <c r="CT95" i="29" s="1"/>
  <c r="CT144" i="28"/>
  <c r="CT146" i="28" s="1"/>
  <c r="CW121" i="28"/>
  <c r="CX120" i="28" s="1"/>
  <c r="CT127" i="28"/>
  <c r="CT129" i="28" s="1"/>
  <c r="CT110" i="29"/>
  <c r="CT112" i="29" s="1"/>
  <c r="CT127" i="29"/>
  <c r="CT129" i="29" s="1"/>
  <c r="CU53" i="28"/>
  <c r="CV52" i="28" s="1"/>
  <c r="CU73" i="29"/>
  <c r="CU74" i="29"/>
  <c r="CT76" i="29"/>
  <c r="CT78" i="29" s="1"/>
  <c r="CV172" i="28"/>
  <c r="CW171" i="28" s="1"/>
  <c r="CU159" i="29"/>
  <c r="CU158" i="29"/>
  <c r="CU159" i="28"/>
  <c r="CU158" i="28"/>
  <c r="CU39" i="28"/>
  <c r="CU40" i="28"/>
  <c r="CT161" i="28"/>
  <c r="CT163" i="28" s="1"/>
  <c r="CU141" i="29"/>
  <c r="CU142" i="29"/>
  <c r="CU36" i="28"/>
  <c r="CV35" i="28" s="1"/>
  <c r="CT178" i="29"/>
  <c r="CT180" i="29" s="1"/>
  <c r="CT110" i="28"/>
  <c r="CT112" i="28" s="1"/>
  <c r="CU125" i="28"/>
  <c r="CU124" i="28"/>
  <c r="CV121" i="29"/>
  <c r="CW120" i="29" s="1"/>
  <c r="CU176" i="29"/>
  <c r="CU175" i="29"/>
  <c r="CT42" i="28"/>
  <c r="CT44" i="28" s="1"/>
  <c r="CU108" i="28"/>
  <c r="CU107" i="28"/>
  <c r="CV138" i="29"/>
  <c r="CW137" i="29" s="1"/>
  <c r="CU91" i="28"/>
  <c r="CU90" i="28"/>
  <c r="CU124" i="29"/>
  <c r="CU125" i="29"/>
  <c r="CV87" i="29"/>
  <c r="CW86" i="29" s="1"/>
  <c r="CU178" i="28"/>
  <c r="CU180" i="28" s="1"/>
  <c r="CT93" i="28"/>
  <c r="CT95" i="28" s="1"/>
  <c r="CW172" i="29"/>
  <c r="CX171" i="29" s="1"/>
  <c r="CT59" i="28"/>
  <c r="CT61" i="28" s="1"/>
  <c r="CU142" i="28"/>
  <c r="CU141" i="28"/>
  <c r="CU108" i="29"/>
  <c r="CU107" i="29"/>
  <c r="CU90" i="29"/>
  <c r="CU91" i="29"/>
  <c r="CU56" i="28"/>
  <c r="CU57" i="28"/>
  <c r="CU104" i="29"/>
  <c r="CV103" i="29" s="1"/>
  <c r="CV176" i="28"/>
  <c r="CV175" i="28"/>
  <c r="CT161" i="29"/>
  <c r="CT163" i="29" s="1"/>
  <c r="CU155" i="28"/>
  <c r="CV154" i="28" s="1"/>
  <c r="CY87" i="28"/>
  <c r="CU42" i="29"/>
  <c r="CU44" i="29" s="1"/>
  <c r="CV39" i="29"/>
  <c r="CV40" i="29"/>
  <c r="CV59" i="29"/>
  <c r="CV61" i="29" s="1"/>
  <c r="CW57" i="29"/>
  <c r="CW56" i="29"/>
  <c r="CW36" i="29"/>
  <c r="CX35" i="29" s="1"/>
  <c r="CW53" i="29"/>
  <c r="CX52" i="29" s="1"/>
  <c r="CR25" i="28" l="1"/>
  <c r="CR27" i="28" s="1"/>
  <c r="CR196" i="28" s="1"/>
  <c r="CQ27" i="28"/>
  <c r="CQ196" i="28" s="1"/>
  <c r="CQ194" i="28"/>
  <c r="CR192" i="29"/>
  <c r="CS22" i="29"/>
  <c r="CS191" i="29" s="1"/>
  <c r="CS23" i="29"/>
  <c r="CR25" i="29"/>
  <c r="CT18" i="28"/>
  <c r="CS188" i="28"/>
  <c r="CR192" i="28"/>
  <c r="CS22" i="28"/>
  <c r="CS191" i="28" s="1"/>
  <c r="CS23" i="28"/>
  <c r="CS187" i="29"/>
  <c r="CU16" i="28"/>
  <c r="CT185" i="28"/>
  <c r="CT19" i="28"/>
  <c r="CQ27" i="29"/>
  <c r="CQ196" i="29" s="1"/>
  <c r="CQ194" i="29"/>
  <c r="CT18" i="29"/>
  <c r="CS188" i="29"/>
  <c r="CU16" i="29"/>
  <c r="CT185" i="29"/>
  <c r="CT19" i="29"/>
  <c r="CS187" i="28"/>
  <c r="CV73" i="28"/>
  <c r="CV74" i="28"/>
  <c r="CU76" i="28"/>
  <c r="CU78" i="28" s="1"/>
  <c r="CX138" i="28"/>
  <c r="CY137" i="28" s="1"/>
  <c r="CZ104" i="28"/>
  <c r="DA103" i="28" s="1"/>
  <c r="DA104" i="28"/>
  <c r="CX70" i="28"/>
  <c r="CY69" i="28" s="1"/>
  <c r="CW155" i="29"/>
  <c r="CX154" i="29" s="1"/>
  <c r="CV70" i="29"/>
  <c r="CW69" i="29" s="1"/>
  <c r="CV178" i="28"/>
  <c r="CV180" i="28" s="1"/>
  <c r="CU110" i="28"/>
  <c r="CU112" i="28" s="1"/>
  <c r="CU178" i="29"/>
  <c r="CU180" i="29" s="1"/>
  <c r="CU93" i="28"/>
  <c r="CU95" i="28" s="1"/>
  <c r="CU127" i="28"/>
  <c r="CU129" i="28" s="1"/>
  <c r="CX121" i="28"/>
  <c r="CY120" i="28" s="1"/>
  <c r="CU161" i="29"/>
  <c r="CU163" i="29" s="1"/>
  <c r="CU93" i="29"/>
  <c r="CU95" i="29" s="1"/>
  <c r="CU144" i="28"/>
  <c r="CU146" i="28" s="1"/>
  <c r="CV53" i="28"/>
  <c r="CW52" i="28" s="1"/>
  <c r="CU161" i="28"/>
  <c r="CU163" i="28" s="1"/>
  <c r="CU127" i="29"/>
  <c r="CU129" i="29" s="1"/>
  <c r="CV108" i="29"/>
  <c r="CV107" i="29"/>
  <c r="CV124" i="28"/>
  <c r="CV125" i="28"/>
  <c r="CV39" i="28"/>
  <c r="CV40" i="28"/>
  <c r="CV141" i="28"/>
  <c r="CV142" i="28"/>
  <c r="CW176" i="28"/>
  <c r="CW175" i="28"/>
  <c r="CW87" i="29"/>
  <c r="CX86" i="29" s="1"/>
  <c r="CW138" i="29"/>
  <c r="CX137" i="29" s="1"/>
  <c r="CV107" i="28"/>
  <c r="CV108" i="28"/>
  <c r="CV159" i="28"/>
  <c r="CV158" i="28"/>
  <c r="CV104" i="29"/>
  <c r="CW103" i="29" s="1"/>
  <c r="CV124" i="29"/>
  <c r="CV125" i="29"/>
  <c r="CV176" i="29"/>
  <c r="CV175" i="29"/>
  <c r="CV36" i="28"/>
  <c r="CW35" i="28" s="1"/>
  <c r="CU42" i="28"/>
  <c r="CU44" i="28" s="1"/>
  <c r="CV159" i="29"/>
  <c r="CV158" i="29"/>
  <c r="CW172" i="28"/>
  <c r="CX171" i="28" s="1"/>
  <c r="CU110" i="29"/>
  <c r="CU112" i="29" s="1"/>
  <c r="CV56" i="28"/>
  <c r="CV57" i="28"/>
  <c r="CV141" i="29"/>
  <c r="CV142" i="29"/>
  <c r="CU59" i="28"/>
  <c r="CU61" i="28" s="1"/>
  <c r="CU144" i="29"/>
  <c r="CU146" i="29" s="1"/>
  <c r="CV91" i="29"/>
  <c r="CV90" i="29"/>
  <c r="CX172" i="29"/>
  <c r="CY171" i="29" s="1"/>
  <c r="CV73" i="29"/>
  <c r="CV74" i="29"/>
  <c r="CU76" i="29"/>
  <c r="CU78" i="29" s="1"/>
  <c r="CV155" i="28"/>
  <c r="CW154" i="28" s="1"/>
  <c r="CV90" i="28"/>
  <c r="CV91" i="28"/>
  <c r="CW121" i="29"/>
  <c r="CX120" i="29" s="1"/>
  <c r="DA87" i="28"/>
  <c r="CZ87" i="28"/>
  <c r="DA86" i="28" s="1"/>
  <c r="CZ86" i="28"/>
  <c r="CX36" i="29"/>
  <c r="CY35" i="29" s="1"/>
  <c r="CW59" i="29"/>
  <c r="CW61" i="29" s="1"/>
  <c r="CX57" i="29"/>
  <c r="CX56" i="29"/>
  <c r="CW39" i="29"/>
  <c r="CW40" i="29"/>
  <c r="CX53" i="29"/>
  <c r="CY52" i="29" s="1"/>
  <c r="CV42" i="29"/>
  <c r="CV44" i="29" s="1"/>
  <c r="CR194" i="28" l="1"/>
  <c r="CS25" i="28"/>
  <c r="CS27" i="28" s="1"/>
  <c r="CS196" i="28" s="1"/>
  <c r="CS25" i="29"/>
  <c r="CS27" i="29" s="1"/>
  <c r="CS196" i="29" s="1"/>
  <c r="CT187" i="29"/>
  <c r="CT187" i="28"/>
  <c r="CR27" i="29"/>
  <c r="CR196" i="29" s="1"/>
  <c r="CR194" i="29"/>
  <c r="CT188" i="28"/>
  <c r="CU18" i="28"/>
  <c r="CV16" i="28"/>
  <c r="CU185" i="28"/>
  <c r="CU19" i="28"/>
  <c r="CS192" i="29"/>
  <c r="CT23" i="29"/>
  <c r="CT22" i="29"/>
  <c r="CT191" i="29" s="1"/>
  <c r="CU18" i="29"/>
  <c r="CT188" i="29"/>
  <c r="CS192" i="28"/>
  <c r="CT22" i="28"/>
  <c r="CT191" i="28" s="1"/>
  <c r="CT23" i="28"/>
  <c r="CV16" i="29"/>
  <c r="CU185" i="29"/>
  <c r="CU19" i="29"/>
  <c r="CW73" i="28"/>
  <c r="CW74" i="28"/>
  <c r="CV76" i="28"/>
  <c r="CV78" i="28" s="1"/>
  <c r="CY138" i="28"/>
  <c r="CZ137" i="28" s="1"/>
  <c r="CY70" i="28"/>
  <c r="CZ69" i="28" s="1"/>
  <c r="CX155" i="29"/>
  <c r="CY154" i="29" s="1"/>
  <c r="CW70" i="29"/>
  <c r="CX69" i="29" s="1"/>
  <c r="CV93" i="29"/>
  <c r="CV95" i="29" s="1"/>
  <c r="CV127" i="29"/>
  <c r="CV129" i="29" s="1"/>
  <c r="CV144" i="29"/>
  <c r="CV146" i="29" s="1"/>
  <c r="CV161" i="29"/>
  <c r="CV163" i="29" s="1"/>
  <c r="CV178" i="29"/>
  <c r="CV180" i="29" s="1"/>
  <c r="CW178" i="28"/>
  <c r="CW180" i="28" s="1"/>
  <c r="CY121" i="28"/>
  <c r="CZ120" i="28" s="1"/>
  <c r="CV144" i="28"/>
  <c r="CV146" i="28" s="1"/>
  <c r="CV110" i="29"/>
  <c r="CV112" i="29" s="1"/>
  <c r="CW53" i="28"/>
  <c r="CX52" i="28" s="1"/>
  <c r="CV127" i="28"/>
  <c r="CV129" i="28" s="1"/>
  <c r="CV76" i="29"/>
  <c r="CV78" i="29" s="1"/>
  <c r="CW107" i="28"/>
  <c r="CW108" i="28"/>
  <c r="CW39" i="28"/>
  <c r="CW40" i="28"/>
  <c r="CX121" i="29"/>
  <c r="CY120" i="29" s="1"/>
  <c r="CW142" i="29"/>
  <c r="CW141" i="29"/>
  <c r="CW176" i="29"/>
  <c r="CW175" i="29"/>
  <c r="CV110" i="28"/>
  <c r="CV112" i="28" s="1"/>
  <c r="CW125" i="29"/>
  <c r="CW124" i="29"/>
  <c r="CX138" i="29"/>
  <c r="CY137" i="29" s="1"/>
  <c r="CW125" i="28"/>
  <c r="CW124" i="28"/>
  <c r="CW91" i="28"/>
  <c r="CW90" i="28"/>
  <c r="CW56" i="28"/>
  <c r="CW57" i="28"/>
  <c r="CV93" i="28"/>
  <c r="CV95" i="28" s="1"/>
  <c r="CV59" i="28"/>
  <c r="CV61" i="28" s="1"/>
  <c r="CX87" i="29"/>
  <c r="CY86" i="29" s="1"/>
  <c r="CW74" i="29"/>
  <c r="CW73" i="29"/>
  <c r="CW90" i="29"/>
  <c r="CW91" i="29"/>
  <c r="CW104" i="29"/>
  <c r="CX103" i="29" s="1"/>
  <c r="CX172" i="28"/>
  <c r="CY171" i="28" s="1"/>
  <c r="CW36" i="28"/>
  <c r="CX35" i="28" s="1"/>
  <c r="CW155" i="28"/>
  <c r="CX154" i="28" s="1"/>
  <c r="CX176" i="28"/>
  <c r="CX175" i="28"/>
  <c r="CW159" i="28"/>
  <c r="CW158" i="28"/>
  <c r="CV161" i="28"/>
  <c r="CV163" i="28" s="1"/>
  <c r="CY172" i="29"/>
  <c r="CZ171" i="29" s="1"/>
  <c r="CV42" i="28"/>
  <c r="CV44" i="28" s="1"/>
  <c r="CW159" i="29"/>
  <c r="CW158" i="29"/>
  <c r="CW141" i="28"/>
  <c r="CW142" i="28"/>
  <c r="CW107" i="29"/>
  <c r="CW108" i="29"/>
  <c r="CY57" i="29"/>
  <c r="CY56" i="29"/>
  <c r="CY53" i="29"/>
  <c r="CZ52" i="29" s="1"/>
  <c r="CY36" i="29"/>
  <c r="CZ35" i="29" s="1"/>
  <c r="CX39" i="29"/>
  <c r="CX40" i="29"/>
  <c r="CW42" i="29"/>
  <c r="CW44" i="29" s="1"/>
  <c r="CX59" i="29"/>
  <c r="CX61" i="29" s="1"/>
  <c r="CS194" i="28" l="1"/>
  <c r="CS194" i="29"/>
  <c r="CT25" i="28"/>
  <c r="CT194" i="28" s="1"/>
  <c r="CW16" i="28"/>
  <c r="CV185" i="28"/>
  <c r="CV19" i="28"/>
  <c r="CU187" i="29"/>
  <c r="CT192" i="29"/>
  <c r="CU23" i="29"/>
  <c r="CU22" i="29"/>
  <c r="CU191" i="29" s="1"/>
  <c r="CU187" i="28"/>
  <c r="CV18" i="29"/>
  <c r="CU188" i="29"/>
  <c r="CW16" i="29"/>
  <c r="CV185" i="29"/>
  <c r="CV19" i="29"/>
  <c r="CT25" i="29"/>
  <c r="CT192" i="28"/>
  <c r="CU23" i="28"/>
  <c r="CU22" i="28"/>
  <c r="CU191" i="28" s="1"/>
  <c r="CV18" i="28"/>
  <c r="CU188" i="28"/>
  <c r="CX73" i="28"/>
  <c r="CX74" i="28"/>
  <c r="CW76" i="28"/>
  <c r="CW78" i="28" s="1"/>
  <c r="CZ138" i="28"/>
  <c r="DA137" i="28" s="1"/>
  <c r="DA138" i="28"/>
  <c r="CZ70" i="28"/>
  <c r="DA69" i="28" s="1"/>
  <c r="DA70" i="28"/>
  <c r="CY155" i="29"/>
  <c r="CZ154" i="29" s="1"/>
  <c r="CX70" i="29"/>
  <c r="CY69" i="29" s="1"/>
  <c r="CW93" i="29"/>
  <c r="CW95" i="29" s="1"/>
  <c r="CW76" i="29"/>
  <c r="CW78" i="29" s="1"/>
  <c r="DA121" i="28"/>
  <c r="CZ121" i="28"/>
  <c r="DA120" i="28" s="1"/>
  <c r="CW127" i="29"/>
  <c r="CW129" i="29" s="1"/>
  <c r="CX53" i="28"/>
  <c r="CY52" i="28" s="1"/>
  <c r="CW93" i="28"/>
  <c r="CW95" i="28" s="1"/>
  <c r="CX178" i="28"/>
  <c r="CX180" i="28" s="1"/>
  <c r="CX104" i="29"/>
  <c r="CY103" i="29" s="1"/>
  <c r="CW178" i="29"/>
  <c r="CW180" i="29" s="1"/>
  <c r="CX141" i="29"/>
  <c r="CX142" i="29"/>
  <c r="CZ172" i="29"/>
  <c r="DA171" i="29" s="1"/>
  <c r="DA172" i="29"/>
  <c r="CX176" i="29"/>
  <c r="CX175" i="29"/>
  <c r="CX36" i="28"/>
  <c r="CY35" i="28" s="1"/>
  <c r="CW42" i="28"/>
  <c r="CW44" i="28" s="1"/>
  <c r="CX142" i="28"/>
  <c r="CX141" i="28"/>
  <c r="CW144" i="28"/>
  <c r="CW146" i="28" s="1"/>
  <c r="CX73" i="29"/>
  <c r="CX74" i="29"/>
  <c r="CX91" i="29"/>
  <c r="CX90" i="29"/>
  <c r="CW144" i="29"/>
  <c r="CW146" i="29" s="1"/>
  <c r="CX91" i="28"/>
  <c r="CX90" i="28"/>
  <c r="CW161" i="29"/>
  <c r="CW163" i="29" s="1"/>
  <c r="CX159" i="28"/>
  <c r="CX158" i="28"/>
  <c r="CW110" i="29"/>
  <c r="CW112" i="29" s="1"/>
  <c r="CY87" i="29"/>
  <c r="CZ86" i="29" s="1"/>
  <c r="CW127" i="28"/>
  <c r="CW129" i="28" s="1"/>
  <c r="CY121" i="29"/>
  <c r="CZ120" i="29" s="1"/>
  <c r="CX107" i="29"/>
  <c r="CX108" i="29"/>
  <c r="CX155" i="28"/>
  <c r="CY154" i="28" s="1"/>
  <c r="CX159" i="29"/>
  <c r="CX158" i="29"/>
  <c r="CY172" i="28"/>
  <c r="CZ171" i="28" s="1"/>
  <c r="CX125" i="28"/>
  <c r="CX124" i="28"/>
  <c r="CY138" i="29"/>
  <c r="CZ137" i="29" s="1"/>
  <c r="CX39" i="28"/>
  <c r="CX40" i="28"/>
  <c r="CX125" i="29"/>
  <c r="CX124" i="29"/>
  <c r="CX107" i="28"/>
  <c r="CX108" i="28"/>
  <c r="CX57" i="28"/>
  <c r="CX56" i="28"/>
  <c r="CW110" i="28"/>
  <c r="CW112" i="28" s="1"/>
  <c r="CW161" i="28"/>
  <c r="CW163" i="28" s="1"/>
  <c r="CY176" i="28"/>
  <c r="CY175" i="28"/>
  <c r="CW59" i="28"/>
  <c r="CW61" i="28" s="1"/>
  <c r="CZ36" i="29"/>
  <c r="DA35" i="29" s="1"/>
  <c r="DA36" i="29"/>
  <c r="CZ53" i="29"/>
  <c r="DA52" i="29" s="1"/>
  <c r="DA53" i="29"/>
  <c r="CZ57" i="29"/>
  <c r="CZ56" i="29"/>
  <c r="CY59" i="29"/>
  <c r="CY61" i="29" s="1"/>
  <c r="CY39" i="29"/>
  <c r="CY40" i="29"/>
  <c r="CX42" i="29"/>
  <c r="CX44" i="29" s="1"/>
  <c r="CT27" i="28" l="1"/>
  <c r="CT196" i="28" s="1"/>
  <c r="CU25" i="29"/>
  <c r="CU194" i="29" s="1"/>
  <c r="CU25" i="28"/>
  <c r="CU192" i="29"/>
  <c r="CV23" i="29"/>
  <c r="CV22" i="29"/>
  <c r="CV191" i="29" s="1"/>
  <c r="CW18" i="29"/>
  <c r="CV188" i="29"/>
  <c r="CX16" i="29"/>
  <c r="CW185" i="29"/>
  <c r="CW19" i="29"/>
  <c r="CV187" i="28"/>
  <c r="CV187" i="29"/>
  <c r="CW18" i="28"/>
  <c r="CV188" i="28"/>
  <c r="CU192" i="28"/>
  <c r="CV23" i="28"/>
  <c r="CV22" i="28"/>
  <c r="CV191" i="28" s="1"/>
  <c r="CX16" i="28"/>
  <c r="CW185" i="28"/>
  <c r="CW19" i="28"/>
  <c r="CT27" i="29"/>
  <c r="CT196" i="29" s="1"/>
  <c r="CT194" i="29"/>
  <c r="CY73" i="28"/>
  <c r="CY74" i="28"/>
  <c r="CX76" i="28"/>
  <c r="CX78" i="28" s="1"/>
  <c r="CZ155" i="29"/>
  <c r="DA154" i="29" s="1"/>
  <c r="DA155" i="29"/>
  <c r="CY70" i="29"/>
  <c r="CZ69" i="29" s="1"/>
  <c r="CX161" i="29"/>
  <c r="CX163" i="29" s="1"/>
  <c r="CX127" i="28"/>
  <c r="CX129" i="28" s="1"/>
  <c r="CX42" i="28"/>
  <c r="CX44" i="28" s="1"/>
  <c r="CY178" i="28"/>
  <c r="CY180" i="28" s="1"/>
  <c r="CX93" i="29"/>
  <c r="CX95" i="29" s="1"/>
  <c r="CX110" i="29"/>
  <c r="CX112" i="29" s="1"/>
  <c r="CX178" i="29"/>
  <c r="CX180" i="29" s="1"/>
  <c r="CY53" i="28"/>
  <c r="CZ52" i="28" s="1"/>
  <c r="CX144" i="29"/>
  <c r="CX146" i="29" s="1"/>
  <c r="CY125" i="29"/>
  <c r="CY124" i="29"/>
  <c r="CZ175" i="28"/>
  <c r="CZ176" i="28"/>
  <c r="CX93" i="28"/>
  <c r="CX95" i="28" s="1"/>
  <c r="CY141" i="29"/>
  <c r="CY142" i="29"/>
  <c r="CZ138" i="29"/>
  <c r="DA137" i="29" s="1"/>
  <c r="DA138" i="29"/>
  <c r="CY155" i="28"/>
  <c r="CZ154" i="28" s="1"/>
  <c r="CY91" i="28"/>
  <c r="CY90" i="28"/>
  <c r="CX144" i="28"/>
  <c r="CX146" i="28" s="1"/>
  <c r="CY107" i="29"/>
  <c r="CY108" i="29"/>
  <c r="CY142" i="28"/>
  <c r="CY141" i="28"/>
  <c r="CX127" i="29"/>
  <c r="CX129" i="29" s="1"/>
  <c r="CY40" i="28"/>
  <c r="CY39" i="28"/>
  <c r="CY159" i="29"/>
  <c r="CY158" i="29"/>
  <c r="CX59" i="28"/>
  <c r="CX61" i="28" s="1"/>
  <c r="CY91" i="29"/>
  <c r="CY90" i="29"/>
  <c r="CY57" i="28"/>
  <c r="CY56" i="28"/>
  <c r="CZ121" i="29"/>
  <c r="DA120" i="29" s="1"/>
  <c r="DA121" i="29"/>
  <c r="CY125" i="28"/>
  <c r="CY124" i="28"/>
  <c r="CY36" i="28"/>
  <c r="CZ35" i="28" s="1"/>
  <c r="CY104" i="29"/>
  <c r="CZ103" i="29" s="1"/>
  <c r="DA172" i="28"/>
  <c r="CZ172" i="28"/>
  <c r="DA171" i="28" s="1"/>
  <c r="CX161" i="28"/>
  <c r="CX163" i="28" s="1"/>
  <c r="CZ87" i="29"/>
  <c r="DA86" i="29" s="1"/>
  <c r="DA87" i="29"/>
  <c r="CY74" i="29"/>
  <c r="CY73" i="29"/>
  <c r="CY158" i="28"/>
  <c r="CY159" i="28"/>
  <c r="CY107" i="28"/>
  <c r="CY108" i="28"/>
  <c r="CX110" i="28"/>
  <c r="CX112" i="28" s="1"/>
  <c r="CX76" i="29"/>
  <c r="CX78" i="29" s="1"/>
  <c r="CY176" i="29"/>
  <c r="CY175" i="29"/>
  <c r="CZ59" i="29"/>
  <c r="CZ61" i="29" s="1"/>
  <c r="CZ40" i="29"/>
  <c r="CZ39" i="29"/>
  <c r="CY42" i="29"/>
  <c r="CY44" i="29" s="1"/>
  <c r="DA57" i="29"/>
  <c r="DA56" i="29"/>
  <c r="CU27" i="29" l="1"/>
  <c r="CU196" i="29" s="1"/>
  <c r="CV25" i="29"/>
  <c r="CV27" i="29" s="1"/>
  <c r="CV196" i="29" s="1"/>
  <c r="CY16" i="29"/>
  <c r="CX185" i="29"/>
  <c r="CX19" i="29"/>
  <c r="CV192" i="28"/>
  <c r="CW23" i="28"/>
  <c r="CW22" i="28"/>
  <c r="CW191" i="28" s="1"/>
  <c r="CW187" i="29"/>
  <c r="CV192" i="29"/>
  <c r="CW23" i="29"/>
  <c r="CW22" i="29"/>
  <c r="CW191" i="29" s="1"/>
  <c r="CW187" i="28"/>
  <c r="CV25" i="28"/>
  <c r="CW188" i="28"/>
  <c r="CX18" i="28"/>
  <c r="CU27" i="28"/>
  <c r="CU196" i="28" s="1"/>
  <c r="CU194" i="28"/>
  <c r="CY16" i="28"/>
  <c r="CX185" i="28"/>
  <c r="CX19" i="28"/>
  <c r="CX18" i="29"/>
  <c r="CW188" i="29"/>
  <c r="CZ73" i="28"/>
  <c r="CZ74" i="28"/>
  <c r="CY76" i="28"/>
  <c r="CY78" i="28" s="1"/>
  <c r="CZ70" i="29"/>
  <c r="DA69" i="29" s="1"/>
  <c r="DA70" i="29"/>
  <c r="CY144" i="28"/>
  <c r="CY146" i="28" s="1"/>
  <c r="CY127" i="28"/>
  <c r="CY129" i="28" s="1"/>
  <c r="CY178" i="29"/>
  <c r="CY180" i="29" s="1"/>
  <c r="CY42" i="28"/>
  <c r="CY44" i="28" s="1"/>
  <c r="CY110" i="29"/>
  <c r="CY112" i="29" s="1"/>
  <c r="CY59" i="28"/>
  <c r="CY61" i="28" s="1"/>
  <c r="CY127" i="29"/>
  <c r="CY129" i="29" s="1"/>
  <c r="CY161" i="28"/>
  <c r="CY163" i="28" s="1"/>
  <c r="CY144" i="29"/>
  <c r="CY146" i="29" s="1"/>
  <c r="DA53" i="28"/>
  <c r="CZ53" i="28"/>
  <c r="DA52" i="28" s="1"/>
  <c r="CY161" i="29"/>
  <c r="CY163" i="29" s="1"/>
  <c r="CY93" i="28"/>
  <c r="CY95" i="28" s="1"/>
  <c r="CY110" i="28"/>
  <c r="CY112" i="28" s="1"/>
  <c r="CZ159" i="29"/>
  <c r="CZ158" i="29"/>
  <c r="CZ107" i="28"/>
  <c r="CZ108" i="28"/>
  <c r="CZ159" i="28"/>
  <c r="CZ158" i="28"/>
  <c r="CZ104" i="29"/>
  <c r="DA103" i="29" s="1"/>
  <c r="DA104" i="29"/>
  <c r="CZ40" i="28"/>
  <c r="CZ39" i="28"/>
  <c r="CZ91" i="28"/>
  <c r="CZ90" i="28"/>
  <c r="CZ155" i="28"/>
  <c r="DA154" i="28" s="1"/>
  <c r="DA155" i="28"/>
  <c r="DA175" i="28"/>
  <c r="DA176" i="28"/>
  <c r="CZ73" i="29"/>
  <c r="CZ74" i="29"/>
  <c r="CZ36" i="28"/>
  <c r="DA35" i="28" s="1"/>
  <c r="DA36" i="28"/>
  <c r="CZ56" i="28"/>
  <c r="CZ57" i="28"/>
  <c r="CZ142" i="28"/>
  <c r="CZ141" i="28"/>
  <c r="CZ176" i="29"/>
  <c r="CZ175" i="29"/>
  <c r="CY93" i="29"/>
  <c r="CY95" i="29" s="1"/>
  <c r="CZ107" i="29"/>
  <c r="CZ108" i="29"/>
  <c r="CY76" i="29"/>
  <c r="CY78" i="29" s="1"/>
  <c r="CZ91" i="29"/>
  <c r="CZ90" i="29"/>
  <c r="CZ178" i="28"/>
  <c r="CZ180" i="28" s="1"/>
  <c r="CZ125" i="28"/>
  <c r="CZ124" i="28"/>
  <c r="CZ141" i="29"/>
  <c r="CZ142" i="29"/>
  <c r="CZ125" i="29"/>
  <c r="CZ124" i="29"/>
  <c r="DA59" i="29"/>
  <c r="DA61" i="29" s="1"/>
  <c r="DA40" i="29"/>
  <c r="DA39" i="29"/>
  <c r="CZ42" i="29"/>
  <c r="CZ44" i="29" s="1"/>
  <c r="CV194" i="29" l="1"/>
  <c r="CW192" i="29"/>
  <c r="CX22" i="29"/>
  <c r="CX191" i="29" s="1"/>
  <c r="CX23" i="29"/>
  <c r="CW25" i="29"/>
  <c r="CV27" i="28"/>
  <c r="CV196" i="28" s="1"/>
  <c r="CV194" i="28"/>
  <c r="CX187" i="29"/>
  <c r="CW192" i="28"/>
  <c r="CX23" i="28"/>
  <c r="CX22" i="28"/>
  <c r="CX191" i="28" s="1"/>
  <c r="CY18" i="28"/>
  <c r="CX188" i="28"/>
  <c r="CY18" i="29"/>
  <c r="CX188" i="29"/>
  <c r="CZ16" i="28"/>
  <c r="CY185" i="28"/>
  <c r="CY19" i="28"/>
  <c r="CZ16" i="29"/>
  <c r="CY185" i="29"/>
  <c r="CY19" i="29"/>
  <c r="CX187" i="28"/>
  <c r="CW25" i="28"/>
  <c r="DA73" i="28"/>
  <c r="DA74" i="28"/>
  <c r="CZ76" i="28"/>
  <c r="CZ78" i="28" s="1"/>
  <c r="CZ93" i="29"/>
  <c r="CZ95" i="29" s="1"/>
  <c r="CZ127" i="28"/>
  <c r="CZ129" i="28" s="1"/>
  <c r="DA178" i="28"/>
  <c r="DA180" i="28" s="1"/>
  <c r="CZ127" i="29"/>
  <c r="CZ129" i="29" s="1"/>
  <c r="CZ110" i="29"/>
  <c r="CZ112" i="29" s="1"/>
  <c r="CZ144" i="29"/>
  <c r="CZ146" i="29" s="1"/>
  <c r="CZ178" i="29"/>
  <c r="CZ180" i="29" s="1"/>
  <c r="CZ59" i="28"/>
  <c r="CZ61" i="28" s="1"/>
  <c r="CZ110" i="28"/>
  <c r="CZ112" i="28" s="1"/>
  <c r="DA90" i="29"/>
  <c r="DA91" i="29"/>
  <c r="CZ42" i="28"/>
  <c r="CZ44" i="28" s="1"/>
  <c r="DA125" i="29"/>
  <c r="DA124" i="29"/>
  <c r="DA141" i="28"/>
  <c r="DA142" i="28"/>
  <c r="CZ161" i="29"/>
  <c r="CZ163" i="29" s="1"/>
  <c r="CZ93" i="28"/>
  <c r="CZ95" i="28" s="1"/>
  <c r="DA158" i="29"/>
  <c r="DA159" i="29"/>
  <c r="DA141" i="29"/>
  <c r="DA142" i="29"/>
  <c r="DA74" i="29"/>
  <c r="DA73" i="29"/>
  <c r="DA56" i="28"/>
  <c r="DA57" i="28"/>
  <c r="CZ76" i="29"/>
  <c r="CZ78" i="29" s="1"/>
  <c r="DA39" i="28"/>
  <c r="DA40" i="28"/>
  <c r="DA107" i="28"/>
  <c r="DA108" i="28"/>
  <c r="DA176" i="29"/>
  <c r="DA175" i="29"/>
  <c r="DA107" i="29"/>
  <c r="DA108" i="29"/>
  <c r="DA91" i="28"/>
  <c r="DA90" i="28"/>
  <c r="CZ161" i="28"/>
  <c r="CZ163" i="28" s="1"/>
  <c r="DA124" i="28"/>
  <c r="DA125" i="28"/>
  <c r="CZ144" i="28"/>
  <c r="CZ146" i="28" s="1"/>
  <c r="DA158" i="28"/>
  <c r="DA159" i="28"/>
  <c r="DA42" i="29"/>
  <c r="DA44" i="29" s="1"/>
  <c r="CX25" i="28" l="1"/>
  <c r="CZ18" i="29"/>
  <c r="CY188" i="29"/>
  <c r="DA16" i="29"/>
  <c r="CZ185" i="29"/>
  <c r="CZ19" i="29"/>
  <c r="CY188" i="28"/>
  <c r="CZ18" i="28"/>
  <c r="CW27" i="29"/>
  <c r="CW196" i="29" s="1"/>
  <c r="CW194" i="29"/>
  <c r="DA16" i="28"/>
  <c r="CZ185" i="28"/>
  <c r="CZ19" i="28"/>
  <c r="CX192" i="29"/>
  <c r="CY23" i="29"/>
  <c r="CY22" i="29"/>
  <c r="CY191" i="29" s="1"/>
  <c r="CY187" i="29"/>
  <c r="CW27" i="28"/>
  <c r="CW196" i="28" s="1"/>
  <c r="CW194" i="28"/>
  <c r="CY187" i="28"/>
  <c r="CX27" i="28"/>
  <c r="CX196" i="28" s="1"/>
  <c r="CX194" i="28"/>
  <c r="CX192" i="28"/>
  <c r="CY23" i="28"/>
  <c r="CY22" i="28"/>
  <c r="CY191" i="28" s="1"/>
  <c r="CX25" i="29"/>
  <c r="DA76" i="28"/>
  <c r="DA78" i="28" s="1"/>
  <c r="DA93" i="28"/>
  <c r="DA95" i="28" s="1"/>
  <c r="DA178" i="29"/>
  <c r="DA180" i="29" s="1"/>
  <c r="DA110" i="29"/>
  <c r="DA112" i="29" s="1"/>
  <c r="DA110" i="28"/>
  <c r="DA112" i="28" s="1"/>
  <c r="DA127" i="28"/>
  <c r="DA129" i="28" s="1"/>
  <c r="DA76" i="29"/>
  <c r="DA78" i="29" s="1"/>
  <c r="DA161" i="28"/>
  <c r="DA163" i="28" s="1"/>
  <c r="DA42" i="28"/>
  <c r="DA44" i="28" s="1"/>
  <c r="DA144" i="28"/>
  <c r="DA146" i="28" s="1"/>
  <c r="DA127" i="29"/>
  <c r="DA129" i="29" s="1"/>
  <c r="DA144" i="29"/>
  <c r="DA146" i="29" s="1"/>
  <c r="DA93" i="29"/>
  <c r="DA95" i="29" s="1"/>
  <c r="DA59" i="28"/>
  <c r="DA61" i="28" s="1"/>
  <c r="DA161" i="29"/>
  <c r="DA163" i="29" s="1"/>
  <c r="CY25" i="29" l="1"/>
  <c r="CY27" i="29" s="1"/>
  <c r="CY196" i="29" s="1"/>
  <c r="CY25" i="28"/>
  <c r="CY27" i="28" s="1"/>
  <c r="CY196" i="28" s="1"/>
  <c r="DA185" i="28"/>
  <c r="DA19" i="28"/>
  <c r="DA188" i="28" s="1"/>
  <c r="DA18" i="28"/>
  <c r="CZ188" i="28"/>
  <c r="CZ187" i="28"/>
  <c r="DA18" i="29"/>
  <c r="CZ188" i="29"/>
  <c r="DA185" i="29"/>
  <c r="DA19" i="29"/>
  <c r="DA188" i="29" s="1"/>
  <c r="CX27" i="29"/>
  <c r="CX196" i="29" s="1"/>
  <c r="CX194" i="29"/>
  <c r="CY192" i="28"/>
  <c r="CZ22" i="28"/>
  <c r="CZ191" i="28" s="1"/>
  <c r="CZ23" i="28"/>
  <c r="CY192" i="29"/>
  <c r="CZ23" i="29"/>
  <c r="CZ22" i="29"/>
  <c r="CZ191" i="29" s="1"/>
  <c r="CZ187" i="29"/>
  <c r="CY194" i="28" l="1"/>
  <c r="CY194" i="29"/>
  <c r="CZ192" i="29"/>
  <c r="DA23" i="29"/>
  <c r="DA192" i="29" s="1"/>
  <c r="DA22" i="29"/>
  <c r="DA191" i="29" s="1"/>
  <c r="DA187" i="28"/>
  <c r="CZ192" i="28"/>
  <c r="DA23" i="28"/>
  <c r="DA192" i="28" s="1"/>
  <c r="DA22" i="28"/>
  <c r="DA191" i="28" s="1"/>
  <c r="DA187" i="29"/>
  <c r="CZ25" i="28"/>
  <c r="CZ25" i="29"/>
  <c r="DA25" i="29" l="1"/>
  <c r="DA27" i="29" s="1"/>
  <c r="DA196" i="29" s="1"/>
  <c r="CZ27" i="28"/>
  <c r="CZ196" i="28" s="1"/>
  <c r="CZ194" i="28"/>
  <c r="DA25" i="28"/>
  <c r="CZ27" i="29"/>
  <c r="CZ196" i="29" s="1"/>
  <c r="CZ194" i="29"/>
  <c r="DA194" i="29" l="1"/>
  <c r="DA27" i="28"/>
  <c r="DA196" i="28" s="1"/>
  <c r="DA194" i="28"/>
  <c r="AZ14" i="15" l="1"/>
  <c r="AZ19" i="15" s="1"/>
  <c r="AZ5" i="15"/>
  <c r="AZ10" i="15" s="1"/>
  <c r="BA5" i="15" l="1"/>
  <c r="BA10" i="15" s="1"/>
  <c r="BA14" i="15"/>
  <c r="BA19" i="15" s="1"/>
  <c r="BB14" i="15" l="1"/>
  <c r="BB19" i="15" s="1"/>
  <c r="BB5" i="15"/>
  <c r="BB10" i="15" s="1"/>
  <c r="BA15" i="19" l="1"/>
  <c r="AE15" i="19"/>
  <c r="AN15" i="19"/>
  <c r="AZ15" i="19"/>
  <c r="H15" i="19"/>
  <c r="H9" i="19"/>
  <c r="AB15" i="19"/>
  <c r="AF15" i="19"/>
  <c r="AA15" i="19"/>
  <c r="AA9" i="19"/>
  <c r="M9" i="19"/>
  <c r="W9" i="19"/>
  <c r="AU15" i="19"/>
  <c r="AP15" i="19"/>
  <c r="AT15" i="19"/>
  <c r="S15" i="19"/>
  <c r="AD15" i="19"/>
  <c r="AX15" i="19"/>
  <c r="AV15" i="19"/>
  <c r="N15" i="19"/>
  <c r="AR15" i="19"/>
  <c r="AS15" i="19"/>
  <c r="Y9" i="19"/>
  <c r="K9" i="19"/>
  <c r="AW15" i="19"/>
  <c r="X9" i="19"/>
  <c r="AL15" i="19"/>
  <c r="AM15" i="19"/>
  <c r="I9" i="19"/>
  <c r="AK15" i="19"/>
  <c r="T9" i="19"/>
  <c r="AG15" i="19"/>
  <c r="AI15" i="19"/>
  <c r="L9" i="19"/>
  <c r="U15" i="19"/>
  <c r="Z9" i="19"/>
  <c r="O15" i="19"/>
  <c r="O9" i="19"/>
  <c r="AH15" i="19"/>
  <c r="AO15" i="19"/>
  <c r="G15" i="19"/>
  <c r="G88" i="19" s="1"/>
  <c r="G9" i="19"/>
  <c r="AA88" i="19" l="1"/>
  <c r="N88" i="19"/>
  <c r="AF88" i="19"/>
  <c r="AB88" i="19"/>
  <c r="AK88" i="19"/>
  <c r="H88" i="19"/>
  <c r="AS88" i="19"/>
  <c r="AZ88" i="19"/>
  <c r="AI88" i="19"/>
  <c r="AV88" i="19"/>
  <c r="AX88" i="19"/>
  <c r="S88" i="19"/>
  <c r="AN88" i="19"/>
  <c r="AE88" i="19"/>
  <c r="AP88" i="19"/>
  <c r="BA88" i="19"/>
  <c r="O88" i="19"/>
  <c r="U88" i="19"/>
  <c r="AR88" i="19"/>
  <c r="AG88" i="19"/>
  <c r="AD88" i="19"/>
  <c r="AM88" i="19"/>
  <c r="AO88" i="19"/>
  <c r="AL88" i="19"/>
  <c r="AT88" i="19"/>
  <c r="AH88" i="19"/>
  <c r="AW88" i="19"/>
  <c r="AU88" i="19"/>
  <c r="G4" i="30"/>
  <c r="G9" i="30" s="1"/>
  <c r="J15" i="19"/>
  <c r="X15" i="19"/>
  <c r="U9" i="19"/>
  <c r="W15" i="19"/>
  <c r="N9" i="19"/>
  <c r="J9" i="19"/>
  <c r="I15" i="19"/>
  <c r="L15" i="19"/>
  <c r="P9" i="19"/>
  <c r="F5" i="30"/>
  <c r="P15" i="19"/>
  <c r="Q9" i="19"/>
  <c r="F9" i="30"/>
  <c r="H6" i="19"/>
  <c r="H8" i="19" s="1"/>
  <c r="I7" i="19" s="1"/>
  <c r="Q15" i="19"/>
  <c r="AJ15" i="19"/>
  <c r="G6" i="19"/>
  <c r="G8" i="19" s="1"/>
  <c r="V9" i="19"/>
  <c r="V15" i="19"/>
  <c r="AQ15" i="19"/>
  <c r="K15" i="19"/>
  <c r="K88" i="19" s="1"/>
  <c r="AC15" i="19"/>
  <c r="G11" i="19"/>
  <c r="R15" i="19"/>
  <c r="R9" i="19"/>
  <c r="Y15" i="19"/>
  <c r="AY15" i="19"/>
  <c r="Z15" i="19"/>
  <c r="S9" i="19"/>
  <c r="M15" i="19"/>
  <c r="T15" i="19"/>
  <c r="L88" i="19" l="1"/>
  <c r="I88" i="19"/>
  <c r="AY88" i="19"/>
  <c r="R88" i="19"/>
  <c r="W88" i="19"/>
  <c r="AC88" i="19"/>
  <c r="M88" i="19"/>
  <c r="X88" i="19"/>
  <c r="Q88" i="19"/>
  <c r="J88" i="19"/>
  <c r="Y88" i="19"/>
  <c r="AJ88" i="19"/>
  <c r="T88" i="19"/>
  <c r="P88" i="19"/>
  <c r="AQ88" i="19"/>
  <c r="Z88" i="19"/>
  <c r="V88" i="19"/>
  <c r="H4" i="30"/>
  <c r="H9" i="30" s="1"/>
  <c r="G5" i="30"/>
  <c r="G10" i="30" s="1"/>
  <c r="C28" i="21"/>
  <c r="E16" i="30"/>
  <c r="B28" i="21"/>
  <c r="F33" i="30"/>
  <c r="G33" i="30" s="1"/>
  <c r="G32" i="30" s="1"/>
  <c r="L6" i="19"/>
  <c r="L8" i="19" s="1"/>
  <c r="M7" i="19" s="1"/>
  <c r="J6" i="19"/>
  <c r="J8" i="19" s="1"/>
  <c r="K7" i="19" s="1"/>
  <c r="BD6" i="19"/>
  <c r="BD8" i="19" s="1"/>
  <c r="BE7" i="19" s="1"/>
  <c r="I6" i="19"/>
  <c r="I8" i="19" s="1"/>
  <c r="J7" i="19" s="1"/>
  <c r="BB6" i="19"/>
  <c r="BB8" i="19" s="1"/>
  <c r="BC7" i="19" s="1"/>
  <c r="BC6" i="19"/>
  <c r="BC8" i="19" s="1"/>
  <c r="BD7" i="19" s="1"/>
  <c r="AY6" i="19"/>
  <c r="AY8" i="19" s="1"/>
  <c r="AZ7" i="19" s="1"/>
  <c r="W6" i="19"/>
  <c r="W8" i="19" s="1"/>
  <c r="X7" i="19" s="1"/>
  <c r="X6" i="19"/>
  <c r="X8" i="19" s="1"/>
  <c r="Y7" i="19" s="1"/>
  <c r="AS6" i="19"/>
  <c r="AS8" i="19" s="1"/>
  <c r="AT7" i="19" s="1"/>
  <c r="AZ6" i="19"/>
  <c r="AZ8" i="19" s="1"/>
  <c r="BA7" i="19" s="1"/>
  <c r="AD6" i="19"/>
  <c r="AD8" i="19" s="1"/>
  <c r="AE7" i="19" s="1"/>
  <c r="S6" i="19"/>
  <c r="S8" i="19" s="1"/>
  <c r="T7" i="19" s="1"/>
  <c r="AF6" i="19"/>
  <c r="AF8" i="19" s="1"/>
  <c r="AG7" i="19" s="1"/>
  <c r="F10" i="30"/>
  <c r="AB6" i="19"/>
  <c r="AB8" i="19" s="1"/>
  <c r="AC7" i="19" s="1"/>
  <c r="AT6" i="19"/>
  <c r="AT8" i="19" s="1"/>
  <c r="AU7" i="19" s="1"/>
  <c r="H10" i="19"/>
  <c r="H11" i="19"/>
  <c r="AG6" i="19"/>
  <c r="AG8" i="19" s="1"/>
  <c r="AH7" i="19" s="1"/>
  <c r="Q6" i="19"/>
  <c r="Q8" i="19" s="1"/>
  <c r="R7" i="19" s="1"/>
  <c r="AM6" i="19"/>
  <c r="AM8" i="19" s="1"/>
  <c r="AN7" i="19" s="1"/>
  <c r="Z6" i="19"/>
  <c r="Z8" i="19" s="1"/>
  <c r="AA7" i="19" s="1"/>
  <c r="AQ6" i="19"/>
  <c r="AQ8" i="19" s="1"/>
  <c r="AR7" i="19" s="1"/>
  <c r="AC6" i="19"/>
  <c r="AC8" i="19" s="1"/>
  <c r="AD7" i="19" s="1"/>
  <c r="AK6" i="19"/>
  <c r="AK8" i="19" s="1"/>
  <c r="AL7" i="19" s="1"/>
  <c r="Y6" i="19"/>
  <c r="Y8" i="19" s="1"/>
  <c r="Z7" i="19" s="1"/>
  <c r="AA6" i="19"/>
  <c r="AA8" i="19" s="1"/>
  <c r="AB7" i="19" s="1"/>
  <c r="N6" i="19"/>
  <c r="N8" i="19" s="1"/>
  <c r="O7" i="19" s="1"/>
  <c r="H7" i="19"/>
  <c r="G12" i="19"/>
  <c r="G14" i="19" s="1"/>
  <c r="U6" i="19"/>
  <c r="U8" i="19" s="1"/>
  <c r="V7" i="19" s="1"/>
  <c r="AP6" i="19"/>
  <c r="AP8" i="19" s="1"/>
  <c r="AQ7" i="19" s="1"/>
  <c r="P6" i="19"/>
  <c r="P8" i="19" s="1"/>
  <c r="Q7" i="19" s="1"/>
  <c r="BA6" i="19"/>
  <c r="BA8" i="19" s="1"/>
  <c r="BB7" i="19" s="1"/>
  <c r="AW6" i="19"/>
  <c r="AW8" i="19" s="1"/>
  <c r="AX7" i="19" s="1"/>
  <c r="AU6" i="19"/>
  <c r="AU8" i="19" s="1"/>
  <c r="AV7" i="19" s="1"/>
  <c r="AH6" i="19"/>
  <c r="AH8" i="19" s="1"/>
  <c r="AI7" i="19" s="1"/>
  <c r="T6" i="19"/>
  <c r="T8" i="19" s="1"/>
  <c r="U7" i="19" s="1"/>
  <c r="AO6" i="19"/>
  <c r="AO8" i="19" s="1"/>
  <c r="AP7" i="19" s="1"/>
  <c r="AX6" i="19"/>
  <c r="AX8" i="19" s="1"/>
  <c r="AY7" i="19" s="1"/>
  <c r="O6" i="19"/>
  <c r="O8" i="19" s="1"/>
  <c r="P7" i="19" s="1"/>
  <c r="AE6" i="19"/>
  <c r="AE8" i="19" s="1"/>
  <c r="AF7" i="19" s="1"/>
  <c r="AJ6" i="19"/>
  <c r="AJ8" i="19" s="1"/>
  <c r="AK7" i="19" s="1"/>
  <c r="AI6" i="19"/>
  <c r="AI8" i="19" s="1"/>
  <c r="AJ7" i="19" s="1"/>
  <c r="AN6" i="19"/>
  <c r="AN8" i="19" s="1"/>
  <c r="AO7" i="19" s="1"/>
  <c r="K6" i="19"/>
  <c r="K8" i="19" s="1"/>
  <c r="L7" i="19" s="1"/>
  <c r="AR6" i="19"/>
  <c r="AR8" i="19" s="1"/>
  <c r="AS7" i="19" s="1"/>
  <c r="AL6" i="19"/>
  <c r="AL8" i="19" s="1"/>
  <c r="AM7" i="19" s="1"/>
  <c r="V6" i="19"/>
  <c r="V8" i="19" s="1"/>
  <c r="W7" i="19" s="1"/>
  <c r="R6" i="19"/>
  <c r="R8" i="19" s="1"/>
  <c r="S7" i="19" s="1"/>
  <c r="AV6" i="19"/>
  <c r="AV8" i="19" s="1"/>
  <c r="AW7" i="19" s="1"/>
  <c r="M6" i="19"/>
  <c r="M8" i="19" s="1"/>
  <c r="N7" i="19" s="1"/>
  <c r="H5" i="30" l="1"/>
  <c r="H10" i="30" s="1"/>
  <c r="I4" i="30"/>
  <c r="J4" i="30" s="1"/>
  <c r="G25" i="19"/>
  <c r="G87" i="19"/>
  <c r="F16" i="30"/>
  <c r="E185" i="30"/>
  <c r="D28" i="21"/>
  <c r="B34" i="21"/>
  <c r="G50" i="30"/>
  <c r="H50" i="30" s="1"/>
  <c r="H49" i="30" s="1"/>
  <c r="E9" i="15"/>
  <c r="E28" i="15"/>
  <c r="H32" i="30"/>
  <c r="I32" i="30" s="1"/>
  <c r="J32" i="30" s="1"/>
  <c r="K32" i="30" s="1"/>
  <c r="L32" i="30" s="1"/>
  <c r="M32" i="30" s="1"/>
  <c r="N32" i="30" s="1"/>
  <c r="O32" i="30" s="1"/>
  <c r="P32" i="30" s="1"/>
  <c r="Q32" i="30" s="1"/>
  <c r="R32" i="30" s="1"/>
  <c r="S32" i="30" s="1"/>
  <c r="T32" i="30" s="1"/>
  <c r="U32" i="30" s="1"/>
  <c r="V32" i="30" s="1"/>
  <c r="W32" i="30" s="1"/>
  <c r="X32" i="30" s="1"/>
  <c r="Y32" i="30" s="1"/>
  <c r="Z32" i="30" s="1"/>
  <c r="AA32" i="30" s="1"/>
  <c r="AB32" i="30" s="1"/>
  <c r="AC32" i="30" s="1"/>
  <c r="AD32" i="30" s="1"/>
  <c r="AE32" i="30" s="1"/>
  <c r="AF32" i="30" s="1"/>
  <c r="AG32" i="30" s="1"/>
  <c r="AH32" i="30" s="1"/>
  <c r="AI32" i="30" s="1"/>
  <c r="AJ32" i="30" s="1"/>
  <c r="AK32" i="30" s="1"/>
  <c r="AL32" i="30" s="1"/>
  <c r="AM32" i="30" s="1"/>
  <c r="AN32" i="30" s="1"/>
  <c r="AO32" i="30" s="1"/>
  <c r="AP32" i="30" s="1"/>
  <c r="AQ32" i="30" s="1"/>
  <c r="AR32" i="30" s="1"/>
  <c r="AS32" i="30" s="1"/>
  <c r="AT32" i="30" s="1"/>
  <c r="AU32" i="30" s="1"/>
  <c r="AV32" i="30" s="1"/>
  <c r="AW32" i="30" s="1"/>
  <c r="AX32" i="30" s="1"/>
  <c r="AY32" i="30" s="1"/>
  <c r="AZ32" i="30" s="1"/>
  <c r="BA32" i="30" s="1"/>
  <c r="BB32" i="30" s="1"/>
  <c r="BC32" i="30" s="1"/>
  <c r="BD32" i="30" s="1"/>
  <c r="G34" i="30"/>
  <c r="H33" i="30" s="1"/>
  <c r="I10" i="19"/>
  <c r="I11" i="19"/>
  <c r="H12" i="19"/>
  <c r="H14" i="19" s="1"/>
  <c r="H87" i="19" s="1"/>
  <c r="F36" i="30"/>
  <c r="G35" i="30" s="1"/>
  <c r="E19" i="30"/>
  <c r="I9" i="30" l="1"/>
  <c r="I5" i="30"/>
  <c r="E18" i="15"/>
  <c r="B49" i="21"/>
  <c r="F18" i="30"/>
  <c r="F187" i="30" s="1"/>
  <c r="E188" i="30"/>
  <c r="F15" i="30"/>
  <c r="F185" i="30"/>
  <c r="G21" i="18" s="1"/>
  <c r="G92" i="18" s="1"/>
  <c r="E28" i="21"/>
  <c r="B41" i="21"/>
  <c r="C34" i="21"/>
  <c r="H67" i="30"/>
  <c r="I67" i="30" s="1"/>
  <c r="I66" i="30" s="1"/>
  <c r="BD34" i="30"/>
  <c r="BC34" i="30"/>
  <c r="BB34" i="30"/>
  <c r="O34" i="30"/>
  <c r="H34" i="30"/>
  <c r="I33" i="30" s="1"/>
  <c r="AB34" i="30"/>
  <c r="P34" i="30"/>
  <c r="T34" i="30"/>
  <c r="N34" i="30"/>
  <c r="AV34" i="30"/>
  <c r="AO34" i="30"/>
  <c r="AH34" i="30"/>
  <c r="AC34" i="30"/>
  <c r="AR34" i="30"/>
  <c r="AK34" i="30"/>
  <c r="AS34" i="30"/>
  <c r="A32" i="30"/>
  <c r="R34" i="30"/>
  <c r="AE34" i="30"/>
  <c r="AZ34" i="30"/>
  <c r="W34" i="30"/>
  <c r="AI34" i="30"/>
  <c r="AY34" i="30"/>
  <c r="L34" i="30"/>
  <c r="AD34" i="30"/>
  <c r="AM34" i="30"/>
  <c r="AX34" i="30"/>
  <c r="H25" i="19"/>
  <c r="I10" i="30"/>
  <c r="J34" i="30"/>
  <c r="Y34" i="30"/>
  <c r="AL34" i="30"/>
  <c r="AW34" i="30"/>
  <c r="K4" i="30"/>
  <c r="J5" i="30"/>
  <c r="J9" i="30"/>
  <c r="M34" i="30"/>
  <c r="AA34" i="30"/>
  <c r="AQ34" i="30"/>
  <c r="F21" i="30"/>
  <c r="I34" i="30"/>
  <c r="Z34" i="30"/>
  <c r="AT34" i="30"/>
  <c r="I49" i="30"/>
  <c r="J49" i="30" s="1"/>
  <c r="K49" i="30" s="1"/>
  <c r="L49" i="30" s="1"/>
  <c r="M49" i="30" s="1"/>
  <c r="N49" i="30" s="1"/>
  <c r="O49" i="30" s="1"/>
  <c r="P49" i="30" s="1"/>
  <c r="Q49" i="30" s="1"/>
  <c r="R49" i="30" s="1"/>
  <c r="S49" i="30" s="1"/>
  <c r="T49" i="30" s="1"/>
  <c r="U49" i="30" s="1"/>
  <c r="V49" i="30" s="1"/>
  <c r="W49" i="30" s="1"/>
  <c r="X49" i="30" s="1"/>
  <c r="Y49" i="30" s="1"/>
  <c r="Z49" i="30" s="1"/>
  <c r="AA49" i="30" s="1"/>
  <c r="AB49" i="30" s="1"/>
  <c r="AC49" i="30" s="1"/>
  <c r="AD49" i="30" s="1"/>
  <c r="AE49" i="30" s="1"/>
  <c r="AF49" i="30" s="1"/>
  <c r="AG49" i="30" s="1"/>
  <c r="AH49" i="30" s="1"/>
  <c r="AI49" i="30" s="1"/>
  <c r="AJ49" i="30" s="1"/>
  <c r="AK49" i="30" s="1"/>
  <c r="AL49" i="30" s="1"/>
  <c r="AM49" i="30" s="1"/>
  <c r="AN49" i="30" s="1"/>
  <c r="AO49" i="30" s="1"/>
  <c r="AP49" i="30" s="1"/>
  <c r="AQ49" i="30" s="1"/>
  <c r="AR49" i="30" s="1"/>
  <c r="AS49" i="30" s="1"/>
  <c r="AT49" i="30" s="1"/>
  <c r="AU49" i="30" s="1"/>
  <c r="AV49" i="30" s="1"/>
  <c r="AW49" i="30" s="1"/>
  <c r="AX49" i="30" s="1"/>
  <c r="AY49" i="30" s="1"/>
  <c r="AZ49" i="30" s="1"/>
  <c r="BA49" i="30" s="1"/>
  <c r="BB49" i="30" s="1"/>
  <c r="BC49" i="30" s="1"/>
  <c r="BD49" i="30" s="1"/>
  <c r="BE49" i="30" s="1"/>
  <c r="H51" i="30"/>
  <c r="I50" i="30" s="1"/>
  <c r="K34" i="30"/>
  <c r="V34" i="30"/>
  <c r="AU34" i="30"/>
  <c r="J11" i="19"/>
  <c r="J10" i="19"/>
  <c r="I12" i="19"/>
  <c r="I14" i="19" s="1"/>
  <c r="I87" i="19" s="1"/>
  <c r="G38" i="30"/>
  <c r="G40" i="30" s="1"/>
  <c r="G36" i="30"/>
  <c r="H35" i="30" s="1"/>
  <c r="Q34" i="30"/>
  <c r="X34" i="30"/>
  <c r="AJ34" i="30"/>
  <c r="S34" i="30"/>
  <c r="AN34" i="30"/>
  <c r="G53" i="30"/>
  <c r="H52" i="30" s="1"/>
  <c r="AF34" i="30"/>
  <c r="BA34" i="30"/>
  <c r="U34" i="30"/>
  <c r="AG34" i="30"/>
  <c r="AP34" i="30"/>
  <c r="B55" i="21" l="1"/>
  <c r="B59" i="21" s="1"/>
  <c r="CJ12" i="20"/>
  <c r="CT12" i="20"/>
  <c r="CT46" i="20"/>
  <c r="CJ9" i="20"/>
  <c r="CJ46" i="20"/>
  <c r="CT9" i="20"/>
  <c r="B10" i="21"/>
  <c r="G15" i="18" s="1"/>
  <c r="F28" i="15"/>
  <c r="F23" i="30"/>
  <c r="F192" i="30" s="1"/>
  <c r="F190" i="30"/>
  <c r="F184" i="30"/>
  <c r="G14" i="18"/>
  <c r="F17" i="30"/>
  <c r="G15" i="30"/>
  <c r="C49" i="21"/>
  <c r="C41" i="21"/>
  <c r="C55" i="21" s="1"/>
  <c r="D34" i="21"/>
  <c r="F28" i="21"/>
  <c r="F9" i="15"/>
  <c r="F18" i="15"/>
  <c r="I84" i="30"/>
  <c r="J84" i="30" s="1"/>
  <c r="J83" i="30" s="1"/>
  <c r="H36" i="30"/>
  <c r="I35" i="30" s="1"/>
  <c r="BE51" i="30"/>
  <c r="J33" i="30"/>
  <c r="K33" i="30" s="1"/>
  <c r="L33" i="30" s="1"/>
  <c r="M33" i="30" s="1"/>
  <c r="N33" i="30" s="1"/>
  <c r="O33" i="30" s="1"/>
  <c r="P33" i="30" s="1"/>
  <c r="Q33" i="30" s="1"/>
  <c r="R33" i="30" s="1"/>
  <c r="S33" i="30" s="1"/>
  <c r="T33" i="30" s="1"/>
  <c r="U33" i="30" s="1"/>
  <c r="V33" i="30" s="1"/>
  <c r="W33" i="30" s="1"/>
  <c r="X33" i="30" s="1"/>
  <c r="Y33" i="30" s="1"/>
  <c r="Z33" i="30" s="1"/>
  <c r="AA33" i="30" s="1"/>
  <c r="AB33" i="30" s="1"/>
  <c r="AC33" i="30" s="1"/>
  <c r="AD33" i="30" s="1"/>
  <c r="AE33" i="30" s="1"/>
  <c r="AF33" i="30" s="1"/>
  <c r="AG33" i="30" s="1"/>
  <c r="AH33" i="30" s="1"/>
  <c r="AI33" i="30" s="1"/>
  <c r="AJ33" i="30" s="1"/>
  <c r="AK33" i="30" s="1"/>
  <c r="AL33" i="30" s="1"/>
  <c r="AM33" i="30" s="1"/>
  <c r="AN33" i="30" s="1"/>
  <c r="AO33" i="30" s="1"/>
  <c r="AP33" i="30" s="1"/>
  <c r="AQ33" i="30" s="1"/>
  <c r="AR33" i="30" s="1"/>
  <c r="AS33" i="30" s="1"/>
  <c r="AT33" i="30" s="1"/>
  <c r="AU33" i="30" s="1"/>
  <c r="AV33" i="30" s="1"/>
  <c r="AW33" i="30" s="1"/>
  <c r="AX33" i="30" s="1"/>
  <c r="AY33" i="30" s="1"/>
  <c r="AZ33" i="30" s="1"/>
  <c r="BA33" i="30" s="1"/>
  <c r="BB33" i="30" s="1"/>
  <c r="BC33" i="30" s="1"/>
  <c r="BD33" i="30" s="1"/>
  <c r="BE33" i="30" s="1"/>
  <c r="BF33" i="30" s="1"/>
  <c r="BG33" i="30" s="1"/>
  <c r="BH33" i="30" s="1"/>
  <c r="BI33" i="30" s="1"/>
  <c r="BJ33" i="30" s="1"/>
  <c r="BK33" i="30" s="1"/>
  <c r="BL33" i="30" s="1"/>
  <c r="BM33" i="30" s="1"/>
  <c r="BN33" i="30" s="1"/>
  <c r="BO33" i="30" s="1"/>
  <c r="BP33" i="30" s="1"/>
  <c r="BQ33" i="30" s="1"/>
  <c r="BR33" i="30" s="1"/>
  <c r="BS33" i="30" s="1"/>
  <c r="BT33" i="30" s="1"/>
  <c r="BU33" i="30" s="1"/>
  <c r="BV33" i="30" s="1"/>
  <c r="BW33" i="30" s="1"/>
  <c r="BX33" i="30" s="1"/>
  <c r="BY33" i="30" s="1"/>
  <c r="BZ33" i="30" s="1"/>
  <c r="CA33" i="30" s="1"/>
  <c r="CB33" i="30" s="1"/>
  <c r="CC33" i="30" s="1"/>
  <c r="CD33" i="30" s="1"/>
  <c r="CE33" i="30" s="1"/>
  <c r="CF33" i="30" s="1"/>
  <c r="CG33" i="30" s="1"/>
  <c r="CH33" i="30" s="1"/>
  <c r="CI33" i="30" s="1"/>
  <c r="CJ33" i="30" s="1"/>
  <c r="CK33" i="30" s="1"/>
  <c r="CL33" i="30" s="1"/>
  <c r="CM33" i="30" s="1"/>
  <c r="CN33" i="30" s="1"/>
  <c r="CO33" i="30" s="1"/>
  <c r="CP33" i="30" s="1"/>
  <c r="CQ33" i="30" s="1"/>
  <c r="CR33" i="30" s="1"/>
  <c r="CS33" i="30" s="1"/>
  <c r="CT33" i="30" s="1"/>
  <c r="CU33" i="30" s="1"/>
  <c r="CV33" i="30" s="1"/>
  <c r="CW33" i="30" s="1"/>
  <c r="CX33" i="30" s="1"/>
  <c r="CY33" i="30" s="1"/>
  <c r="CZ33" i="30" s="1"/>
  <c r="DA33" i="30" s="1"/>
  <c r="H38" i="30"/>
  <c r="H40" i="30" s="1"/>
  <c r="BC51" i="30"/>
  <c r="BD51" i="30"/>
  <c r="I51" i="30"/>
  <c r="J50" i="30" s="1"/>
  <c r="G42" i="30"/>
  <c r="G44" i="30" s="1"/>
  <c r="L51" i="30"/>
  <c r="K51" i="30"/>
  <c r="O51" i="30"/>
  <c r="N51" i="30"/>
  <c r="J12" i="19"/>
  <c r="J14" i="19" s="1"/>
  <c r="S51" i="30"/>
  <c r="V51" i="30"/>
  <c r="AD51" i="30"/>
  <c r="AA51" i="30"/>
  <c r="AC51" i="30"/>
  <c r="AO51" i="30"/>
  <c r="I38" i="30"/>
  <c r="I36" i="30"/>
  <c r="J35" i="30" s="1"/>
  <c r="AF51" i="30"/>
  <c r="AZ51" i="30"/>
  <c r="Z51" i="30"/>
  <c r="AG51" i="30"/>
  <c r="AU51" i="30"/>
  <c r="AV51" i="30"/>
  <c r="U51" i="30"/>
  <c r="P51" i="30"/>
  <c r="AL51" i="30"/>
  <c r="AX51" i="30"/>
  <c r="AH51" i="30"/>
  <c r="AW51" i="30"/>
  <c r="T51" i="30"/>
  <c r="Y51" i="30"/>
  <c r="AQ51" i="30"/>
  <c r="BA51" i="30"/>
  <c r="BB51" i="30"/>
  <c r="H39" i="30"/>
  <c r="H70" i="30"/>
  <c r="I69" i="30" s="1"/>
  <c r="H55" i="30"/>
  <c r="H57" i="30" s="1"/>
  <c r="H53" i="30"/>
  <c r="I52" i="30" s="1"/>
  <c r="AS51" i="30"/>
  <c r="AE51" i="30"/>
  <c r="AJ51" i="30"/>
  <c r="J66" i="30"/>
  <c r="K66" i="30" s="1"/>
  <c r="L66" i="30" s="1"/>
  <c r="M66" i="30" s="1"/>
  <c r="N66" i="30" s="1"/>
  <c r="O66" i="30" s="1"/>
  <c r="P66" i="30" s="1"/>
  <c r="Q66" i="30" s="1"/>
  <c r="R66" i="30" s="1"/>
  <c r="S66" i="30" s="1"/>
  <c r="T66" i="30" s="1"/>
  <c r="U66" i="30" s="1"/>
  <c r="V66" i="30" s="1"/>
  <c r="W66" i="30" s="1"/>
  <c r="X66" i="30" s="1"/>
  <c r="Y66" i="30" s="1"/>
  <c r="Z66" i="30" s="1"/>
  <c r="AA66" i="30" s="1"/>
  <c r="AB66" i="30" s="1"/>
  <c r="AC66" i="30" s="1"/>
  <c r="AD66" i="30" s="1"/>
  <c r="AE66" i="30" s="1"/>
  <c r="AF66" i="30" s="1"/>
  <c r="AG66" i="30" s="1"/>
  <c r="AH66" i="30" s="1"/>
  <c r="AI66" i="30" s="1"/>
  <c r="AJ66" i="30" s="1"/>
  <c r="AK66" i="30" s="1"/>
  <c r="AL66" i="30" s="1"/>
  <c r="AM66" i="30" s="1"/>
  <c r="AN66" i="30" s="1"/>
  <c r="AO66" i="30" s="1"/>
  <c r="AP66" i="30" s="1"/>
  <c r="AQ66" i="30" s="1"/>
  <c r="AR66" i="30" s="1"/>
  <c r="AS66" i="30" s="1"/>
  <c r="AT66" i="30" s="1"/>
  <c r="AU66" i="30" s="1"/>
  <c r="AV66" i="30" s="1"/>
  <c r="AW66" i="30" s="1"/>
  <c r="AX66" i="30" s="1"/>
  <c r="AY66" i="30" s="1"/>
  <c r="AZ66" i="30" s="1"/>
  <c r="BA66" i="30" s="1"/>
  <c r="BB66" i="30" s="1"/>
  <c r="BC66" i="30" s="1"/>
  <c r="BD66" i="30" s="1"/>
  <c r="BE66" i="30" s="1"/>
  <c r="BF66" i="30" s="1"/>
  <c r="I68" i="30"/>
  <c r="J67" i="30" s="1"/>
  <c r="X51" i="30"/>
  <c r="J51" i="30"/>
  <c r="I25" i="19"/>
  <c r="R51" i="30"/>
  <c r="AK51" i="30"/>
  <c r="AP51" i="30"/>
  <c r="J10" i="30"/>
  <c r="Q51" i="30"/>
  <c r="A49" i="30"/>
  <c r="AT51" i="30"/>
  <c r="AM51" i="30"/>
  <c r="AY51" i="30"/>
  <c r="AR51" i="30"/>
  <c r="AI51" i="30"/>
  <c r="AB51" i="30"/>
  <c r="K11" i="19"/>
  <c r="K10" i="19"/>
  <c r="M51" i="30"/>
  <c r="W51" i="30"/>
  <c r="AN51" i="30"/>
  <c r="K5" i="30"/>
  <c r="K9" i="30"/>
  <c r="L4" i="30"/>
  <c r="CU12" i="20" l="1"/>
  <c r="CK12" i="20"/>
  <c r="G85" i="18"/>
  <c r="J25" i="19"/>
  <c r="J87" i="19"/>
  <c r="CU9" i="20"/>
  <c r="CK9" i="20"/>
  <c r="CK46" i="20"/>
  <c r="CU46" i="20"/>
  <c r="G22" i="30"/>
  <c r="G191" i="30" s="1"/>
  <c r="G28" i="15"/>
  <c r="G18" i="15"/>
  <c r="C59" i="21"/>
  <c r="D49" i="21"/>
  <c r="E34" i="21"/>
  <c r="G9" i="15"/>
  <c r="G184" i="30"/>
  <c r="H15" i="30"/>
  <c r="H17" i="30" s="1"/>
  <c r="G17" i="30"/>
  <c r="H14" i="18"/>
  <c r="G16" i="30"/>
  <c r="F186" i="30"/>
  <c r="F19" i="30"/>
  <c r="C10" i="21"/>
  <c r="H15" i="18" s="1"/>
  <c r="D41" i="21"/>
  <c r="G28" i="21"/>
  <c r="J101" i="30"/>
  <c r="K101" i="30" s="1"/>
  <c r="K100" i="30" s="1"/>
  <c r="G27" i="18"/>
  <c r="J36" i="30"/>
  <c r="K35" i="30" s="1"/>
  <c r="BF68" i="30"/>
  <c r="K50" i="30"/>
  <c r="L50" i="30" s="1"/>
  <c r="M50" i="30" s="1"/>
  <c r="N50" i="30" s="1"/>
  <c r="O50" i="30" s="1"/>
  <c r="P50" i="30" s="1"/>
  <c r="Q50" i="30" s="1"/>
  <c r="R50" i="30" s="1"/>
  <c r="S50" i="30" s="1"/>
  <c r="T50" i="30" s="1"/>
  <c r="U50" i="30" s="1"/>
  <c r="V50" i="30" s="1"/>
  <c r="W50" i="30" s="1"/>
  <c r="X50" i="30" s="1"/>
  <c r="Y50" i="30" s="1"/>
  <c r="Z50" i="30" s="1"/>
  <c r="AA50" i="30" s="1"/>
  <c r="AB50" i="30" s="1"/>
  <c r="AC50" i="30" s="1"/>
  <c r="AD50" i="30" s="1"/>
  <c r="AE50" i="30" s="1"/>
  <c r="AF50" i="30" s="1"/>
  <c r="AG50" i="30" s="1"/>
  <c r="AH50" i="30" s="1"/>
  <c r="AI50" i="30" s="1"/>
  <c r="AJ50" i="30" s="1"/>
  <c r="AK50" i="30" s="1"/>
  <c r="AL50" i="30" s="1"/>
  <c r="AM50" i="30" s="1"/>
  <c r="AN50" i="30" s="1"/>
  <c r="AO50" i="30" s="1"/>
  <c r="AP50" i="30" s="1"/>
  <c r="AQ50" i="30" s="1"/>
  <c r="AR50" i="30" s="1"/>
  <c r="AS50" i="30" s="1"/>
  <c r="AT50" i="30" s="1"/>
  <c r="AU50" i="30" s="1"/>
  <c r="AV50" i="30" s="1"/>
  <c r="AW50" i="30" s="1"/>
  <c r="AX50" i="30" s="1"/>
  <c r="AY50" i="30" s="1"/>
  <c r="AZ50" i="30" s="1"/>
  <c r="BA50" i="30" s="1"/>
  <c r="BB50" i="30" s="1"/>
  <c r="BC50" i="30" s="1"/>
  <c r="BD50" i="30" s="1"/>
  <c r="BE50" i="30" s="1"/>
  <c r="BF50" i="30" s="1"/>
  <c r="BG50" i="30" s="1"/>
  <c r="BH50" i="30" s="1"/>
  <c r="BI50" i="30" s="1"/>
  <c r="BJ50" i="30" s="1"/>
  <c r="BK50" i="30" s="1"/>
  <c r="BL50" i="30" s="1"/>
  <c r="BM50" i="30" s="1"/>
  <c r="BN50" i="30" s="1"/>
  <c r="BO50" i="30" s="1"/>
  <c r="BP50" i="30" s="1"/>
  <c r="BQ50" i="30" s="1"/>
  <c r="BR50" i="30" s="1"/>
  <c r="BS50" i="30" s="1"/>
  <c r="BT50" i="30" s="1"/>
  <c r="BU50" i="30" s="1"/>
  <c r="BV50" i="30" s="1"/>
  <c r="BW50" i="30" s="1"/>
  <c r="BX50" i="30" s="1"/>
  <c r="BY50" i="30" s="1"/>
  <c r="BZ50" i="30" s="1"/>
  <c r="CA50" i="30" s="1"/>
  <c r="CB50" i="30" s="1"/>
  <c r="CC50" i="30" s="1"/>
  <c r="CD50" i="30" s="1"/>
  <c r="CE50" i="30" s="1"/>
  <c r="CF50" i="30" s="1"/>
  <c r="CG50" i="30" s="1"/>
  <c r="CH50" i="30" s="1"/>
  <c r="CI50" i="30" s="1"/>
  <c r="CJ50" i="30" s="1"/>
  <c r="CK50" i="30" s="1"/>
  <c r="CL50" i="30" s="1"/>
  <c r="CM50" i="30" s="1"/>
  <c r="CN50" i="30" s="1"/>
  <c r="CO50" i="30" s="1"/>
  <c r="CP50" i="30" s="1"/>
  <c r="CQ50" i="30" s="1"/>
  <c r="CR50" i="30" s="1"/>
  <c r="CS50" i="30" s="1"/>
  <c r="CT50" i="30" s="1"/>
  <c r="CU50" i="30" s="1"/>
  <c r="CV50" i="30" s="1"/>
  <c r="CW50" i="30" s="1"/>
  <c r="CX50" i="30" s="1"/>
  <c r="CY50" i="30" s="1"/>
  <c r="CZ50" i="30" s="1"/>
  <c r="DA50" i="30" s="1"/>
  <c r="BE68" i="30"/>
  <c r="BD68" i="30"/>
  <c r="J68" i="30"/>
  <c r="K67" i="30" s="1"/>
  <c r="P68" i="30"/>
  <c r="J38" i="30"/>
  <c r="H42" i="30"/>
  <c r="H44" i="30" s="1"/>
  <c r="K68" i="30"/>
  <c r="T68" i="30"/>
  <c r="AB68" i="30"/>
  <c r="H59" i="30"/>
  <c r="H61" i="30" s="1"/>
  <c r="M36" i="30"/>
  <c r="N35" i="30" s="1"/>
  <c r="Q68" i="30"/>
  <c r="W68" i="30"/>
  <c r="AK68" i="30"/>
  <c r="AP68" i="30"/>
  <c r="K12" i="19"/>
  <c r="K14" i="19" s="1"/>
  <c r="BB68" i="30"/>
  <c r="I70" i="30"/>
  <c r="J69" i="30" s="1"/>
  <c r="I72" i="30"/>
  <c r="I74" i="30" s="1"/>
  <c r="AQ68" i="30"/>
  <c r="K10" i="30"/>
  <c r="AE68" i="30"/>
  <c r="AM68" i="30"/>
  <c r="AY68" i="30"/>
  <c r="BA68" i="30"/>
  <c r="Y68" i="30"/>
  <c r="N68" i="30"/>
  <c r="Z68" i="30"/>
  <c r="AN68" i="30"/>
  <c r="AT68" i="30"/>
  <c r="AD68" i="30"/>
  <c r="AR68" i="30"/>
  <c r="I39" i="30"/>
  <c r="I40" i="30"/>
  <c r="AJ68" i="30"/>
  <c r="O68" i="30"/>
  <c r="AS68" i="30"/>
  <c r="M68" i="30"/>
  <c r="R68" i="30"/>
  <c r="AF68" i="30"/>
  <c r="AX68" i="30"/>
  <c r="AZ68" i="30"/>
  <c r="I55" i="30"/>
  <c r="I57" i="30" s="1"/>
  <c r="I53" i="30"/>
  <c r="J52" i="30" s="1"/>
  <c r="X68" i="30"/>
  <c r="AL68" i="30"/>
  <c r="BC68" i="30"/>
  <c r="L9" i="30"/>
  <c r="M4" i="30"/>
  <c r="L5" i="30"/>
  <c r="I87" i="30"/>
  <c r="J86" i="30" s="1"/>
  <c r="V68" i="30"/>
  <c r="AG68" i="30"/>
  <c r="AV68" i="30"/>
  <c r="AO68" i="30"/>
  <c r="L68" i="30"/>
  <c r="AH68" i="30"/>
  <c r="AC68" i="30"/>
  <c r="L11" i="19"/>
  <c r="L10" i="19"/>
  <c r="K83" i="30"/>
  <c r="L83" i="30" s="1"/>
  <c r="M83" i="30" s="1"/>
  <c r="N83" i="30" s="1"/>
  <c r="O83" i="30" s="1"/>
  <c r="P83" i="30" s="1"/>
  <c r="Q83" i="30" s="1"/>
  <c r="R83" i="30" s="1"/>
  <c r="S83" i="30" s="1"/>
  <c r="T83" i="30" s="1"/>
  <c r="U83" i="30" s="1"/>
  <c r="V83" i="30" s="1"/>
  <c r="W83" i="30" s="1"/>
  <c r="X83" i="30" s="1"/>
  <c r="Y83" i="30" s="1"/>
  <c r="Z83" i="30" s="1"/>
  <c r="AA83" i="30" s="1"/>
  <c r="AB83" i="30" s="1"/>
  <c r="AC83" i="30" s="1"/>
  <c r="AD83" i="30" s="1"/>
  <c r="AE83" i="30" s="1"/>
  <c r="AF83" i="30" s="1"/>
  <c r="AG83" i="30" s="1"/>
  <c r="AH83" i="30" s="1"/>
  <c r="AI83" i="30" s="1"/>
  <c r="AJ83" i="30" s="1"/>
  <c r="AK83" i="30" s="1"/>
  <c r="AL83" i="30" s="1"/>
  <c r="AM83" i="30" s="1"/>
  <c r="AN83" i="30" s="1"/>
  <c r="AO83" i="30" s="1"/>
  <c r="AP83" i="30" s="1"/>
  <c r="AQ83" i="30" s="1"/>
  <c r="AR83" i="30" s="1"/>
  <c r="AS83" i="30" s="1"/>
  <c r="AT83" i="30" s="1"/>
  <c r="AU83" i="30" s="1"/>
  <c r="AV83" i="30" s="1"/>
  <c r="AW83" i="30" s="1"/>
  <c r="AX83" i="30" s="1"/>
  <c r="AY83" i="30" s="1"/>
  <c r="AZ83" i="30" s="1"/>
  <c r="BA83" i="30" s="1"/>
  <c r="BB83" i="30" s="1"/>
  <c r="BC83" i="30" s="1"/>
  <c r="BD83" i="30" s="1"/>
  <c r="BE83" i="30" s="1"/>
  <c r="BF83" i="30" s="1"/>
  <c r="BG83" i="30" s="1"/>
  <c r="J85" i="30"/>
  <c r="K84" i="30" s="1"/>
  <c r="AA68" i="30"/>
  <c r="AU68" i="30"/>
  <c r="S68" i="30"/>
  <c r="U68" i="30"/>
  <c r="AI68" i="30"/>
  <c r="AW68" i="30"/>
  <c r="I56" i="30"/>
  <c r="CV12" i="20" l="1"/>
  <c r="CL12" i="20"/>
  <c r="H27" i="18"/>
  <c r="K25" i="19"/>
  <c r="K87" i="19"/>
  <c r="H85" i="18"/>
  <c r="E41" i="21"/>
  <c r="E10" i="21" s="1"/>
  <c r="J15" i="18" s="1"/>
  <c r="F34" i="21"/>
  <c r="F41" i="21" s="1"/>
  <c r="F10" i="21" s="1"/>
  <c r="H28" i="15"/>
  <c r="H18" i="15"/>
  <c r="CV9" i="20"/>
  <c r="CL9" i="20"/>
  <c r="CV46" i="20"/>
  <c r="CL46" i="20"/>
  <c r="H9" i="15"/>
  <c r="E49" i="21"/>
  <c r="D10" i="21"/>
  <c r="I15" i="18" s="1"/>
  <c r="D55" i="21"/>
  <c r="H186" i="30"/>
  <c r="G18" i="30"/>
  <c r="F188" i="30"/>
  <c r="F25" i="30"/>
  <c r="G185" i="30"/>
  <c r="H21" i="18" s="1"/>
  <c r="H92" i="18" s="1"/>
  <c r="G19" i="30"/>
  <c r="G21" i="30"/>
  <c r="H16" i="30"/>
  <c r="G186" i="30"/>
  <c r="H184" i="30"/>
  <c r="I15" i="30"/>
  <c r="I14" i="18"/>
  <c r="H28" i="21"/>
  <c r="K118" i="30"/>
  <c r="L118" i="30" s="1"/>
  <c r="L117" i="30" s="1"/>
  <c r="I76" i="30"/>
  <c r="I78" i="30" s="1"/>
  <c r="BG85" i="30"/>
  <c r="L67" i="30"/>
  <c r="M67" i="30" s="1"/>
  <c r="N67" i="30" s="1"/>
  <c r="O67" i="30" s="1"/>
  <c r="P67" i="30" s="1"/>
  <c r="Q67" i="30" s="1"/>
  <c r="R67" i="30" s="1"/>
  <c r="S67" i="30" s="1"/>
  <c r="T67" i="30" s="1"/>
  <c r="U67" i="30" s="1"/>
  <c r="V67" i="30" s="1"/>
  <c r="W67" i="30" s="1"/>
  <c r="X67" i="30" s="1"/>
  <c r="Y67" i="30" s="1"/>
  <c r="Z67" i="30" s="1"/>
  <c r="AA67" i="30" s="1"/>
  <c r="AB67" i="30" s="1"/>
  <c r="AC67" i="30" s="1"/>
  <c r="AD67" i="30" s="1"/>
  <c r="AE67" i="30" s="1"/>
  <c r="AF67" i="30" s="1"/>
  <c r="AG67" i="30" s="1"/>
  <c r="AH67" i="30" s="1"/>
  <c r="AI67" i="30" s="1"/>
  <c r="AJ67" i="30" s="1"/>
  <c r="AK67" i="30" s="1"/>
  <c r="AL67" i="30" s="1"/>
  <c r="AM67" i="30" s="1"/>
  <c r="AN67" i="30" s="1"/>
  <c r="AO67" i="30" s="1"/>
  <c r="AP67" i="30" s="1"/>
  <c r="AQ67" i="30" s="1"/>
  <c r="AR67" i="30" s="1"/>
  <c r="AS67" i="30" s="1"/>
  <c r="AT67" i="30" s="1"/>
  <c r="AU67" i="30" s="1"/>
  <c r="AV67" i="30" s="1"/>
  <c r="AW67" i="30" s="1"/>
  <c r="AX67" i="30" s="1"/>
  <c r="AY67" i="30" s="1"/>
  <c r="AZ67" i="30" s="1"/>
  <c r="BA67" i="30" s="1"/>
  <c r="BB67" i="30" s="1"/>
  <c r="BC67" i="30" s="1"/>
  <c r="BD67" i="30" s="1"/>
  <c r="BE67" i="30" s="1"/>
  <c r="BF67" i="30" s="1"/>
  <c r="BG67" i="30" s="1"/>
  <c r="BH67" i="30" s="1"/>
  <c r="BI67" i="30" s="1"/>
  <c r="BJ67" i="30" s="1"/>
  <c r="BK67" i="30" s="1"/>
  <c r="BL67" i="30" s="1"/>
  <c r="BM67" i="30" s="1"/>
  <c r="BN67" i="30" s="1"/>
  <c r="BO67" i="30" s="1"/>
  <c r="BP67" i="30" s="1"/>
  <c r="BQ67" i="30" s="1"/>
  <c r="BR67" i="30" s="1"/>
  <c r="BS67" i="30" s="1"/>
  <c r="BT67" i="30" s="1"/>
  <c r="BU67" i="30" s="1"/>
  <c r="BV67" i="30" s="1"/>
  <c r="BW67" i="30" s="1"/>
  <c r="BX67" i="30" s="1"/>
  <c r="BY67" i="30" s="1"/>
  <c r="BZ67" i="30" s="1"/>
  <c r="CA67" i="30" s="1"/>
  <c r="CB67" i="30" s="1"/>
  <c r="CC67" i="30" s="1"/>
  <c r="CD67" i="30" s="1"/>
  <c r="CE67" i="30" s="1"/>
  <c r="CF67" i="30" s="1"/>
  <c r="CG67" i="30" s="1"/>
  <c r="CH67" i="30" s="1"/>
  <c r="CI67" i="30" s="1"/>
  <c r="CJ67" i="30" s="1"/>
  <c r="CK67" i="30" s="1"/>
  <c r="CL67" i="30" s="1"/>
  <c r="CM67" i="30" s="1"/>
  <c r="CN67" i="30" s="1"/>
  <c r="CO67" i="30" s="1"/>
  <c r="CP67" i="30" s="1"/>
  <c r="CQ67" i="30" s="1"/>
  <c r="CR67" i="30" s="1"/>
  <c r="CS67" i="30" s="1"/>
  <c r="CT67" i="30" s="1"/>
  <c r="CU67" i="30" s="1"/>
  <c r="CV67" i="30" s="1"/>
  <c r="CW67" i="30" s="1"/>
  <c r="CX67" i="30" s="1"/>
  <c r="CY67" i="30" s="1"/>
  <c r="CZ67" i="30" s="1"/>
  <c r="DA67" i="30" s="1"/>
  <c r="BE85" i="30"/>
  <c r="BF85" i="30"/>
  <c r="K85" i="30"/>
  <c r="L84" i="30" s="1"/>
  <c r="K38" i="30"/>
  <c r="K36" i="30"/>
  <c r="L35" i="30" s="1"/>
  <c r="N36" i="30"/>
  <c r="O35" i="30" s="1"/>
  <c r="M38" i="30"/>
  <c r="L38" i="30"/>
  <c r="L36" i="30"/>
  <c r="M35" i="30" s="1"/>
  <c r="S85" i="30"/>
  <c r="R85" i="30"/>
  <c r="T85" i="30"/>
  <c r="AB85" i="30"/>
  <c r="X85" i="30"/>
  <c r="U85" i="30"/>
  <c r="O85" i="30"/>
  <c r="L85" i="30"/>
  <c r="N85" i="30"/>
  <c r="L12" i="19"/>
  <c r="L14" i="19" s="1"/>
  <c r="L87" i="19" s="1"/>
  <c r="AV85" i="30"/>
  <c r="AL85" i="30"/>
  <c r="AA85" i="30"/>
  <c r="AK85" i="30"/>
  <c r="BC85" i="30"/>
  <c r="AG85" i="30"/>
  <c r="AT85" i="30"/>
  <c r="Y85" i="30"/>
  <c r="AM85" i="30"/>
  <c r="AX85" i="30"/>
  <c r="AF85" i="30"/>
  <c r="AJ85" i="30"/>
  <c r="AW85" i="30"/>
  <c r="AR85" i="30"/>
  <c r="AC85" i="30"/>
  <c r="BA85" i="30"/>
  <c r="W85" i="30"/>
  <c r="AH85" i="30"/>
  <c r="AS85" i="30"/>
  <c r="AO85" i="30"/>
  <c r="AZ85" i="30"/>
  <c r="V85" i="30"/>
  <c r="AI85" i="30"/>
  <c r="AD85" i="30"/>
  <c r="Z85" i="30"/>
  <c r="M85" i="30"/>
  <c r="Q85" i="30"/>
  <c r="AN85" i="30"/>
  <c r="I42" i="30"/>
  <c r="I44" i="30" s="1"/>
  <c r="J72" i="30"/>
  <c r="J74" i="30" s="1"/>
  <c r="J70" i="30"/>
  <c r="K69" i="30" s="1"/>
  <c r="L100" i="30"/>
  <c r="M100" i="30" s="1"/>
  <c r="N100" i="30" s="1"/>
  <c r="O100" i="30" s="1"/>
  <c r="P100" i="30" s="1"/>
  <c r="Q100" i="30" s="1"/>
  <c r="R100" i="30" s="1"/>
  <c r="S100" i="30" s="1"/>
  <c r="T100" i="30" s="1"/>
  <c r="U100" i="30" s="1"/>
  <c r="V100" i="30" s="1"/>
  <c r="W100" i="30" s="1"/>
  <c r="X100" i="30" s="1"/>
  <c r="Y100" i="30" s="1"/>
  <c r="Z100" i="30" s="1"/>
  <c r="AA100" i="30" s="1"/>
  <c r="AB100" i="30" s="1"/>
  <c r="AC100" i="30" s="1"/>
  <c r="AD100" i="30" s="1"/>
  <c r="AE100" i="30" s="1"/>
  <c r="AF100" i="30" s="1"/>
  <c r="AG100" i="30" s="1"/>
  <c r="AH100" i="30" s="1"/>
  <c r="AI100" i="30" s="1"/>
  <c r="AJ100" i="30" s="1"/>
  <c r="AK100" i="30" s="1"/>
  <c r="AL100" i="30" s="1"/>
  <c r="AM100" i="30" s="1"/>
  <c r="AN100" i="30" s="1"/>
  <c r="AO100" i="30" s="1"/>
  <c r="AP100" i="30" s="1"/>
  <c r="AQ100" i="30" s="1"/>
  <c r="AR100" i="30" s="1"/>
  <c r="AS100" i="30" s="1"/>
  <c r="AT100" i="30" s="1"/>
  <c r="AU100" i="30" s="1"/>
  <c r="AV100" i="30" s="1"/>
  <c r="AW100" i="30" s="1"/>
  <c r="AX100" i="30" s="1"/>
  <c r="AY100" i="30" s="1"/>
  <c r="AZ100" i="30" s="1"/>
  <c r="BA100" i="30" s="1"/>
  <c r="K102" i="30"/>
  <c r="L101" i="30" s="1"/>
  <c r="K55" i="30"/>
  <c r="K53" i="30"/>
  <c r="L52" i="30" s="1"/>
  <c r="J104" i="30"/>
  <c r="K103" i="30" s="1"/>
  <c r="J40" i="30"/>
  <c r="J39" i="30"/>
  <c r="J55" i="30"/>
  <c r="J57" i="30" s="1"/>
  <c r="J53" i="30"/>
  <c r="K52" i="30" s="1"/>
  <c r="J87" i="30"/>
  <c r="K86" i="30" s="1"/>
  <c r="J89" i="30"/>
  <c r="J91" i="30" s="1"/>
  <c r="AY85" i="30"/>
  <c r="AU85" i="30"/>
  <c r="J56" i="30"/>
  <c r="AQ85" i="30"/>
  <c r="BB85" i="30"/>
  <c r="J73" i="30"/>
  <c r="M11" i="19"/>
  <c r="M10" i="19"/>
  <c r="M9" i="30"/>
  <c r="N4" i="30"/>
  <c r="M5" i="30"/>
  <c r="P85" i="30"/>
  <c r="AE85" i="30"/>
  <c r="AP85" i="30"/>
  <c r="BD85" i="30"/>
  <c r="I59" i="30"/>
  <c r="I61" i="30" s="1"/>
  <c r="L10" i="30"/>
  <c r="E55" i="21" l="1"/>
  <c r="CM12" i="20"/>
  <c r="CW12" i="20"/>
  <c r="I28" i="15"/>
  <c r="I18" i="15"/>
  <c r="I9" i="15"/>
  <c r="F49" i="21"/>
  <c r="G34" i="21"/>
  <c r="J18" i="15" s="1"/>
  <c r="I85" i="18"/>
  <c r="CW9" i="20"/>
  <c r="CW46" i="20"/>
  <c r="CM9" i="20"/>
  <c r="CM46" i="20"/>
  <c r="CX9" i="20"/>
  <c r="CN9" i="20"/>
  <c r="E59" i="21"/>
  <c r="D59" i="21"/>
  <c r="H185" i="30"/>
  <c r="I21" i="18" s="1"/>
  <c r="I92" i="18" s="1"/>
  <c r="H21" i="30"/>
  <c r="H190" i="30" s="1"/>
  <c r="H19" i="30"/>
  <c r="G23" i="30"/>
  <c r="G190" i="30"/>
  <c r="H18" i="30"/>
  <c r="G188" i="30"/>
  <c r="F27" i="30"/>
  <c r="F194" i="30"/>
  <c r="G187" i="30"/>
  <c r="I184" i="30"/>
  <c r="J15" i="30"/>
  <c r="J14" i="18"/>
  <c r="I17" i="30"/>
  <c r="I16" i="30"/>
  <c r="I28" i="21"/>
  <c r="F55" i="21"/>
  <c r="L135" i="30"/>
  <c r="M135" i="30" s="1"/>
  <c r="M134" i="30" s="1"/>
  <c r="I27" i="18"/>
  <c r="K15" i="18"/>
  <c r="J27" i="18"/>
  <c r="M84" i="30"/>
  <c r="N84" i="30" s="1"/>
  <c r="O84" i="30" s="1"/>
  <c r="P84" i="30" s="1"/>
  <c r="Q84" i="30" s="1"/>
  <c r="R84" i="30" s="1"/>
  <c r="S84" i="30" s="1"/>
  <c r="T84" i="30" s="1"/>
  <c r="U84" i="30" s="1"/>
  <c r="V84" i="30" s="1"/>
  <c r="W84" i="30" s="1"/>
  <c r="X84" i="30" s="1"/>
  <c r="Y84" i="30" s="1"/>
  <c r="Z84" i="30" s="1"/>
  <c r="AA84" i="30" s="1"/>
  <c r="AB84" i="30" s="1"/>
  <c r="AC84" i="30" s="1"/>
  <c r="AD84" i="30" s="1"/>
  <c r="AE84" i="30" s="1"/>
  <c r="AF84" i="30" s="1"/>
  <c r="AG84" i="30" s="1"/>
  <c r="AH84" i="30" s="1"/>
  <c r="AI84" i="30" s="1"/>
  <c r="AJ84" i="30" s="1"/>
  <c r="AK84" i="30" s="1"/>
  <c r="AL84" i="30" s="1"/>
  <c r="AM84" i="30" s="1"/>
  <c r="AN84" i="30" s="1"/>
  <c r="AO84" i="30" s="1"/>
  <c r="AP84" i="30" s="1"/>
  <c r="AQ84" i="30" s="1"/>
  <c r="AR84" i="30" s="1"/>
  <c r="AS84" i="30" s="1"/>
  <c r="AT84" i="30" s="1"/>
  <c r="AU84" i="30" s="1"/>
  <c r="AV84" i="30" s="1"/>
  <c r="AW84" i="30" s="1"/>
  <c r="AX84" i="30" s="1"/>
  <c r="AY84" i="30" s="1"/>
  <c r="AZ84" i="30" s="1"/>
  <c r="BA84" i="30" s="1"/>
  <c r="BB84" i="30" s="1"/>
  <c r="BC84" i="30" s="1"/>
  <c r="BD84" i="30" s="1"/>
  <c r="BE84" i="30" s="1"/>
  <c r="BF84" i="30" s="1"/>
  <c r="BG84" i="30" s="1"/>
  <c r="BH84" i="30" s="1"/>
  <c r="BI84" i="30" s="1"/>
  <c r="BJ84" i="30" s="1"/>
  <c r="BK84" i="30" s="1"/>
  <c r="BL84" i="30" s="1"/>
  <c r="BM84" i="30" s="1"/>
  <c r="BN84" i="30" s="1"/>
  <c r="BO84" i="30" s="1"/>
  <c r="BP84" i="30" s="1"/>
  <c r="BQ84" i="30" s="1"/>
  <c r="BR84" i="30" s="1"/>
  <c r="BS84" i="30" s="1"/>
  <c r="BT84" i="30" s="1"/>
  <c r="BU84" i="30" s="1"/>
  <c r="BV84" i="30" s="1"/>
  <c r="BW84" i="30" s="1"/>
  <c r="BX84" i="30" s="1"/>
  <c r="BY84" i="30" s="1"/>
  <c r="BZ84" i="30" s="1"/>
  <c r="CA84" i="30" s="1"/>
  <c r="CB84" i="30" s="1"/>
  <c r="CC84" i="30" s="1"/>
  <c r="CD84" i="30" s="1"/>
  <c r="CE84" i="30" s="1"/>
  <c r="CF84" i="30" s="1"/>
  <c r="CG84" i="30" s="1"/>
  <c r="CH84" i="30" s="1"/>
  <c r="CI84" i="30" s="1"/>
  <c r="CJ84" i="30" s="1"/>
  <c r="CK84" i="30" s="1"/>
  <c r="CL84" i="30" s="1"/>
  <c r="CM84" i="30" s="1"/>
  <c r="CN84" i="30" s="1"/>
  <c r="CO84" i="30" s="1"/>
  <c r="CP84" i="30" s="1"/>
  <c r="CQ84" i="30" s="1"/>
  <c r="CR84" i="30" s="1"/>
  <c r="CS84" i="30" s="1"/>
  <c r="CT84" i="30" s="1"/>
  <c r="CU84" i="30" s="1"/>
  <c r="CV84" i="30" s="1"/>
  <c r="CW84" i="30" s="1"/>
  <c r="CX84" i="30" s="1"/>
  <c r="CY84" i="30" s="1"/>
  <c r="CZ84" i="30" s="1"/>
  <c r="DA84" i="30" s="1"/>
  <c r="L25" i="19"/>
  <c r="N38" i="30"/>
  <c r="L89" i="30"/>
  <c r="K89" i="30"/>
  <c r="K91" i="30" s="1"/>
  <c r="K87" i="30"/>
  <c r="L86" i="30" s="1"/>
  <c r="M102" i="30"/>
  <c r="J42" i="30"/>
  <c r="J44" i="30" s="1"/>
  <c r="J76" i="30"/>
  <c r="J78" i="30" s="1"/>
  <c r="T102" i="30"/>
  <c r="AC102" i="30"/>
  <c r="Z102" i="30"/>
  <c r="AD102" i="30"/>
  <c r="AO102" i="30"/>
  <c r="J93" i="30"/>
  <c r="J95" i="30" s="1"/>
  <c r="M12" i="19"/>
  <c r="M14" i="19" s="1"/>
  <c r="K57" i="30"/>
  <c r="K56" i="30"/>
  <c r="J59" i="30"/>
  <c r="J61" i="30" s="1"/>
  <c r="K73" i="30"/>
  <c r="L53" i="30"/>
  <c r="M52" i="30" s="1"/>
  <c r="L55" i="30"/>
  <c r="AQ102" i="30"/>
  <c r="P102" i="30"/>
  <c r="AM102" i="30"/>
  <c r="AZ102" i="30"/>
  <c r="BB100" i="30"/>
  <c r="K90" i="30"/>
  <c r="K39" i="30"/>
  <c r="K40" i="30"/>
  <c r="N102" i="30"/>
  <c r="AH102" i="30"/>
  <c r="AN102" i="30"/>
  <c r="X102" i="30"/>
  <c r="AG102" i="30"/>
  <c r="AS102" i="30"/>
  <c r="S102" i="30"/>
  <c r="AE102" i="30"/>
  <c r="AT102" i="30"/>
  <c r="K121" i="30"/>
  <c r="L120" i="30" s="1"/>
  <c r="AB102" i="30"/>
  <c r="AK102" i="30"/>
  <c r="AP102" i="30"/>
  <c r="O4" i="30"/>
  <c r="N5" i="30"/>
  <c r="N9" i="30"/>
  <c r="W102" i="30"/>
  <c r="AJ102" i="30"/>
  <c r="AY102" i="30"/>
  <c r="M117" i="30"/>
  <c r="N117" i="30" s="1"/>
  <c r="O117" i="30" s="1"/>
  <c r="P117" i="30" s="1"/>
  <c r="Q117" i="30" s="1"/>
  <c r="R117" i="30" s="1"/>
  <c r="S117" i="30" s="1"/>
  <c r="T117" i="30" s="1"/>
  <c r="U117" i="30" s="1"/>
  <c r="V117" i="30" s="1"/>
  <c r="W117" i="30" s="1"/>
  <c r="X117" i="30" s="1"/>
  <c r="Y117" i="30" s="1"/>
  <c r="Z117" i="30" s="1"/>
  <c r="AA117" i="30" s="1"/>
  <c r="AB117" i="30" s="1"/>
  <c r="AC117" i="30" s="1"/>
  <c r="AD117" i="30" s="1"/>
  <c r="AE117" i="30" s="1"/>
  <c r="AF117" i="30" s="1"/>
  <c r="AG117" i="30" s="1"/>
  <c r="AH117" i="30" s="1"/>
  <c r="AI117" i="30" s="1"/>
  <c r="AJ117" i="30" s="1"/>
  <c r="AK117" i="30" s="1"/>
  <c r="AL117" i="30" s="1"/>
  <c r="AM117" i="30" s="1"/>
  <c r="AN117" i="30" s="1"/>
  <c r="AO117" i="30" s="1"/>
  <c r="AP117" i="30" s="1"/>
  <c r="AQ117" i="30" s="1"/>
  <c r="AR117" i="30" s="1"/>
  <c r="AS117" i="30" s="1"/>
  <c r="AT117" i="30" s="1"/>
  <c r="AU117" i="30" s="1"/>
  <c r="AV117" i="30" s="1"/>
  <c r="AW117" i="30" s="1"/>
  <c r="AX117" i="30" s="1"/>
  <c r="AY117" i="30" s="1"/>
  <c r="AZ117" i="30" s="1"/>
  <c r="BA117" i="30" s="1"/>
  <c r="BB117" i="30" s="1"/>
  <c r="BC117" i="30" s="1"/>
  <c r="BD117" i="30" s="1"/>
  <c r="BE117" i="30" s="1"/>
  <c r="BF117" i="30" s="1"/>
  <c r="BG117" i="30" s="1"/>
  <c r="BH117" i="30" s="1"/>
  <c r="BI117" i="30" s="1"/>
  <c r="L119" i="30"/>
  <c r="M118" i="30" s="1"/>
  <c r="O36" i="30"/>
  <c r="P35" i="30" s="1"/>
  <c r="O38" i="30"/>
  <c r="AA102" i="30"/>
  <c r="AL102" i="30"/>
  <c r="AX102" i="30"/>
  <c r="Q102" i="30"/>
  <c r="R102" i="30"/>
  <c r="AU102" i="30"/>
  <c r="BA102" i="30"/>
  <c r="K104" i="30"/>
  <c r="L103" i="30" s="1"/>
  <c r="K106" i="30"/>
  <c r="K108" i="30" s="1"/>
  <c r="N11" i="19"/>
  <c r="N10" i="19"/>
  <c r="U102" i="30"/>
  <c r="AF102" i="30"/>
  <c r="AW102" i="30"/>
  <c r="M10" i="30"/>
  <c r="K70" i="30"/>
  <c r="L69" i="30" s="1"/>
  <c r="K72" i="30"/>
  <c r="K74" i="30" s="1"/>
  <c r="O102" i="30"/>
  <c r="Y102" i="30"/>
  <c r="AI102" i="30"/>
  <c r="L102" i="30"/>
  <c r="M101" i="30" s="1"/>
  <c r="V102" i="30"/>
  <c r="AR102" i="30"/>
  <c r="AV102" i="30"/>
  <c r="G49" i="21" l="1"/>
  <c r="H34" i="21"/>
  <c r="J28" i="15"/>
  <c r="G41" i="21"/>
  <c r="G10" i="21" s="1"/>
  <c r="L15" i="18" s="1"/>
  <c r="J9" i="15"/>
  <c r="CY12" i="20"/>
  <c r="CO12" i="20"/>
  <c r="CN46" i="20"/>
  <c r="CX12" i="20"/>
  <c r="CN12" i="20"/>
  <c r="CX46" i="20"/>
  <c r="M25" i="19"/>
  <c r="M87" i="19"/>
  <c r="J85" i="18"/>
  <c r="CY9" i="20"/>
  <c r="CO46" i="20"/>
  <c r="CY46" i="20"/>
  <c r="CO9" i="20"/>
  <c r="I34" i="21"/>
  <c r="G13" i="18"/>
  <c r="F196" i="30"/>
  <c r="H187" i="30"/>
  <c r="G192" i="30"/>
  <c r="H22" i="30"/>
  <c r="H191" i="30" s="1"/>
  <c r="H23" i="30"/>
  <c r="I185" i="30"/>
  <c r="J21" i="18" s="1"/>
  <c r="J92" i="18" s="1"/>
  <c r="I21" i="30"/>
  <c r="I18" i="30"/>
  <c r="H188" i="30"/>
  <c r="I19" i="30"/>
  <c r="I186" i="30"/>
  <c r="J16" i="30"/>
  <c r="J184" i="30"/>
  <c r="K14" i="18"/>
  <c r="K15" i="30"/>
  <c r="J17" i="30"/>
  <c r="G25" i="30"/>
  <c r="K18" i="15"/>
  <c r="J28" i="21"/>
  <c r="H41" i="21"/>
  <c r="H55" i="21" s="1"/>
  <c r="F59" i="21"/>
  <c r="K9" i="15"/>
  <c r="M152" i="30"/>
  <c r="N152" i="30" s="1"/>
  <c r="N151" i="30" s="1"/>
  <c r="K27" i="18"/>
  <c r="N101" i="30"/>
  <c r="O101" i="30" s="1"/>
  <c r="P101" i="30" s="1"/>
  <c r="Q101" i="30" s="1"/>
  <c r="R101" i="30" s="1"/>
  <c r="S101" i="30" s="1"/>
  <c r="T101" i="30" s="1"/>
  <c r="U101" i="30" s="1"/>
  <c r="V101" i="30" s="1"/>
  <c r="W101" i="30" s="1"/>
  <c r="X101" i="30" s="1"/>
  <c r="Y101" i="30" s="1"/>
  <c r="Z101" i="30" s="1"/>
  <c r="AA101" i="30" s="1"/>
  <c r="AB101" i="30" s="1"/>
  <c r="AC101" i="30" s="1"/>
  <c r="AD101" i="30" s="1"/>
  <c r="AE101" i="30" s="1"/>
  <c r="AF101" i="30" s="1"/>
  <c r="AG101" i="30" s="1"/>
  <c r="AH101" i="30" s="1"/>
  <c r="AI101" i="30" s="1"/>
  <c r="AJ101" i="30" s="1"/>
  <c r="AK101" i="30" s="1"/>
  <c r="AL101" i="30" s="1"/>
  <c r="AM101" i="30" s="1"/>
  <c r="AN101" i="30" s="1"/>
  <c r="AO101" i="30" s="1"/>
  <c r="AP101" i="30" s="1"/>
  <c r="AQ101" i="30" s="1"/>
  <c r="AR101" i="30" s="1"/>
  <c r="AS101" i="30" s="1"/>
  <c r="AT101" i="30" s="1"/>
  <c r="AU101" i="30" s="1"/>
  <c r="AV101" i="30" s="1"/>
  <c r="AW101" i="30" s="1"/>
  <c r="AX101" i="30" s="1"/>
  <c r="AY101" i="30" s="1"/>
  <c r="AZ101" i="30" s="1"/>
  <c r="BA101" i="30" s="1"/>
  <c r="BB101" i="30" s="1"/>
  <c r="BI119" i="30"/>
  <c r="L87" i="30"/>
  <c r="M86" i="30" s="1"/>
  <c r="BG119" i="30"/>
  <c r="BH119" i="30"/>
  <c r="K59" i="30"/>
  <c r="K61" i="30" s="1"/>
  <c r="K93" i="30"/>
  <c r="K95" i="30" s="1"/>
  <c r="N12" i="19"/>
  <c r="N14" i="19" s="1"/>
  <c r="M123" i="30"/>
  <c r="K42" i="30"/>
  <c r="K44" i="30" s="1"/>
  <c r="AF119" i="30"/>
  <c r="AU119" i="30"/>
  <c r="L39" i="30"/>
  <c r="L40" i="30"/>
  <c r="P119" i="30"/>
  <c r="U119" i="30"/>
  <c r="L73" i="30"/>
  <c r="BF119" i="30"/>
  <c r="L107" i="30"/>
  <c r="AE119" i="30"/>
  <c r="AP119" i="30"/>
  <c r="AS119" i="30"/>
  <c r="N10" i="30"/>
  <c r="AC119" i="30"/>
  <c r="AA119" i="30"/>
  <c r="AL119" i="30"/>
  <c r="AW119" i="30"/>
  <c r="L90" i="30"/>
  <c r="L91" i="30"/>
  <c r="AB119" i="30"/>
  <c r="BC100" i="30"/>
  <c r="L138" i="30"/>
  <c r="M137" i="30" s="1"/>
  <c r="V119" i="30"/>
  <c r="BB119" i="30"/>
  <c r="AV119" i="30"/>
  <c r="O5" i="30"/>
  <c r="O9" i="30"/>
  <c r="M53" i="30"/>
  <c r="N52" i="30" s="1"/>
  <c r="M55" i="30"/>
  <c r="N134" i="30"/>
  <c r="O134" i="30" s="1"/>
  <c r="P134" i="30" s="1"/>
  <c r="Q134" i="30" s="1"/>
  <c r="R134" i="30" s="1"/>
  <c r="S134" i="30" s="1"/>
  <c r="T134" i="30" s="1"/>
  <c r="U134" i="30" s="1"/>
  <c r="V134" i="30" s="1"/>
  <c r="W134" i="30" s="1"/>
  <c r="X134" i="30" s="1"/>
  <c r="Y134" i="30" s="1"/>
  <c r="Z134" i="30" s="1"/>
  <c r="AA134" i="30" s="1"/>
  <c r="AB134" i="30" s="1"/>
  <c r="AC134" i="30" s="1"/>
  <c r="AD134" i="30" s="1"/>
  <c r="AE134" i="30" s="1"/>
  <c r="AF134" i="30" s="1"/>
  <c r="AG134" i="30" s="1"/>
  <c r="AH134" i="30" s="1"/>
  <c r="AI134" i="30" s="1"/>
  <c r="AJ134" i="30" s="1"/>
  <c r="AK134" i="30" s="1"/>
  <c r="AL134" i="30" s="1"/>
  <c r="AM134" i="30" s="1"/>
  <c r="AN134" i="30" s="1"/>
  <c r="AO134" i="30" s="1"/>
  <c r="AP134" i="30" s="1"/>
  <c r="AQ134" i="30" s="1"/>
  <c r="AR134" i="30" s="1"/>
  <c r="AS134" i="30" s="1"/>
  <c r="AT134" i="30" s="1"/>
  <c r="AU134" i="30" s="1"/>
  <c r="AV134" i="30" s="1"/>
  <c r="AW134" i="30" s="1"/>
  <c r="AX134" i="30" s="1"/>
  <c r="AY134" i="30" s="1"/>
  <c r="AZ134" i="30" s="1"/>
  <c r="BA134" i="30" s="1"/>
  <c r="BB134" i="30" s="1"/>
  <c r="BC134" i="30" s="1"/>
  <c r="BD134" i="30" s="1"/>
  <c r="BE134" i="30" s="1"/>
  <c r="BF134" i="30" s="1"/>
  <c r="BG134" i="30" s="1"/>
  <c r="BH134" i="30" s="1"/>
  <c r="BI134" i="30" s="1"/>
  <c r="BJ134" i="30" s="1"/>
  <c r="M136" i="30"/>
  <c r="N135" i="30" s="1"/>
  <c r="BA119" i="30"/>
  <c r="L57" i="30"/>
  <c r="L56" i="30"/>
  <c r="O10" i="19"/>
  <c r="O11" i="19"/>
  <c r="AT119" i="30"/>
  <c r="BC119" i="30"/>
  <c r="T119" i="30"/>
  <c r="AI119" i="30"/>
  <c r="R119" i="30"/>
  <c r="Q119" i="30"/>
  <c r="AX119" i="30"/>
  <c r="P38" i="30"/>
  <c r="P36" i="30"/>
  <c r="Q35" i="30" s="1"/>
  <c r="X119" i="30"/>
  <c r="S119" i="30"/>
  <c r="AD119" i="30"/>
  <c r="AK119" i="30"/>
  <c r="AY119" i="30"/>
  <c r="BB102" i="30"/>
  <c r="K76" i="30"/>
  <c r="K78" i="30" s="1"/>
  <c r="AG119" i="30"/>
  <c r="AJ119" i="30"/>
  <c r="AR119" i="30"/>
  <c r="Y119" i="30"/>
  <c r="AM119" i="30"/>
  <c r="M119" i="30"/>
  <c r="N118" i="30" s="1"/>
  <c r="Z119" i="30"/>
  <c r="AO119" i="30"/>
  <c r="N119" i="30"/>
  <c r="K110" i="30"/>
  <c r="K112" i="30" s="1"/>
  <c r="W119" i="30"/>
  <c r="AZ119" i="30"/>
  <c r="L72" i="30"/>
  <c r="L74" i="30" s="1"/>
  <c r="L70" i="30"/>
  <c r="M69" i="30" s="1"/>
  <c r="L104" i="30"/>
  <c r="M103" i="30" s="1"/>
  <c r="L106" i="30"/>
  <c r="L108" i="30" s="1"/>
  <c r="O119" i="30"/>
  <c r="AH119" i="30"/>
  <c r="BD119" i="30"/>
  <c r="AN119" i="30"/>
  <c r="AQ119" i="30"/>
  <c r="BE119" i="30"/>
  <c r="L121" i="30"/>
  <c r="M120" i="30" s="1"/>
  <c r="L123" i="30"/>
  <c r="L125" i="30" s="1"/>
  <c r="G55" i="21" l="1"/>
  <c r="H49" i="21"/>
  <c r="CP12" i="20" s="1"/>
  <c r="K28" i="15"/>
  <c r="K85" i="18"/>
  <c r="G24" i="18"/>
  <c r="G84" i="18"/>
  <c r="N25" i="19"/>
  <c r="N87" i="19"/>
  <c r="CP9" i="20"/>
  <c r="CP46" i="20"/>
  <c r="CZ9" i="20"/>
  <c r="I41" i="21"/>
  <c r="L18" i="15"/>
  <c r="L28" i="15"/>
  <c r="L9" i="15"/>
  <c r="I49" i="21"/>
  <c r="J34" i="21"/>
  <c r="H10" i="21"/>
  <c r="M15" i="18" s="1"/>
  <c r="J18" i="30"/>
  <c r="I188" i="30"/>
  <c r="I187" i="30"/>
  <c r="I23" i="30"/>
  <c r="I190" i="30"/>
  <c r="H192" i="30"/>
  <c r="I22" i="30"/>
  <c r="I191" i="30" s="1"/>
  <c r="G27" i="30"/>
  <c r="G194" i="30"/>
  <c r="K16" i="30"/>
  <c r="J186" i="30"/>
  <c r="H25" i="30"/>
  <c r="K17" i="30"/>
  <c r="K184" i="30"/>
  <c r="L14" i="18"/>
  <c r="L15" i="30"/>
  <c r="J185" i="30"/>
  <c r="K21" i="18" s="1"/>
  <c r="K92" i="18" s="1"/>
  <c r="J21" i="30"/>
  <c r="J190" i="30" s="1"/>
  <c r="J19" i="30"/>
  <c r="K28" i="21"/>
  <c r="H59" i="21"/>
  <c r="G59" i="21"/>
  <c r="N169" i="30"/>
  <c r="O169" i="30" s="1"/>
  <c r="O168" i="30" s="1"/>
  <c r="L27" i="18"/>
  <c r="BC101" i="30"/>
  <c r="BJ136" i="30"/>
  <c r="O118" i="30"/>
  <c r="P118" i="30" s="1"/>
  <c r="Q118" i="30" s="1"/>
  <c r="R118" i="30" s="1"/>
  <c r="S118" i="30" s="1"/>
  <c r="T118" i="30" s="1"/>
  <c r="U118" i="30" s="1"/>
  <c r="V118" i="30" s="1"/>
  <c r="W118" i="30" s="1"/>
  <c r="X118" i="30" s="1"/>
  <c r="Y118" i="30" s="1"/>
  <c r="Z118" i="30" s="1"/>
  <c r="AA118" i="30" s="1"/>
  <c r="AB118" i="30" s="1"/>
  <c r="AC118" i="30" s="1"/>
  <c r="AD118" i="30" s="1"/>
  <c r="AE118" i="30" s="1"/>
  <c r="AF118" i="30" s="1"/>
  <c r="AG118" i="30" s="1"/>
  <c r="AH118" i="30" s="1"/>
  <c r="AI118" i="30" s="1"/>
  <c r="AJ118" i="30" s="1"/>
  <c r="AK118" i="30" s="1"/>
  <c r="AL118" i="30" s="1"/>
  <c r="AM118" i="30" s="1"/>
  <c r="AN118" i="30" s="1"/>
  <c r="AO118" i="30" s="1"/>
  <c r="AP118" i="30" s="1"/>
  <c r="AQ118" i="30" s="1"/>
  <c r="AR118" i="30" s="1"/>
  <c r="AS118" i="30" s="1"/>
  <c r="AT118" i="30" s="1"/>
  <c r="AU118" i="30" s="1"/>
  <c r="AV118" i="30" s="1"/>
  <c r="AW118" i="30" s="1"/>
  <c r="AX118" i="30" s="1"/>
  <c r="AY118" i="30" s="1"/>
  <c r="AZ118" i="30" s="1"/>
  <c r="BA118" i="30" s="1"/>
  <c r="BB118" i="30" s="1"/>
  <c r="BC118" i="30" s="1"/>
  <c r="BD118" i="30" s="1"/>
  <c r="BE118" i="30" s="1"/>
  <c r="BF118" i="30" s="1"/>
  <c r="BG118" i="30" s="1"/>
  <c r="BH118" i="30" s="1"/>
  <c r="BI118" i="30" s="1"/>
  <c r="BJ118" i="30" s="1"/>
  <c r="BK118" i="30" s="1"/>
  <c r="BL118" i="30" s="1"/>
  <c r="BM118" i="30" s="1"/>
  <c r="BN118" i="30" s="1"/>
  <c r="BO118" i="30" s="1"/>
  <c r="BP118" i="30" s="1"/>
  <c r="BQ118" i="30" s="1"/>
  <c r="BR118" i="30" s="1"/>
  <c r="BS118" i="30" s="1"/>
  <c r="BT118" i="30" s="1"/>
  <c r="BU118" i="30" s="1"/>
  <c r="BV118" i="30" s="1"/>
  <c r="BW118" i="30" s="1"/>
  <c r="BX118" i="30" s="1"/>
  <c r="BY118" i="30" s="1"/>
  <c r="BZ118" i="30" s="1"/>
  <c r="CA118" i="30" s="1"/>
  <c r="CB118" i="30" s="1"/>
  <c r="CC118" i="30" s="1"/>
  <c r="CD118" i="30" s="1"/>
  <c r="CE118" i="30" s="1"/>
  <c r="CF118" i="30" s="1"/>
  <c r="CG118" i="30" s="1"/>
  <c r="CH118" i="30" s="1"/>
  <c r="CI118" i="30" s="1"/>
  <c r="CJ118" i="30" s="1"/>
  <c r="CK118" i="30" s="1"/>
  <c r="CL118" i="30" s="1"/>
  <c r="CM118" i="30" s="1"/>
  <c r="CN118" i="30" s="1"/>
  <c r="CO118" i="30" s="1"/>
  <c r="CP118" i="30" s="1"/>
  <c r="CQ118" i="30" s="1"/>
  <c r="CR118" i="30" s="1"/>
  <c r="CS118" i="30" s="1"/>
  <c r="CT118" i="30" s="1"/>
  <c r="CU118" i="30" s="1"/>
  <c r="CV118" i="30" s="1"/>
  <c r="CW118" i="30" s="1"/>
  <c r="CX118" i="30" s="1"/>
  <c r="CY118" i="30" s="1"/>
  <c r="CZ118" i="30" s="1"/>
  <c r="DA118" i="30" s="1"/>
  <c r="N106" i="30"/>
  <c r="M89" i="30"/>
  <c r="M91" i="30" s="1"/>
  <c r="M87" i="30"/>
  <c r="N86" i="30" s="1"/>
  <c r="N104" i="30"/>
  <c r="O103" i="30" s="1"/>
  <c r="BH136" i="30"/>
  <c r="BI136" i="30"/>
  <c r="BC102" i="30"/>
  <c r="M106" i="30"/>
  <c r="M108" i="30" s="1"/>
  <c r="M104" i="30"/>
  <c r="N103" i="30" s="1"/>
  <c r="L59" i="30"/>
  <c r="L61" i="30" s="1"/>
  <c r="P136" i="30"/>
  <c r="N140" i="30"/>
  <c r="X136" i="30"/>
  <c r="L42" i="30"/>
  <c r="L44" i="30" s="1"/>
  <c r="O136" i="30"/>
  <c r="AE136" i="30"/>
  <c r="AL136" i="30"/>
  <c r="L93" i="30"/>
  <c r="L95" i="30" s="1"/>
  <c r="AS136" i="30"/>
  <c r="M107" i="30"/>
  <c r="M73" i="30"/>
  <c r="N55" i="30"/>
  <c r="N53" i="30"/>
  <c r="O52" i="30" s="1"/>
  <c r="AF136" i="30"/>
  <c r="AW136" i="30"/>
  <c r="L76" i="30"/>
  <c r="L78" i="30" s="1"/>
  <c r="M121" i="30"/>
  <c r="N120" i="30" s="1"/>
  <c r="O12" i="19"/>
  <c r="O14" i="19" s="1"/>
  <c r="O87" i="19" s="1"/>
  <c r="P104" i="30"/>
  <c r="Q103" i="30" s="1"/>
  <c r="P106" i="30"/>
  <c r="Y136" i="30"/>
  <c r="AI136" i="30"/>
  <c r="AQ136" i="30"/>
  <c r="O10" i="30"/>
  <c r="BD100" i="30"/>
  <c r="M57" i="30"/>
  <c r="M56" i="30"/>
  <c r="AD136" i="30"/>
  <c r="O106" i="30"/>
  <c r="O104" i="30"/>
  <c r="P103" i="30" s="1"/>
  <c r="V136" i="30"/>
  <c r="AM136" i="30"/>
  <c r="BA136" i="30"/>
  <c r="M90" i="30"/>
  <c r="AP136" i="30"/>
  <c r="AH136" i="30"/>
  <c r="AR136" i="30"/>
  <c r="BD136" i="30"/>
  <c r="O151" i="30"/>
  <c r="P151" i="30" s="1"/>
  <c r="Q151" i="30" s="1"/>
  <c r="R151" i="30" s="1"/>
  <c r="S151" i="30" s="1"/>
  <c r="T151" i="30" s="1"/>
  <c r="U151" i="30" s="1"/>
  <c r="V151" i="30" s="1"/>
  <c r="W151" i="30" s="1"/>
  <c r="X151" i="30" s="1"/>
  <c r="Y151" i="30" s="1"/>
  <c r="Z151" i="30" s="1"/>
  <c r="AA151" i="30" s="1"/>
  <c r="AB151" i="30" s="1"/>
  <c r="AC151" i="30" s="1"/>
  <c r="AD151" i="30" s="1"/>
  <c r="AE151" i="30" s="1"/>
  <c r="AF151" i="30" s="1"/>
  <c r="AG151" i="30" s="1"/>
  <c r="AH151" i="30" s="1"/>
  <c r="AI151" i="30" s="1"/>
  <c r="AJ151" i="30" s="1"/>
  <c r="AK151" i="30" s="1"/>
  <c r="AL151" i="30" s="1"/>
  <c r="AM151" i="30" s="1"/>
  <c r="AN151" i="30" s="1"/>
  <c r="AO151" i="30" s="1"/>
  <c r="AP151" i="30" s="1"/>
  <c r="AQ151" i="30" s="1"/>
  <c r="AR151" i="30" s="1"/>
  <c r="AS151" i="30" s="1"/>
  <c r="AT151" i="30" s="1"/>
  <c r="AU151" i="30" s="1"/>
  <c r="AV151" i="30" s="1"/>
  <c r="AW151" i="30" s="1"/>
  <c r="AX151" i="30" s="1"/>
  <c r="AY151" i="30" s="1"/>
  <c r="AZ151" i="30" s="1"/>
  <c r="BA151" i="30" s="1"/>
  <c r="BB151" i="30" s="1"/>
  <c r="BC151" i="30" s="1"/>
  <c r="BD151" i="30" s="1"/>
  <c r="BE151" i="30" s="1"/>
  <c r="BF151" i="30" s="1"/>
  <c r="BG151" i="30" s="1"/>
  <c r="BH151" i="30" s="1"/>
  <c r="BI151" i="30" s="1"/>
  <c r="BJ151" i="30" s="1"/>
  <c r="BK151" i="30" s="1"/>
  <c r="N153" i="30"/>
  <c r="O152" i="30" s="1"/>
  <c r="M124" i="30"/>
  <c r="M125" i="30"/>
  <c r="R136" i="30"/>
  <c r="T136" i="30"/>
  <c r="AN136" i="30"/>
  <c r="AY136" i="30"/>
  <c r="M155" i="30"/>
  <c r="N154" i="30" s="1"/>
  <c r="W136" i="30"/>
  <c r="AB136" i="30"/>
  <c r="AV136" i="30"/>
  <c r="AZ136" i="30"/>
  <c r="AT136" i="30"/>
  <c r="Z136" i="30"/>
  <c r="U136" i="30"/>
  <c r="AC136" i="30"/>
  <c r="AJ136" i="30"/>
  <c r="BB136" i="30"/>
  <c r="M70" i="30"/>
  <c r="N69" i="30" s="1"/>
  <c r="M72" i="30"/>
  <c r="M74" i="30" s="1"/>
  <c r="BC136" i="30"/>
  <c r="L127" i="30"/>
  <c r="L129" i="30" s="1"/>
  <c r="N136" i="30"/>
  <c r="O135" i="30" s="1"/>
  <c r="AG136" i="30"/>
  <c r="AU136" i="30"/>
  <c r="BF136" i="30"/>
  <c r="M140" i="30"/>
  <c r="M142" i="30" s="1"/>
  <c r="M138" i="30"/>
  <c r="N137" i="30" s="1"/>
  <c r="L110" i="30"/>
  <c r="L112" i="30" s="1"/>
  <c r="M40" i="30"/>
  <c r="M39" i="30"/>
  <c r="Q136" i="30"/>
  <c r="AA136" i="30"/>
  <c r="AX136" i="30"/>
  <c r="P11" i="19"/>
  <c r="P10" i="19"/>
  <c r="Q36" i="30"/>
  <c r="R35" i="30" s="1"/>
  <c r="Q38" i="30"/>
  <c r="BG136" i="30"/>
  <c r="S136" i="30"/>
  <c r="AK136" i="30"/>
  <c r="AO136" i="30"/>
  <c r="BE136" i="30"/>
  <c r="CZ12" i="20" l="1"/>
  <c r="CZ46" i="20"/>
  <c r="DA12" i="20"/>
  <c r="CQ12" i="20"/>
  <c r="L85" i="18"/>
  <c r="J41" i="21"/>
  <c r="J55" i="21" s="1"/>
  <c r="M18" i="15"/>
  <c r="CQ9" i="20"/>
  <c r="DA9" i="20"/>
  <c r="CQ46" i="20"/>
  <c r="DA46" i="20"/>
  <c r="I10" i="21"/>
  <c r="N15" i="18" s="1"/>
  <c r="I55" i="21"/>
  <c r="M9" i="15"/>
  <c r="M28" i="15"/>
  <c r="J49" i="21"/>
  <c r="K34" i="21"/>
  <c r="K185" i="30"/>
  <c r="L21" i="18" s="1"/>
  <c r="L92" i="18" s="1"/>
  <c r="K21" i="30"/>
  <c r="K19" i="30"/>
  <c r="H27" i="30"/>
  <c r="H194" i="30"/>
  <c r="J188" i="30"/>
  <c r="K18" i="30"/>
  <c r="H13" i="18"/>
  <c r="G196" i="30"/>
  <c r="I192" i="30"/>
  <c r="J23" i="30"/>
  <c r="J22" i="30"/>
  <c r="J191" i="30" s="1"/>
  <c r="L184" i="30"/>
  <c r="L17" i="30"/>
  <c r="M15" i="30"/>
  <c r="M14" i="18"/>
  <c r="I25" i="30"/>
  <c r="BD102" i="30"/>
  <c r="K186" i="30"/>
  <c r="L16" i="30"/>
  <c r="J187" i="30"/>
  <c r="M27" i="18"/>
  <c r="BD101" i="30"/>
  <c r="J3" i="3"/>
  <c r="I3" i="45" s="1"/>
  <c r="P135" i="30"/>
  <c r="Q135" i="30" s="1"/>
  <c r="R135" i="30" s="1"/>
  <c r="S135" i="30" s="1"/>
  <c r="T135" i="30" s="1"/>
  <c r="U135" i="30" s="1"/>
  <c r="V135" i="30" s="1"/>
  <c r="W135" i="30" s="1"/>
  <c r="X135" i="30" s="1"/>
  <c r="Y135" i="30" s="1"/>
  <c r="Z135" i="30" s="1"/>
  <c r="AA135" i="30" s="1"/>
  <c r="AB135" i="30" s="1"/>
  <c r="AC135" i="30" s="1"/>
  <c r="AD135" i="30" s="1"/>
  <c r="AE135" i="30" s="1"/>
  <c r="AF135" i="30" s="1"/>
  <c r="AG135" i="30" s="1"/>
  <c r="AH135" i="30" s="1"/>
  <c r="AI135" i="30" s="1"/>
  <c r="AJ135" i="30" s="1"/>
  <c r="AK135" i="30" s="1"/>
  <c r="AL135" i="30" s="1"/>
  <c r="AM135" i="30" s="1"/>
  <c r="AN135" i="30" s="1"/>
  <c r="AO135" i="30" s="1"/>
  <c r="AP135" i="30" s="1"/>
  <c r="AQ135" i="30" s="1"/>
  <c r="AR135" i="30" s="1"/>
  <c r="AS135" i="30" s="1"/>
  <c r="AT135" i="30" s="1"/>
  <c r="AU135" i="30" s="1"/>
  <c r="AV135" i="30" s="1"/>
  <c r="AW135" i="30" s="1"/>
  <c r="AX135" i="30" s="1"/>
  <c r="AY135" i="30" s="1"/>
  <c r="AZ135" i="30" s="1"/>
  <c r="BA135" i="30" s="1"/>
  <c r="BB135" i="30" s="1"/>
  <c r="BC135" i="30" s="1"/>
  <c r="BD135" i="30" s="1"/>
  <c r="BE135" i="30" s="1"/>
  <c r="BF135" i="30" s="1"/>
  <c r="BG135" i="30" s="1"/>
  <c r="BH135" i="30" s="1"/>
  <c r="BI135" i="30" s="1"/>
  <c r="BJ135" i="30" s="1"/>
  <c r="BK135" i="30" s="1"/>
  <c r="BL135" i="30" s="1"/>
  <c r="BM135" i="30" s="1"/>
  <c r="BN135" i="30" s="1"/>
  <c r="BO135" i="30" s="1"/>
  <c r="BP135" i="30" s="1"/>
  <c r="BQ135" i="30" s="1"/>
  <c r="BR135" i="30" s="1"/>
  <c r="BS135" i="30" s="1"/>
  <c r="BT135" i="30" s="1"/>
  <c r="BU135" i="30" s="1"/>
  <c r="BV135" i="30" s="1"/>
  <c r="BW135" i="30" s="1"/>
  <c r="BX135" i="30" s="1"/>
  <c r="BY135" i="30" s="1"/>
  <c r="BZ135" i="30" s="1"/>
  <c r="CA135" i="30" s="1"/>
  <c r="CB135" i="30" s="1"/>
  <c r="CC135" i="30" s="1"/>
  <c r="CD135" i="30" s="1"/>
  <c r="CE135" i="30" s="1"/>
  <c r="CF135" i="30" s="1"/>
  <c r="CG135" i="30" s="1"/>
  <c r="CH135" i="30" s="1"/>
  <c r="CI135" i="30" s="1"/>
  <c r="CJ135" i="30" s="1"/>
  <c r="CK135" i="30" s="1"/>
  <c r="CL135" i="30" s="1"/>
  <c r="CM135" i="30" s="1"/>
  <c r="CN135" i="30" s="1"/>
  <c r="CO135" i="30" s="1"/>
  <c r="CP135" i="30" s="1"/>
  <c r="CQ135" i="30" s="1"/>
  <c r="CR135" i="30" s="1"/>
  <c r="CS135" i="30" s="1"/>
  <c r="CT135" i="30" s="1"/>
  <c r="CU135" i="30" s="1"/>
  <c r="CV135" i="30" s="1"/>
  <c r="CW135" i="30" s="1"/>
  <c r="CX135" i="30" s="1"/>
  <c r="CY135" i="30" s="1"/>
  <c r="CZ135" i="30" s="1"/>
  <c r="DA135" i="30" s="1"/>
  <c r="BK153" i="30"/>
  <c r="N123" i="30"/>
  <c r="N125" i="30" s="1"/>
  <c r="N121" i="30"/>
  <c r="O120" i="30" s="1"/>
  <c r="O121" i="30"/>
  <c r="P120" i="30" s="1"/>
  <c r="O123" i="30"/>
  <c r="BI153" i="30"/>
  <c r="N87" i="30"/>
  <c r="O86" i="30" s="1"/>
  <c r="N89" i="30"/>
  <c r="N91" i="30" s="1"/>
  <c r="BJ153" i="30"/>
  <c r="M93" i="30"/>
  <c r="M95" i="30" s="1"/>
  <c r="Q153" i="30"/>
  <c r="M59" i="30"/>
  <c r="M61" i="30" s="1"/>
  <c r="P153" i="30"/>
  <c r="AQ153" i="30"/>
  <c r="AR153" i="30"/>
  <c r="M110" i="30"/>
  <c r="M112" i="30" s="1"/>
  <c r="AF153" i="30"/>
  <c r="O153" i="30"/>
  <c r="P152" i="30" s="1"/>
  <c r="Y153" i="30"/>
  <c r="AY153" i="30"/>
  <c r="S153" i="30"/>
  <c r="BH153" i="30"/>
  <c r="AB153" i="30"/>
  <c r="AE153" i="30"/>
  <c r="M144" i="30"/>
  <c r="M146" i="30" s="1"/>
  <c r="W153" i="30"/>
  <c r="AI153" i="30"/>
  <c r="AA153" i="30"/>
  <c r="AC153" i="30"/>
  <c r="AH153" i="30"/>
  <c r="R153" i="30"/>
  <c r="M42" i="30"/>
  <c r="M44" i="30" s="1"/>
  <c r="AL153" i="30"/>
  <c r="P12" i="19"/>
  <c r="P14" i="19" s="1"/>
  <c r="P87" i="19" s="1"/>
  <c r="S123" i="30"/>
  <c r="S121" i="30"/>
  <c r="T120" i="30" s="1"/>
  <c r="N73" i="30"/>
  <c r="M76" i="30"/>
  <c r="M78" i="30" s="1"/>
  <c r="AU153" i="30"/>
  <c r="Q106" i="30"/>
  <c r="Q104" i="30"/>
  <c r="R103" i="30" s="1"/>
  <c r="O25" i="19"/>
  <c r="N172" i="30"/>
  <c r="O171" i="30" s="1"/>
  <c r="N124" i="30"/>
  <c r="AM153" i="30"/>
  <c r="BG153" i="30"/>
  <c r="R36" i="30"/>
  <c r="S35" i="30" s="1"/>
  <c r="R38" i="30"/>
  <c r="Z153" i="30"/>
  <c r="AK153" i="30"/>
  <c r="AX153" i="30"/>
  <c r="P168" i="30"/>
  <c r="Q168" i="30" s="1"/>
  <c r="R168" i="30" s="1"/>
  <c r="S168" i="30" s="1"/>
  <c r="T168" i="30" s="1"/>
  <c r="U168" i="30" s="1"/>
  <c r="V168" i="30" s="1"/>
  <c r="W168" i="30" s="1"/>
  <c r="X168" i="30" s="1"/>
  <c r="Y168" i="30" s="1"/>
  <c r="Z168" i="30" s="1"/>
  <c r="AA168" i="30" s="1"/>
  <c r="AB168" i="30" s="1"/>
  <c r="AC168" i="30" s="1"/>
  <c r="AD168" i="30" s="1"/>
  <c r="AE168" i="30" s="1"/>
  <c r="AF168" i="30" s="1"/>
  <c r="AG168" i="30" s="1"/>
  <c r="AH168" i="30" s="1"/>
  <c r="AI168" i="30" s="1"/>
  <c r="AJ168" i="30" s="1"/>
  <c r="AK168" i="30" s="1"/>
  <c r="AL168" i="30" s="1"/>
  <c r="AM168" i="30" s="1"/>
  <c r="AN168" i="30" s="1"/>
  <c r="AO168" i="30" s="1"/>
  <c r="AP168" i="30" s="1"/>
  <c r="AQ168" i="30" s="1"/>
  <c r="AR168" i="30" s="1"/>
  <c r="AS168" i="30" s="1"/>
  <c r="AT168" i="30" s="1"/>
  <c r="AU168" i="30" s="1"/>
  <c r="AV168" i="30" s="1"/>
  <c r="AW168" i="30" s="1"/>
  <c r="AX168" i="30" s="1"/>
  <c r="AY168" i="30" s="1"/>
  <c r="AZ168" i="30" s="1"/>
  <c r="BA168" i="30" s="1"/>
  <c r="O170" i="30"/>
  <c r="P169" i="30" s="1"/>
  <c r="O53" i="30"/>
  <c r="P52" i="30" s="1"/>
  <c r="O55" i="30"/>
  <c r="AS153" i="30"/>
  <c r="BA153" i="30"/>
  <c r="AT153" i="30"/>
  <c r="BB153" i="30"/>
  <c r="P123" i="30"/>
  <c r="P121" i="30"/>
  <c r="Q120" i="30" s="1"/>
  <c r="BE100" i="30"/>
  <c r="AJ153" i="30"/>
  <c r="BE153" i="30"/>
  <c r="N40" i="30"/>
  <c r="N39" i="30"/>
  <c r="X153" i="30"/>
  <c r="AW153" i="30"/>
  <c r="AZ153" i="30"/>
  <c r="R121" i="30"/>
  <c r="S120" i="30" s="1"/>
  <c r="R123" i="30"/>
  <c r="M127" i="30"/>
  <c r="M129" i="30" s="1"/>
  <c r="N157" i="30"/>
  <c r="N159" i="30" s="1"/>
  <c r="N155" i="30"/>
  <c r="O154" i="30" s="1"/>
  <c r="U153" i="30"/>
  <c r="T153" i="30"/>
  <c r="AN153" i="30"/>
  <c r="BC153" i="30"/>
  <c r="N56" i="30"/>
  <c r="N57" i="30"/>
  <c r="N70" i="30"/>
  <c r="O69" i="30" s="1"/>
  <c r="N72" i="30"/>
  <c r="N74" i="30" s="1"/>
  <c r="AD153" i="30"/>
  <c r="AO153" i="30"/>
  <c r="BD153" i="30"/>
  <c r="N90" i="30"/>
  <c r="N138" i="30"/>
  <c r="O137" i="30" s="1"/>
  <c r="N108" i="30"/>
  <c r="N107" i="30"/>
  <c r="Q121" i="30"/>
  <c r="R120" i="30" s="1"/>
  <c r="Q123" i="30"/>
  <c r="AV153" i="30"/>
  <c r="N141" i="30"/>
  <c r="N142" i="30"/>
  <c r="Q11" i="19"/>
  <c r="Q10" i="19"/>
  <c r="V153" i="30"/>
  <c r="AG153" i="30"/>
  <c r="AP153" i="30"/>
  <c r="BF153" i="30"/>
  <c r="J10" i="21" l="1"/>
  <c r="O15" i="18" s="1"/>
  <c r="DB12" i="20"/>
  <c r="CR12" i="20"/>
  <c r="M85" i="18"/>
  <c r="H24" i="18"/>
  <c r="H84" i="18"/>
  <c r="K49" i="21"/>
  <c r="N9" i="15"/>
  <c r="O9" i="15" s="1"/>
  <c r="P9" i="15" s="1"/>
  <c r="Q9" i="15" s="1"/>
  <c r="R9" i="15" s="1"/>
  <c r="S9" i="15" s="1"/>
  <c r="T9" i="15" s="1"/>
  <c r="U9" i="15" s="1"/>
  <c r="V9" i="15" s="1"/>
  <c r="W9" i="15" s="1"/>
  <c r="X9" i="15" s="1"/>
  <c r="Y9" i="15" s="1"/>
  <c r="Z9" i="15" s="1"/>
  <c r="AA9" i="15" s="1"/>
  <c r="AB9" i="15" s="1"/>
  <c r="AC9" i="15" s="1"/>
  <c r="AD9" i="15" s="1"/>
  <c r="AE9" i="15" s="1"/>
  <c r="AF9" i="15" s="1"/>
  <c r="AG9" i="15" s="1"/>
  <c r="AH9" i="15" s="1"/>
  <c r="AI9" i="15" s="1"/>
  <c r="AJ9" i="15" s="1"/>
  <c r="AK9" i="15" s="1"/>
  <c r="AL9" i="15" s="1"/>
  <c r="AM9" i="15" s="1"/>
  <c r="AN9" i="15" s="1"/>
  <c r="AO9" i="15" s="1"/>
  <c r="AP9" i="15" s="1"/>
  <c r="AQ9" i="15" s="1"/>
  <c r="AR9" i="15" s="1"/>
  <c r="AS9" i="15" s="1"/>
  <c r="AT9" i="15" s="1"/>
  <c r="AU9" i="15" s="1"/>
  <c r="AV9" i="15" s="1"/>
  <c r="AW9" i="15" s="1"/>
  <c r="AX9" i="15" s="1"/>
  <c r="AY9" i="15" s="1"/>
  <c r="N18" i="15"/>
  <c r="O18" i="15" s="1"/>
  <c r="P18" i="15" s="1"/>
  <c r="Q18" i="15" s="1"/>
  <c r="R18" i="15" s="1"/>
  <c r="S18" i="15" s="1"/>
  <c r="T18" i="15" s="1"/>
  <c r="U18" i="15" s="1"/>
  <c r="V18" i="15" s="1"/>
  <c r="W18" i="15" s="1"/>
  <c r="X18" i="15" s="1"/>
  <c r="Y18" i="15" s="1"/>
  <c r="Z18" i="15" s="1"/>
  <c r="AA18" i="15" s="1"/>
  <c r="AB18" i="15" s="1"/>
  <c r="AC18" i="15" s="1"/>
  <c r="AD18" i="15" s="1"/>
  <c r="AE18" i="15" s="1"/>
  <c r="AF18" i="15" s="1"/>
  <c r="AG18" i="15" s="1"/>
  <c r="AH18" i="15" s="1"/>
  <c r="AI18" i="15" s="1"/>
  <c r="AJ18" i="15" s="1"/>
  <c r="AK18" i="15" s="1"/>
  <c r="AL18" i="15" s="1"/>
  <c r="AM18" i="15" s="1"/>
  <c r="AN18" i="15" s="1"/>
  <c r="AO18" i="15" s="1"/>
  <c r="AP18" i="15" s="1"/>
  <c r="AQ18" i="15" s="1"/>
  <c r="AR18" i="15" s="1"/>
  <c r="AS18" i="15" s="1"/>
  <c r="AT18" i="15" s="1"/>
  <c r="AU18" i="15" s="1"/>
  <c r="AV18" i="15" s="1"/>
  <c r="AW18" i="15" s="1"/>
  <c r="AX18" i="15" s="1"/>
  <c r="AY18" i="15" s="1"/>
  <c r="N28" i="15"/>
  <c r="O28" i="15" s="1"/>
  <c r="P28" i="15" s="1"/>
  <c r="Q28" i="15" s="1"/>
  <c r="R28" i="15" s="1"/>
  <c r="S28" i="15" s="1"/>
  <c r="T28" i="15" s="1"/>
  <c r="U28" i="15" s="1"/>
  <c r="V28" i="15" s="1"/>
  <c r="W28" i="15" s="1"/>
  <c r="X28" i="15" s="1"/>
  <c r="Y28" i="15" s="1"/>
  <c r="Z28" i="15" s="1"/>
  <c r="AA28" i="15" s="1"/>
  <c r="AB28" i="15" s="1"/>
  <c r="AC28" i="15" s="1"/>
  <c r="AD28" i="15" s="1"/>
  <c r="AE28" i="15" s="1"/>
  <c r="AF28" i="15" s="1"/>
  <c r="AG28" i="15" s="1"/>
  <c r="AH28" i="15" s="1"/>
  <c r="AI28" i="15" s="1"/>
  <c r="AJ28" i="15" s="1"/>
  <c r="AK28" i="15" s="1"/>
  <c r="AL28" i="15" s="1"/>
  <c r="AM28" i="15" s="1"/>
  <c r="AN28" i="15" s="1"/>
  <c r="AO28" i="15" s="1"/>
  <c r="AP28" i="15" s="1"/>
  <c r="AQ28" i="15" s="1"/>
  <c r="AR28" i="15" s="1"/>
  <c r="AS28" i="15" s="1"/>
  <c r="AT28" i="15" s="1"/>
  <c r="AU28" i="15" s="1"/>
  <c r="AV28" i="15" s="1"/>
  <c r="AW28" i="15" s="1"/>
  <c r="AX28" i="15" s="1"/>
  <c r="AY28" i="15" s="1"/>
  <c r="AZ28" i="15" s="1"/>
  <c r="BA28" i="15" s="1"/>
  <c r="BB28" i="15" s="1"/>
  <c r="BC28" i="15" s="1"/>
  <c r="BD28" i="15" s="1"/>
  <c r="BE28" i="15" s="1"/>
  <c r="BF28" i="15" s="1"/>
  <c r="BG28" i="15" s="1"/>
  <c r="BH28" i="15" s="1"/>
  <c r="K41" i="21"/>
  <c r="DB9" i="20"/>
  <c r="CR9" i="20"/>
  <c r="CR46" i="20"/>
  <c r="DB46" i="20"/>
  <c r="J59" i="21"/>
  <c r="I59" i="21"/>
  <c r="BE101" i="30"/>
  <c r="J25" i="30"/>
  <c r="J27" i="30" s="1"/>
  <c r="L185" i="30"/>
  <c r="M21" i="18" s="1"/>
  <c r="M92" i="18" s="1"/>
  <c r="L21" i="30"/>
  <c r="L190" i="30" s="1"/>
  <c r="L19" i="30"/>
  <c r="K187" i="30"/>
  <c r="I27" i="30"/>
  <c r="I194" i="30"/>
  <c r="M184" i="30"/>
  <c r="N15" i="30"/>
  <c r="M17" i="30"/>
  <c r="N14" i="18"/>
  <c r="I13" i="18"/>
  <c r="H196" i="30"/>
  <c r="M16" i="30"/>
  <c r="L186" i="30"/>
  <c r="L18" i="30"/>
  <c r="K188" i="30"/>
  <c r="K23" i="30"/>
  <c r="K190" i="30"/>
  <c r="J192" i="30"/>
  <c r="K22" i="30"/>
  <c r="K191" i="30" s="1"/>
  <c r="I18" i="3"/>
  <c r="E28" i="45" s="1"/>
  <c r="N27" i="18"/>
  <c r="Q152" i="30"/>
  <c r="R152" i="30" s="1"/>
  <c r="S152" i="30" s="1"/>
  <c r="T152" i="30" s="1"/>
  <c r="U152" i="30" s="1"/>
  <c r="V152" i="30" s="1"/>
  <c r="W152" i="30" s="1"/>
  <c r="X152" i="30" s="1"/>
  <c r="Y152" i="30" s="1"/>
  <c r="Z152" i="30" s="1"/>
  <c r="AA152" i="30" s="1"/>
  <c r="AB152" i="30" s="1"/>
  <c r="AC152" i="30" s="1"/>
  <c r="AD152" i="30" s="1"/>
  <c r="AE152" i="30" s="1"/>
  <c r="AF152" i="30" s="1"/>
  <c r="AG152" i="30" s="1"/>
  <c r="AH152" i="30" s="1"/>
  <c r="AI152" i="30" s="1"/>
  <c r="AJ152" i="30" s="1"/>
  <c r="AK152" i="30" s="1"/>
  <c r="AL152" i="30" s="1"/>
  <c r="AM152" i="30" s="1"/>
  <c r="AN152" i="30" s="1"/>
  <c r="AO152" i="30" s="1"/>
  <c r="AP152" i="30" s="1"/>
  <c r="AQ152" i="30" s="1"/>
  <c r="AR152" i="30" s="1"/>
  <c r="AS152" i="30" s="1"/>
  <c r="AT152" i="30" s="1"/>
  <c r="AU152" i="30" s="1"/>
  <c r="AV152" i="30" s="1"/>
  <c r="AW152" i="30" s="1"/>
  <c r="AX152" i="30" s="1"/>
  <c r="AY152" i="30" s="1"/>
  <c r="AZ152" i="30" s="1"/>
  <c r="BA152" i="30" s="1"/>
  <c r="BB152" i="30" s="1"/>
  <c r="BC152" i="30" s="1"/>
  <c r="BD152" i="30" s="1"/>
  <c r="BE152" i="30" s="1"/>
  <c r="BF152" i="30" s="1"/>
  <c r="BG152" i="30" s="1"/>
  <c r="BH152" i="30" s="1"/>
  <c r="BI152" i="30" s="1"/>
  <c r="BJ152" i="30" s="1"/>
  <c r="BK152" i="30" s="1"/>
  <c r="BL152" i="30" s="1"/>
  <c r="BM152" i="30" s="1"/>
  <c r="BN152" i="30" s="1"/>
  <c r="BO152" i="30" s="1"/>
  <c r="BP152" i="30" s="1"/>
  <c r="BQ152" i="30" s="1"/>
  <c r="BR152" i="30" s="1"/>
  <c r="BS152" i="30" s="1"/>
  <c r="BT152" i="30" s="1"/>
  <c r="BU152" i="30" s="1"/>
  <c r="BV152" i="30" s="1"/>
  <c r="BW152" i="30" s="1"/>
  <c r="BX152" i="30" s="1"/>
  <c r="BY152" i="30" s="1"/>
  <c r="BZ152" i="30" s="1"/>
  <c r="CA152" i="30" s="1"/>
  <c r="CB152" i="30" s="1"/>
  <c r="CC152" i="30" s="1"/>
  <c r="CD152" i="30" s="1"/>
  <c r="CE152" i="30" s="1"/>
  <c r="CF152" i="30" s="1"/>
  <c r="CG152" i="30" s="1"/>
  <c r="CH152" i="30" s="1"/>
  <c r="CI152" i="30" s="1"/>
  <c r="CJ152" i="30" s="1"/>
  <c r="CK152" i="30" s="1"/>
  <c r="CL152" i="30" s="1"/>
  <c r="CM152" i="30" s="1"/>
  <c r="CN152" i="30" s="1"/>
  <c r="CO152" i="30" s="1"/>
  <c r="CP152" i="30" s="1"/>
  <c r="CQ152" i="30" s="1"/>
  <c r="CR152" i="30" s="1"/>
  <c r="CS152" i="30" s="1"/>
  <c r="CT152" i="30" s="1"/>
  <c r="CU152" i="30" s="1"/>
  <c r="CV152" i="30" s="1"/>
  <c r="CW152" i="30" s="1"/>
  <c r="CX152" i="30" s="1"/>
  <c r="CY152" i="30" s="1"/>
  <c r="CZ152" i="30" s="1"/>
  <c r="DA152" i="30" s="1"/>
  <c r="BE102" i="30"/>
  <c r="BF100" i="30"/>
  <c r="O89" i="30"/>
  <c r="O91" i="30" s="1"/>
  <c r="O87" i="30"/>
  <c r="P86" i="30" s="1"/>
  <c r="O140" i="30"/>
  <c r="O142" i="30" s="1"/>
  <c r="O138" i="30"/>
  <c r="P137" i="30" s="1"/>
  <c r="P174" i="30"/>
  <c r="T170" i="30"/>
  <c r="P25" i="19"/>
  <c r="N59" i="30"/>
  <c r="N61" i="30" s="1"/>
  <c r="R170" i="30"/>
  <c r="W170" i="30"/>
  <c r="Z170" i="30"/>
  <c r="N144" i="30"/>
  <c r="N146" i="30" s="1"/>
  <c r="AI170" i="30"/>
  <c r="AC170" i="30"/>
  <c r="BA170" i="30"/>
  <c r="AM170" i="30"/>
  <c r="AZ170" i="30"/>
  <c r="N110" i="30"/>
  <c r="N112" i="30" s="1"/>
  <c r="O73" i="30"/>
  <c r="O56" i="30"/>
  <c r="O57" i="30"/>
  <c r="V170" i="30"/>
  <c r="AB170" i="30"/>
  <c r="AL170" i="30"/>
  <c r="O90" i="30"/>
  <c r="Y170" i="30"/>
  <c r="AS170" i="30"/>
  <c r="AR170" i="30"/>
  <c r="P170" i="30"/>
  <c r="Q169" i="30" s="1"/>
  <c r="AF170" i="30"/>
  <c r="O39" i="30"/>
  <c r="O40" i="30"/>
  <c r="N76" i="30"/>
  <c r="N78" i="30" s="1"/>
  <c r="N161" i="30"/>
  <c r="N163" i="30" s="1"/>
  <c r="U170" i="30"/>
  <c r="AK170" i="30"/>
  <c r="AU170" i="30"/>
  <c r="O72" i="30"/>
  <c r="O74" i="30" s="1"/>
  <c r="O70" i="30"/>
  <c r="P69" i="30" s="1"/>
  <c r="AE170" i="30"/>
  <c r="AQ170" i="30"/>
  <c r="Q12" i="19"/>
  <c r="Q14" i="19" s="1"/>
  <c r="Q87" i="19" s="1"/>
  <c r="Q170" i="30"/>
  <c r="AD170" i="30"/>
  <c r="R106" i="30"/>
  <c r="R104" i="30"/>
  <c r="S103" i="30" s="1"/>
  <c r="BB168" i="30"/>
  <c r="BB170" i="30" s="1"/>
  <c r="O125" i="30"/>
  <c r="O124" i="30"/>
  <c r="R10" i="19"/>
  <c r="R11" i="19"/>
  <c r="P53" i="30"/>
  <c r="Q52" i="30" s="1"/>
  <c r="P55" i="30"/>
  <c r="X170" i="30"/>
  <c r="AJ170" i="30"/>
  <c r="AT170" i="30"/>
  <c r="AA170" i="30"/>
  <c r="AO170" i="30"/>
  <c r="AY170" i="30"/>
  <c r="T123" i="30"/>
  <c r="T121" i="30"/>
  <c r="U120" i="30" s="1"/>
  <c r="O158" i="30"/>
  <c r="O108" i="30"/>
  <c r="O107" i="30"/>
  <c r="S170" i="30"/>
  <c r="AP170" i="30"/>
  <c r="AW170" i="30"/>
  <c r="S36" i="30"/>
  <c r="T35" i="30" s="1"/>
  <c r="S38" i="30"/>
  <c r="O172" i="30"/>
  <c r="P171" i="30" s="1"/>
  <c r="O174" i="30"/>
  <c r="O176" i="30" s="1"/>
  <c r="O141" i="30"/>
  <c r="N127" i="30"/>
  <c r="N129" i="30" s="1"/>
  <c r="AH170" i="30"/>
  <c r="AN170" i="30"/>
  <c r="O157" i="30"/>
  <c r="O159" i="30" s="1"/>
  <c r="O155" i="30"/>
  <c r="P154" i="30" s="1"/>
  <c r="P138" i="30"/>
  <c r="Q137" i="30" s="1"/>
  <c r="P140" i="30"/>
  <c r="AX170" i="30"/>
  <c r="N93" i="30"/>
  <c r="N95" i="30" s="1"/>
  <c r="N42" i="30"/>
  <c r="N44" i="30" s="1"/>
  <c r="AG170" i="30"/>
  <c r="AV170" i="30"/>
  <c r="DC12" i="20" l="1"/>
  <c r="CS12" i="20"/>
  <c r="K10" i="21"/>
  <c r="P15" i="18" s="1"/>
  <c r="K55" i="21"/>
  <c r="K59" i="21" s="1"/>
  <c r="I24" i="18"/>
  <c r="I84" i="18"/>
  <c r="N85" i="18"/>
  <c r="CS46" i="20"/>
  <c r="DC46" i="20"/>
  <c r="CS9" i="20"/>
  <c r="DC9" i="20"/>
  <c r="J194" i="30"/>
  <c r="N16" i="30"/>
  <c r="M186" i="30"/>
  <c r="N184" i="30"/>
  <c r="O14" i="18"/>
  <c r="O15" i="30"/>
  <c r="N17" i="30"/>
  <c r="K192" i="30"/>
  <c r="L23" i="30"/>
  <c r="L22" i="30"/>
  <c r="L191" i="30" s="1"/>
  <c r="J13" i="18"/>
  <c r="I196" i="30"/>
  <c r="L187" i="30"/>
  <c r="K25" i="30"/>
  <c r="M185" i="30"/>
  <c r="N21" i="18" s="1"/>
  <c r="N92" i="18" s="1"/>
  <c r="M21" i="30"/>
  <c r="M190" i="30" s="1"/>
  <c r="M19" i="30"/>
  <c r="M18" i="30"/>
  <c r="L188" i="30"/>
  <c r="K13" i="18"/>
  <c r="J196" i="30"/>
  <c r="BG100" i="30"/>
  <c r="BH100" i="30" s="1"/>
  <c r="BF101" i="30"/>
  <c r="BF102" i="30"/>
  <c r="O27" i="18"/>
  <c r="R169" i="30"/>
  <c r="S169" i="30" s="1"/>
  <c r="T169" i="30" s="1"/>
  <c r="U169" i="30" s="1"/>
  <c r="V169" i="30" s="1"/>
  <c r="W169" i="30" s="1"/>
  <c r="X169" i="30" s="1"/>
  <c r="Y169" i="30" s="1"/>
  <c r="Z169" i="30" s="1"/>
  <c r="AA169" i="30" s="1"/>
  <c r="AB169" i="30" s="1"/>
  <c r="AC169" i="30" s="1"/>
  <c r="AD169" i="30" s="1"/>
  <c r="AE169" i="30" s="1"/>
  <c r="AF169" i="30" s="1"/>
  <c r="AG169" i="30" s="1"/>
  <c r="AH169" i="30" s="1"/>
  <c r="AI169" i="30" s="1"/>
  <c r="AJ169" i="30" s="1"/>
  <c r="AK169" i="30" s="1"/>
  <c r="AL169" i="30" s="1"/>
  <c r="AM169" i="30" s="1"/>
  <c r="AN169" i="30" s="1"/>
  <c r="AO169" i="30" s="1"/>
  <c r="AP169" i="30" s="1"/>
  <c r="AQ169" i="30" s="1"/>
  <c r="AR169" i="30" s="1"/>
  <c r="AS169" i="30" s="1"/>
  <c r="AT169" i="30" s="1"/>
  <c r="AU169" i="30" s="1"/>
  <c r="AV169" i="30" s="1"/>
  <c r="AW169" i="30" s="1"/>
  <c r="AX169" i="30" s="1"/>
  <c r="AY169" i="30" s="1"/>
  <c r="AZ169" i="30" s="1"/>
  <c r="BA169" i="30" s="1"/>
  <c r="BB169" i="30" s="1"/>
  <c r="BC169" i="30" s="1"/>
  <c r="P87" i="30"/>
  <c r="Q86" i="30" s="1"/>
  <c r="P89" i="30"/>
  <c r="P91" i="30" s="1"/>
  <c r="O144" i="30"/>
  <c r="O146" i="30" s="1"/>
  <c r="O127" i="30"/>
  <c r="O129" i="30" s="1"/>
  <c r="O93" i="30"/>
  <c r="O95" i="30" s="1"/>
  <c r="P172" i="30"/>
  <c r="Q171" i="30" s="1"/>
  <c r="R12" i="19"/>
  <c r="R14" i="19" s="1"/>
  <c r="R87" i="19" s="1"/>
  <c r="P158" i="30"/>
  <c r="O161" i="30"/>
  <c r="O163" i="30" s="1"/>
  <c r="P73" i="30"/>
  <c r="P57" i="30"/>
  <c r="P56" i="30"/>
  <c r="P124" i="30"/>
  <c r="P125" i="30"/>
  <c r="Q25" i="19"/>
  <c r="O59" i="30"/>
  <c r="O61" i="30" s="1"/>
  <c r="P107" i="30"/>
  <c r="P108" i="30"/>
  <c r="P176" i="30"/>
  <c r="P175" i="30"/>
  <c r="Q53" i="30"/>
  <c r="R52" i="30" s="1"/>
  <c r="Q55" i="30"/>
  <c r="BC168" i="30"/>
  <c r="S104" i="30"/>
  <c r="T103" i="30" s="1"/>
  <c r="S106" i="30"/>
  <c r="Q172" i="30"/>
  <c r="R171" i="30" s="1"/>
  <c r="Q174" i="30"/>
  <c r="P90" i="30"/>
  <c r="P40" i="30"/>
  <c r="P39" i="30"/>
  <c r="U123" i="30"/>
  <c r="U121" i="30"/>
  <c r="V120" i="30" s="1"/>
  <c r="P155" i="30"/>
  <c r="Q154" i="30" s="1"/>
  <c r="P157" i="30"/>
  <c r="P159" i="30" s="1"/>
  <c r="P70" i="30"/>
  <c r="Q69" i="30" s="1"/>
  <c r="P72" i="30"/>
  <c r="P74" i="30" s="1"/>
  <c r="O178" i="30"/>
  <c r="O180" i="30" s="1"/>
  <c r="O42" i="30"/>
  <c r="O44" i="30" s="1"/>
  <c r="T36" i="30"/>
  <c r="U35" i="30" s="1"/>
  <c r="T38" i="30"/>
  <c r="P141" i="30"/>
  <c r="P142" i="30"/>
  <c r="Q138" i="30"/>
  <c r="R137" i="30" s="1"/>
  <c r="Q140" i="30"/>
  <c r="O76" i="30"/>
  <c r="O78" i="30" s="1"/>
  <c r="O110" i="30"/>
  <c r="O112" i="30" s="1"/>
  <c r="S11" i="19"/>
  <c r="S10" i="19"/>
  <c r="J24" i="18" l="1"/>
  <c r="J84" i="18"/>
  <c r="K24" i="18"/>
  <c r="K84" i="18"/>
  <c r="O85" i="18"/>
  <c r="L25" i="30"/>
  <c r="L27" i="30" s="1"/>
  <c r="L192" i="30"/>
  <c r="M22" i="30"/>
  <c r="M191" i="30" s="1"/>
  <c r="M23" i="30"/>
  <c r="BH102" i="30"/>
  <c r="O16" i="30"/>
  <c r="N186" i="30"/>
  <c r="BG102" i="30"/>
  <c r="O17" i="30"/>
  <c r="O184" i="30"/>
  <c r="P14" i="18"/>
  <c r="P15" i="30"/>
  <c r="M187" i="30"/>
  <c r="BG101" i="30"/>
  <c r="M188" i="30"/>
  <c r="N18" i="30"/>
  <c r="K27" i="30"/>
  <c r="K194" i="30"/>
  <c r="N185" i="30"/>
  <c r="O21" i="18" s="1"/>
  <c r="O92" i="18" s="1"/>
  <c r="N21" i="30"/>
  <c r="N190" i="30" s="1"/>
  <c r="N19" i="30"/>
  <c r="P27" i="18"/>
  <c r="Q15" i="18"/>
  <c r="P59" i="30"/>
  <c r="P61" i="30" s="1"/>
  <c r="R25" i="19"/>
  <c r="Q87" i="30"/>
  <c r="R86" i="30" s="1"/>
  <c r="Q89" i="30"/>
  <c r="Q91" i="30" s="1"/>
  <c r="S174" i="30"/>
  <c r="P42" i="30"/>
  <c r="P44" i="30" s="1"/>
  <c r="S172" i="30"/>
  <c r="T171" i="30" s="1"/>
  <c r="R172" i="30"/>
  <c r="S171" i="30" s="1"/>
  <c r="R174" i="30"/>
  <c r="S12" i="19"/>
  <c r="S14" i="19" s="1"/>
  <c r="S87" i="19" s="1"/>
  <c r="P144" i="30"/>
  <c r="P146" i="30" s="1"/>
  <c r="P178" i="30"/>
  <c r="P180" i="30" s="1"/>
  <c r="Q73" i="30"/>
  <c r="P76" i="30"/>
  <c r="P78" i="30" s="1"/>
  <c r="Q158" i="30"/>
  <c r="R55" i="30"/>
  <c r="R53" i="30"/>
  <c r="S52" i="30" s="1"/>
  <c r="P161" i="30"/>
  <c r="P163" i="30" s="1"/>
  <c r="Q124" i="30"/>
  <c r="Q125" i="30"/>
  <c r="Q142" i="30"/>
  <c r="Q141" i="30"/>
  <c r="Q72" i="30"/>
  <c r="Q74" i="30" s="1"/>
  <c r="Q70" i="30"/>
  <c r="R69" i="30" s="1"/>
  <c r="Q39" i="30"/>
  <c r="Q40" i="30"/>
  <c r="Q176" i="30"/>
  <c r="Q175" i="30"/>
  <c r="P93" i="30"/>
  <c r="P95" i="30" s="1"/>
  <c r="Q56" i="30"/>
  <c r="Q57" i="30"/>
  <c r="V121" i="30"/>
  <c r="W120" i="30" s="1"/>
  <c r="V123" i="30"/>
  <c r="BD168" i="30"/>
  <c r="BD184" i="30" s="1"/>
  <c r="Q155" i="30"/>
  <c r="R154" i="30" s="1"/>
  <c r="Q157" i="30"/>
  <c r="Q159" i="30" s="1"/>
  <c r="Q90" i="30"/>
  <c r="Q107" i="30"/>
  <c r="Q108" i="30"/>
  <c r="P110" i="30"/>
  <c r="P112" i="30" s="1"/>
  <c r="T174" i="30"/>
  <c r="T172" i="30"/>
  <c r="U171" i="30" s="1"/>
  <c r="T104" i="30"/>
  <c r="U103" i="30" s="1"/>
  <c r="T106" i="30"/>
  <c r="P127" i="30"/>
  <c r="P129" i="30" s="1"/>
  <c r="T10" i="19"/>
  <c r="T11" i="19"/>
  <c r="U36" i="30"/>
  <c r="V35" i="30" s="1"/>
  <c r="U38" i="30"/>
  <c r="R138" i="30"/>
  <c r="S137" i="30" s="1"/>
  <c r="R140" i="30"/>
  <c r="BC170" i="30"/>
  <c r="BD169" i="30" s="1"/>
  <c r="P85" i="18" l="1"/>
  <c r="L194" i="30"/>
  <c r="O18" i="30"/>
  <c r="N188" i="30"/>
  <c r="O186" i="30"/>
  <c r="P16" i="30"/>
  <c r="O185" i="30"/>
  <c r="P21" i="18" s="1"/>
  <c r="P92" i="18" s="1"/>
  <c r="O19" i="30"/>
  <c r="O21" i="30"/>
  <c r="O190" i="30" s="1"/>
  <c r="N187" i="30"/>
  <c r="M192" i="30"/>
  <c r="N23" i="30"/>
  <c r="N22" i="30"/>
  <c r="N191" i="30" s="1"/>
  <c r="M25" i="30"/>
  <c r="L13" i="18"/>
  <c r="K196" i="30"/>
  <c r="BH101" i="30"/>
  <c r="BI101" i="30" s="1"/>
  <c r="BJ101" i="30" s="1"/>
  <c r="BK101" i="30" s="1"/>
  <c r="BL101" i="30" s="1"/>
  <c r="BM101" i="30" s="1"/>
  <c r="BN101" i="30" s="1"/>
  <c r="BO101" i="30" s="1"/>
  <c r="BP101" i="30" s="1"/>
  <c r="BQ101" i="30" s="1"/>
  <c r="BR101" i="30" s="1"/>
  <c r="BS101" i="30" s="1"/>
  <c r="BT101" i="30" s="1"/>
  <c r="BU101" i="30" s="1"/>
  <c r="BV101" i="30" s="1"/>
  <c r="BW101" i="30" s="1"/>
  <c r="BX101" i="30" s="1"/>
  <c r="BY101" i="30" s="1"/>
  <c r="BZ101" i="30" s="1"/>
  <c r="CA101" i="30" s="1"/>
  <c r="CB101" i="30" s="1"/>
  <c r="CC101" i="30" s="1"/>
  <c r="CD101" i="30" s="1"/>
  <c r="CE101" i="30" s="1"/>
  <c r="CF101" i="30" s="1"/>
  <c r="CG101" i="30" s="1"/>
  <c r="CH101" i="30" s="1"/>
  <c r="CI101" i="30" s="1"/>
  <c r="CJ101" i="30" s="1"/>
  <c r="CK101" i="30" s="1"/>
  <c r="CL101" i="30" s="1"/>
  <c r="CM101" i="30" s="1"/>
  <c r="CN101" i="30" s="1"/>
  <c r="CO101" i="30" s="1"/>
  <c r="CP101" i="30" s="1"/>
  <c r="CQ101" i="30" s="1"/>
  <c r="CR101" i="30" s="1"/>
  <c r="CS101" i="30" s="1"/>
  <c r="CT101" i="30" s="1"/>
  <c r="CU101" i="30" s="1"/>
  <c r="CV101" i="30" s="1"/>
  <c r="CW101" i="30" s="1"/>
  <c r="CX101" i="30" s="1"/>
  <c r="CY101" i="30" s="1"/>
  <c r="CZ101" i="30" s="1"/>
  <c r="DA101" i="30" s="1"/>
  <c r="P184" i="30"/>
  <c r="Q14" i="18"/>
  <c r="P17" i="30"/>
  <c r="Q15" i="30"/>
  <c r="M13" i="18"/>
  <c r="L196" i="30"/>
  <c r="R15" i="18"/>
  <c r="Q27" i="18"/>
  <c r="S25" i="19"/>
  <c r="Q144" i="30"/>
  <c r="Q146" i="30" s="1"/>
  <c r="R87" i="30"/>
  <c r="S86" i="30" s="1"/>
  <c r="R89" i="30"/>
  <c r="R91" i="30" s="1"/>
  <c r="Q93" i="30"/>
  <c r="Q95" i="30" s="1"/>
  <c r="Q59" i="30"/>
  <c r="Q61" i="30" s="1"/>
  <c r="Q42" i="30"/>
  <c r="Q44" i="30" s="1"/>
  <c r="T12" i="19"/>
  <c r="T14" i="19" s="1"/>
  <c r="T87" i="19" s="1"/>
  <c r="R73" i="30"/>
  <c r="S138" i="30"/>
  <c r="T137" i="30" s="1"/>
  <c r="S140" i="30"/>
  <c r="R40" i="30"/>
  <c r="R39" i="30"/>
  <c r="BE168" i="30"/>
  <c r="BE184" i="30" s="1"/>
  <c r="BE14" i="18"/>
  <c r="R72" i="30"/>
  <c r="R74" i="30" s="1"/>
  <c r="R70" i="30"/>
  <c r="S69" i="30" s="1"/>
  <c r="W123" i="30"/>
  <c r="W121" i="30"/>
  <c r="X120" i="30" s="1"/>
  <c r="BD170" i="30"/>
  <c r="R108" i="30"/>
  <c r="R107" i="30"/>
  <c r="Q110" i="30"/>
  <c r="Q112" i="30" s="1"/>
  <c r="R57" i="30"/>
  <c r="R56" i="30"/>
  <c r="R141" i="30"/>
  <c r="R142" i="30"/>
  <c r="R158" i="30"/>
  <c r="R125" i="30"/>
  <c r="R124" i="30"/>
  <c r="R90" i="30"/>
  <c r="Q127" i="30"/>
  <c r="Q129" i="30" s="1"/>
  <c r="V36" i="30"/>
  <c r="W35" i="30" s="1"/>
  <c r="V38" i="30"/>
  <c r="U11" i="19"/>
  <c r="U10" i="19"/>
  <c r="U106" i="30"/>
  <c r="U104" i="30"/>
  <c r="V103" i="30" s="1"/>
  <c r="R176" i="30"/>
  <c r="R175" i="30"/>
  <c r="Q161" i="30"/>
  <c r="Q163" i="30" s="1"/>
  <c r="U172" i="30"/>
  <c r="V171" i="30" s="1"/>
  <c r="U174" i="30"/>
  <c r="R155" i="30"/>
  <c r="S154" i="30" s="1"/>
  <c r="R157" i="30"/>
  <c r="R159" i="30" s="1"/>
  <c r="Q76" i="30"/>
  <c r="Q78" i="30" s="1"/>
  <c r="Q178" i="30"/>
  <c r="Q180" i="30" s="1"/>
  <c r="S53" i="30"/>
  <c r="T52" i="30" s="1"/>
  <c r="S55" i="30"/>
  <c r="M24" i="18" l="1"/>
  <c r="M84" i="18"/>
  <c r="Q85" i="18"/>
  <c r="L24" i="18"/>
  <c r="L84" i="18"/>
  <c r="BE85" i="18"/>
  <c r="N25" i="30"/>
  <c r="N27" i="30" s="1"/>
  <c r="BE169" i="30"/>
  <c r="BD186" i="30"/>
  <c r="Q184" i="30"/>
  <c r="Q17" i="30"/>
  <c r="R15" i="30"/>
  <c r="R14" i="18"/>
  <c r="Q16" i="30"/>
  <c r="P186" i="30"/>
  <c r="P18" i="30"/>
  <c r="O188" i="30"/>
  <c r="P21" i="30"/>
  <c r="P190" i="30" s="1"/>
  <c r="P185" i="30"/>
  <c r="Q21" i="18" s="1"/>
  <c r="Q92" i="18" s="1"/>
  <c r="P19" i="30"/>
  <c r="M27" i="30"/>
  <c r="M194" i="30"/>
  <c r="N192" i="30"/>
  <c r="O22" i="30"/>
  <c r="O191" i="30" s="1"/>
  <c r="O23" i="30"/>
  <c r="O187" i="30"/>
  <c r="S15" i="18"/>
  <c r="R27" i="18"/>
  <c r="BE170" i="30"/>
  <c r="S87" i="30"/>
  <c r="T86" i="30" s="1"/>
  <c r="S89" i="30"/>
  <c r="S91" i="30" s="1"/>
  <c r="T25" i="19"/>
  <c r="R144" i="30"/>
  <c r="R146" i="30" s="1"/>
  <c r="R59" i="30"/>
  <c r="R61" i="30" s="1"/>
  <c r="U12" i="19"/>
  <c r="U14" i="19" s="1"/>
  <c r="R127" i="30"/>
  <c r="R129" i="30" s="1"/>
  <c r="R93" i="30"/>
  <c r="R95" i="30" s="1"/>
  <c r="R110" i="30"/>
  <c r="R112" i="30" s="1"/>
  <c r="R161" i="30"/>
  <c r="R163" i="30" s="1"/>
  <c r="S73" i="30"/>
  <c r="R76" i="30"/>
  <c r="R78" i="30" s="1"/>
  <c r="S158" i="30"/>
  <c r="X121" i="30"/>
  <c r="Y120" i="30" s="1"/>
  <c r="X123" i="30"/>
  <c r="S90" i="30"/>
  <c r="S142" i="30"/>
  <c r="S141" i="30"/>
  <c r="R178" i="30"/>
  <c r="R180" i="30" s="1"/>
  <c r="R42" i="30"/>
  <c r="R44" i="30" s="1"/>
  <c r="S40" i="30"/>
  <c r="S39" i="30"/>
  <c r="S56" i="30"/>
  <c r="S57" i="30"/>
  <c r="T138" i="30"/>
  <c r="U137" i="30" s="1"/>
  <c r="T140" i="30"/>
  <c r="V172" i="30"/>
  <c r="W171" i="30" s="1"/>
  <c r="V174" i="30"/>
  <c r="T53" i="30"/>
  <c r="U52" i="30" s="1"/>
  <c r="T55" i="30"/>
  <c r="S72" i="30"/>
  <c r="S74" i="30" s="1"/>
  <c r="S70" i="30"/>
  <c r="T69" i="30" s="1"/>
  <c r="S176" i="30"/>
  <c r="S175" i="30"/>
  <c r="S155" i="30"/>
  <c r="T154" i="30" s="1"/>
  <c r="S157" i="30"/>
  <c r="S159" i="30" s="1"/>
  <c r="V106" i="30"/>
  <c r="V104" i="30"/>
  <c r="W103" i="30" s="1"/>
  <c r="S124" i="30"/>
  <c r="S125" i="30"/>
  <c r="V11" i="19"/>
  <c r="V10" i="19"/>
  <c r="W36" i="30"/>
  <c r="X35" i="30" s="1"/>
  <c r="W38" i="30"/>
  <c r="S108" i="30"/>
  <c r="S107" i="30"/>
  <c r="BF168" i="30"/>
  <c r="BF184" i="30" s="1"/>
  <c r="BF14" i="18"/>
  <c r="U25" i="19" l="1"/>
  <c r="U87" i="19"/>
  <c r="BF85" i="18"/>
  <c r="R85" i="18"/>
  <c r="N194" i="30"/>
  <c r="P187" i="30"/>
  <c r="BF169" i="30"/>
  <c r="BE186" i="30"/>
  <c r="O25" i="30"/>
  <c r="Q185" i="30"/>
  <c r="R21" i="18" s="1"/>
  <c r="R92" i="18" s="1"/>
  <c r="Q21" i="30"/>
  <c r="Q19" i="30"/>
  <c r="R184" i="30"/>
  <c r="S14" i="18"/>
  <c r="S15" i="30"/>
  <c r="R16" i="30"/>
  <c r="Q186" i="30"/>
  <c r="R17" i="30"/>
  <c r="N13" i="18"/>
  <c r="M196" i="30"/>
  <c r="O192" i="30"/>
  <c r="P23" i="30"/>
  <c r="P22" i="30"/>
  <c r="P191" i="30" s="1"/>
  <c r="P188" i="30"/>
  <c r="Q18" i="30"/>
  <c r="O13" i="18"/>
  <c r="N196" i="30"/>
  <c r="S27" i="18"/>
  <c r="T15" i="18"/>
  <c r="T87" i="30"/>
  <c r="U86" i="30" s="1"/>
  <c r="T89" i="30"/>
  <c r="T91" i="30" s="1"/>
  <c r="S110" i="30"/>
  <c r="S112" i="30" s="1"/>
  <c r="V12" i="19"/>
  <c r="V14" i="19" s="1"/>
  <c r="S59" i="30"/>
  <c r="S61" i="30" s="1"/>
  <c r="S93" i="30"/>
  <c r="S95" i="30" s="1"/>
  <c r="S144" i="30"/>
  <c r="S146" i="30" s="1"/>
  <c r="S178" i="30"/>
  <c r="S180" i="30" s="1"/>
  <c r="T73" i="30"/>
  <c r="S76" i="30"/>
  <c r="S78" i="30" s="1"/>
  <c r="T158" i="30"/>
  <c r="W174" i="30"/>
  <c r="W172" i="30"/>
  <c r="X171" i="30" s="1"/>
  <c r="BG168" i="30"/>
  <c r="BG184" i="30" s="1"/>
  <c r="BG14" i="18"/>
  <c r="Y123" i="30"/>
  <c r="Y121" i="30"/>
  <c r="Z120" i="30" s="1"/>
  <c r="U140" i="30"/>
  <c r="U138" i="30"/>
  <c r="V137" i="30" s="1"/>
  <c r="T176" i="30"/>
  <c r="T175" i="30"/>
  <c r="X38" i="30"/>
  <c r="X36" i="30"/>
  <c r="Y35" i="30" s="1"/>
  <c r="T57" i="30"/>
  <c r="T56" i="30"/>
  <c r="W104" i="30"/>
  <c r="X103" i="30" s="1"/>
  <c r="W106" i="30"/>
  <c r="S161" i="30"/>
  <c r="S163" i="30" s="1"/>
  <c r="T142" i="30"/>
  <c r="T141" i="30"/>
  <c r="T72" i="30"/>
  <c r="T74" i="30" s="1"/>
  <c r="T70" i="30"/>
  <c r="U69" i="30" s="1"/>
  <c r="U53" i="30"/>
  <c r="V52" i="30" s="1"/>
  <c r="U55" i="30"/>
  <c r="S42" i="30"/>
  <c r="S44" i="30" s="1"/>
  <c r="T90" i="30"/>
  <c r="W10" i="19"/>
  <c r="W11" i="19"/>
  <c r="T39" i="30"/>
  <c r="T40" i="30"/>
  <c r="T107" i="30"/>
  <c r="T108" i="30"/>
  <c r="BF170" i="30"/>
  <c r="T125" i="30"/>
  <c r="T124" i="30"/>
  <c r="S127" i="30"/>
  <c r="S129" i="30" s="1"/>
  <c r="T155" i="30"/>
  <c r="U154" i="30" s="1"/>
  <c r="T157" i="30"/>
  <c r="T159" i="30" s="1"/>
  <c r="N24" i="18" l="1"/>
  <c r="N84" i="18"/>
  <c r="V25" i="19"/>
  <c r="V87" i="19"/>
  <c r="BG85" i="18"/>
  <c r="S85" i="18"/>
  <c r="O24" i="18"/>
  <c r="O84" i="18"/>
  <c r="S184" i="30"/>
  <c r="T15" i="30"/>
  <c r="T14" i="18"/>
  <c r="R185" i="30"/>
  <c r="S21" i="18" s="1"/>
  <c r="S92" i="18" s="1"/>
  <c r="R19" i="30"/>
  <c r="R21" i="30"/>
  <c r="Q187" i="30"/>
  <c r="R18" i="30"/>
  <c r="Q188" i="30"/>
  <c r="Q23" i="30"/>
  <c r="Q190" i="30"/>
  <c r="P192" i="30"/>
  <c r="Q22" i="30"/>
  <c r="Q191" i="30" s="1"/>
  <c r="O27" i="30"/>
  <c r="O194" i="30"/>
  <c r="P25" i="30"/>
  <c r="S16" i="30"/>
  <c r="R186" i="30"/>
  <c r="BG169" i="30"/>
  <c r="BF186" i="30"/>
  <c r="S17" i="30"/>
  <c r="T27" i="18"/>
  <c r="U15" i="18"/>
  <c r="U87" i="30"/>
  <c r="V86" i="30" s="1"/>
  <c r="U89" i="30"/>
  <c r="U91" i="30" s="1"/>
  <c r="T144" i="30"/>
  <c r="T146" i="30" s="1"/>
  <c r="T127" i="30"/>
  <c r="T129" i="30" s="1"/>
  <c r="T59" i="30"/>
  <c r="T61" i="30" s="1"/>
  <c r="T178" i="30"/>
  <c r="T180" i="30" s="1"/>
  <c r="T110" i="30"/>
  <c r="T112" i="30" s="1"/>
  <c r="U158" i="30"/>
  <c r="T161" i="30"/>
  <c r="T163" i="30" s="1"/>
  <c r="U73" i="30"/>
  <c r="V140" i="30"/>
  <c r="V138" i="30"/>
  <c r="W137" i="30" s="1"/>
  <c r="BH168" i="30"/>
  <c r="BH184" i="30" s="1"/>
  <c r="BH14" i="18"/>
  <c r="X172" i="30"/>
  <c r="Y171" i="30" s="1"/>
  <c r="X174" i="30"/>
  <c r="U56" i="30"/>
  <c r="U57" i="30"/>
  <c r="X10" i="19"/>
  <c r="X11" i="19"/>
  <c r="Y36" i="30"/>
  <c r="Z35" i="30" s="1"/>
  <c r="Y38" i="30"/>
  <c r="Z123" i="30"/>
  <c r="Z121" i="30"/>
  <c r="AA120" i="30" s="1"/>
  <c r="X106" i="30"/>
  <c r="X104" i="30"/>
  <c r="Y103" i="30" s="1"/>
  <c r="U70" i="30"/>
  <c r="V69" i="30" s="1"/>
  <c r="U72" i="30"/>
  <c r="U74" i="30" s="1"/>
  <c r="U39" i="30"/>
  <c r="U40" i="30"/>
  <c r="U155" i="30"/>
  <c r="V154" i="30" s="1"/>
  <c r="U157" i="30"/>
  <c r="U159" i="30" s="1"/>
  <c r="U90" i="30"/>
  <c r="U125" i="30"/>
  <c r="U124" i="30"/>
  <c r="V55" i="30"/>
  <c r="V53" i="30"/>
  <c r="W52" i="30" s="1"/>
  <c r="U176" i="30"/>
  <c r="U175" i="30"/>
  <c r="U108" i="30"/>
  <c r="U107" i="30"/>
  <c r="T42" i="30"/>
  <c r="T44" i="30" s="1"/>
  <c r="W12" i="19"/>
  <c r="W14" i="19" s="1"/>
  <c r="W87" i="19" s="1"/>
  <c r="T93" i="30"/>
  <c r="T95" i="30" s="1"/>
  <c r="U141" i="30"/>
  <c r="U142" i="30"/>
  <c r="BG170" i="30"/>
  <c r="T76" i="30"/>
  <c r="T78" i="30" s="1"/>
  <c r="T85" i="18" l="1"/>
  <c r="BH85" i="18"/>
  <c r="Q192" i="30"/>
  <c r="R22" i="30"/>
  <c r="R191" i="30" s="1"/>
  <c r="BH169" i="30"/>
  <c r="BG186" i="30"/>
  <c r="T16" i="30"/>
  <c r="S186" i="30"/>
  <c r="R187" i="30"/>
  <c r="Q25" i="30"/>
  <c r="R23" i="30"/>
  <c r="R25" i="30" s="1"/>
  <c r="R190" i="30"/>
  <c r="S185" i="30"/>
  <c r="T21" i="18" s="1"/>
  <c r="T92" i="18" s="1"/>
  <c r="S21" i="30"/>
  <c r="S190" i="30" s="1"/>
  <c r="S19" i="30"/>
  <c r="S18" i="30"/>
  <c r="R188" i="30"/>
  <c r="T184" i="30"/>
  <c r="U15" i="30"/>
  <c r="T17" i="30"/>
  <c r="U14" i="18"/>
  <c r="P27" i="30"/>
  <c r="P194" i="30"/>
  <c r="P13" i="18"/>
  <c r="O196" i="30"/>
  <c r="V15" i="18"/>
  <c r="U27" i="18"/>
  <c r="V89" i="30"/>
  <c r="V91" i="30" s="1"/>
  <c r="V87" i="30"/>
  <c r="W86" i="30" s="1"/>
  <c r="U178" i="30"/>
  <c r="U180" i="30" s="1"/>
  <c r="U110" i="30"/>
  <c r="U112" i="30" s="1"/>
  <c r="U127" i="30"/>
  <c r="U129" i="30" s="1"/>
  <c r="U93" i="30"/>
  <c r="U95" i="30" s="1"/>
  <c r="U144" i="30"/>
  <c r="U146" i="30" s="1"/>
  <c r="V158" i="30"/>
  <c r="V73" i="30"/>
  <c r="W138" i="30"/>
  <c r="X137" i="30" s="1"/>
  <c r="W140" i="30"/>
  <c r="BI168" i="30"/>
  <c r="BI14" i="18"/>
  <c r="BH170" i="30"/>
  <c r="W25" i="19"/>
  <c r="X12" i="19"/>
  <c r="X14" i="19" s="1"/>
  <c r="X87" i="19" s="1"/>
  <c r="V39" i="30"/>
  <c r="V40" i="30"/>
  <c r="V72" i="30"/>
  <c r="V74" i="30" s="1"/>
  <c r="V70" i="30"/>
  <c r="W69" i="30" s="1"/>
  <c r="V57" i="30"/>
  <c r="V56" i="30"/>
  <c r="W55" i="30"/>
  <c r="W53" i="30"/>
  <c r="X52" i="30" s="1"/>
  <c r="U59" i="30"/>
  <c r="U61" i="30" s="1"/>
  <c r="U42" i="30"/>
  <c r="U44" i="30" s="1"/>
  <c r="V90" i="30"/>
  <c r="Y172" i="30"/>
  <c r="Z171" i="30" s="1"/>
  <c r="Y174" i="30"/>
  <c r="Y10" i="19"/>
  <c r="Y11" i="19"/>
  <c r="U76" i="30"/>
  <c r="U78" i="30" s="1"/>
  <c r="V125" i="30"/>
  <c r="V124" i="30"/>
  <c r="V142" i="30"/>
  <c r="V141" i="30"/>
  <c r="Z36" i="30"/>
  <c r="AA35" i="30" s="1"/>
  <c r="Z38" i="30"/>
  <c r="Y104" i="30"/>
  <c r="Z103" i="30" s="1"/>
  <c r="Y106" i="30"/>
  <c r="V108" i="30"/>
  <c r="V107" i="30"/>
  <c r="U161" i="30"/>
  <c r="U163" i="30" s="1"/>
  <c r="V155" i="30"/>
  <c r="W154" i="30" s="1"/>
  <c r="V157" i="30"/>
  <c r="V159" i="30" s="1"/>
  <c r="AA121" i="30"/>
  <c r="AB120" i="30" s="1"/>
  <c r="AA123" i="30"/>
  <c r="V175" i="30"/>
  <c r="V176" i="30"/>
  <c r="U85" i="18" l="1"/>
  <c r="P24" i="18"/>
  <c r="P84" i="18"/>
  <c r="BI85" i="18"/>
  <c r="T18" i="30"/>
  <c r="S188" i="30"/>
  <c r="BJ168" i="30"/>
  <c r="BJ184" i="30" s="1"/>
  <c r="BI184" i="30"/>
  <c r="R192" i="30"/>
  <c r="S22" i="30"/>
  <c r="S191" i="30" s="1"/>
  <c r="S23" i="30"/>
  <c r="Q27" i="30"/>
  <c r="Q194" i="30"/>
  <c r="R27" i="30"/>
  <c r="R194" i="30"/>
  <c r="Q13" i="18"/>
  <c r="P196" i="30"/>
  <c r="BI169" i="30"/>
  <c r="BH186" i="30"/>
  <c r="T185" i="30"/>
  <c r="U21" i="18" s="1"/>
  <c r="U92" i="18" s="1"/>
  <c r="T21" i="30"/>
  <c r="T190" i="30" s="1"/>
  <c r="T19" i="30"/>
  <c r="U184" i="30"/>
  <c r="V15" i="30"/>
  <c r="V14" i="18"/>
  <c r="U17" i="30"/>
  <c r="U16" i="30"/>
  <c r="T186" i="30"/>
  <c r="S187" i="30"/>
  <c r="V27" i="18"/>
  <c r="W15" i="18"/>
  <c r="W89" i="30"/>
  <c r="W91" i="30" s="1"/>
  <c r="W87" i="30"/>
  <c r="X86" i="30" s="1"/>
  <c r="V59" i="30"/>
  <c r="V61" i="30" s="1"/>
  <c r="V127" i="30"/>
  <c r="V129" i="30" s="1"/>
  <c r="V93" i="30"/>
  <c r="V95" i="30" s="1"/>
  <c r="V144" i="30"/>
  <c r="V146" i="30" s="1"/>
  <c r="W158" i="30"/>
  <c r="V161" i="30"/>
  <c r="V163" i="30" s="1"/>
  <c r="W73" i="30"/>
  <c r="Z104" i="30"/>
  <c r="AA103" i="30" s="1"/>
  <c r="Z106" i="30"/>
  <c r="W90" i="30"/>
  <c r="W70" i="30"/>
  <c r="X69" i="30" s="1"/>
  <c r="W72" i="30"/>
  <c r="W74" i="30" s="1"/>
  <c r="BJ14" i="18"/>
  <c r="BI170" i="30"/>
  <c r="X140" i="30"/>
  <c r="X138" i="30"/>
  <c r="Y137" i="30" s="1"/>
  <c r="W108" i="30"/>
  <c r="W107" i="30"/>
  <c r="W40" i="30"/>
  <c r="W39" i="30"/>
  <c r="W56" i="30"/>
  <c r="W57" i="30"/>
  <c r="V42" i="30"/>
  <c r="V44" i="30" s="1"/>
  <c r="V76" i="30"/>
  <c r="V78" i="30" s="1"/>
  <c r="AB121" i="30"/>
  <c r="AC120" i="30" s="1"/>
  <c r="AB123" i="30"/>
  <c r="W125" i="30"/>
  <c r="W124" i="30"/>
  <c r="Z11" i="19"/>
  <c r="Z10" i="19"/>
  <c r="X25" i="19"/>
  <c r="W175" i="30"/>
  <c r="W176" i="30"/>
  <c r="V178" i="30"/>
  <c r="V180" i="30" s="1"/>
  <c r="W142" i="30"/>
  <c r="W141" i="30"/>
  <c r="W157" i="30"/>
  <c r="W159" i="30" s="1"/>
  <c r="W155" i="30"/>
  <c r="X154" i="30" s="1"/>
  <c r="X53" i="30"/>
  <c r="Y52" i="30" s="1"/>
  <c r="X55" i="30"/>
  <c r="Y12" i="19"/>
  <c r="Y14" i="19" s="1"/>
  <c r="Y87" i="19" s="1"/>
  <c r="V110" i="30"/>
  <c r="V112" i="30" s="1"/>
  <c r="AA36" i="30"/>
  <c r="AB35" i="30" s="1"/>
  <c r="AA38" i="30"/>
  <c r="Z174" i="30"/>
  <c r="Z172" i="30"/>
  <c r="AA171" i="30" s="1"/>
  <c r="BJ85" i="18" l="1"/>
  <c r="V85" i="18"/>
  <c r="Q24" i="18"/>
  <c r="Q84" i="18"/>
  <c r="S25" i="30"/>
  <c r="S27" i="30" s="1"/>
  <c r="BK14" i="18"/>
  <c r="BJ170" i="30"/>
  <c r="BJ186" i="30" s="1"/>
  <c r="BK168" i="30"/>
  <c r="BK170" i="30" s="1"/>
  <c r="BK186" i="30" s="1"/>
  <c r="S13" i="18"/>
  <c r="R196" i="30"/>
  <c r="U185" i="30"/>
  <c r="V21" i="18" s="1"/>
  <c r="V92" i="18" s="1"/>
  <c r="U21" i="30"/>
  <c r="U190" i="30" s="1"/>
  <c r="U19" i="30"/>
  <c r="V16" i="30"/>
  <c r="U186" i="30"/>
  <c r="R13" i="18"/>
  <c r="Q196" i="30"/>
  <c r="S192" i="30"/>
  <c r="T23" i="30"/>
  <c r="T22" i="30"/>
  <c r="T191" i="30" s="1"/>
  <c r="V184" i="30"/>
  <c r="W14" i="18"/>
  <c r="W15" i="30"/>
  <c r="V17" i="30"/>
  <c r="BJ169" i="30"/>
  <c r="BI186" i="30"/>
  <c r="U18" i="30"/>
  <c r="T188" i="30"/>
  <c r="T187" i="30"/>
  <c r="W27" i="18"/>
  <c r="X15" i="18"/>
  <c r="X87" i="30"/>
  <c r="Y86" i="30" s="1"/>
  <c r="X89" i="30"/>
  <c r="X91" i="30" s="1"/>
  <c r="W144" i="30"/>
  <c r="W146" i="30" s="1"/>
  <c r="W127" i="30"/>
  <c r="W129" i="30" s="1"/>
  <c r="W93" i="30"/>
  <c r="W95" i="30" s="1"/>
  <c r="Z12" i="19"/>
  <c r="Z14" i="19" s="1"/>
  <c r="W42" i="30"/>
  <c r="W44" i="30" s="1"/>
  <c r="X158" i="30"/>
  <c r="W161" i="30"/>
  <c r="W163" i="30" s="1"/>
  <c r="W110" i="30"/>
  <c r="W112" i="30" s="1"/>
  <c r="AA106" i="30"/>
  <c r="AA104" i="30"/>
  <c r="AB103" i="30" s="1"/>
  <c r="AA174" i="30"/>
  <c r="AA172" i="30"/>
  <c r="AB171" i="30" s="1"/>
  <c r="AA10" i="19"/>
  <c r="AA11" i="19"/>
  <c r="W76" i="30"/>
  <c r="W78" i="30" s="1"/>
  <c r="X57" i="30"/>
  <c r="X56" i="30"/>
  <c r="X90" i="30"/>
  <c r="W59" i="30"/>
  <c r="W61" i="30" s="1"/>
  <c r="W178" i="30"/>
  <c r="W180" i="30" s="1"/>
  <c r="X73" i="30"/>
  <c r="Y140" i="30"/>
  <c r="Y138" i="30"/>
  <c r="Z137" i="30" s="1"/>
  <c r="X157" i="30"/>
  <c r="X159" i="30" s="1"/>
  <c r="X155" i="30"/>
  <c r="Y154" i="30" s="1"/>
  <c r="X125" i="30"/>
  <c r="X124" i="30"/>
  <c r="AC121" i="30"/>
  <c r="AD120" i="30" s="1"/>
  <c r="AC123" i="30"/>
  <c r="X141" i="30"/>
  <c r="X142" i="30"/>
  <c r="X40" i="30"/>
  <c r="X39" i="30"/>
  <c r="X176" i="30"/>
  <c r="X175" i="30"/>
  <c r="X108" i="30"/>
  <c r="X107" i="30"/>
  <c r="AB36" i="30"/>
  <c r="AC35" i="30" s="1"/>
  <c r="Y25" i="19"/>
  <c r="X70" i="30"/>
  <c r="Y69" i="30" s="1"/>
  <c r="X72" i="30"/>
  <c r="X74" i="30" s="1"/>
  <c r="Y55" i="30"/>
  <c r="Y53" i="30"/>
  <c r="Z52" i="30" s="1"/>
  <c r="S194" i="30" l="1"/>
  <c r="BK184" i="30"/>
  <c r="W85" i="18"/>
  <c r="BK85" i="18"/>
  <c r="R24" i="18"/>
  <c r="R84" i="18"/>
  <c r="BL168" i="30"/>
  <c r="BL184" i="30" s="1"/>
  <c r="S24" i="18"/>
  <c r="S84" i="18"/>
  <c r="Z25" i="19"/>
  <c r="Z87" i="19"/>
  <c r="BK169" i="30"/>
  <c r="BL169" i="30" s="1"/>
  <c r="BL14" i="18"/>
  <c r="T192" i="30"/>
  <c r="U23" i="30"/>
  <c r="U22" i="30"/>
  <c r="U191" i="30" s="1"/>
  <c r="T25" i="30"/>
  <c r="V185" i="30"/>
  <c r="W21" i="18" s="1"/>
  <c r="W92" i="18" s="1"/>
  <c r="V21" i="30"/>
  <c r="V190" i="30" s="1"/>
  <c r="V19" i="30"/>
  <c r="U187" i="30"/>
  <c r="U188" i="30"/>
  <c r="V18" i="30"/>
  <c r="W16" i="30"/>
  <c r="V186" i="30"/>
  <c r="W184" i="30"/>
  <c r="X14" i="18"/>
  <c r="X15" i="30"/>
  <c r="W17" i="30"/>
  <c r="T13" i="18"/>
  <c r="S196" i="30"/>
  <c r="Y15" i="18"/>
  <c r="X27" i="18"/>
  <c r="Y89" i="30"/>
  <c r="Y91" i="30" s="1"/>
  <c r="Y87" i="30"/>
  <c r="Z86" i="30" s="1"/>
  <c r="X42" i="30"/>
  <c r="X44" i="30" s="1"/>
  <c r="X110" i="30"/>
  <c r="X112" i="30" s="1"/>
  <c r="X59" i="30"/>
  <c r="X61" i="30" s="1"/>
  <c r="X127" i="30"/>
  <c r="X129" i="30" s="1"/>
  <c r="X178" i="30"/>
  <c r="X180" i="30" s="1"/>
  <c r="X144" i="30"/>
  <c r="X146" i="30" s="1"/>
  <c r="Y73" i="30"/>
  <c r="Y39" i="30"/>
  <c r="Y40" i="30"/>
  <c r="X93" i="30"/>
  <c r="X95" i="30" s="1"/>
  <c r="Y90" i="30"/>
  <c r="Y56" i="30"/>
  <c r="Y57" i="30"/>
  <c r="Y70" i="30"/>
  <c r="Z69" i="30" s="1"/>
  <c r="Y72" i="30"/>
  <c r="Y74" i="30" s="1"/>
  <c r="AB104" i="30"/>
  <c r="AC103" i="30" s="1"/>
  <c r="AB106" i="30"/>
  <c r="X76" i="30"/>
  <c r="X78" i="30" s="1"/>
  <c r="Y108" i="30"/>
  <c r="Y107" i="30"/>
  <c r="AB11" i="19"/>
  <c r="AB10" i="19"/>
  <c r="Y142" i="30"/>
  <c r="Y141" i="30"/>
  <c r="AD123" i="30"/>
  <c r="AD121" i="30"/>
  <c r="AE120" i="30" s="1"/>
  <c r="Y175" i="30"/>
  <c r="Y176" i="30"/>
  <c r="Y158" i="30"/>
  <c r="Z138" i="30"/>
  <c r="AA137" i="30" s="1"/>
  <c r="Z140" i="30"/>
  <c r="Z53" i="30"/>
  <c r="AA52" i="30" s="1"/>
  <c r="Z55" i="30"/>
  <c r="Y125" i="30"/>
  <c r="Y124" i="30"/>
  <c r="AA12" i="19"/>
  <c r="AA14" i="19" s="1"/>
  <c r="AA87" i="19" s="1"/>
  <c r="Y157" i="30"/>
  <c r="Y159" i="30" s="1"/>
  <c r="Y155" i="30"/>
  <c r="Z154" i="30" s="1"/>
  <c r="AB172" i="30"/>
  <c r="AC171" i="30" s="1"/>
  <c r="AB174" i="30"/>
  <c r="X161" i="30"/>
  <c r="X163" i="30" s="1"/>
  <c r="AC36" i="30"/>
  <c r="AD35" i="30" s="1"/>
  <c r="X85" i="18" l="1"/>
  <c r="BL85" i="18"/>
  <c r="T24" i="18"/>
  <c r="T84" i="18"/>
  <c r="BM14" i="18"/>
  <c r="BL170" i="30"/>
  <c r="BL186" i="30" s="1"/>
  <c r="U25" i="30"/>
  <c r="U27" i="30" s="1"/>
  <c r="W185" i="30"/>
  <c r="X21" i="18" s="1"/>
  <c r="X92" i="18" s="1"/>
  <c r="W21" i="30"/>
  <c r="W190" i="30" s="1"/>
  <c r="W19" i="30"/>
  <c r="V187" i="30"/>
  <c r="W18" i="30"/>
  <c r="V188" i="30"/>
  <c r="T27" i="30"/>
  <c r="T194" i="30"/>
  <c r="X184" i="30"/>
  <c r="Y15" i="30"/>
  <c r="Y14" i="18"/>
  <c r="X17" i="30"/>
  <c r="U192" i="30"/>
  <c r="V22" i="30"/>
  <c r="V191" i="30" s="1"/>
  <c r="V23" i="30"/>
  <c r="X16" i="30"/>
  <c r="W186" i="30"/>
  <c r="Y27" i="18"/>
  <c r="Z15" i="18"/>
  <c r="Z87" i="30"/>
  <c r="AA86" i="30" s="1"/>
  <c r="Z89" i="30"/>
  <c r="Z91" i="30" s="1"/>
  <c r="Y144" i="30"/>
  <c r="Y146" i="30" s="1"/>
  <c r="Y93" i="30"/>
  <c r="Y95" i="30" s="1"/>
  <c r="Y59" i="30"/>
  <c r="Y61" i="30" s="1"/>
  <c r="Z158" i="30"/>
  <c r="Z73" i="30"/>
  <c r="Y76" i="30"/>
  <c r="Y78" i="30" s="1"/>
  <c r="Z155" i="30"/>
  <c r="AA154" i="30" s="1"/>
  <c r="Z157" i="30"/>
  <c r="Z159" i="30" s="1"/>
  <c r="AB12" i="19"/>
  <c r="AB14" i="19" s="1"/>
  <c r="AB87" i="19" s="1"/>
  <c r="Z70" i="30"/>
  <c r="AA69" i="30" s="1"/>
  <c r="Z72" i="30"/>
  <c r="Z74" i="30" s="1"/>
  <c r="Z40" i="30"/>
  <c r="Z39" i="30"/>
  <c r="Y42" i="30"/>
  <c r="Y44" i="30" s="1"/>
  <c r="Y178" i="30"/>
  <c r="Y180" i="30" s="1"/>
  <c r="Y110" i="30"/>
  <c r="Y112" i="30" s="1"/>
  <c r="Z107" i="30"/>
  <c r="Z108" i="30"/>
  <c r="Z56" i="30"/>
  <c r="Z57" i="30"/>
  <c r="Z124" i="30"/>
  <c r="Z125" i="30"/>
  <c r="AA25" i="19"/>
  <c r="AA53" i="30"/>
  <c r="AB52" i="30" s="1"/>
  <c r="AA55" i="30"/>
  <c r="AC10" i="19"/>
  <c r="AC11" i="19"/>
  <c r="AD36" i="30"/>
  <c r="AE35" i="30" s="1"/>
  <c r="Y161" i="30"/>
  <c r="Y163" i="30" s="1"/>
  <c r="Z176" i="30"/>
  <c r="Z175" i="30"/>
  <c r="Y127" i="30"/>
  <c r="Y129" i="30" s="1"/>
  <c r="AE121" i="30"/>
  <c r="AF120" i="30" s="1"/>
  <c r="AE123" i="30"/>
  <c r="Z141" i="30"/>
  <c r="Z142" i="30"/>
  <c r="AC106" i="30"/>
  <c r="AC104" i="30"/>
  <c r="AD103" i="30" s="1"/>
  <c r="AA138" i="30"/>
  <c r="AB137" i="30" s="1"/>
  <c r="AA140" i="30"/>
  <c r="AC174" i="30"/>
  <c r="AC172" i="30"/>
  <c r="AD171" i="30" s="1"/>
  <c r="Z90" i="30"/>
  <c r="Y85" i="18" l="1"/>
  <c r="BM85" i="18"/>
  <c r="BM169" i="30"/>
  <c r="BN169" i="30" s="1"/>
  <c r="BO169" i="30" s="1"/>
  <c r="BP169" i="30" s="1"/>
  <c r="BQ169" i="30" s="1"/>
  <c r="BR169" i="30" s="1"/>
  <c r="BS169" i="30" s="1"/>
  <c r="BT169" i="30" s="1"/>
  <c r="BU169" i="30" s="1"/>
  <c r="BV169" i="30" s="1"/>
  <c r="BW169" i="30" s="1"/>
  <c r="BX169" i="30" s="1"/>
  <c r="BY169" i="30" s="1"/>
  <c r="BZ169" i="30" s="1"/>
  <c r="CA169" i="30" s="1"/>
  <c r="CB169" i="30" s="1"/>
  <c r="CC169" i="30" s="1"/>
  <c r="CD169" i="30" s="1"/>
  <c r="CE169" i="30" s="1"/>
  <c r="CF169" i="30" s="1"/>
  <c r="CG169" i="30" s="1"/>
  <c r="CH169" i="30" s="1"/>
  <c r="CI169" i="30" s="1"/>
  <c r="CJ169" i="30" s="1"/>
  <c r="CK169" i="30" s="1"/>
  <c r="CL169" i="30" s="1"/>
  <c r="CM169" i="30" s="1"/>
  <c r="CN169" i="30" s="1"/>
  <c r="CO169" i="30" s="1"/>
  <c r="CP169" i="30" s="1"/>
  <c r="CQ169" i="30" s="1"/>
  <c r="CR169" i="30" s="1"/>
  <c r="CS169" i="30" s="1"/>
  <c r="CT169" i="30" s="1"/>
  <c r="CU169" i="30" s="1"/>
  <c r="CV169" i="30" s="1"/>
  <c r="CW169" i="30" s="1"/>
  <c r="CX169" i="30" s="1"/>
  <c r="CY169" i="30" s="1"/>
  <c r="CZ169" i="30" s="1"/>
  <c r="DA169" i="30" s="1"/>
  <c r="U194" i="30"/>
  <c r="V25" i="30"/>
  <c r="V27" i="30" s="1"/>
  <c r="U13" i="18"/>
  <c r="T196" i="30"/>
  <c r="W187" i="30"/>
  <c r="Y184" i="30"/>
  <c r="Z14" i="18"/>
  <c r="Y17" i="30"/>
  <c r="Z15" i="30"/>
  <c r="Z17" i="30" s="1"/>
  <c r="V13" i="18"/>
  <c r="U196" i="30"/>
  <c r="X185" i="30"/>
  <c r="Y21" i="18" s="1"/>
  <c r="Y92" i="18" s="1"/>
  <c r="X21" i="30"/>
  <c r="X190" i="30" s="1"/>
  <c r="X19" i="30"/>
  <c r="V192" i="30"/>
  <c r="W23" i="30"/>
  <c r="W22" i="30"/>
  <c r="W191" i="30" s="1"/>
  <c r="X18" i="30"/>
  <c r="W188" i="30"/>
  <c r="Y16" i="30"/>
  <c r="X186" i="30"/>
  <c r="AA15" i="18"/>
  <c r="Z27" i="18"/>
  <c r="AA89" i="30"/>
  <c r="AA91" i="30" s="1"/>
  <c r="AA87" i="30"/>
  <c r="AB86" i="30" s="1"/>
  <c r="Z42" i="30"/>
  <c r="Z44" i="30" s="1"/>
  <c r="Z144" i="30"/>
  <c r="Z146" i="30" s="1"/>
  <c r="Z76" i="30"/>
  <c r="Z78" i="30" s="1"/>
  <c r="Z178" i="30"/>
  <c r="Z180" i="30" s="1"/>
  <c r="AA158" i="30"/>
  <c r="Z161" i="30"/>
  <c r="Z163" i="30" s="1"/>
  <c r="AA157" i="30"/>
  <c r="AA159" i="30" s="1"/>
  <c r="AA155" i="30"/>
  <c r="AB154" i="30" s="1"/>
  <c r="AA175" i="30"/>
  <c r="AA176" i="30"/>
  <c r="AB138" i="30"/>
  <c r="AC137" i="30" s="1"/>
  <c r="AB140" i="30"/>
  <c r="Z110" i="30"/>
  <c r="Z112" i="30" s="1"/>
  <c r="AA73" i="30"/>
  <c r="AA107" i="30"/>
  <c r="AA108" i="30"/>
  <c r="AD172" i="30"/>
  <c r="AE171" i="30" s="1"/>
  <c r="AD174" i="30"/>
  <c r="AA39" i="30"/>
  <c r="AA40" i="30"/>
  <c r="AE36" i="30"/>
  <c r="AF35" i="30" s="1"/>
  <c r="AA141" i="30"/>
  <c r="AA142" i="30"/>
  <c r="AA70" i="30"/>
  <c r="AB69" i="30" s="1"/>
  <c r="AA72" i="30"/>
  <c r="AA74" i="30" s="1"/>
  <c r="AB25" i="19"/>
  <c r="AA90" i="30"/>
  <c r="AF123" i="30"/>
  <c r="AF121" i="30"/>
  <c r="AG120" i="30" s="1"/>
  <c r="Z127" i="30"/>
  <c r="Z129" i="30" s="1"/>
  <c r="Z59" i="30"/>
  <c r="Z61" i="30" s="1"/>
  <c r="AD104" i="30"/>
  <c r="AE103" i="30" s="1"/>
  <c r="AD106" i="30"/>
  <c r="Z93" i="30"/>
  <c r="Z95" i="30" s="1"/>
  <c r="AA125" i="30"/>
  <c r="AA124" i="30"/>
  <c r="AD10" i="19"/>
  <c r="AD11" i="19"/>
  <c r="AA57" i="30"/>
  <c r="AA56" i="30"/>
  <c r="AC12" i="19"/>
  <c r="AC14" i="19" s="1"/>
  <c r="AC87" i="19" s="1"/>
  <c r="AB53" i="30"/>
  <c r="AC52" i="30" s="1"/>
  <c r="AB55" i="30"/>
  <c r="U24" i="18" l="1"/>
  <c r="U84" i="18"/>
  <c r="Z85" i="18"/>
  <c r="V24" i="18"/>
  <c r="V84" i="18"/>
  <c r="V194" i="30"/>
  <c r="W25" i="30"/>
  <c r="W27" i="30" s="1"/>
  <c r="Z186" i="30"/>
  <c r="Z184" i="30"/>
  <c r="AA15" i="30"/>
  <c r="AA14" i="18"/>
  <c r="Z16" i="30"/>
  <c r="Y186" i="30"/>
  <c r="X187" i="30"/>
  <c r="Y185" i="30"/>
  <c r="Z21" i="18" s="1"/>
  <c r="Z92" i="18" s="1"/>
  <c r="Y21" i="30"/>
  <c r="Y190" i="30" s="1"/>
  <c r="Y19" i="30"/>
  <c r="W192" i="30"/>
  <c r="X22" i="30"/>
  <c r="X191" i="30" s="1"/>
  <c r="X23" i="30"/>
  <c r="Y18" i="30"/>
  <c r="X188" i="30"/>
  <c r="AA190" i="30"/>
  <c r="W13" i="18"/>
  <c r="V196" i="30"/>
  <c r="AB15" i="18"/>
  <c r="AA27" i="18"/>
  <c r="AB87" i="30"/>
  <c r="AC86" i="30" s="1"/>
  <c r="AB89" i="30"/>
  <c r="AB91" i="30" s="1"/>
  <c r="AA93" i="30"/>
  <c r="AA95" i="30" s="1"/>
  <c r="AA59" i="30"/>
  <c r="AA61" i="30" s="1"/>
  <c r="AA144" i="30"/>
  <c r="AA146" i="30" s="1"/>
  <c r="AB73" i="30"/>
  <c r="AB158" i="30"/>
  <c r="AA110" i="30"/>
  <c r="AA112" i="30" s="1"/>
  <c r="AB176" i="30"/>
  <c r="AB175" i="30"/>
  <c r="AD12" i="19"/>
  <c r="AD14" i="19" s="1"/>
  <c r="AD87" i="19" s="1"/>
  <c r="AG121" i="30"/>
  <c r="AH120" i="30" s="1"/>
  <c r="AA178" i="30"/>
  <c r="AA180" i="30" s="1"/>
  <c r="AC140" i="30"/>
  <c r="AC138" i="30"/>
  <c r="AD137" i="30" s="1"/>
  <c r="AA127" i="30"/>
  <c r="AA129" i="30" s="1"/>
  <c r="AB141" i="30"/>
  <c r="AB142" i="30"/>
  <c r="AB157" i="30"/>
  <c r="AB159" i="30" s="1"/>
  <c r="AB155" i="30"/>
  <c r="AC154" i="30" s="1"/>
  <c r="AB124" i="30"/>
  <c r="AB125" i="30"/>
  <c r="AC53" i="30"/>
  <c r="AD52" i="30" s="1"/>
  <c r="AB40" i="30"/>
  <c r="AB39" i="30"/>
  <c r="AE11" i="19"/>
  <c r="AE10" i="19"/>
  <c r="AF36" i="30"/>
  <c r="AG35" i="30" s="1"/>
  <c r="AA76" i="30"/>
  <c r="AA78" i="30" s="1"/>
  <c r="AE174" i="30"/>
  <c r="AE172" i="30"/>
  <c r="AF171" i="30" s="1"/>
  <c r="AA161" i="30"/>
  <c r="AA163" i="30" s="1"/>
  <c r="AB108" i="30"/>
  <c r="AB107" i="30"/>
  <c r="AB56" i="30"/>
  <c r="AB57" i="30"/>
  <c r="AB90" i="30"/>
  <c r="AA42" i="30"/>
  <c r="AA44" i="30" s="1"/>
  <c r="AE104" i="30"/>
  <c r="AF103" i="30" s="1"/>
  <c r="AE106" i="30"/>
  <c r="AC25" i="19"/>
  <c r="AB70" i="30"/>
  <c r="AC69" i="30" s="1"/>
  <c r="AB72" i="30"/>
  <c r="AB74" i="30" s="1"/>
  <c r="W24" i="18" l="1"/>
  <c r="W84" i="18"/>
  <c r="AA85" i="18"/>
  <c r="X25" i="30"/>
  <c r="X27" i="30" s="1"/>
  <c r="W194" i="30"/>
  <c r="Z18" i="30"/>
  <c r="Y188" i="30"/>
  <c r="Z185" i="30"/>
  <c r="AA21" i="18" s="1"/>
  <c r="AA92" i="18" s="1"/>
  <c r="Z21" i="30"/>
  <c r="Z190" i="30" s="1"/>
  <c r="Z19" i="30"/>
  <c r="AA184" i="30"/>
  <c r="AA17" i="30"/>
  <c r="AB15" i="30"/>
  <c r="AB14" i="18"/>
  <c r="Y187" i="30"/>
  <c r="X13" i="18"/>
  <c r="W196" i="30"/>
  <c r="AB190" i="30"/>
  <c r="X192" i="30"/>
  <c r="Y23" i="30"/>
  <c r="Y22" i="30"/>
  <c r="Y191" i="30" s="1"/>
  <c r="AA16" i="30"/>
  <c r="AC15" i="18"/>
  <c r="AB27" i="18"/>
  <c r="AC87" i="30"/>
  <c r="AD86" i="30" s="1"/>
  <c r="AC89" i="30"/>
  <c r="AC91" i="30" s="1"/>
  <c r="AB144" i="30"/>
  <c r="AB146" i="30" s="1"/>
  <c r="AB110" i="30"/>
  <c r="AB112" i="30" s="1"/>
  <c r="AB178" i="30"/>
  <c r="AB180" i="30" s="1"/>
  <c r="AB127" i="30"/>
  <c r="AB129" i="30" s="1"/>
  <c r="AB42" i="30"/>
  <c r="AB44" i="30" s="1"/>
  <c r="AC73" i="30"/>
  <c r="AB76" i="30"/>
  <c r="AB78" i="30" s="1"/>
  <c r="AC158" i="30"/>
  <c r="AB161" i="30"/>
  <c r="AB163" i="30" s="1"/>
  <c r="AF174" i="30"/>
  <c r="AF172" i="30"/>
  <c r="AG171" i="30" s="1"/>
  <c r="AD25" i="19"/>
  <c r="AD53" i="30"/>
  <c r="AE52" i="30" s="1"/>
  <c r="AC142" i="30"/>
  <c r="AC141" i="30"/>
  <c r="AC175" i="30"/>
  <c r="AC176" i="30"/>
  <c r="AH121" i="30"/>
  <c r="AI120" i="30" s="1"/>
  <c r="AF104" i="30"/>
  <c r="AG103" i="30" s="1"/>
  <c r="AC124" i="30"/>
  <c r="AC125" i="30"/>
  <c r="AC155" i="30"/>
  <c r="AD154" i="30" s="1"/>
  <c r="AC157" i="30"/>
  <c r="AC159" i="30" s="1"/>
  <c r="AC90" i="30"/>
  <c r="AD138" i="30"/>
  <c r="AE137" i="30" s="1"/>
  <c r="AD140" i="30"/>
  <c r="AC40" i="30"/>
  <c r="AC39" i="30"/>
  <c r="AC57" i="30"/>
  <c r="AC56" i="30"/>
  <c r="AF10" i="19"/>
  <c r="AF11" i="19"/>
  <c r="AB93" i="30"/>
  <c r="AB95" i="30" s="1"/>
  <c r="AC108" i="30"/>
  <c r="AC107" i="30"/>
  <c r="AG36" i="30"/>
  <c r="AH35" i="30" s="1"/>
  <c r="AC72" i="30"/>
  <c r="AC70" i="30"/>
  <c r="AD69" i="30" s="1"/>
  <c r="AB59" i="30"/>
  <c r="AB61" i="30" s="1"/>
  <c r="AE12" i="19"/>
  <c r="AE14" i="19" s="1"/>
  <c r="AE87" i="19" s="1"/>
  <c r="X194" i="30" l="1"/>
  <c r="X24" i="18"/>
  <c r="X84" i="18"/>
  <c r="AB85" i="18"/>
  <c r="Y25" i="30"/>
  <c r="Y27" i="30" s="1"/>
  <c r="AB184" i="30"/>
  <c r="AC15" i="30"/>
  <c r="AC14" i="18"/>
  <c r="AB17" i="30"/>
  <c r="AC74" i="30"/>
  <c r="AD73" i="30" s="1"/>
  <c r="AC190" i="30"/>
  <c r="AB16" i="30"/>
  <c r="AA186" i="30"/>
  <c r="AA18" i="30"/>
  <c r="Z188" i="30"/>
  <c r="AA185" i="30"/>
  <c r="AB21" i="18" s="1"/>
  <c r="AB92" i="18" s="1"/>
  <c r="AA19" i="30"/>
  <c r="Y13" i="18"/>
  <c r="X196" i="30"/>
  <c r="Y192" i="30"/>
  <c r="Z23" i="30"/>
  <c r="Z22" i="30"/>
  <c r="Z191" i="30" s="1"/>
  <c r="Z187" i="30"/>
  <c r="AD15" i="18"/>
  <c r="AC27" i="18"/>
  <c r="AC144" i="30"/>
  <c r="AC146" i="30" s="1"/>
  <c r="AD89" i="30"/>
  <c r="AD87" i="30"/>
  <c r="AE86" i="30" s="1"/>
  <c r="AC59" i="30"/>
  <c r="AC61" i="30" s="1"/>
  <c r="AC42" i="30"/>
  <c r="AC44" i="30" s="1"/>
  <c r="AC178" i="30"/>
  <c r="AC180" i="30" s="1"/>
  <c r="AF12" i="19"/>
  <c r="AF14" i="19" s="1"/>
  <c r="AF87" i="19" s="1"/>
  <c r="AD158" i="30"/>
  <c r="AC161" i="30"/>
  <c r="AC163" i="30" s="1"/>
  <c r="AG11" i="19"/>
  <c r="AG10" i="19"/>
  <c r="AI121" i="30"/>
  <c r="AJ120" i="30" s="1"/>
  <c r="AG172" i="30"/>
  <c r="AH171" i="30" s="1"/>
  <c r="AG174" i="30"/>
  <c r="AC93" i="30"/>
  <c r="AC95" i="30" s="1"/>
  <c r="AD90" i="30"/>
  <c r="AD155" i="30"/>
  <c r="AE154" i="30" s="1"/>
  <c r="AD157" i="30"/>
  <c r="AD159" i="30" s="1"/>
  <c r="AD175" i="30"/>
  <c r="AD176" i="30"/>
  <c r="AD141" i="30"/>
  <c r="AD142" i="30"/>
  <c r="AD70" i="30"/>
  <c r="AE69" i="30" s="1"/>
  <c r="AC127" i="30"/>
  <c r="AC129" i="30" s="1"/>
  <c r="AE53" i="30"/>
  <c r="AF52" i="30" s="1"/>
  <c r="AD40" i="30"/>
  <c r="AD39" i="30"/>
  <c r="AD107" i="30"/>
  <c r="AD108" i="30"/>
  <c r="AD57" i="30"/>
  <c r="AD56" i="30"/>
  <c r="AH36" i="30"/>
  <c r="AI35" i="30" s="1"/>
  <c r="AD124" i="30"/>
  <c r="AD125" i="30"/>
  <c r="AE25" i="19"/>
  <c r="AC110" i="30"/>
  <c r="AC112" i="30" s="1"/>
  <c r="AE140" i="30"/>
  <c r="AE138" i="30"/>
  <c r="AF137" i="30" s="1"/>
  <c r="AG104" i="30"/>
  <c r="AH103" i="30" s="1"/>
  <c r="AC85" i="18" l="1"/>
  <c r="Y194" i="30"/>
  <c r="Y24" i="18"/>
  <c r="Y84" i="18"/>
  <c r="AD74" i="30"/>
  <c r="AE73" i="30" s="1"/>
  <c r="AC76" i="30"/>
  <c r="AC78" i="30" s="1"/>
  <c r="Z25" i="30"/>
  <c r="Z27" i="30" s="1"/>
  <c r="AA188" i="30"/>
  <c r="AB18" i="30"/>
  <c r="AD91" i="30"/>
  <c r="AE90" i="30" s="1"/>
  <c r="AD190" i="30"/>
  <c r="Z13" i="18"/>
  <c r="Y196" i="30"/>
  <c r="AA187" i="30"/>
  <c r="AB185" i="30"/>
  <c r="AC21" i="18" s="1"/>
  <c r="AC92" i="18" s="1"/>
  <c r="AB19" i="30"/>
  <c r="AC16" i="30"/>
  <c r="AB186" i="30"/>
  <c r="AC184" i="30"/>
  <c r="AD15" i="30"/>
  <c r="AD14" i="18"/>
  <c r="AC17" i="30"/>
  <c r="Z192" i="30"/>
  <c r="AA23" i="30"/>
  <c r="AA22" i="30"/>
  <c r="AA191" i="30" s="1"/>
  <c r="AE15" i="18"/>
  <c r="AD27" i="18"/>
  <c r="AF25" i="19"/>
  <c r="AE87" i="30"/>
  <c r="AF86" i="30" s="1"/>
  <c r="AD42" i="30"/>
  <c r="AD44" i="30" s="1"/>
  <c r="AE158" i="30"/>
  <c r="AD161" i="30"/>
  <c r="AD163" i="30" s="1"/>
  <c r="AD144" i="30"/>
  <c r="AD146" i="30" s="1"/>
  <c r="AJ121" i="30"/>
  <c r="AK120" i="30" s="1"/>
  <c r="AD59" i="30"/>
  <c r="AD61" i="30" s="1"/>
  <c r="AE176" i="30"/>
  <c r="AE175" i="30"/>
  <c r="AG12" i="19"/>
  <c r="AG14" i="19" s="1"/>
  <c r="AG87" i="19" s="1"/>
  <c r="AH10" i="19"/>
  <c r="AH11" i="19"/>
  <c r="AE142" i="30"/>
  <c r="AE141" i="30"/>
  <c r="AF140" i="30"/>
  <c r="AF138" i="30"/>
  <c r="AG137" i="30" s="1"/>
  <c r="AE40" i="30"/>
  <c r="AE39" i="30"/>
  <c r="AE57" i="30"/>
  <c r="AE56" i="30"/>
  <c r="AE107" i="30"/>
  <c r="AE108" i="30"/>
  <c r="AD110" i="30"/>
  <c r="AD112" i="30" s="1"/>
  <c r="AD178" i="30"/>
  <c r="AD180" i="30" s="1"/>
  <c r="AE74" i="30"/>
  <c r="AH104" i="30"/>
  <c r="AI103" i="30" s="1"/>
  <c r="AF53" i="30"/>
  <c r="AG52" i="30" s="1"/>
  <c r="AI36" i="30"/>
  <c r="AJ35" i="30" s="1"/>
  <c r="AH172" i="30"/>
  <c r="AI171" i="30" s="1"/>
  <c r="AH174" i="30"/>
  <c r="AE124" i="30"/>
  <c r="AE125" i="30"/>
  <c r="AD127" i="30"/>
  <c r="AD129" i="30" s="1"/>
  <c r="AE70" i="30"/>
  <c r="AF69" i="30" s="1"/>
  <c r="AE155" i="30"/>
  <c r="AF154" i="30" s="1"/>
  <c r="AE157" i="30"/>
  <c r="AE159" i="30" s="1"/>
  <c r="AD85" i="18" l="1"/>
  <c r="AD76" i="30"/>
  <c r="AD78" i="30" s="1"/>
  <c r="Z24" i="18"/>
  <c r="Z84" i="18"/>
  <c r="AD93" i="30"/>
  <c r="AD95" i="30" s="1"/>
  <c r="Z194" i="30"/>
  <c r="AA25" i="30"/>
  <c r="AA27" i="30" s="1"/>
  <c r="AE91" i="30"/>
  <c r="AF90" i="30" s="1"/>
  <c r="AC185" i="30"/>
  <c r="AD21" i="18" s="1"/>
  <c r="AD92" i="18" s="1"/>
  <c r="AC19" i="30"/>
  <c r="AC18" i="30"/>
  <c r="AB188" i="30"/>
  <c r="AA192" i="30"/>
  <c r="AB23" i="30"/>
  <c r="AB22" i="30"/>
  <c r="AB191" i="30" s="1"/>
  <c r="AE190" i="30"/>
  <c r="AA13" i="18"/>
  <c r="Z196" i="30"/>
  <c r="AD16" i="30"/>
  <c r="AC186" i="30"/>
  <c r="AB187" i="30"/>
  <c r="AD184" i="30"/>
  <c r="AE15" i="30"/>
  <c r="AE14" i="18"/>
  <c r="AD17" i="30"/>
  <c r="AE27" i="18"/>
  <c r="AF15" i="18"/>
  <c r="AF87" i="30"/>
  <c r="AG86" i="30" s="1"/>
  <c r="AE42" i="30"/>
  <c r="AE44" i="30" s="1"/>
  <c r="AE144" i="30"/>
  <c r="AE146" i="30" s="1"/>
  <c r="AE76" i="30"/>
  <c r="AE78" i="30" s="1"/>
  <c r="AE59" i="30"/>
  <c r="AE61" i="30" s="1"/>
  <c r="AF158" i="30"/>
  <c r="AE161" i="30"/>
  <c r="AE163" i="30" s="1"/>
  <c r="AI172" i="30"/>
  <c r="AJ171" i="30" s="1"/>
  <c r="AI174" i="30"/>
  <c r="AI190" i="30" s="1"/>
  <c r="AF108" i="30"/>
  <c r="AF107" i="30"/>
  <c r="AK121" i="30"/>
  <c r="AL120" i="30" s="1"/>
  <c r="AF74" i="30"/>
  <c r="AF73" i="30"/>
  <c r="AE110" i="30"/>
  <c r="AE112" i="30" s="1"/>
  <c r="AE127" i="30"/>
  <c r="AE129" i="30" s="1"/>
  <c r="AF124" i="30"/>
  <c r="AF125" i="30"/>
  <c r="AI10" i="19"/>
  <c r="AI11" i="19"/>
  <c r="AF175" i="30"/>
  <c r="AF176" i="30"/>
  <c r="AH12" i="19"/>
  <c r="AH14" i="19" s="1"/>
  <c r="AH87" i="19" s="1"/>
  <c r="AE178" i="30"/>
  <c r="AE180" i="30" s="1"/>
  <c r="AJ36" i="30"/>
  <c r="AK35" i="30" s="1"/>
  <c r="AG53" i="30"/>
  <c r="AH52" i="30" s="1"/>
  <c r="AG140" i="30"/>
  <c r="AG138" i="30"/>
  <c r="AH137" i="30" s="1"/>
  <c r="AF142" i="30"/>
  <c r="AF141" i="30"/>
  <c r="AF56" i="30"/>
  <c r="AF57" i="30"/>
  <c r="AF155" i="30"/>
  <c r="AG154" i="30" s="1"/>
  <c r="AF157" i="30"/>
  <c r="AF159" i="30" s="1"/>
  <c r="AF70" i="30"/>
  <c r="AG69" i="30" s="1"/>
  <c r="AI104" i="30"/>
  <c r="AJ103" i="30" s="1"/>
  <c r="AF39" i="30"/>
  <c r="AF40" i="30"/>
  <c r="AG25" i="19"/>
  <c r="AE93" i="30" l="1"/>
  <c r="AE95" i="30" s="1"/>
  <c r="AE85" i="18"/>
  <c r="AA24" i="18"/>
  <c r="AA84" i="18"/>
  <c r="AA194" i="30"/>
  <c r="AF91" i="30"/>
  <c r="AG90" i="30" s="1"/>
  <c r="AD185" i="30"/>
  <c r="AE21" i="18" s="1"/>
  <c r="AE92" i="18" s="1"/>
  <c r="AD19" i="30"/>
  <c r="AF190" i="30"/>
  <c r="AB192" i="30"/>
  <c r="AC23" i="30"/>
  <c r="AC22" i="30"/>
  <c r="AC191" i="30" s="1"/>
  <c r="AE184" i="30"/>
  <c r="AF14" i="18"/>
  <c r="AE17" i="30"/>
  <c r="AF15" i="30"/>
  <c r="AB13" i="18"/>
  <c r="AA196" i="30"/>
  <c r="AB25" i="30"/>
  <c r="AC187" i="30"/>
  <c r="AD18" i="30"/>
  <c r="AC188" i="30"/>
  <c r="AE16" i="30"/>
  <c r="AD186" i="30"/>
  <c r="AG15" i="18"/>
  <c r="AF27" i="18"/>
  <c r="AG87" i="30"/>
  <c r="AH86" i="30" s="1"/>
  <c r="AF144" i="30"/>
  <c r="AF146" i="30" s="1"/>
  <c r="AF110" i="30"/>
  <c r="AF112" i="30" s="1"/>
  <c r="AI12" i="19"/>
  <c r="AI14" i="19" s="1"/>
  <c r="AG158" i="30"/>
  <c r="AG155" i="30"/>
  <c r="AH154" i="30" s="1"/>
  <c r="AG157" i="30"/>
  <c r="AG159" i="30" s="1"/>
  <c r="AK36" i="30"/>
  <c r="AL35" i="30" s="1"/>
  <c r="AG124" i="30"/>
  <c r="AG125" i="30"/>
  <c r="AG108" i="30"/>
  <c r="AG107" i="30"/>
  <c r="AG39" i="30"/>
  <c r="AG40" i="30"/>
  <c r="AF42" i="30"/>
  <c r="AF44" i="30" s="1"/>
  <c r="AF59" i="30"/>
  <c r="AF61" i="30" s="1"/>
  <c r="AJ104" i="30"/>
  <c r="AK103" i="30" s="1"/>
  <c r="AF127" i="30"/>
  <c r="AF129" i="30" s="1"/>
  <c r="AJ172" i="30"/>
  <c r="AK171" i="30" s="1"/>
  <c r="AJ11" i="19"/>
  <c r="AJ10" i="19"/>
  <c r="AH53" i="30"/>
  <c r="AI52" i="30" s="1"/>
  <c r="AG57" i="30"/>
  <c r="AG56" i="30"/>
  <c r="AG142" i="30"/>
  <c r="AG141" i="30"/>
  <c r="AH138" i="30"/>
  <c r="AI137" i="30" s="1"/>
  <c r="AG70" i="30"/>
  <c r="AH69" i="30" s="1"/>
  <c r="AF76" i="30"/>
  <c r="AF78" i="30" s="1"/>
  <c r="AG175" i="30"/>
  <c r="AG176" i="30"/>
  <c r="AG74" i="30"/>
  <c r="AG73" i="30"/>
  <c r="AH25" i="19"/>
  <c r="AF161" i="30"/>
  <c r="AF163" i="30" s="1"/>
  <c r="AF178" i="30"/>
  <c r="AF180" i="30" s="1"/>
  <c r="AL121" i="30"/>
  <c r="AM120" i="30" s="1"/>
  <c r="AG91" i="30" l="1"/>
  <c r="AB24" i="18"/>
  <c r="AB84" i="18"/>
  <c r="AI25" i="19"/>
  <c r="AI87" i="19"/>
  <c r="AF85" i="18"/>
  <c r="AF93" i="30"/>
  <c r="AF95" i="30" s="1"/>
  <c r="AG190" i="30"/>
  <c r="AB27" i="30"/>
  <c r="AB194" i="30"/>
  <c r="AF184" i="30"/>
  <c r="AG15" i="30"/>
  <c r="AG14" i="18"/>
  <c r="AF16" i="30"/>
  <c r="AE186" i="30"/>
  <c r="AC192" i="30"/>
  <c r="AD22" i="30"/>
  <c r="AD191" i="30" s="1"/>
  <c r="AD23" i="30"/>
  <c r="AE185" i="30"/>
  <c r="AF21" i="18" s="1"/>
  <c r="AF92" i="18" s="1"/>
  <c r="AE19" i="30"/>
  <c r="AF17" i="30"/>
  <c r="AD187" i="30"/>
  <c r="AE18" i="30"/>
  <c r="AD188" i="30"/>
  <c r="AC25" i="30"/>
  <c r="AG110" i="30"/>
  <c r="AG112" i="30" s="1"/>
  <c r="AG27" i="18"/>
  <c r="AH15" i="18"/>
  <c r="AH87" i="30"/>
  <c r="AI86" i="30" s="1"/>
  <c r="AG93" i="30"/>
  <c r="AG95" i="30" s="1"/>
  <c r="AJ12" i="19"/>
  <c r="AJ14" i="19" s="1"/>
  <c r="AJ87" i="19" s="1"/>
  <c r="AG59" i="30"/>
  <c r="AG61" i="30" s="1"/>
  <c r="AG42" i="30"/>
  <c r="AG44" i="30" s="1"/>
  <c r="AH158" i="30"/>
  <c r="AK104" i="30"/>
  <c r="AL103" i="30" s="1"/>
  <c r="AL36" i="30"/>
  <c r="AM35" i="30" s="1"/>
  <c r="AH90" i="30"/>
  <c r="AH91" i="30"/>
  <c r="AH57" i="30"/>
  <c r="AH56" i="30"/>
  <c r="AH155" i="30"/>
  <c r="AI154" i="30" s="1"/>
  <c r="AH157" i="30"/>
  <c r="AH175" i="30"/>
  <c r="AH176" i="30"/>
  <c r="AH39" i="30"/>
  <c r="AH40" i="30"/>
  <c r="AH74" i="30"/>
  <c r="AH73" i="30"/>
  <c r="AG178" i="30"/>
  <c r="AG180" i="30" s="1"/>
  <c r="AH70" i="30"/>
  <c r="AI69" i="30" s="1"/>
  <c r="AH108" i="30"/>
  <c r="AH107" i="30"/>
  <c r="AH142" i="30"/>
  <c r="AH141" i="30"/>
  <c r="AG161" i="30"/>
  <c r="AG163" i="30" s="1"/>
  <c r="AI53" i="30"/>
  <c r="AJ52" i="30" s="1"/>
  <c r="AI138" i="30"/>
  <c r="AJ137" i="30" s="1"/>
  <c r="AG76" i="30"/>
  <c r="AG78" i="30" s="1"/>
  <c r="AM121" i="30"/>
  <c r="AN120" i="30" s="1"/>
  <c r="AK11" i="19"/>
  <c r="AK10" i="19"/>
  <c r="AH125" i="30"/>
  <c r="AH124" i="30"/>
  <c r="AG144" i="30"/>
  <c r="AG146" i="30" s="1"/>
  <c r="AK172" i="30"/>
  <c r="AL171" i="30" s="1"/>
  <c r="AG127" i="30"/>
  <c r="AG129" i="30" s="1"/>
  <c r="AG85" i="18" l="1"/>
  <c r="AF18" i="30"/>
  <c r="AE188" i="30"/>
  <c r="AD192" i="30"/>
  <c r="AE22" i="30"/>
  <c r="AE191" i="30" s="1"/>
  <c r="AE23" i="30"/>
  <c r="AF185" i="30"/>
  <c r="AG21" i="18" s="1"/>
  <c r="AG92" i="18" s="1"/>
  <c r="AF19" i="30"/>
  <c r="AH159" i="30"/>
  <c r="AI158" i="30" s="1"/>
  <c r="AH190" i="30"/>
  <c r="AG184" i="30"/>
  <c r="AH15" i="30"/>
  <c r="AH14" i="18"/>
  <c r="AG17" i="30"/>
  <c r="AG16" i="30"/>
  <c r="AF186" i="30"/>
  <c r="AC27" i="30"/>
  <c r="AC194" i="30"/>
  <c r="AE187" i="30"/>
  <c r="AD25" i="30"/>
  <c r="AC13" i="18"/>
  <c r="AB196" i="30"/>
  <c r="AH27" i="18"/>
  <c r="AI15" i="18"/>
  <c r="AH59" i="30"/>
  <c r="AH61" i="30" s="1"/>
  <c r="AI87" i="30"/>
  <c r="AJ86" i="30" s="1"/>
  <c r="AJ25" i="19"/>
  <c r="AK12" i="19"/>
  <c r="AK14" i="19" s="1"/>
  <c r="AH42" i="30"/>
  <c r="AH44" i="30" s="1"/>
  <c r="AH144" i="30"/>
  <c r="AH146" i="30" s="1"/>
  <c r="AH110" i="30"/>
  <c r="AH112" i="30" s="1"/>
  <c r="AI142" i="30"/>
  <c r="AI141" i="30"/>
  <c r="AM36" i="30"/>
  <c r="AN35" i="30" s="1"/>
  <c r="AH76" i="30"/>
  <c r="AH78" i="30" s="1"/>
  <c r="AL104" i="30"/>
  <c r="AM103" i="30" s="1"/>
  <c r="AH178" i="30"/>
  <c r="AH180" i="30" s="1"/>
  <c r="AL172" i="30"/>
  <c r="AM171" i="30" s="1"/>
  <c r="AI70" i="30"/>
  <c r="AJ69" i="30" s="1"/>
  <c r="AI125" i="30"/>
  <c r="AI124" i="30"/>
  <c r="AI155" i="30"/>
  <c r="AJ154" i="30" s="1"/>
  <c r="AJ53" i="30"/>
  <c r="AK52" i="30" s="1"/>
  <c r="AI176" i="30"/>
  <c r="AI175" i="30"/>
  <c r="AI107" i="30"/>
  <c r="AI108" i="30"/>
  <c r="AH127" i="30"/>
  <c r="AH129" i="30" s="1"/>
  <c r="AJ138" i="30"/>
  <c r="AK137" i="30" s="1"/>
  <c r="AI74" i="30"/>
  <c r="AI73" i="30"/>
  <c r="AI57" i="30"/>
  <c r="AI56" i="30"/>
  <c r="AL11" i="19"/>
  <c r="AL10" i="19"/>
  <c r="AI90" i="30"/>
  <c r="AI91" i="30"/>
  <c r="AN121" i="30"/>
  <c r="AO120" i="30" s="1"/>
  <c r="AI40" i="30"/>
  <c r="AI39" i="30"/>
  <c r="AH93" i="30"/>
  <c r="AH95" i="30" s="1"/>
  <c r="AC24" i="18" l="1"/>
  <c r="AC84" i="18"/>
  <c r="AK25" i="19"/>
  <c r="AK87" i="19"/>
  <c r="AH85" i="18"/>
  <c r="AH161" i="30"/>
  <c r="AH163" i="30" s="1"/>
  <c r="AH184" i="30"/>
  <c r="AI14" i="18"/>
  <c r="AH17" i="30"/>
  <c r="AI15" i="30"/>
  <c r="AI17" i="30" s="1"/>
  <c r="AF188" i="30"/>
  <c r="AG18" i="30"/>
  <c r="AG185" i="30"/>
  <c r="AH21" i="18" s="1"/>
  <c r="AH92" i="18" s="1"/>
  <c r="AG19" i="30"/>
  <c r="AE192" i="30"/>
  <c r="AF23" i="30"/>
  <c r="AF22" i="30"/>
  <c r="AF191" i="30" s="1"/>
  <c r="AH16" i="30"/>
  <c r="AG186" i="30"/>
  <c r="AD27" i="30"/>
  <c r="AD194" i="30"/>
  <c r="AE25" i="30"/>
  <c r="AI159" i="30"/>
  <c r="AI161" i="30" s="1"/>
  <c r="AI163" i="30" s="1"/>
  <c r="AD13" i="18"/>
  <c r="AC196" i="30"/>
  <c r="AF187" i="30"/>
  <c r="AJ15" i="18"/>
  <c r="AI27" i="18"/>
  <c r="AL12" i="19"/>
  <c r="AL14" i="19" s="1"/>
  <c r="AJ87" i="30"/>
  <c r="AK86" i="30" s="1"/>
  <c r="AI59" i="30"/>
  <c r="AI61" i="30" s="1"/>
  <c r="AI144" i="30"/>
  <c r="AI146" i="30" s="1"/>
  <c r="AI42" i="30"/>
  <c r="AI44" i="30" s="1"/>
  <c r="AN36" i="30"/>
  <c r="AO35" i="30" s="1"/>
  <c r="AJ74" i="30"/>
  <c r="AJ73" i="30"/>
  <c r="AI178" i="30"/>
  <c r="AI180" i="30" s="1"/>
  <c r="AO121" i="30"/>
  <c r="AP120" i="30" s="1"/>
  <c r="AM172" i="30"/>
  <c r="AN171" i="30" s="1"/>
  <c r="AJ141" i="30"/>
  <c r="AJ142" i="30"/>
  <c r="AJ124" i="30"/>
  <c r="AJ125" i="30"/>
  <c r="AI93" i="30"/>
  <c r="AI95" i="30" s="1"/>
  <c r="AJ40" i="30"/>
  <c r="AJ39" i="30"/>
  <c r="AI76" i="30"/>
  <c r="AI78" i="30" s="1"/>
  <c r="AJ70" i="30"/>
  <c r="AK69" i="30" s="1"/>
  <c r="AJ91" i="30"/>
  <c r="AJ90" i="30"/>
  <c r="AK53" i="30"/>
  <c r="AL52" i="30" s="1"/>
  <c r="AJ176" i="30"/>
  <c r="AJ175" i="30"/>
  <c r="AK138" i="30"/>
  <c r="AL137" i="30" s="1"/>
  <c r="AM11" i="19"/>
  <c r="AM10" i="19"/>
  <c r="AJ107" i="30"/>
  <c r="AJ108" i="30"/>
  <c r="AJ155" i="30"/>
  <c r="AK154" i="30" s="1"/>
  <c r="AI110" i="30"/>
  <c r="AI112" i="30" s="1"/>
  <c r="AJ56" i="30"/>
  <c r="AJ57" i="30"/>
  <c r="AI127" i="30"/>
  <c r="AI129" i="30" s="1"/>
  <c r="AM104" i="30"/>
  <c r="AN103" i="30" s="1"/>
  <c r="AD24" i="18" l="1"/>
  <c r="AD84" i="18"/>
  <c r="AI85" i="18"/>
  <c r="AL25" i="19"/>
  <c r="AL87" i="19"/>
  <c r="AF25" i="30"/>
  <c r="AF27" i="30" s="1"/>
  <c r="AJ158" i="30"/>
  <c r="AJ159" i="30"/>
  <c r="AK159" i="30" s="1"/>
  <c r="AH185" i="30"/>
  <c r="AI21" i="18" s="1"/>
  <c r="AI92" i="18" s="1"/>
  <c r="AH19" i="30"/>
  <c r="AE13" i="18"/>
  <c r="AD196" i="30"/>
  <c r="AF192" i="30"/>
  <c r="AG23" i="30"/>
  <c r="AG22" i="30"/>
  <c r="AG191" i="30" s="1"/>
  <c r="AH18" i="30"/>
  <c r="AG188" i="30"/>
  <c r="AG187" i="30"/>
  <c r="AI184" i="30"/>
  <c r="AJ15" i="30"/>
  <c r="AJ14" i="18"/>
  <c r="AI16" i="30"/>
  <c r="AJ16" i="30" s="1"/>
  <c r="AJ185" i="30" s="1"/>
  <c r="AK21" i="18" s="1"/>
  <c r="AK92" i="18" s="1"/>
  <c r="AH186" i="30"/>
  <c r="AI186" i="30"/>
  <c r="AE27" i="30"/>
  <c r="AE194" i="30"/>
  <c r="AJ27" i="18"/>
  <c r="AK15" i="18"/>
  <c r="AK87" i="30"/>
  <c r="AL86" i="30" s="1"/>
  <c r="AJ178" i="30"/>
  <c r="AJ180" i="30" s="1"/>
  <c r="AJ93" i="30"/>
  <c r="AJ95" i="30" s="1"/>
  <c r="AJ42" i="30"/>
  <c r="AJ44" i="30" s="1"/>
  <c r="AM12" i="19"/>
  <c r="AM14" i="19" s="1"/>
  <c r="AK39" i="30"/>
  <c r="AK40" i="30"/>
  <c r="AJ110" i="30"/>
  <c r="AJ112" i="30" s="1"/>
  <c r="AL53" i="30"/>
  <c r="AM52" i="30" s="1"/>
  <c r="AK125" i="30"/>
  <c r="AK124" i="30"/>
  <c r="AN10" i="19"/>
  <c r="AN11" i="19"/>
  <c r="AJ127" i="30"/>
  <c r="AJ129" i="30" s="1"/>
  <c r="AK142" i="30"/>
  <c r="AK141" i="30"/>
  <c r="AK73" i="30"/>
  <c r="AK74" i="30"/>
  <c r="AO36" i="30"/>
  <c r="AP35" i="30" s="1"/>
  <c r="AK108" i="30"/>
  <c r="AK107" i="30"/>
  <c r="AK57" i="30"/>
  <c r="AK56" i="30"/>
  <c r="AJ144" i="30"/>
  <c r="AJ146" i="30" s="1"/>
  <c r="AJ59" i="30"/>
  <c r="AJ61" i="30" s="1"/>
  <c r="AL138" i="30"/>
  <c r="AM137" i="30" s="1"/>
  <c r="AK70" i="30"/>
  <c r="AL69" i="30" s="1"/>
  <c r="AN104" i="30"/>
  <c r="AO103" i="30" s="1"/>
  <c r="AK90" i="30"/>
  <c r="AK91" i="30"/>
  <c r="AN172" i="30"/>
  <c r="AO171" i="30" s="1"/>
  <c r="AK176" i="30"/>
  <c r="AK175" i="30"/>
  <c r="AJ76" i="30"/>
  <c r="AJ78" i="30" s="1"/>
  <c r="AP121" i="30"/>
  <c r="AQ120" i="30" s="1"/>
  <c r="AK155" i="30"/>
  <c r="AL154" i="30" s="1"/>
  <c r="AM25" i="19" l="1"/>
  <c r="AM87" i="19"/>
  <c r="AE24" i="18"/>
  <c r="AE84" i="18"/>
  <c r="AJ85" i="18"/>
  <c r="AF194" i="30"/>
  <c r="AK158" i="30"/>
  <c r="AK161" i="30" s="1"/>
  <c r="AK163" i="30" s="1"/>
  <c r="AJ161" i="30"/>
  <c r="AJ163" i="30" s="1"/>
  <c r="AG25" i="30"/>
  <c r="AG194" i="30" s="1"/>
  <c r="AH187" i="30"/>
  <c r="AG13" i="18"/>
  <c r="AF196" i="30"/>
  <c r="AG192" i="30"/>
  <c r="AH22" i="30"/>
  <c r="AH191" i="30" s="1"/>
  <c r="AH23" i="30"/>
  <c r="AF13" i="18"/>
  <c r="AE196" i="30"/>
  <c r="AI18" i="30"/>
  <c r="AH188" i="30"/>
  <c r="AI185" i="30"/>
  <c r="AJ21" i="18" s="1"/>
  <c r="AJ92" i="18" s="1"/>
  <c r="AI19" i="30"/>
  <c r="AJ184" i="30"/>
  <c r="AK14" i="18"/>
  <c r="AK15" i="30"/>
  <c r="AJ17" i="30"/>
  <c r="AK127" i="30"/>
  <c r="AK129" i="30" s="1"/>
  <c r="AL15" i="18"/>
  <c r="AK27" i="18"/>
  <c r="AL87" i="30"/>
  <c r="AM86" i="30" s="1"/>
  <c r="AK178" i="30"/>
  <c r="AK180" i="30" s="1"/>
  <c r="AK59" i="30"/>
  <c r="AK61" i="30" s="1"/>
  <c r="AK110" i="30"/>
  <c r="AK112" i="30" s="1"/>
  <c r="AM53" i="30"/>
  <c r="AN52" i="30" s="1"/>
  <c r="AO172" i="30"/>
  <c r="AP171" i="30" s="1"/>
  <c r="AL155" i="30"/>
  <c r="AM154" i="30" s="1"/>
  <c r="AO104" i="30"/>
  <c r="AP103" i="30" s="1"/>
  <c r="AK144" i="30"/>
  <c r="AK146" i="30" s="1"/>
  <c r="AL159" i="30"/>
  <c r="AL158" i="30"/>
  <c r="AL142" i="30"/>
  <c r="AL141" i="30"/>
  <c r="AQ121" i="30"/>
  <c r="AR120" i="30" s="1"/>
  <c r="AP36" i="30"/>
  <c r="AQ35" i="30" s="1"/>
  <c r="AL40" i="30"/>
  <c r="AL39" i="30"/>
  <c r="AL91" i="30"/>
  <c r="AL90" i="30"/>
  <c r="AL57" i="30"/>
  <c r="AL56" i="30"/>
  <c r="AO10" i="19"/>
  <c r="AO11" i="19"/>
  <c r="AK42" i="30"/>
  <c r="AK44" i="30" s="1"/>
  <c r="AL74" i="30"/>
  <c r="AL73" i="30"/>
  <c r="AL125" i="30"/>
  <c r="AL124" i="30"/>
  <c r="AK93" i="30"/>
  <c r="AK95" i="30" s="1"/>
  <c r="AL70" i="30"/>
  <c r="AM69" i="30" s="1"/>
  <c r="AM138" i="30"/>
  <c r="AN137" i="30" s="1"/>
  <c r="AL175" i="30"/>
  <c r="AL176" i="30"/>
  <c r="AK76" i="30"/>
  <c r="AK78" i="30" s="1"/>
  <c r="AN12" i="19"/>
  <c r="AN14" i="19" s="1"/>
  <c r="AN87" i="19" s="1"/>
  <c r="AL108" i="30"/>
  <c r="AL107" i="30"/>
  <c r="AG24" i="18" l="1"/>
  <c r="AG84" i="18"/>
  <c r="AK85" i="18"/>
  <c r="AF24" i="18"/>
  <c r="AF84" i="18"/>
  <c r="AG27" i="30"/>
  <c r="AH13" i="18" s="1"/>
  <c r="AI187" i="30"/>
  <c r="AH192" i="30"/>
  <c r="AI23" i="30"/>
  <c r="AI22" i="30"/>
  <c r="AI191" i="30" s="1"/>
  <c r="AK184" i="30"/>
  <c r="AL15" i="30"/>
  <c r="AL14" i="18"/>
  <c r="AK17" i="30"/>
  <c r="AH25" i="30"/>
  <c r="AK16" i="30"/>
  <c r="AJ186" i="30"/>
  <c r="AJ19" i="30"/>
  <c r="AI188" i="30"/>
  <c r="AJ18" i="30"/>
  <c r="AM15" i="18"/>
  <c r="AL27" i="18"/>
  <c r="AM87" i="30"/>
  <c r="AN86" i="30" s="1"/>
  <c r="AL127" i="30"/>
  <c r="AL129" i="30" s="1"/>
  <c r="AL59" i="30"/>
  <c r="AL61" i="30" s="1"/>
  <c r="AL42" i="30"/>
  <c r="AL44" i="30" s="1"/>
  <c r="AL93" i="30"/>
  <c r="AL95" i="30" s="1"/>
  <c r="AL110" i="30"/>
  <c r="AL112" i="30" s="1"/>
  <c r="AL178" i="30"/>
  <c r="AL180" i="30" s="1"/>
  <c r="AM74" i="30"/>
  <c r="AM73" i="30"/>
  <c r="AL76" i="30"/>
  <c r="AL78" i="30" s="1"/>
  <c r="AP11" i="19"/>
  <c r="AP10" i="19"/>
  <c r="AR121" i="30"/>
  <c r="AS120" i="30" s="1"/>
  <c r="AM155" i="30"/>
  <c r="AN154" i="30" s="1"/>
  <c r="AN138" i="30"/>
  <c r="AO137" i="30" s="1"/>
  <c r="AO12" i="19"/>
  <c r="AO14" i="19" s="1"/>
  <c r="AO87" i="19" s="1"/>
  <c r="AM70" i="30"/>
  <c r="AN69" i="30" s="1"/>
  <c r="AM56" i="30"/>
  <c r="AM57" i="30"/>
  <c r="AP172" i="30"/>
  <c r="AQ171" i="30" s="1"/>
  <c r="AP104" i="30"/>
  <c r="AQ103" i="30" s="1"/>
  <c r="AM142" i="30"/>
  <c r="AM141" i="30"/>
  <c r="AN25" i="19"/>
  <c r="AM39" i="30"/>
  <c r="AM40" i="30"/>
  <c r="AM158" i="30"/>
  <c r="AM159" i="30"/>
  <c r="AM108" i="30"/>
  <c r="AM107" i="30"/>
  <c r="AL144" i="30"/>
  <c r="AL146" i="30" s="1"/>
  <c r="AM90" i="30"/>
  <c r="AM91" i="30"/>
  <c r="AM124" i="30"/>
  <c r="AM125" i="30"/>
  <c r="AN53" i="30"/>
  <c r="AO52" i="30" s="1"/>
  <c r="AL161" i="30"/>
  <c r="AL163" i="30" s="1"/>
  <c r="AM176" i="30"/>
  <c r="AM175" i="30"/>
  <c r="AQ36" i="30"/>
  <c r="AR35" i="30" s="1"/>
  <c r="AH24" i="18" l="1"/>
  <c r="AH84" i="18"/>
  <c r="AL85" i="18"/>
  <c r="AG196" i="30"/>
  <c r="AL184" i="30"/>
  <c r="AM14" i="18"/>
  <c r="AM15" i="30"/>
  <c r="AM17" i="30" s="1"/>
  <c r="AL17" i="30"/>
  <c r="AK185" i="30"/>
  <c r="AL21" i="18" s="1"/>
  <c r="AL92" i="18" s="1"/>
  <c r="AK19" i="30"/>
  <c r="AH27" i="30"/>
  <c r="AH194" i="30"/>
  <c r="AI192" i="30"/>
  <c r="AJ22" i="30"/>
  <c r="AJ191" i="30" s="1"/>
  <c r="AJ23" i="30"/>
  <c r="AL16" i="30"/>
  <c r="AK186" i="30"/>
  <c r="AJ187" i="30"/>
  <c r="AI25" i="30"/>
  <c r="AK18" i="30"/>
  <c r="AJ188" i="30"/>
  <c r="AN15" i="18"/>
  <c r="AM27" i="18"/>
  <c r="AN87" i="30"/>
  <c r="AO86" i="30" s="1"/>
  <c r="AM178" i="30"/>
  <c r="AM180" i="30" s="1"/>
  <c r="AM76" i="30"/>
  <c r="AM78" i="30" s="1"/>
  <c r="AM144" i="30"/>
  <c r="AM146" i="30" s="1"/>
  <c r="AM110" i="30"/>
  <c r="AM112" i="30" s="1"/>
  <c r="AP12" i="19"/>
  <c r="AP14" i="19" s="1"/>
  <c r="AN124" i="30"/>
  <c r="AN125" i="30"/>
  <c r="AO138" i="30"/>
  <c r="AP137" i="30" s="1"/>
  <c r="AN91" i="30"/>
  <c r="AN90" i="30"/>
  <c r="AQ172" i="30"/>
  <c r="AR171" i="30" s="1"/>
  <c r="AS121" i="30"/>
  <c r="AT120" i="30" s="1"/>
  <c r="AR36" i="30"/>
  <c r="AS35" i="30" s="1"/>
  <c r="AN176" i="30"/>
  <c r="AN175" i="30"/>
  <c r="AQ10" i="19"/>
  <c r="AQ11" i="19"/>
  <c r="AQ104" i="30"/>
  <c r="AR103" i="30" s="1"/>
  <c r="AM93" i="30"/>
  <c r="AM95" i="30" s="1"/>
  <c r="AN158" i="30"/>
  <c r="AN159" i="30"/>
  <c r="AN155" i="30"/>
  <c r="AO154" i="30" s="1"/>
  <c r="AN108" i="30"/>
  <c r="AN107" i="30"/>
  <c r="AN57" i="30"/>
  <c r="AN56" i="30"/>
  <c r="AM42" i="30"/>
  <c r="AM44" i="30" s="1"/>
  <c r="AN70" i="30"/>
  <c r="AO69" i="30" s="1"/>
  <c r="AN74" i="30"/>
  <c r="AN73" i="30"/>
  <c r="AM127" i="30"/>
  <c r="AM129" i="30" s="1"/>
  <c r="AM161" i="30"/>
  <c r="AM163" i="30" s="1"/>
  <c r="AN142" i="30"/>
  <c r="AN141" i="30"/>
  <c r="AN40" i="30"/>
  <c r="AN39" i="30"/>
  <c r="AO53" i="30"/>
  <c r="AP52" i="30" s="1"/>
  <c r="AM59" i="30"/>
  <c r="AM61" i="30" s="1"/>
  <c r="AO25" i="19"/>
  <c r="AM85" i="18" l="1"/>
  <c r="AP25" i="19"/>
  <c r="AP87" i="19"/>
  <c r="AJ192" i="30"/>
  <c r="AK23" i="30"/>
  <c r="AK22" i="30"/>
  <c r="AK191" i="30" s="1"/>
  <c r="AL185" i="30"/>
  <c r="AM21" i="18" s="1"/>
  <c r="AM92" i="18" s="1"/>
  <c r="AL19" i="30"/>
  <c r="AI13" i="18"/>
  <c r="AH196" i="30"/>
  <c r="AL18" i="30"/>
  <c r="AK188" i="30"/>
  <c r="AK187" i="30"/>
  <c r="AM16" i="30"/>
  <c r="AN16" i="30" s="1"/>
  <c r="AL186" i="30"/>
  <c r="AI27" i="30"/>
  <c r="AI194" i="30"/>
  <c r="AM184" i="30"/>
  <c r="AN14" i="18"/>
  <c r="AN15" i="30"/>
  <c r="AM186" i="30"/>
  <c r="AJ25" i="30"/>
  <c r="AO15" i="18"/>
  <c r="AN27" i="18"/>
  <c r="AO87" i="30"/>
  <c r="AP86" i="30" s="1"/>
  <c r="AN110" i="30"/>
  <c r="AN112" i="30" s="1"/>
  <c r="AN144" i="30"/>
  <c r="AN146" i="30" s="1"/>
  <c r="AN93" i="30"/>
  <c r="AN95" i="30" s="1"/>
  <c r="AN127" i="30"/>
  <c r="AN129" i="30" s="1"/>
  <c r="AN42" i="30"/>
  <c r="AN44" i="30" s="1"/>
  <c r="AN59" i="30"/>
  <c r="AN61" i="30" s="1"/>
  <c r="AQ12" i="19"/>
  <c r="AQ14" i="19" s="1"/>
  <c r="AN76" i="30"/>
  <c r="AN78" i="30" s="1"/>
  <c r="AN178" i="30"/>
  <c r="AN180" i="30" s="1"/>
  <c r="AT121" i="30"/>
  <c r="AU120" i="30" s="1"/>
  <c r="AN161" i="30"/>
  <c r="AN163" i="30" s="1"/>
  <c r="AO155" i="30"/>
  <c r="AP154" i="30" s="1"/>
  <c r="AR172" i="30"/>
  <c r="AS171" i="30" s="1"/>
  <c r="AO107" i="30"/>
  <c r="AO108" i="30"/>
  <c r="AO159" i="30"/>
  <c r="AO158" i="30"/>
  <c r="AO90" i="30"/>
  <c r="AO91" i="30"/>
  <c r="AO175" i="30"/>
  <c r="AO176" i="30"/>
  <c r="AP138" i="30"/>
  <c r="AQ137" i="30" s="1"/>
  <c r="AP53" i="30"/>
  <c r="AQ52" i="30" s="1"/>
  <c r="AO70" i="30"/>
  <c r="AP69" i="30" s="1"/>
  <c r="AO39" i="30"/>
  <c r="AO40" i="30"/>
  <c r="AR104" i="30"/>
  <c r="AS103" i="30" s="1"/>
  <c r="AS36" i="30"/>
  <c r="AT35" i="30" s="1"/>
  <c r="AO125" i="30"/>
  <c r="AO124" i="30"/>
  <c r="AO73" i="30"/>
  <c r="AO74" i="30"/>
  <c r="AO56" i="30"/>
  <c r="AO57" i="30"/>
  <c r="AO142" i="30"/>
  <c r="AO141" i="30"/>
  <c r="AR11" i="19"/>
  <c r="AR10" i="19"/>
  <c r="AI24" i="18" l="1"/>
  <c r="AI84" i="18"/>
  <c r="AQ25" i="19"/>
  <c r="AQ87" i="19"/>
  <c r="AN85" i="18"/>
  <c r="AK25" i="30"/>
  <c r="AK194" i="30" s="1"/>
  <c r="AN185" i="30"/>
  <c r="AO21" i="18" s="1"/>
  <c r="AO92" i="18" s="1"/>
  <c r="AL187" i="30"/>
  <c r="AJ27" i="30"/>
  <c r="AJ194" i="30"/>
  <c r="AL188" i="30"/>
  <c r="AM18" i="30"/>
  <c r="AJ13" i="18"/>
  <c r="AI196" i="30"/>
  <c r="AK192" i="30"/>
  <c r="AL22" i="30"/>
  <c r="AL191" i="30" s="1"/>
  <c r="AL23" i="30"/>
  <c r="AM185" i="30"/>
  <c r="AN21" i="18" s="1"/>
  <c r="AN92" i="18" s="1"/>
  <c r="AM19" i="30"/>
  <c r="AN184" i="30"/>
  <c r="AO15" i="30"/>
  <c r="AO14" i="18"/>
  <c r="AN17" i="30"/>
  <c r="AO27" i="18"/>
  <c r="AP15" i="18"/>
  <c r="AP87" i="30"/>
  <c r="AQ86" i="30" s="1"/>
  <c r="AO76" i="30"/>
  <c r="AO78" i="30" s="1"/>
  <c r="AO178" i="30"/>
  <c r="AO180" i="30" s="1"/>
  <c r="AO161" i="30"/>
  <c r="AO163" i="30" s="1"/>
  <c r="AO59" i="30"/>
  <c r="AO61" i="30" s="1"/>
  <c r="AP125" i="30"/>
  <c r="AP124" i="30"/>
  <c r="AP39" i="30"/>
  <c r="AP40" i="30"/>
  <c r="AP176" i="30"/>
  <c r="AP175" i="30"/>
  <c r="AP155" i="30"/>
  <c r="AQ154" i="30" s="1"/>
  <c r="AS11" i="19"/>
  <c r="AS10" i="19"/>
  <c r="AT36" i="30"/>
  <c r="AU35" i="30" s="1"/>
  <c r="AS172" i="30"/>
  <c r="AT171" i="30" s="1"/>
  <c r="AQ53" i="30"/>
  <c r="AR52" i="30" s="1"/>
  <c r="AU121" i="30"/>
  <c r="AV120" i="30" s="1"/>
  <c r="AQ138" i="30"/>
  <c r="AR137" i="30" s="1"/>
  <c r="AO42" i="30"/>
  <c r="AO44" i="30" s="1"/>
  <c r="AP70" i="30"/>
  <c r="AQ69" i="30" s="1"/>
  <c r="AP74" i="30"/>
  <c r="AP73" i="30"/>
  <c r="AP142" i="30"/>
  <c r="AP141" i="30"/>
  <c r="AS104" i="30"/>
  <c r="AT103" i="30" s="1"/>
  <c r="AR12" i="19"/>
  <c r="AR14" i="19" s="1"/>
  <c r="AR87" i="19" s="1"/>
  <c r="AP91" i="30"/>
  <c r="AP90" i="30"/>
  <c r="AO144" i="30"/>
  <c r="AO146" i="30" s="1"/>
  <c r="AO93" i="30"/>
  <c r="AO95" i="30" s="1"/>
  <c r="AP158" i="30"/>
  <c r="AP159" i="30"/>
  <c r="AP107" i="30"/>
  <c r="AP108" i="30"/>
  <c r="AP56" i="30"/>
  <c r="AP57" i="30"/>
  <c r="AO127" i="30"/>
  <c r="AO129" i="30" s="1"/>
  <c r="AO110" i="30"/>
  <c r="AO112" i="30" s="1"/>
  <c r="AK27" i="30" l="1"/>
  <c r="AL13" i="18" s="1"/>
  <c r="AO85" i="18"/>
  <c r="AJ24" i="18"/>
  <c r="AJ84" i="18"/>
  <c r="AM187" i="30"/>
  <c r="AO16" i="30"/>
  <c r="AN186" i="30"/>
  <c r="AO184" i="30"/>
  <c r="AP15" i="30"/>
  <c r="AP14" i="18"/>
  <c r="AO17" i="30"/>
  <c r="AK13" i="18"/>
  <c r="AJ196" i="30"/>
  <c r="AL25" i="30"/>
  <c r="AN18" i="30"/>
  <c r="AM188" i="30"/>
  <c r="AN19" i="30"/>
  <c r="AL192" i="30"/>
  <c r="AM22" i="30"/>
  <c r="AM191" i="30" s="1"/>
  <c r="AM23" i="30"/>
  <c r="AQ15" i="18"/>
  <c r="AP27" i="18"/>
  <c r="AP144" i="30"/>
  <c r="AP146" i="30" s="1"/>
  <c r="AQ87" i="30"/>
  <c r="AR86" i="30" s="1"/>
  <c r="AP178" i="30"/>
  <c r="AP180" i="30" s="1"/>
  <c r="AP127" i="30"/>
  <c r="AP129" i="30" s="1"/>
  <c r="AP93" i="30"/>
  <c r="AP95" i="30" s="1"/>
  <c r="AS12" i="19"/>
  <c r="AS14" i="19" s="1"/>
  <c r="AS87" i="19" s="1"/>
  <c r="AQ155" i="30"/>
  <c r="AR154" i="30" s="1"/>
  <c r="AV121" i="30"/>
  <c r="AW120" i="30" s="1"/>
  <c r="AQ175" i="30"/>
  <c r="AQ176" i="30"/>
  <c r="AQ40" i="30"/>
  <c r="AQ39" i="30"/>
  <c r="AR53" i="30"/>
  <c r="AS52" i="30" s="1"/>
  <c r="AP42" i="30"/>
  <c r="AP44" i="30" s="1"/>
  <c r="AT172" i="30"/>
  <c r="AU171" i="30" s="1"/>
  <c r="AQ125" i="30"/>
  <c r="AQ124" i="30"/>
  <c r="AP59" i="30"/>
  <c r="AP61" i="30" s="1"/>
  <c r="AP76" i="30"/>
  <c r="AP78" i="30" s="1"/>
  <c r="AQ57" i="30"/>
  <c r="AQ56" i="30"/>
  <c r="AQ91" i="30"/>
  <c r="AQ90" i="30"/>
  <c r="AQ108" i="30"/>
  <c r="AQ107" i="30"/>
  <c r="AR138" i="30"/>
  <c r="AS137" i="30" s="1"/>
  <c r="AQ74" i="30"/>
  <c r="AQ73" i="30"/>
  <c r="AU36" i="30"/>
  <c r="AV35" i="30" s="1"/>
  <c r="AQ142" i="30"/>
  <c r="AQ141" i="30"/>
  <c r="AQ70" i="30"/>
  <c r="AR69" i="30" s="1"/>
  <c r="AP110" i="30"/>
  <c r="AP112" i="30" s="1"/>
  <c r="AR25" i="19"/>
  <c r="AT11" i="19"/>
  <c r="AT10" i="19"/>
  <c r="AQ158" i="30"/>
  <c r="AQ159" i="30"/>
  <c r="AT104" i="30"/>
  <c r="AU103" i="30" s="1"/>
  <c r="AP161" i="30"/>
  <c r="AP163" i="30" s="1"/>
  <c r="AK196" i="30" l="1"/>
  <c r="AL24" i="18"/>
  <c r="AL84" i="18"/>
  <c r="AP85" i="18"/>
  <c r="AK24" i="18"/>
  <c r="AK84" i="18"/>
  <c r="AN187" i="30"/>
  <c r="AP16" i="30"/>
  <c r="AO186" i="30"/>
  <c r="AL27" i="30"/>
  <c r="AL194" i="30"/>
  <c r="AP184" i="30"/>
  <c r="AP17" i="30"/>
  <c r="AQ14" i="18"/>
  <c r="AQ15" i="30"/>
  <c r="AO185" i="30"/>
  <c r="AP21" i="18" s="1"/>
  <c r="AP92" i="18" s="1"/>
  <c r="AO19" i="30"/>
  <c r="AM192" i="30"/>
  <c r="AN23" i="30"/>
  <c r="AN22" i="30"/>
  <c r="AN191" i="30" s="1"/>
  <c r="AO18" i="30"/>
  <c r="AN188" i="30"/>
  <c r="AM25" i="30"/>
  <c r="AQ27" i="18"/>
  <c r="AR15" i="18"/>
  <c r="AQ144" i="30"/>
  <c r="AQ146" i="30" s="1"/>
  <c r="AS25" i="19"/>
  <c r="AR87" i="30"/>
  <c r="AS86" i="30" s="1"/>
  <c r="AQ93" i="30"/>
  <c r="AQ95" i="30" s="1"/>
  <c r="AQ42" i="30"/>
  <c r="AQ44" i="30" s="1"/>
  <c r="AQ127" i="30"/>
  <c r="AQ129" i="30" s="1"/>
  <c r="AQ110" i="30"/>
  <c r="AQ112" i="30" s="1"/>
  <c r="AQ161" i="30"/>
  <c r="AQ163" i="30" s="1"/>
  <c r="AQ178" i="30"/>
  <c r="AQ180" i="30" s="1"/>
  <c r="AQ59" i="30"/>
  <c r="AQ61" i="30" s="1"/>
  <c r="AR125" i="30"/>
  <c r="AR124" i="30"/>
  <c r="AR40" i="30"/>
  <c r="AR39" i="30"/>
  <c r="AU172" i="30"/>
  <c r="AV171" i="30" s="1"/>
  <c r="AR175" i="30"/>
  <c r="AR176" i="30"/>
  <c r="AU10" i="19"/>
  <c r="AU11" i="19"/>
  <c r="AW121" i="30"/>
  <c r="AX120" i="30" s="1"/>
  <c r="AT12" i="19"/>
  <c r="AT14" i="19" s="1"/>
  <c r="AT87" i="19" s="1"/>
  <c r="AR158" i="30"/>
  <c r="AR159" i="30"/>
  <c r="AR107" i="30"/>
  <c r="AR108" i="30"/>
  <c r="AR57" i="30"/>
  <c r="AR56" i="30"/>
  <c r="AR155" i="30"/>
  <c r="AS154" i="30" s="1"/>
  <c r="AR91" i="30"/>
  <c r="AR90" i="30"/>
  <c r="AR70" i="30"/>
  <c r="AS69" i="30" s="1"/>
  <c r="AR141" i="30"/>
  <c r="AR142" i="30"/>
  <c r="AV36" i="30"/>
  <c r="AW35" i="30" s="1"/>
  <c r="AQ76" i="30"/>
  <c r="AQ78" i="30" s="1"/>
  <c r="AS53" i="30"/>
  <c r="AT52" i="30" s="1"/>
  <c r="AU104" i="30"/>
  <c r="AV103" i="30" s="1"/>
  <c r="AR73" i="30"/>
  <c r="AR74" i="30"/>
  <c r="AS138" i="30"/>
  <c r="AT137" i="30" s="1"/>
  <c r="AQ85" i="18" l="1"/>
  <c r="AQ184" i="30"/>
  <c r="AR14" i="18"/>
  <c r="AQ17" i="30"/>
  <c r="AR15" i="30"/>
  <c r="AR17" i="30" s="1"/>
  <c r="AQ16" i="30"/>
  <c r="AP186" i="30"/>
  <c r="AN192" i="30"/>
  <c r="AO23" i="30"/>
  <c r="AO22" i="30"/>
  <c r="AO191" i="30" s="1"/>
  <c r="AM13" i="18"/>
  <c r="AL196" i="30"/>
  <c r="AM27" i="30"/>
  <c r="AM194" i="30"/>
  <c r="AP185" i="30"/>
  <c r="AQ21" i="18" s="1"/>
  <c r="AQ92" i="18" s="1"/>
  <c r="AP19" i="30"/>
  <c r="AP18" i="30"/>
  <c r="AO188" i="30"/>
  <c r="AO187" i="30"/>
  <c r="AN25" i="30"/>
  <c r="AS15" i="18"/>
  <c r="AR27" i="18"/>
  <c r="AR144" i="30"/>
  <c r="AR146" i="30" s="1"/>
  <c r="AS87" i="30"/>
  <c r="AT86" i="30" s="1"/>
  <c r="AR110" i="30"/>
  <c r="AR112" i="30" s="1"/>
  <c r="AR127" i="30"/>
  <c r="AR129" i="30" s="1"/>
  <c r="AR93" i="30"/>
  <c r="AR95" i="30" s="1"/>
  <c r="AR178" i="30"/>
  <c r="AR180" i="30" s="1"/>
  <c r="AR59" i="30"/>
  <c r="AR61" i="30" s="1"/>
  <c r="AR76" i="30"/>
  <c r="AR78" i="30" s="1"/>
  <c r="AS56" i="30"/>
  <c r="AS57" i="30"/>
  <c r="AS176" i="30"/>
  <c r="AS175" i="30"/>
  <c r="AV172" i="30"/>
  <c r="AW171" i="30" s="1"/>
  <c r="AS70" i="30"/>
  <c r="AT69" i="30" s="1"/>
  <c r="AS159" i="30"/>
  <c r="AS158" i="30"/>
  <c r="AV11" i="19"/>
  <c r="AV10" i="19"/>
  <c r="AR42" i="30"/>
  <c r="AR44" i="30" s="1"/>
  <c r="AW36" i="30"/>
  <c r="AX35" i="30" s="1"/>
  <c r="AS39" i="30"/>
  <c r="AS40" i="30"/>
  <c r="AS141" i="30"/>
  <c r="AS142" i="30"/>
  <c r="AT53" i="30"/>
  <c r="AU52" i="30" s="1"/>
  <c r="AS124" i="30"/>
  <c r="AS125" i="30"/>
  <c r="AT138" i="30"/>
  <c r="AU137" i="30" s="1"/>
  <c r="AS74" i="30"/>
  <c r="AS73" i="30"/>
  <c r="AU12" i="19"/>
  <c r="AU14" i="19" s="1"/>
  <c r="AU87" i="19" s="1"/>
  <c r="AS107" i="30"/>
  <c r="AS108" i="30"/>
  <c r="AV104" i="30"/>
  <c r="AW103" i="30" s="1"/>
  <c r="AR161" i="30"/>
  <c r="AR163" i="30" s="1"/>
  <c r="AT25" i="19"/>
  <c r="AS91" i="30"/>
  <c r="AS90" i="30"/>
  <c r="AX121" i="30"/>
  <c r="AY120" i="30" s="1"/>
  <c r="AS155" i="30"/>
  <c r="AT154" i="30" s="1"/>
  <c r="AR85" i="18" l="1"/>
  <c r="AM24" i="18"/>
  <c r="AM84" i="18"/>
  <c r="AO25" i="30"/>
  <c r="AO194" i="30" s="1"/>
  <c r="AO192" i="30"/>
  <c r="AP23" i="30"/>
  <c r="AP22" i="30"/>
  <c r="AP191" i="30" s="1"/>
  <c r="AN13" i="18"/>
  <c r="AM196" i="30"/>
  <c r="AN27" i="30"/>
  <c r="AN194" i="30"/>
  <c r="AO27" i="30"/>
  <c r="AQ185" i="30"/>
  <c r="AR21" i="18" s="1"/>
  <c r="AR92" i="18" s="1"/>
  <c r="AQ19" i="30"/>
  <c r="AR186" i="30"/>
  <c r="AR184" i="30"/>
  <c r="AS15" i="30"/>
  <c r="AS14" i="18"/>
  <c r="AP187" i="30"/>
  <c r="AR16" i="30"/>
  <c r="AS16" i="30" s="1"/>
  <c r="AS185" i="30" s="1"/>
  <c r="AT21" i="18" s="1"/>
  <c r="AT92" i="18" s="1"/>
  <c r="AQ186" i="30"/>
  <c r="AP188" i="30"/>
  <c r="AQ18" i="30"/>
  <c r="AT15" i="18"/>
  <c r="AS27" i="18"/>
  <c r="AT87" i="30"/>
  <c r="AU86" i="30" s="1"/>
  <c r="AS42" i="30"/>
  <c r="AS44" i="30" s="1"/>
  <c r="AS93" i="30"/>
  <c r="AS95" i="30" s="1"/>
  <c r="AS144" i="30"/>
  <c r="AS146" i="30" s="1"/>
  <c r="AS178" i="30"/>
  <c r="AS180" i="30" s="1"/>
  <c r="AV12" i="19"/>
  <c r="AV14" i="19" s="1"/>
  <c r="AV87" i="19" s="1"/>
  <c r="AT159" i="30"/>
  <c r="AT158" i="30"/>
  <c r="AW104" i="30"/>
  <c r="AX103" i="30" s="1"/>
  <c r="AT74" i="30"/>
  <c r="AT73" i="30"/>
  <c r="AT155" i="30"/>
  <c r="AU154" i="30" s="1"/>
  <c r="AT39" i="30"/>
  <c r="AT40" i="30"/>
  <c r="AW172" i="30"/>
  <c r="AX171" i="30" s="1"/>
  <c r="AU25" i="19"/>
  <c r="AX36" i="30"/>
  <c r="AY35" i="30" s="1"/>
  <c r="AT70" i="30"/>
  <c r="AU69" i="30" s="1"/>
  <c r="AU138" i="30"/>
  <c r="AV137" i="30" s="1"/>
  <c r="AS76" i="30"/>
  <c r="AS78" i="30" s="1"/>
  <c r="AT176" i="30"/>
  <c r="AT175" i="30"/>
  <c r="AT57" i="30"/>
  <c r="AT56" i="30"/>
  <c r="AS59" i="30"/>
  <c r="AS61" i="30" s="1"/>
  <c r="AS110" i="30"/>
  <c r="AS112" i="30" s="1"/>
  <c r="AT108" i="30"/>
  <c r="AT107" i="30"/>
  <c r="AT125" i="30"/>
  <c r="AT124" i="30"/>
  <c r="AY121" i="30"/>
  <c r="AZ120" i="30" s="1"/>
  <c r="AS127" i="30"/>
  <c r="AS129" i="30" s="1"/>
  <c r="AU53" i="30"/>
  <c r="AV52" i="30" s="1"/>
  <c r="AT91" i="30"/>
  <c r="AT90" i="30"/>
  <c r="AT142" i="30"/>
  <c r="AT141" i="30"/>
  <c r="AW11" i="19"/>
  <c r="AW10" i="19"/>
  <c r="AS161" i="30"/>
  <c r="AS163" i="30" s="1"/>
  <c r="AN24" i="18" l="1"/>
  <c r="AN84" i="18"/>
  <c r="AS85" i="18"/>
  <c r="AP25" i="30"/>
  <c r="AP27" i="30" s="1"/>
  <c r="AR18" i="30"/>
  <c r="AQ188" i="30"/>
  <c r="AQ187" i="30"/>
  <c r="AP13" i="18"/>
  <c r="AO196" i="30"/>
  <c r="AO13" i="18"/>
  <c r="AN196" i="30"/>
  <c r="AR185" i="30"/>
  <c r="AS21" i="18" s="1"/>
  <c r="AS92" i="18" s="1"/>
  <c r="AR19" i="30"/>
  <c r="AP192" i="30"/>
  <c r="AQ23" i="30"/>
  <c r="AQ22" i="30"/>
  <c r="AQ191" i="30" s="1"/>
  <c r="AS184" i="30"/>
  <c r="AT15" i="30"/>
  <c r="AT14" i="18"/>
  <c r="AS17" i="30"/>
  <c r="AU15" i="18"/>
  <c r="AT27" i="18"/>
  <c r="AT59" i="30"/>
  <c r="AT61" i="30" s="1"/>
  <c r="AU87" i="30"/>
  <c r="AV86" i="30" s="1"/>
  <c r="AT178" i="30"/>
  <c r="AT180" i="30" s="1"/>
  <c r="AT127" i="30"/>
  <c r="AT129" i="30" s="1"/>
  <c r="AW12" i="19"/>
  <c r="AW14" i="19" s="1"/>
  <c r="AW87" i="19" s="1"/>
  <c r="AV25" i="19"/>
  <c r="AT144" i="30"/>
  <c r="AT146" i="30" s="1"/>
  <c r="AT110" i="30"/>
  <c r="AT112" i="30" s="1"/>
  <c r="AT161" i="30"/>
  <c r="AT163" i="30" s="1"/>
  <c r="AT93" i="30"/>
  <c r="AT95" i="30" s="1"/>
  <c r="AU39" i="30"/>
  <c r="AU40" i="30"/>
  <c r="AU70" i="30"/>
  <c r="AV69" i="30" s="1"/>
  <c r="AU155" i="30"/>
  <c r="AV154" i="30" s="1"/>
  <c r="AU107" i="30"/>
  <c r="AU108" i="30"/>
  <c r="AV138" i="30"/>
  <c r="AW137" i="30" s="1"/>
  <c r="AU73" i="30"/>
  <c r="AU74" i="30"/>
  <c r="AU57" i="30"/>
  <c r="AU56" i="30"/>
  <c r="AX104" i="30"/>
  <c r="AY103" i="30" s="1"/>
  <c r="AY36" i="30"/>
  <c r="AZ35" i="30" s="1"/>
  <c r="AT42" i="30"/>
  <c r="AT44" i="30" s="1"/>
  <c r="AU159" i="30"/>
  <c r="AU158" i="30"/>
  <c r="AV53" i="30"/>
  <c r="AW52" i="30" s="1"/>
  <c r="AX10" i="19"/>
  <c r="AX11" i="19"/>
  <c r="AZ121" i="30"/>
  <c r="BA120" i="30" s="1"/>
  <c r="AU142" i="30"/>
  <c r="AU141" i="30"/>
  <c r="AT76" i="30"/>
  <c r="AT78" i="30" s="1"/>
  <c r="AX172" i="30"/>
  <c r="AY171" i="30" s="1"/>
  <c r="AU90" i="30"/>
  <c r="AU91" i="30"/>
  <c r="AU125" i="30"/>
  <c r="AU124" i="30"/>
  <c r="AU176" i="30"/>
  <c r="AU175" i="30"/>
  <c r="AO24" i="18" l="1"/>
  <c r="AO84" i="18"/>
  <c r="AP24" i="18"/>
  <c r="AP84" i="18"/>
  <c r="AT85" i="18"/>
  <c r="AP194" i="30"/>
  <c r="AR188" i="30"/>
  <c r="AS18" i="30"/>
  <c r="AT184" i="30"/>
  <c r="AT17" i="30"/>
  <c r="AU15" i="30"/>
  <c r="AU14" i="18"/>
  <c r="AQ192" i="30"/>
  <c r="AR22" i="30"/>
  <c r="AR191" i="30" s="1"/>
  <c r="AR23" i="30"/>
  <c r="AT16" i="30"/>
  <c r="AS186" i="30"/>
  <c r="AQ13" i="18"/>
  <c r="AP196" i="30"/>
  <c r="AQ25" i="30"/>
  <c r="AS19" i="30"/>
  <c r="AR187" i="30"/>
  <c r="AV15" i="18"/>
  <c r="AU27" i="18"/>
  <c r="AW25" i="19"/>
  <c r="AV87" i="30"/>
  <c r="AW86" i="30" s="1"/>
  <c r="AU178" i="30"/>
  <c r="AU180" i="30" s="1"/>
  <c r="AU76" i="30"/>
  <c r="AU78" i="30" s="1"/>
  <c r="AU127" i="30"/>
  <c r="AU129" i="30" s="1"/>
  <c r="AU144" i="30"/>
  <c r="AU146" i="30" s="1"/>
  <c r="AU110" i="30"/>
  <c r="AU112" i="30" s="1"/>
  <c r="AU59" i="30"/>
  <c r="AU61" i="30" s="1"/>
  <c r="AU42" i="30"/>
  <c r="AU44" i="30" s="1"/>
  <c r="AY10" i="19"/>
  <c r="AY11" i="19"/>
  <c r="AV74" i="30"/>
  <c r="AV73" i="30"/>
  <c r="AV108" i="30"/>
  <c r="AV107" i="30"/>
  <c r="AV159" i="30"/>
  <c r="AV158" i="30"/>
  <c r="AZ36" i="30"/>
  <c r="BA35" i="30" s="1"/>
  <c r="AV155" i="30"/>
  <c r="AW154" i="30" s="1"/>
  <c r="AW138" i="30"/>
  <c r="AX137" i="30" s="1"/>
  <c r="AV70" i="30"/>
  <c r="AW69" i="30" s="1"/>
  <c r="BA121" i="30"/>
  <c r="BB120" i="30" s="1"/>
  <c r="AX12" i="19"/>
  <c r="AX14" i="19" s="1"/>
  <c r="AX87" i="19" s="1"/>
  <c r="AU161" i="30"/>
  <c r="AU163" i="30" s="1"/>
  <c r="AV91" i="30"/>
  <c r="AV90" i="30"/>
  <c r="AY104" i="30"/>
  <c r="AZ103" i="30" s="1"/>
  <c r="AV39" i="30"/>
  <c r="AV40" i="30"/>
  <c r="AV141" i="30"/>
  <c r="AV142" i="30"/>
  <c r="AV175" i="30"/>
  <c r="AV176" i="30"/>
  <c r="AV125" i="30"/>
  <c r="AV124" i="30"/>
  <c r="AU93" i="30"/>
  <c r="AU95" i="30" s="1"/>
  <c r="AW53" i="30"/>
  <c r="AX52" i="30" s="1"/>
  <c r="AY172" i="30"/>
  <c r="AZ171" i="30" s="1"/>
  <c r="AV57" i="30"/>
  <c r="AV56" i="30"/>
  <c r="AU85" i="18" l="1"/>
  <c r="AQ24" i="18"/>
  <c r="AQ84" i="18"/>
  <c r="AT185" i="30"/>
  <c r="AU21" i="18" s="1"/>
  <c r="AU92" i="18" s="1"/>
  <c r="AT19" i="30"/>
  <c r="AR192" i="30"/>
  <c r="AS23" i="30"/>
  <c r="AS22" i="30"/>
  <c r="AS191" i="30" s="1"/>
  <c r="AQ27" i="30"/>
  <c r="AQ194" i="30"/>
  <c r="AU184" i="30"/>
  <c r="AU17" i="30"/>
  <c r="AV14" i="18"/>
  <c r="AV15" i="30"/>
  <c r="AU16" i="30"/>
  <c r="AT186" i="30"/>
  <c r="AR25" i="30"/>
  <c r="AS187" i="30"/>
  <c r="AT18" i="30"/>
  <c r="AS188" i="30"/>
  <c r="AW15" i="18"/>
  <c r="AV27" i="18"/>
  <c r="BA36" i="30"/>
  <c r="BB35" i="30" s="1"/>
  <c r="AW87" i="30"/>
  <c r="AX86" i="30" s="1"/>
  <c r="AV76" i="30"/>
  <c r="AV78" i="30" s="1"/>
  <c r="AV59" i="30"/>
  <c r="AV61" i="30" s="1"/>
  <c r="AV161" i="30"/>
  <c r="AV163" i="30" s="1"/>
  <c r="AV93" i="30"/>
  <c r="AV95" i="30" s="1"/>
  <c r="AV127" i="30"/>
  <c r="AV129" i="30" s="1"/>
  <c r="AV144" i="30"/>
  <c r="AV146" i="30" s="1"/>
  <c r="AW141" i="30"/>
  <c r="AW142" i="30"/>
  <c r="AZ172" i="30"/>
  <c r="BA171" i="30" s="1"/>
  <c r="BB121" i="30"/>
  <c r="BC120" i="30" s="1"/>
  <c r="AW159" i="30"/>
  <c r="AW158" i="30"/>
  <c r="AX25" i="19"/>
  <c r="AW70" i="30"/>
  <c r="AX69" i="30" s="1"/>
  <c r="AV110" i="30"/>
  <c r="AV112" i="30" s="1"/>
  <c r="AW39" i="30"/>
  <c r="AW40" i="30"/>
  <c r="AW108" i="30"/>
  <c r="AW107" i="30"/>
  <c r="AV42" i="30"/>
  <c r="AV44" i="30" s="1"/>
  <c r="AX138" i="30"/>
  <c r="AY137" i="30" s="1"/>
  <c r="AW74" i="30"/>
  <c r="AW73" i="30"/>
  <c r="AX53" i="30"/>
  <c r="AY52" i="30" s="1"/>
  <c r="AZ10" i="19"/>
  <c r="AZ11" i="19"/>
  <c r="AY12" i="19"/>
  <c r="AY14" i="19" s="1"/>
  <c r="AY87" i="19" s="1"/>
  <c r="AZ104" i="30"/>
  <c r="BA103" i="30" s="1"/>
  <c r="AW124" i="30"/>
  <c r="AW125" i="30"/>
  <c r="AW176" i="30"/>
  <c r="AW175" i="30"/>
  <c r="AW90" i="30"/>
  <c r="AW91" i="30"/>
  <c r="AW155" i="30"/>
  <c r="AX154" i="30" s="1"/>
  <c r="AW56" i="30"/>
  <c r="AW57" i="30"/>
  <c r="AV178" i="30"/>
  <c r="AV180" i="30" s="1"/>
  <c r="AV85" i="18" l="1"/>
  <c r="AS25" i="30"/>
  <c r="AS27" i="30" s="1"/>
  <c r="AV16" i="30"/>
  <c r="AU186" i="30"/>
  <c r="AR13" i="18"/>
  <c r="AQ196" i="30"/>
  <c r="AV184" i="30"/>
  <c r="AV17" i="30"/>
  <c r="AW14" i="18"/>
  <c r="AW15" i="30"/>
  <c r="AS192" i="30"/>
  <c r="AT22" i="30"/>
  <c r="AT191" i="30" s="1"/>
  <c r="AT23" i="30"/>
  <c r="AU185" i="30"/>
  <c r="AV21" i="18" s="1"/>
  <c r="AV92" i="18" s="1"/>
  <c r="AU19" i="30"/>
  <c r="AT187" i="30"/>
  <c r="AU18" i="30"/>
  <c r="AT188" i="30"/>
  <c r="AR27" i="30"/>
  <c r="AR194" i="30"/>
  <c r="AX15" i="18"/>
  <c r="AW27" i="18"/>
  <c r="BB36" i="30"/>
  <c r="BC35" i="30" s="1"/>
  <c r="AX87" i="30"/>
  <c r="AY86" i="30" s="1"/>
  <c r="AW110" i="30"/>
  <c r="AW112" i="30" s="1"/>
  <c r="AW161" i="30"/>
  <c r="AW163" i="30" s="1"/>
  <c r="AW59" i="30"/>
  <c r="AW61" i="30" s="1"/>
  <c r="AX159" i="30"/>
  <c r="AX158" i="30"/>
  <c r="BA104" i="30"/>
  <c r="BB103" i="30" s="1"/>
  <c r="AX108" i="30"/>
  <c r="AX107" i="30"/>
  <c r="AX73" i="30"/>
  <c r="AX74" i="30"/>
  <c r="AX40" i="30"/>
  <c r="AX39" i="30"/>
  <c r="BC121" i="30"/>
  <c r="BD120" i="30" s="1"/>
  <c r="AW178" i="30"/>
  <c r="AW180" i="30" s="1"/>
  <c r="AW127" i="30"/>
  <c r="AW129" i="30" s="1"/>
  <c r="BA172" i="30"/>
  <c r="BB171" i="30" s="1"/>
  <c r="AX175" i="30"/>
  <c r="AX176" i="30"/>
  <c r="AW76" i="30"/>
  <c r="AW78" i="30" s="1"/>
  <c r="AX142" i="30"/>
  <c r="AX141" i="30"/>
  <c r="AY138" i="30"/>
  <c r="AZ137" i="30" s="1"/>
  <c r="BA11" i="19"/>
  <c r="BA10" i="19"/>
  <c r="AW144" i="30"/>
  <c r="AW146" i="30" s="1"/>
  <c r="AW42" i="30"/>
  <c r="AW44" i="30" s="1"/>
  <c r="AX70" i="30"/>
  <c r="AY69" i="30" s="1"/>
  <c r="AX91" i="30"/>
  <c r="AX90" i="30"/>
  <c r="AX125" i="30"/>
  <c r="AX124" i="30"/>
  <c r="AX56" i="30"/>
  <c r="AX57" i="30"/>
  <c r="AY25" i="19"/>
  <c r="AX155" i="30"/>
  <c r="AY154" i="30" s="1"/>
  <c r="AZ12" i="19"/>
  <c r="AZ14" i="19" s="1"/>
  <c r="AZ87" i="19" s="1"/>
  <c r="AY53" i="30"/>
  <c r="AZ52" i="30" s="1"/>
  <c r="AW93" i="30"/>
  <c r="AW95" i="30" s="1"/>
  <c r="AW85" i="18" l="1"/>
  <c r="AR24" i="18"/>
  <c r="AR84" i="18"/>
  <c r="AS194" i="30"/>
  <c r="AT192" i="30"/>
  <c r="AU22" i="30"/>
  <c r="AU191" i="30" s="1"/>
  <c r="AU23" i="30"/>
  <c r="AV18" i="30"/>
  <c r="AU188" i="30"/>
  <c r="AU187" i="30"/>
  <c r="AW184" i="30"/>
  <c r="AX14" i="18"/>
  <c r="AW17" i="30"/>
  <c r="AX15" i="30"/>
  <c r="AS13" i="18"/>
  <c r="AR196" i="30"/>
  <c r="AW16" i="30"/>
  <c r="AV186" i="30"/>
  <c r="AT13" i="18"/>
  <c r="AS196" i="30"/>
  <c r="AT25" i="30"/>
  <c r="AV185" i="30"/>
  <c r="AW21" i="18" s="1"/>
  <c r="AW92" i="18" s="1"/>
  <c r="AV19" i="30"/>
  <c r="AY15" i="18"/>
  <c r="AX27" i="18"/>
  <c r="BC36" i="30"/>
  <c r="BD35" i="30" s="1"/>
  <c r="AY87" i="30"/>
  <c r="AZ86" i="30" s="1"/>
  <c r="AX127" i="30"/>
  <c r="AX129" i="30" s="1"/>
  <c r="BA12" i="19"/>
  <c r="BA14" i="19" s="1"/>
  <c r="AX110" i="30"/>
  <c r="AX112" i="30" s="1"/>
  <c r="AY142" i="30"/>
  <c r="AY141" i="30"/>
  <c r="AX178" i="30"/>
  <c r="AX180" i="30" s="1"/>
  <c r="AX42" i="30"/>
  <c r="AX44" i="30" s="1"/>
  <c r="AY39" i="30"/>
  <c r="AY40" i="30"/>
  <c r="AY73" i="30"/>
  <c r="AY74" i="30"/>
  <c r="BB172" i="30"/>
  <c r="BC171" i="30" s="1"/>
  <c r="BD121" i="30"/>
  <c r="BE120" i="30" s="1"/>
  <c r="AY155" i="30"/>
  <c r="AZ154" i="30" s="1"/>
  <c r="AY108" i="30"/>
  <c r="AY107" i="30"/>
  <c r="BB104" i="30"/>
  <c r="BC103" i="30" s="1"/>
  <c r="AZ25" i="19"/>
  <c r="AX144" i="30"/>
  <c r="AX146" i="30" s="1"/>
  <c r="AZ53" i="30"/>
  <c r="BA52" i="30" s="1"/>
  <c r="AY57" i="30"/>
  <c r="AY56" i="30"/>
  <c r="AX59" i="30"/>
  <c r="AX61" i="30" s="1"/>
  <c r="AY70" i="30"/>
  <c r="AZ69" i="30" s="1"/>
  <c r="AY159" i="30"/>
  <c r="AY158" i="30"/>
  <c r="AY90" i="30"/>
  <c r="AY91" i="30"/>
  <c r="AY176" i="30"/>
  <c r="AY175" i="30"/>
  <c r="AX161" i="30"/>
  <c r="AX163" i="30" s="1"/>
  <c r="BB11" i="19"/>
  <c r="BB10" i="19"/>
  <c r="AZ138" i="30"/>
  <c r="BA137" i="30" s="1"/>
  <c r="AY124" i="30"/>
  <c r="AY125" i="30"/>
  <c r="AX76" i="30"/>
  <c r="AX78" i="30" s="1"/>
  <c r="AX93" i="30"/>
  <c r="AX95" i="30" s="1"/>
  <c r="AT24" i="18" l="1"/>
  <c r="AT84" i="18"/>
  <c r="AX85" i="18"/>
  <c r="BA25" i="19"/>
  <c r="BA87" i="19"/>
  <c r="AS24" i="18"/>
  <c r="AS84" i="18"/>
  <c r="AU25" i="30"/>
  <c r="AU194" i="30" s="1"/>
  <c r="AW185" i="30"/>
  <c r="AX21" i="18" s="1"/>
  <c r="AX92" i="18" s="1"/>
  <c r="AW19" i="30"/>
  <c r="AX16" i="30"/>
  <c r="AW186" i="30"/>
  <c r="AX184" i="30"/>
  <c r="AY14" i="18"/>
  <c r="AX17" i="30"/>
  <c r="AY15" i="30"/>
  <c r="AY17" i="30" s="1"/>
  <c r="AT27" i="30"/>
  <c r="AT194" i="30"/>
  <c r="AV187" i="30"/>
  <c r="AU192" i="30"/>
  <c r="AV23" i="30"/>
  <c r="AV22" i="30"/>
  <c r="AV191" i="30" s="1"/>
  <c r="AW18" i="30"/>
  <c r="AV188" i="30"/>
  <c r="AZ15" i="18"/>
  <c r="AY27" i="18"/>
  <c r="BD36" i="30"/>
  <c r="BE35" i="30" s="1"/>
  <c r="AZ87" i="30"/>
  <c r="BA86" i="30" s="1"/>
  <c r="BB12" i="19"/>
  <c r="BB14" i="19" s="1"/>
  <c r="AY110" i="30"/>
  <c r="AY112" i="30" s="1"/>
  <c r="AY144" i="30"/>
  <c r="AY146" i="30" s="1"/>
  <c r="AY161" i="30"/>
  <c r="AY163" i="30" s="1"/>
  <c r="AY42" i="30"/>
  <c r="AY44" i="30" s="1"/>
  <c r="AY76" i="30"/>
  <c r="AY78" i="30" s="1"/>
  <c r="AY127" i="30"/>
  <c r="AY129" i="30" s="1"/>
  <c r="AZ108" i="30"/>
  <c r="AZ107" i="30"/>
  <c r="BA53" i="30"/>
  <c r="BB52" i="30" s="1"/>
  <c r="AZ155" i="30"/>
  <c r="BA154" i="30" s="1"/>
  <c r="AY59" i="30"/>
  <c r="AY61" i="30" s="1"/>
  <c r="AY178" i="30"/>
  <c r="AY180" i="30" s="1"/>
  <c r="AZ141" i="30"/>
  <c r="AZ142" i="30"/>
  <c r="AZ175" i="30"/>
  <c r="AZ176" i="30"/>
  <c r="AZ57" i="30"/>
  <c r="AZ56" i="30"/>
  <c r="AY93" i="30"/>
  <c r="AY95" i="30" s="1"/>
  <c r="BA138" i="30"/>
  <c r="BB137" i="30" s="1"/>
  <c r="AZ124" i="30"/>
  <c r="AZ125" i="30"/>
  <c r="AZ39" i="30"/>
  <c r="AZ40" i="30"/>
  <c r="AZ90" i="30"/>
  <c r="AZ91" i="30"/>
  <c r="BE121" i="30"/>
  <c r="BF120" i="30" s="1"/>
  <c r="AZ159" i="30"/>
  <c r="AZ158" i="30"/>
  <c r="BC172" i="30"/>
  <c r="BD171" i="30" s="1"/>
  <c r="AZ70" i="30"/>
  <c r="BA69" i="30" s="1"/>
  <c r="AZ73" i="30"/>
  <c r="AZ74" i="30"/>
  <c r="BC104" i="30"/>
  <c r="BD103" i="30" s="1"/>
  <c r="BC10" i="19"/>
  <c r="BC11" i="19"/>
  <c r="AU27" i="30" l="1"/>
  <c r="AV13" i="18" s="1"/>
  <c r="BB24" i="19"/>
  <c r="BB87" i="19"/>
  <c r="AY85" i="18"/>
  <c r="AY186" i="30"/>
  <c r="AY184" i="30"/>
  <c r="AZ15" i="30"/>
  <c r="AZ14" i="18"/>
  <c r="AW187" i="30"/>
  <c r="AV192" i="30"/>
  <c r="AW23" i="30"/>
  <c r="AW22" i="30"/>
  <c r="AW191" i="30" s="1"/>
  <c r="AU13" i="18"/>
  <c r="AT196" i="30"/>
  <c r="AY16" i="30"/>
  <c r="AX186" i="30"/>
  <c r="AX18" i="30"/>
  <c r="AW188" i="30"/>
  <c r="AU196" i="30"/>
  <c r="AX185" i="30"/>
  <c r="AY21" i="18" s="1"/>
  <c r="AY92" i="18" s="1"/>
  <c r="AX19" i="30"/>
  <c r="AV25" i="30"/>
  <c r="BA15" i="18"/>
  <c r="AZ27" i="18"/>
  <c r="BB53" i="30"/>
  <c r="BC52" i="30" s="1"/>
  <c r="BE36" i="30"/>
  <c r="BF35" i="30" s="1"/>
  <c r="AZ76" i="30"/>
  <c r="AZ78" i="30" s="1"/>
  <c r="BA87" i="30"/>
  <c r="BB86" i="30" s="1"/>
  <c r="BB25" i="19"/>
  <c r="AZ110" i="30"/>
  <c r="AZ112" i="30" s="1"/>
  <c r="AZ59" i="30"/>
  <c r="AZ61" i="30" s="1"/>
  <c r="AZ42" i="30"/>
  <c r="AZ44" i="30" s="1"/>
  <c r="AZ161" i="30"/>
  <c r="AZ163" i="30" s="1"/>
  <c r="BA90" i="30"/>
  <c r="BA91" i="30"/>
  <c r="BA155" i="30"/>
  <c r="BB154" i="30" s="1"/>
  <c r="BA73" i="30"/>
  <c r="BA74" i="30"/>
  <c r="BA40" i="30"/>
  <c r="BA39" i="30"/>
  <c r="BA124" i="30"/>
  <c r="BA125" i="30"/>
  <c r="BA141" i="30"/>
  <c r="BA142" i="30"/>
  <c r="AZ93" i="30"/>
  <c r="AZ95" i="30" s="1"/>
  <c r="BA70" i="30"/>
  <c r="BB69" i="30" s="1"/>
  <c r="BD11" i="19"/>
  <c r="BD10" i="19"/>
  <c r="BA158" i="30"/>
  <c r="BA159" i="30"/>
  <c r="BA107" i="30"/>
  <c r="BA108" i="30"/>
  <c r="AZ127" i="30"/>
  <c r="AZ129" i="30" s="1"/>
  <c r="BA56" i="30"/>
  <c r="BA57" i="30"/>
  <c r="BD172" i="30"/>
  <c r="BE171" i="30" s="1"/>
  <c r="BA176" i="30"/>
  <c r="BA175" i="30"/>
  <c r="AZ178" i="30"/>
  <c r="AZ180" i="30" s="1"/>
  <c r="BC12" i="19"/>
  <c r="BC14" i="19" s="1"/>
  <c r="BC87" i="19" s="1"/>
  <c r="BB138" i="30"/>
  <c r="BC137" i="30" s="1"/>
  <c r="AZ144" i="30"/>
  <c r="AZ146" i="30" s="1"/>
  <c r="BD104" i="30"/>
  <c r="BE103" i="30" s="1"/>
  <c r="BF121" i="30"/>
  <c r="BG120" i="30" s="1"/>
  <c r="AZ85" i="18" l="1"/>
  <c r="AV24" i="18"/>
  <c r="AV84" i="18"/>
  <c r="AU24" i="18"/>
  <c r="AU84" i="18"/>
  <c r="AW25" i="30"/>
  <c r="AW194" i="30" s="1"/>
  <c r="AW192" i="30"/>
  <c r="AX23" i="30"/>
  <c r="AX22" i="30"/>
  <c r="AX191" i="30" s="1"/>
  <c r="AV27" i="30"/>
  <c r="AV194" i="30"/>
  <c r="AY18" i="30"/>
  <c r="AX188" i="30"/>
  <c r="BA15" i="30"/>
  <c r="BA17" i="30" s="1"/>
  <c r="AZ184" i="30"/>
  <c r="AZ17" i="30"/>
  <c r="BA14" i="18"/>
  <c r="AY185" i="30"/>
  <c r="AZ21" i="18" s="1"/>
  <c r="AZ92" i="18" s="1"/>
  <c r="AY19" i="30"/>
  <c r="AX187" i="30"/>
  <c r="AZ16" i="30"/>
  <c r="BB15" i="18"/>
  <c r="BA27" i="18"/>
  <c r="BC53" i="30"/>
  <c r="BD52" i="30" s="1"/>
  <c r="BF36" i="30"/>
  <c r="BG35" i="30" s="1"/>
  <c r="BB87" i="30"/>
  <c r="BC86" i="30" s="1"/>
  <c r="BA178" i="30"/>
  <c r="BA180" i="30" s="1"/>
  <c r="BE172" i="30"/>
  <c r="BF171" i="30" s="1"/>
  <c r="BB159" i="30"/>
  <c r="BB158" i="30"/>
  <c r="BA110" i="30"/>
  <c r="BA112" i="30" s="1"/>
  <c r="BA42" i="30"/>
  <c r="BA44" i="30" s="1"/>
  <c r="BB175" i="30"/>
  <c r="BB176" i="30"/>
  <c r="BB74" i="30"/>
  <c r="BB73" i="30"/>
  <c r="BB125" i="30"/>
  <c r="BB124" i="30"/>
  <c r="BB107" i="30"/>
  <c r="BB108" i="30"/>
  <c r="BE10" i="19"/>
  <c r="BE11" i="19"/>
  <c r="BB155" i="30"/>
  <c r="BC154" i="30" s="1"/>
  <c r="BE104" i="30"/>
  <c r="BF103" i="30" s="1"/>
  <c r="BD12" i="19"/>
  <c r="BD14" i="19" s="1"/>
  <c r="BD87" i="19" s="1"/>
  <c r="BA76" i="30"/>
  <c r="BA78" i="30" s="1"/>
  <c r="BA127" i="30"/>
  <c r="BA129" i="30" s="1"/>
  <c r="BB39" i="30"/>
  <c r="BB40" i="30"/>
  <c r="BB70" i="30"/>
  <c r="BC69" i="30" s="1"/>
  <c r="BB90" i="30"/>
  <c r="BB91" i="30"/>
  <c r="BG121" i="30"/>
  <c r="BH120" i="30" s="1"/>
  <c r="BA161" i="30"/>
  <c r="BA163" i="30" s="1"/>
  <c r="BB56" i="30"/>
  <c r="BB57" i="30"/>
  <c r="BA59" i="30"/>
  <c r="BA61" i="30" s="1"/>
  <c r="BC138" i="30"/>
  <c r="BD137" i="30" s="1"/>
  <c r="BC24" i="19"/>
  <c r="BC25" i="19"/>
  <c r="BB141" i="30"/>
  <c r="BB142" i="30"/>
  <c r="BA144" i="30"/>
  <c r="BA146" i="30" s="1"/>
  <c r="BA93" i="30"/>
  <c r="BA95" i="30" s="1"/>
  <c r="AW27" i="30" l="1"/>
  <c r="AX13" i="18" s="1"/>
  <c r="BA85" i="18"/>
  <c r="AX25" i="30"/>
  <c r="AX27" i="30" s="1"/>
  <c r="BA184" i="30"/>
  <c r="BB15" i="30"/>
  <c r="BB17" i="30" s="1"/>
  <c r="BB14" i="18"/>
  <c r="AY187" i="30"/>
  <c r="BA186" i="30"/>
  <c r="AZ185" i="30"/>
  <c r="BA21" i="18" s="1"/>
  <c r="BA92" i="18" s="1"/>
  <c r="AZ19" i="30"/>
  <c r="AW13" i="18"/>
  <c r="AV196" i="30"/>
  <c r="BA16" i="30"/>
  <c r="BB16" i="30" s="1"/>
  <c r="AZ186" i="30"/>
  <c r="AZ18" i="30"/>
  <c r="AY188" i="30"/>
  <c r="AX192" i="30"/>
  <c r="AY23" i="30"/>
  <c r="AY22" i="30"/>
  <c r="AY191" i="30" s="1"/>
  <c r="BC15" i="18"/>
  <c r="BB27" i="18"/>
  <c r="BD53" i="30"/>
  <c r="BE52" i="30" s="1"/>
  <c r="BG36" i="30"/>
  <c r="BH35" i="30" s="1"/>
  <c r="BC87" i="30"/>
  <c r="BD86" i="30" s="1"/>
  <c r="BB161" i="30"/>
  <c r="BB163" i="30" s="1"/>
  <c r="BB76" i="30"/>
  <c r="BB78" i="30" s="1"/>
  <c r="BB144" i="30"/>
  <c r="BB146" i="30" s="1"/>
  <c r="BB59" i="30"/>
  <c r="BB61" i="30" s="1"/>
  <c r="BB93" i="30"/>
  <c r="BB95" i="30" s="1"/>
  <c r="BB127" i="30"/>
  <c r="BB129" i="30" s="1"/>
  <c r="BC124" i="30"/>
  <c r="BC125" i="30"/>
  <c r="BH121" i="30"/>
  <c r="BI120" i="30" s="1"/>
  <c r="BC73" i="30"/>
  <c r="BC74" i="30"/>
  <c r="BC57" i="30"/>
  <c r="BC56" i="30"/>
  <c r="BC175" i="30"/>
  <c r="BC176" i="30"/>
  <c r="BC90" i="30"/>
  <c r="BC91" i="30"/>
  <c r="BB178" i="30"/>
  <c r="BB180" i="30" s="1"/>
  <c r="BF11" i="19"/>
  <c r="BF10" i="19"/>
  <c r="BD25" i="19"/>
  <c r="BD24" i="19"/>
  <c r="BC158" i="30"/>
  <c r="BC159" i="30"/>
  <c r="BF172" i="30"/>
  <c r="BG171" i="30" s="1"/>
  <c r="BE12" i="19"/>
  <c r="BE14" i="19" s="1"/>
  <c r="BE87" i="19" s="1"/>
  <c r="BF104" i="30"/>
  <c r="BG103" i="30" s="1"/>
  <c r="BC155" i="30"/>
  <c r="BD154" i="30" s="1"/>
  <c r="BC70" i="30"/>
  <c r="BD69" i="30" s="1"/>
  <c r="BD138" i="30"/>
  <c r="BE137" i="30" s="1"/>
  <c r="BC40" i="30"/>
  <c r="BC39" i="30"/>
  <c r="BB42" i="30"/>
  <c r="BB44" i="30" s="1"/>
  <c r="BC108" i="30"/>
  <c r="BC107" i="30"/>
  <c r="BC142" i="30"/>
  <c r="BC141" i="30"/>
  <c r="BB110" i="30"/>
  <c r="BB112" i="30" s="1"/>
  <c r="AW196" i="30" l="1"/>
  <c r="AX24" i="18"/>
  <c r="AX84" i="18"/>
  <c r="BB85" i="18"/>
  <c r="AW24" i="18"/>
  <c r="AW84" i="18"/>
  <c r="AX194" i="30"/>
  <c r="BB185" i="30"/>
  <c r="BC21" i="18" s="1"/>
  <c r="BC92" i="18" s="1"/>
  <c r="BB19" i="30"/>
  <c r="AZ187" i="30"/>
  <c r="AY25" i="30"/>
  <c r="BB186" i="30"/>
  <c r="BC16" i="30"/>
  <c r="AY192" i="30"/>
  <c r="AZ22" i="30"/>
  <c r="AZ191" i="30" s="1"/>
  <c r="AZ23" i="30"/>
  <c r="AY13" i="18"/>
  <c r="AX196" i="30"/>
  <c r="BC15" i="30"/>
  <c r="BB184" i="30"/>
  <c r="BC14" i="18"/>
  <c r="BC85" i="18" s="1"/>
  <c r="BA185" i="30"/>
  <c r="BB21" i="18" s="1"/>
  <c r="BB92" i="18" s="1"/>
  <c r="BA19" i="30"/>
  <c r="BA18" i="30"/>
  <c r="AZ188" i="30"/>
  <c r="BD15" i="18"/>
  <c r="BC27" i="18"/>
  <c r="BE53" i="30"/>
  <c r="BF52" i="30" s="1"/>
  <c r="BH36" i="30"/>
  <c r="BI35" i="30" s="1"/>
  <c r="BD87" i="30"/>
  <c r="BE86" i="30" s="1"/>
  <c r="BC144" i="30"/>
  <c r="BC146" i="30" s="1"/>
  <c r="BC110" i="30"/>
  <c r="BC112" i="30" s="1"/>
  <c r="BC161" i="30"/>
  <c r="BC163" i="30" s="1"/>
  <c r="BC59" i="30"/>
  <c r="BC61" i="30" s="1"/>
  <c r="BD39" i="30"/>
  <c r="BD40" i="30"/>
  <c r="BE138" i="30"/>
  <c r="BF137" i="30" s="1"/>
  <c r="BD175" i="30"/>
  <c r="BD176" i="30"/>
  <c r="BD159" i="30"/>
  <c r="BD158" i="30"/>
  <c r="BD155" i="30"/>
  <c r="BE154" i="30" s="1"/>
  <c r="BD56" i="30"/>
  <c r="BD57" i="30"/>
  <c r="BD74" i="30"/>
  <c r="BD73" i="30"/>
  <c r="BG172" i="30"/>
  <c r="BH171" i="30" s="1"/>
  <c r="BG10" i="19"/>
  <c r="BG11" i="19"/>
  <c r="BG104" i="30"/>
  <c r="BH103" i="30" s="1"/>
  <c r="BI121" i="30"/>
  <c r="BJ120" i="30" s="1"/>
  <c r="BC178" i="30"/>
  <c r="BC180" i="30" s="1"/>
  <c r="BD70" i="30"/>
  <c r="BE69" i="30" s="1"/>
  <c r="BD142" i="30"/>
  <c r="BD141" i="30"/>
  <c r="BD107" i="30"/>
  <c r="BD108" i="30"/>
  <c r="BF12" i="19"/>
  <c r="BF14" i="19" s="1"/>
  <c r="BF87" i="19" s="1"/>
  <c r="BE25" i="19"/>
  <c r="BE24" i="19"/>
  <c r="BD90" i="30"/>
  <c r="BD91" i="30"/>
  <c r="BD125" i="30"/>
  <c r="BD124" i="30"/>
  <c r="BC42" i="30"/>
  <c r="BC44" i="30" s="1"/>
  <c r="BC76" i="30"/>
  <c r="BC78" i="30" s="1"/>
  <c r="BC93" i="30"/>
  <c r="BC95" i="30" s="1"/>
  <c r="BC127" i="30"/>
  <c r="BC129" i="30" s="1"/>
  <c r="AY24" i="18" l="1"/>
  <c r="AY84" i="18"/>
  <c r="AZ192" i="30"/>
  <c r="BA23" i="30"/>
  <c r="BA22" i="30"/>
  <c r="BA191" i="30" s="1"/>
  <c r="BC185" i="30"/>
  <c r="BD21" i="18" s="1"/>
  <c r="BD92" i="18" s="1"/>
  <c r="BC184" i="30"/>
  <c r="BD14" i="18"/>
  <c r="BC17" i="30"/>
  <c r="BC186" i="30" s="1"/>
  <c r="A15" i="30"/>
  <c r="BA187" i="30"/>
  <c r="BA25" i="30"/>
  <c r="AY27" i="30"/>
  <c r="AY194" i="30"/>
  <c r="BB18" i="30"/>
  <c r="BA188" i="30"/>
  <c r="AZ25" i="30"/>
  <c r="BC18" i="30"/>
  <c r="BC187" i="30" s="1"/>
  <c r="BB188" i="30"/>
  <c r="BE15" i="18"/>
  <c r="BD27" i="18"/>
  <c r="BF53" i="30"/>
  <c r="BG52" i="30" s="1"/>
  <c r="BI36" i="30"/>
  <c r="BJ35" i="30" s="1"/>
  <c r="BE87" i="30"/>
  <c r="BF86" i="30" s="1"/>
  <c r="BD76" i="30"/>
  <c r="BD78" i="30" s="1"/>
  <c r="BD144" i="30"/>
  <c r="BD146" i="30" s="1"/>
  <c r="BD127" i="30"/>
  <c r="BD129" i="30" s="1"/>
  <c r="BG12" i="19"/>
  <c r="BG14" i="19" s="1"/>
  <c r="BF25" i="19"/>
  <c r="BF24" i="19"/>
  <c r="BD161" i="30"/>
  <c r="BD163" i="30" s="1"/>
  <c r="BE108" i="30"/>
  <c r="BE107" i="30"/>
  <c r="BH10" i="19"/>
  <c r="BH11" i="19"/>
  <c r="BH172" i="30"/>
  <c r="BI171" i="30" s="1"/>
  <c r="BE176" i="30"/>
  <c r="BE175" i="30"/>
  <c r="BE74" i="30"/>
  <c r="BE73" i="30"/>
  <c r="BD110" i="30"/>
  <c r="BD112" i="30" s="1"/>
  <c r="BE141" i="30"/>
  <c r="BE142" i="30"/>
  <c r="BE57" i="30"/>
  <c r="BE56" i="30"/>
  <c r="BE155" i="30"/>
  <c r="BF154" i="30" s="1"/>
  <c r="BE124" i="30"/>
  <c r="BE125" i="30"/>
  <c r="BE70" i="30"/>
  <c r="BF69" i="30" s="1"/>
  <c r="BE91" i="30"/>
  <c r="BE90" i="30"/>
  <c r="BD93" i="30"/>
  <c r="BD95" i="30" s="1"/>
  <c r="BE158" i="30"/>
  <c r="BE159" i="30"/>
  <c r="BD178" i="30"/>
  <c r="BD180" i="30" s="1"/>
  <c r="BF138" i="30"/>
  <c r="BG137" i="30" s="1"/>
  <c r="BJ121" i="30"/>
  <c r="BK120" i="30" s="1"/>
  <c r="BD59" i="30"/>
  <c r="BD61" i="30" s="1"/>
  <c r="BE39" i="30"/>
  <c r="BE40" i="30"/>
  <c r="BH104" i="30"/>
  <c r="BI103" i="30" s="1"/>
  <c r="BD42" i="30"/>
  <c r="BD44" i="30" s="1"/>
  <c r="BD85" i="18" l="1"/>
  <c r="BG25" i="19"/>
  <c r="BG87" i="19"/>
  <c r="AZ13" i="18"/>
  <c r="AY196" i="30"/>
  <c r="BC19" i="30"/>
  <c r="BA27" i="30"/>
  <c r="BA194" i="30"/>
  <c r="AZ27" i="30"/>
  <c r="AZ194" i="30"/>
  <c r="BD16" i="30"/>
  <c r="BB187" i="30"/>
  <c r="BA192" i="30"/>
  <c r="BB22" i="30"/>
  <c r="BB191" i="30" s="1"/>
  <c r="BB23" i="30"/>
  <c r="BF15" i="18"/>
  <c r="BE27" i="18"/>
  <c r="BG53" i="30"/>
  <c r="BH52" i="30" s="1"/>
  <c r="BJ36" i="30"/>
  <c r="BK35" i="30" s="1"/>
  <c r="BG24" i="19"/>
  <c r="BF87" i="30"/>
  <c r="BG86" i="30" s="1"/>
  <c r="BE110" i="30"/>
  <c r="BE112" i="30" s="1"/>
  <c r="BE93" i="30"/>
  <c r="BE95" i="30" s="1"/>
  <c r="BE59" i="30"/>
  <c r="BE61" i="30" s="1"/>
  <c r="BE144" i="30"/>
  <c r="BE146" i="30" s="1"/>
  <c r="BH12" i="19"/>
  <c r="BH14" i="19" s="1"/>
  <c r="BF175" i="30"/>
  <c r="BF176" i="30"/>
  <c r="BI172" i="30"/>
  <c r="BJ171" i="30" s="1"/>
  <c r="BF40" i="30"/>
  <c r="BF39" i="30"/>
  <c r="BI104" i="30"/>
  <c r="BJ103" i="30" s="1"/>
  <c r="BF142" i="30"/>
  <c r="BF141" i="30"/>
  <c r="BE42" i="30"/>
  <c r="BE44" i="30" s="1"/>
  <c r="BF155" i="30"/>
  <c r="BG154" i="30" s="1"/>
  <c r="BF159" i="30"/>
  <c r="BF158" i="30"/>
  <c r="BF108" i="30"/>
  <c r="BF107" i="30"/>
  <c r="BF57" i="30"/>
  <c r="BF56" i="30"/>
  <c r="BI11" i="19"/>
  <c r="BI10" i="19"/>
  <c r="BF125" i="30"/>
  <c r="BF124" i="30"/>
  <c r="BF90" i="30"/>
  <c r="BF91" i="30"/>
  <c r="BF70" i="30"/>
  <c r="BG69" i="30" s="1"/>
  <c r="BF73" i="30"/>
  <c r="BF74" i="30"/>
  <c r="BK121" i="30"/>
  <c r="BL120" i="30" s="1"/>
  <c r="BE127" i="30"/>
  <c r="BE129" i="30" s="1"/>
  <c r="BE76" i="30"/>
  <c r="BE78" i="30" s="1"/>
  <c r="BE161" i="30"/>
  <c r="BE163" i="30" s="1"/>
  <c r="BG138" i="30"/>
  <c r="BH137" i="30" s="1"/>
  <c r="BE178" i="30"/>
  <c r="BE180" i="30" s="1"/>
  <c r="AZ24" i="18" l="1"/>
  <c r="AZ84" i="18"/>
  <c r="BH25" i="19"/>
  <c r="BH87" i="19"/>
  <c r="BB25" i="30"/>
  <c r="BB192" i="30"/>
  <c r="BC23" i="30"/>
  <c r="BC22" i="30"/>
  <c r="BC191" i="30" s="1"/>
  <c r="BE16" i="30"/>
  <c r="BD185" i="30"/>
  <c r="BE21" i="18" s="1"/>
  <c r="BE92" i="18" s="1"/>
  <c r="BD19" i="30"/>
  <c r="BA13" i="18"/>
  <c r="AZ196" i="30"/>
  <c r="BB13" i="18"/>
  <c r="BA196" i="30"/>
  <c r="BD18" i="30"/>
  <c r="BC188" i="30"/>
  <c r="BG15" i="18"/>
  <c r="BF27" i="18"/>
  <c r="BH53" i="30"/>
  <c r="BI52" i="30" s="1"/>
  <c r="BK36" i="30"/>
  <c r="BL35" i="30" s="1"/>
  <c r="BG87" i="30"/>
  <c r="BH86" i="30" s="1"/>
  <c r="BF110" i="30"/>
  <c r="BF112" i="30" s="1"/>
  <c r="BF42" i="30"/>
  <c r="BF44" i="30" s="1"/>
  <c r="BF144" i="30"/>
  <c r="BF146" i="30" s="1"/>
  <c r="BF76" i="30"/>
  <c r="BF78" i="30" s="1"/>
  <c r="BF127" i="30"/>
  <c r="BF129" i="30" s="1"/>
  <c r="BH24" i="19"/>
  <c r="BG91" i="30"/>
  <c r="BG90" i="30"/>
  <c r="BJ104" i="30"/>
  <c r="BK103" i="30" s="1"/>
  <c r="BG108" i="30"/>
  <c r="BG107" i="30"/>
  <c r="BF93" i="30"/>
  <c r="BF95" i="30" s="1"/>
  <c r="BG155" i="30"/>
  <c r="BH154" i="30" s="1"/>
  <c r="BJ11" i="19"/>
  <c r="BJ10" i="19"/>
  <c r="BG141" i="30"/>
  <c r="BG142" i="30"/>
  <c r="BG57" i="30"/>
  <c r="BG56" i="30"/>
  <c r="BG124" i="30"/>
  <c r="BG125" i="30"/>
  <c r="BG70" i="30"/>
  <c r="BH69" i="30" s="1"/>
  <c r="BI12" i="19"/>
  <c r="BI14" i="19" s="1"/>
  <c r="BI87" i="19" s="1"/>
  <c r="BF59" i="30"/>
  <c r="BF61" i="30" s="1"/>
  <c r="BG175" i="30"/>
  <c r="BG176" i="30"/>
  <c r="BH138" i="30"/>
  <c r="BI137" i="30" s="1"/>
  <c r="BG159" i="30"/>
  <c r="BG158" i="30"/>
  <c r="BG39" i="30"/>
  <c r="BG40" i="30"/>
  <c r="BL121" i="30"/>
  <c r="BM120" i="30" s="1"/>
  <c r="BG74" i="30"/>
  <c r="BG73" i="30"/>
  <c r="BJ172" i="30"/>
  <c r="BK171" i="30" s="1"/>
  <c r="BF161" i="30"/>
  <c r="BF163" i="30" s="1"/>
  <c r="BF178" i="30"/>
  <c r="BF180" i="30" s="1"/>
  <c r="BA24" i="18" l="1"/>
  <c r="BA84" i="18"/>
  <c r="BC25" i="30"/>
  <c r="BC27" i="30" s="1"/>
  <c r="BB24" i="18"/>
  <c r="BB84" i="18"/>
  <c r="BD187" i="30"/>
  <c r="BE18" i="30"/>
  <c r="BD188" i="30"/>
  <c r="BF16" i="30"/>
  <c r="BE185" i="30"/>
  <c r="BF21" i="18" s="1"/>
  <c r="BF92" i="18" s="1"/>
  <c r="BE19" i="30"/>
  <c r="BC192" i="30"/>
  <c r="BD23" i="30"/>
  <c r="BD22" i="30"/>
  <c r="BD191" i="30" s="1"/>
  <c r="BB27" i="30"/>
  <c r="BB194" i="30"/>
  <c r="BH15" i="18"/>
  <c r="BG27" i="18"/>
  <c r="BI53" i="30"/>
  <c r="BJ52" i="30" s="1"/>
  <c r="BL36" i="30"/>
  <c r="BM35" i="30" s="1"/>
  <c r="BH87" i="30"/>
  <c r="BI86" i="30" s="1"/>
  <c r="BJ12" i="19"/>
  <c r="BJ14" i="19" s="1"/>
  <c r="BG93" i="30"/>
  <c r="BG95" i="30" s="1"/>
  <c r="BH155" i="30"/>
  <c r="BI154" i="30" s="1"/>
  <c r="BH108" i="30"/>
  <c r="BH107" i="30"/>
  <c r="BK11" i="19"/>
  <c r="BK10" i="19"/>
  <c r="BK104" i="30"/>
  <c r="BL103" i="30" s="1"/>
  <c r="BG42" i="30"/>
  <c r="BG44" i="30" s="1"/>
  <c r="BM121" i="30"/>
  <c r="BN120" i="30" s="1"/>
  <c r="BG110" i="30"/>
  <c r="BG112" i="30" s="1"/>
  <c r="BH56" i="30"/>
  <c r="BH57" i="30"/>
  <c r="BG59" i="30"/>
  <c r="BG61" i="30" s="1"/>
  <c r="BG161" i="30"/>
  <c r="BG163" i="30" s="1"/>
  <c r="BH90" i="30"/>
  <c r="BH91" i="30"/>
  <c r="BH73" i="30"/>
  <c r="BH74" i="30"/>
  <c r="BH39" i="30"/>
  <c r="BH40" i="30"/>
  <c r="BG127" i="30"/>
  <c r="BG129" i="30" s="1"/>
  <c r="BH70" i="30"/>
  <c r="BI69" i="30" s="1"/>
  <c r="BH125" i="30"/>
  <c r="BH124" i="30"/>
  <c r="BH158" i="30"/>
  <c r="BH159" i="30"/>
  <c r="BG76" i="30"/>
  <c r="BG78" i="30" s="1"/>
  <c r="BI138" i="30"/>
  <c r="BJ137" i="30" s="1"/>
  <c r="BH176" i="30"/>
  <c r="BH175" i="30"/>
  <c r="BG178" i="30"/>
  <c r="BG180" i="30" s="1"/>
  <c r="BK172" i="30"/>
  <c r="BL171" i="30" s="1"/>
  <c r="BH142" i="30"/>
  <c r="BH141" i="30"/>
  <c r="BI25" i="19"/>
  <c r="BI24" i="19"/>
  <c r="BG144" i="30"/>
  <c r="BG146" i="30" s="1"/>
  <c r="BC194" i="30" l="1"/>
  <c r="BJ25" i="19"/>
  <c r="BJ87" i="19"/>
  <c r="BC13" i="18"/>
  <c r="BB196" i="30"/>
  <c r="BD13" i="18"/>
  <c r="BC196" i="30"/>
  <c r="BD192" i="30"/>
  <c r="BE23" i="30"/>
  <c r="BE22" i="30"/>
  <c r="BE191" i="30" s="1"/>
  <c r="BF18" i="30"/>
  <c r="BE188" i="30"/>
  <c r="BG16" i="30"/>
  <c r="BF185" i="30"/>
  <c r="BG21" i="18" s="1"/>
  <c r="BG92" i="18" s="1"/>
  <c r="BF19" i="30"/>
  <c r="BE187" i="30"/>
  <c r="BD25" i="30"/>
  <c r="BJ24" i="19"/>
  <c r="BI15" i="18"/>
  <c r="BH27" i="18"/>
  <c r="BH127" i="30"/>
  <c r="BH129" i="30" s="1"/>
  <c r="BJ53" i="30"/>
  <c r="BK52" i="30" s="1"/>
  <c r="BM36" i="30"/>
  <c r="BN35" i="30" s="1"/>
  <c r="BI87" i="30"/>
  <c r="BJ86" i="30" s="1"/>
  <c r="BH110" i="30"/>
  <c r="BH112" i="30" s="1"/>
  <c r="BH42" i="30"/>
  <c r="BH44" i="30" s="1"/>
  <c r="BH76" i="30"/>
  <c r="BH78" i="30" s="1"/>
  <c r="BH161" i="30"/>
  <c r="BH163" i="30" s="1"/>
  <c r="BH93" i="30"/>
  <c r="BH95" i="30" s="1"/>
  <c r="BH144" i="30"/>
  <c r="BH146" i="30" s="1"/>
  <c r="BH178" i="30"/>
  <c r="BH180" i="30" s="1"/>
  <c r="BI159" i="30"/>
  <c r="BI158" i="30"/>
  <c r="BI90" i="30"/>
  <c r="BI91" i="30"/>
  <c r="BK12" i="19"/>
  <c r="BK14" i="19" s="1"/>
  <c r="BK87" i="19" s="1"/>
  <c r="BL11" i="19"/>
  <c r="BL10" i="19"/>
  <c r="BI74" i="30"/>
  <c r="BI73" i="30"/>
  <c r="BI124" i="30"/>
  <c r="BI125" i="30"/>
  <c r="BI70" i="30"/>
  <c r="BJ69" i="30" s="1"/>
  <c r="BI107" i="30"/>
  <c r="BI108" i="30"/>
  <c r="BL104" i="30"/>
  <c r="BM103" i="30" s="1"/>
  <c r="BI57" i="30"/>
  <c r="BI56" i="30"/>
  <c r="BI141" i="30"/>
  <c r="BI142" i="30"/>
  <c r="BI176" i="30"/>
  <c r="BI175" i="30"/>
  <c r="BI155" i="30"/>
  <c r="BJ154" i="30" s="1"/>
  <c r="BL172" i="30"/>
  <c r="BM171" i="30" s="1"/>
  <c r="BJ138" i="30"/>
  <c r="BK137" i="30" s="1"/>
  <c r="BH59" i="30"/>
  <c r="BH61" i="30" s="1"/>
  <c r="BI39" i="30"/>
  <c r="BI40" i="30"/>
  <c r="BN121" i="30"/>
  <c r="BO120" i="30" s="1"/>
  <c r="BD24" i="18" l="1"/>
  <c r="BD84" i="18"/>
  <c r="BC24" i="18"/>
  <c r="BC84" i="18"/>
  <c r="BE25" i="30"/>
  <c r="BE27" i="30" s="1"/>
  <c r="BG18" i="30"/>
  <c r="BF188" i="30"/>
  <c r="BH16" i="30"/>
  <c r="BG185" i="30"/>
  <c r="BH21" i="18" s="1"/>
  <c r="BH92" i="18" s="1"/>
  <c r="BG19" i="30"/>
  <c r="BF187" i="30"/>
  <c r="BE192" i="30"/>
  <c r="BF22" i="30"/>
  <c r="BF191" i="30" s="1"/>
  <c r="BF23" i="30"/>
  <c r="BD27" i="30"/>
  <c r="BD194" i="30"/>
  <c r="BJ15" i="18"/>
  <c r="BI27" i="18"/>
  <c r="BK53" i="30"/>
  <c r="BL52" i="30" s="1"/>
  <c r="BN36" i="30"/>
  <c r="BO35" i="30" s="1"/>
  <c r="BJ87" i="30"/>
  <c r="BK86" i="30" s="1"/>
  <c r="BI161" i="30"/>
  <c r="BI163" i="30" s="1"/>
  <c r="BI59" i="30"/>
  <c r="BI61" i="30" s="1"/>
  <c r="BL12" i="19"/>
  <c r="BL14" i="19" s="1"/>
  <c r="BI178" i="30"/>
  <c r="BI180" i="30" s="1"/>
  <c r="BI144" i="30"/>
  <c r="BI146" i="30" s="1"/>
  <c r="BI76" i="30"/>
  <c r="BI78" i="30" s="1"/>
  <c r="BJ73" i="30"/>
  <c r="BJ74" i="30"/>
  <c r="BJ125" i="30"/>
  <c r="BJ124" i="30"/>
  <c r="BJ142" i="30"/>
  <c r="BJ141" i="30"/>
  <c r="BM172" i="30"/>
  <c r="BN171" i="30" s="1"/>
  <c r="BJ70" i="30"/>
  <c r="BK69" i="30" s="1"/>
  <c r="BJ175" i="30"/>
  <c r="BJ176" i="30"/>
  <c r="BJ57" i="30"/>
  <c r="BJ56" i="30"/>
  <c r="BI93" i="30"/>
  <c r="BI95" i="30" s="1"/>
  <c r="BK138" i="30"/>
  <c r="BL137" i="30" s="1"/>
  <c r="BK25" i="19"/>
  <c r="BK24" i="19"/>
  <c r="BI127" i="30"/>
  <c r="BI129" i="30" s="1"/>
  <c r="BM10" i="19"/>
  <c r="BM11" i="19"/>
  <c r="BO121" i="30"/>
  <c r="BP120" i="30" s="1"/>
  <c r="BJ39" i="30"/>
  <c r="BJ40" i="30"/>
  <c r="BI42" i="30"/>
  <c r="BI44" i="30" s="1"/>
  <c r="BM104" i="30"/>
  <c r="BN103" i="30" s="1"/>
  <c r="BJ91" i="30"/>
  <c r="BJ90" i="30"/>
  <c r="BJ155" i="30"/>
  <c r="BK154" i="30" s="1"/>
  <c r="BJ107" i="30"/>
  <c r="BJ108" i="30"/>
  <c r="BI110" i="30"/>
  <c r="BI112" i="30" s="1"/>
  <c r="BJ159" i="30"/>
  <c r="BJ158" i="30"/>
  <c r="BL24" i="19" l="1"/>
  <c r="BL87" i="19"/>
  <c r="BE194" i="30"/>
  <c r="BF25" i="30"/>
  <c r="BF27" i="30" s="1"/>
  <c r="BF192" i="30"/>
  <c r="BG22" i="30"/>
  <c r="BG191" i="30" s="1"/>
  <c r="BG23" i="30"/>
  <c r="BF13" i="18"/>
  <c r="BE196" i="30"/>
  <c r="BF194" i="30"/>
  <c r="BE13" i="18"/>
  <c r="BD196" i="30"/>
  <c r="BH18" i="30"/>
  <c r="BG188" i="30"/>
  <c r="BI16" i="30"/>
  <c r="BH185" i="30"/>
  <c r="BI21" i="18" s="1"/>
  <c r="BI92" i="18" s="1"/>
  <c r="BH19" i="30"/>
  <c r="BG187" i="30"/>
  <c r="BJ27" i="18"/>
  <c r="BL53" i="30"/>
  <c r="BM52" i="30" s="1"/>
  <c r="BO36" i="30"/>
  <c r="BP35" i="30" s="1"/>
  <c r="BK87" i="30"/>
  <c r="BL86" i="30" s="1"/>
  <c r="BL25" i="19"/>
  <c r="BJ76" i="30"/>
  <c r="BJ78" i="30" s="1"/>
  <c r="BJ59" i="30"/>
  <c r="BJ61" i="30" s="1"/>
  <c r="BJ161" i="30"/>
  <c r="BJ163" i="30" s="1"/>
  <c r="BJ127" i="30"/>
  <c r="BJ129" i="30" s="1"/>
  <c r="BJ144" i="30"/>
  <c r="BJ146" i="30" s="1"/>
  <c r="BJ178" i="30"/>
  <c r="BJ180" i="30" s="1"/>
  <c r="BJ93" i="30"/>
  <c r="BJ95" i="30" s="1"/>
  <c r="BK142" i="30"/>
  <c r="BK141" i="30"/>
  <c r="BK158" i="30"/>
  <c r="BK159" i="30"/>
  <c r="BK39" i="30"/>
  <c r="BK40" i="30"/>
  <c r="BJ110" i="30"/>
  <c r="BJ112" i="30" s="1"/>
  <c r="BL138" i="30"/>
  <c r="BM137" i="30" s="1"/>
  <c r="BJ42" i="30"/>
  <c r="BJ44" i="30" s="1"/>
  <c r="BK125" i="30"/>
  <c r="BK124" i="30"/>
  <c r="BP121" i="30"/>
  <c r="BQ120" i="30" s="1"/>
  <c r="BM12" i="19"/>
  <c r="BM14" i="19" s="1"/>
  <c r="BM87" i="19" s="1"/>
  <c r="BK108" i="30"/>
  <c r="BK107" i="30"/>
  <c r="BK73" i="30"/>
  <c r="BK74" i="30"/>
  <c r="BN172" i="30"/>
  <c r="BO171" i="30" s="1"/>
  <c r="BK57" i="30"/>
  <c r="BK56" i="30"/>
  <c r="BN11" i="19"/>
  <c r="BN10" i="19"/>
  <c r="BK176" i="30"/>
  <c r="BK175" i="30"/>
  <c r="BK155" i="30"/>
  <c r="BL154" i="30" s="1"/>
  <c r="BK91" i="30"/>
  <c r="BK90" i="30"/>
  <c r="BK70" i="30"/>
  <c r="BL69" i="30" s="1"/>
  <c r="BN104" i="30"/>
  <c r="BO103" i="30" s="1"/>
  <c r="BF24" i="18" l="1"/>
  <c r="BF84" i="18"/>
  <c r="BE24" i="18"/>
  <c r="BE84" i="18"/>
  <c r="BJ16" i="30"/>
  <c r="BI185" i="30"/>
  <c r="BJ21" i="18" s="1"/>
  <c r="BJ92" i="18" s="1"/>
  <c r="BI19" i="30"/>
  <c r="BH187" i="30"/>
  <c r="BG13" i="18"/>
  <c r="BF196" i="30"/>
  <c r="BI18" i="30"/>
  <c r="BH188" i="30"/>
  <c r="BG192" i="30"/>
  <c r="BH22" i="30"/>
  <c r="BH191" i="30" s="1"/>
  <c r="BH23" i="30"/>
  <c r="BG25" i="30"/>
  <c r="H3" i="3"/>
  <c r="G3" i="45" s="1"/>
  <c r="BM53" i="30"/>
  <c r="BN52" i="30" s="1"/>
  <c r="BP36" i="30"/>
  <c r="BQ35" i="30" s="1"/>
  <c r="BL87" i="30"/>
  <c r="BM86" i="30" s="1"/>
  <c r="BK178" i="30"/>
  <c r="BK180" i="30" s="1"/>
  <c r="BK144" i="30"/>
  <c r="BK146" i="30" s="1"/>
  <c r="BK59" i="30"/>
  <c r="BK61" i="30" s="1"/>
  <c r="BK93" i="30"/>
  <c r="BK95" i="30" s="1"/>
  <c r="BN12" i="19"/>
  <c r="BN14" i="19" s="1"/>
  <c r="BL155" i="30"/>
  <c r="BM154" i="30" s="1"/>
  <c r="BK110" i="30"/>
  <c r="BK112" i="30" s="1"/>
  <c r="BL39" i="30"/>
  <c r="BL40" i="30"/>
  <c r="BK42" i="30"/>
  <c r="BK44" i="30" s="1"/>
  <c r="BM138" i="30"/>
  <c r="BN137" i="30" s="1"/>
  <c r="BL175" i="30"/>
  <c r="BL176" i="30"/>
  <c r="BL159" i="30"/>
  <c r="BL158" i="30"/>
  <c r="BO104" i="30"/>
  <c r="BP103" i="30" s="1"/>
  <c r="BL74" i="30"/>
  <c r="BL73" i="30"/>
  <c r="BL108" i="30"/>
  <c r="BL107" i="30"/>
  <c r="BL142" i="30"/>
  <c r="BL141" i="30"/>
  <c r="BM25" i="19"/>
  <c r="BM24" i="19"/>
  <c r="BO10" i="19"/>
  <c r="BO11" i="19"/>
  <c r="BL124" i="30"/>
  <c r="BL125" i="30"/>
  <c r="BK161" i="30"/>
  <c r="BK163" i="30" s="1"/>
  <c r="BL70" i="30"/>
  <c r="BM69" i="30" s="1"/>
  <c r="BQ121" i="30"/>
  <c r="BR120" i="30" s="1"/>
  <c r="BK127" i="30"/>
  <c r="BK129" i="30" s="1"/>
  <c r="BL90" i="30"/>
  <c r="BL91" i="30"/>
  <c r="BL57" i="30"/>
  <c r="BL56" i="30"/>
  <c r="BK76" i="30"/>
  <c r="BK78" i="30" s="1"/>
  <c r="BO172" i="30"/>
  <c r="BP171" i="30" s="1"/>
  <c r="BG24" i="18" l="1"/>
  <c r="BG84" i="18"/>
  <c r="BN24" i="19"/>
  <c r="BN87" i="19"/>
  <c r="H18" i="3"/>
  <c r="C28" i="45" s="1"/>
  <c r="BG27" i="30"/>
  <c r="BG194" i="30"/>
  <c r="BH192" i="30"/>
  <c r="BI22" i="30"/>
  <c r="BI191" i="30" s="1"/>
  <c r="BI23" i="30"/>
  <c r="BI187" i="30"/>
  <c r="BH25" i="30"/>
  <c r="BJ18" i="30"/>
  <c r="BI188" i="30"/>
  <c r="BK16" i="30"/>
  <c r="BJ185" i="30"/>
  <c r="BK21" i="18" s="1"/>
  <c r="BJ19" i="30"/>
  <c r="BN53" i="30"/>
  <c r="BO52" i="30" s="1"/>
  <c r="BQ36" i="30"/>
  <c r="BR35" i="30" s="1"/>
  <c r="BM87" i="30"/>
  <c r="BN86" i="30" s="1"/>
  <c r="BN25" i="19"/>
  <c r="BL110" i="30"/>
  <c r="BL112" i="30" s="1"/>
  <c r="BL59" i="30"/>
  <c r="BL61" i="30" s="1"/>
  <c r="BL144" i="30"/>
  <c r="BL146" i="30" s="1"/>
  <c r="BL76" i="30"/>
  <c r="BL78" i="30" s="1"/>
  <c r="BO12" i="19"/>
  <c r="BO14" i="19" s="1"/>
  <c r="BO25" i="19" s="1"/>
  <c r="BM159" i="30"/>
  <c r="BM158" i="30"/>
  <c r="BN138" i="30"/>
  <c r="BO137" i="30" s="1"/>
  <c r="BM39" i="30"/>
  <c r="BM40" i="30"/>
  <c r="BM175" i="30"/>
  <c r="BM176" i="30"/>
  <c r="BM90" i="30"/>
  <c r="BM91" i="30"/>
  <c r="BL42" i="30"/>
  <c r="BL44" i="30" s="1"/>
  <c r="BM73" i="30"/>
  <c r="BM74" i="30"/>
  <c r="BL161" i="30"/>
  <c r="BL163" i="30" s="1"/>
  <c r="BL127" i="30"/>
  <c r="BL129" i="30" s="1"/>
  <c r="BM70" i="30"/>
  <c r="BN69" i="30" s="1"/>
  <c r="BM57" i="30"/>
  <c r="BM56" i="30"/>
  <c r="BL178" i="30"/>
  <c r="BL180" i="30" s="1"/>
  <c r="BL93" i="30"/>
  <c r="BL95" i="30" s="1"/>
  <c r="BM142" i="30"/>
  <c r="BM141" i="30"/>
  <c r="BM107" i="30"/>
  <c r="BM108" i="30"/>
  <c r="BM124" i="30"/>
  <c r="BM125" i="30"/>
  <c r="BR121" i="30"/>
  <c r="BS120" i="30" s="1"/>
  <c r="BP10" i="19"/>
  <c r="BP11" i="19"/>
  <c r="BP104" i="30"/>
  <c r="BQ103" i="30" s="1"/>
  <c r="BP172" i="30"/>
  <c r="BQ171" i="30" s="1"/>
  <c r="BM155" i="30"/>
  <c r="BN154" i="30" s="1"/>
  <c r="BK25" i="18" l="1"/>
  <c r="BK92" i="18"/>
  <c r="BI25" i="30"/>
  <c r="BI27" i="30" s="1"/>
  <c r="BJ187" i="30"/>
  <c r="BL16" i="30"/>
  <c r="BK185" i="30"/>
  <c r="BL21" i="18" s="1"/>
  <c r="BL92" i="18" s="1"/>
  <c r="BK19" i="30"/>
  <c r="BH27" i="30"/>
  <c r="BH194" i="30"/>
  <c r="BI194" i="30"/>
  <c r="BI192" i="30"/>
  <c r="BJ23" i="30"/>
  <c r="BJ22" i="30"/>
  <c r="BJ191" i="30" s="1"/>
  <c r="BK18" i="30"/>
  <c r="BJ188" i="30"/>
  <c r="BH13" i="18"/>
  <c r="BG196" i="30"/>
  <c r="BM144" i="30"/>
  <c r="BM146" i="30" s="1"/>
  <c r="BO53" i="30"/>
  <c r="BP52" i="30" s="1"/>
  <c r="BR36" i="30"/>
  <c r="BS35" i="30" s="1"/>
  <c r="BN87" i="30"/>
  <c r="BO86" i="30" s="1"/>
  <c r="BO24" i="19"/>
  <c r="BP12" i="19"/>
  <c r="BP14" i="19" s="1"/>
  <c r="BP24" i="19" s="1"/>
  <c r="BN155" i="30"/>
  <c r="BO154" i="30" s="1"/>
  <c r="BN57" i="30"/>
  <c r="BN56" i="30"/>
  <c r="BM127" i="30"/>
  <c r="BM129" i="30" s="1"/>
  <c r="BM110" i="30"/>
  <c r="BM112" i="30" s="1"/>
  <c r="BN39" i="30"/>
  <c r="BN40" i="30"/>
  <c r="BN124" i="30"/>
  <c r="BN125" i="30"/>
  <c r="BN108" i="30"/>
  <c r="BN107" i="30"/>
  <c r="BM161" i="30"/>
  <c r="BM163" i="30" s="1"/>
  <c r="BM76" i="30"/>
  <c r="BM78" i="30" s="1"/>
  <c r="BM42" i="30"/>
  <c r="BM44" i="30" s="1"/>
  <c r="BO138" i="30"/>
  <c r="BP137" i="30" s="1"/>
  <c r="BS121" i="30"/>
  <c r="BT120" i="30" s="1"/>
  <c r="BN70" i="30"/>
  <c r="BO69" i="30" s="1"/>
  <c r="BQ172" i="30"/>
  <c r="BR171" i="30" s="1"/>
  <c r="BN73" i="30"/>
  <c r="BN74" i="30"/>
  <c r="BN142" i="30"/>
  <c r="BN141" i="30"/>
  <c r="BQ104" i="30"/>
  <c r="BR103" i="30" s="1"/>
  <c r="BN90" i="30"/>
  <c r="BN91" i="30"/>
  <c r="BM93" i="30"/>
  <c r="BM95" i="30" s="1"/>
  <c r="BN176" i="30"/>
  <c r="BN175" i="30"/>
  <c r="BQ11" i="19"/>
  <c r="BQ10" i="19"/>
  <c r="BM59" i="30"/>
  <c r="BM61" i="30" s="1"/>
  <c r="BM178" i="30"/>
  <c r="BM180" i="30" s="1"/>
  <c r="BN158" i="30"/>
  <c r="BN159" i="30"/>
  <c r="BH24" i="18" l="1"/>
  <c r="BH84" i="18"/>
  <c r="BK187" i="30"/>
  <c r="BJ192" i="30"/>
  <c r="BK22" i="30"/>
  <c r="BK191" i="30" s="1"/>
  <c r="BK23" i="30"/>
  <c r="BJ13" i="18"/>
  <c r="BI196" i="30"/>
  <c r="BI13" i="18"/>
  <c r="BH196" i="30"/>
  <c r="BL18" i="30"/>
  <c r="BK188" i="30"/>
  <c r="BM16" i="30"/>
  <c r="BL185" i="30"/>
  <c r="BM21" i="18" s="1"/>
  <c r="BM92" i="18" s="1"/>
  <c r="BL19" i="30"/>
  <c r="BJ25" i="30"/>
  <c r="BP53" i="30"/>
  <c r="BQ52" i="30" s="1"/>
  <c r="BS36" i="30"/>
  <c r="BT35" i="30" s="1"/>
  <c r="BP25" i="19"/>
  <c r="BN42" i="30"/>
  <c r="BN44" i="30" s="1"/>
  <c r="BO87" i="30"/>
  <c r="BP86" i="30" s="1"/>
  <c r="BN110" i="30"/>
  <c r="BN112" i="30" s="1"/>
  <c r="BN144" i="30"/>
  <c r="BN146" i="30" s="1"/>
  <c r="BN178" i="30"/>
  <c r="BN180" i="30" s="1"/>
  <c r="BN59" i="30"/>
  <c r="BN61" i="30" s="1"/>
  <c r="BQ12" i="19"/>
  <c r="BQ14" i="19" s="1"/>
  <c r="BO56" i="30"/>
  <c r="BO57" i="30"/>
  <c r="BR172" i="30"/>
  <c r="BS171" i="30" s="1"/>
  <c r="BO70" i="30"/>
  <c r="BP69" i="30" s="1"/>
  <c r="BN127" i="30"/>
  <c r="BN129" i="30" s="1"/>
  <c r="BO176" i="30"/>
  <c r="BO175" i="30"/>
  <c r="BO107" i="30"/>
  <c r="BO108" i="30"/>
  <c r="BO155" i="30"/>
  <c r="BP154" i="30" s="1"/>
  <c r="BT121" i="30"/>
  <c r="BU120" i="30" s="1"/>
  <c r="BO90" i="30"/>
  <c r="BO91" i="30"/>
  <c r="BO124" i="30"/>
  <c r="BO125" i="30"/>
  <c r="BP138" i="30"/>
  <c r="BQ137" i="30" s="1"/>
  <c r="BN93" i="30"/>
  <c r="BN95" i="30" s="1"/>
  <c r="BO40" i="30"/>
  <c r="BO39" i="30"/>
  <c r="BR104" i="30"/>
  <c r="BS103" i="30" s="1"/>
  <c r="BO158" i="30"/>
  <c r="BO159" i="30"/>
  <c r="BO142" i="30"/>
  <c r="BO141" i="30"/>
  <c r="BO74" i="30"/>
  <c r="BO73" i="30"/>
  <c r="BN76" i="30"/>
  <c r="BN78" i="30" s="1"/>
  <c r="BN161" i="30"/>
  <c r="BN163" i="30" s="1"/>
  <c r="BI24" i="18" l="1"/>
  <c r="BI84" i="18"/>
  <c r="BJ24" i="18"/>
  <c r="BJ84" i="18"/>
  <c r="BL187" i="30"/>
  <c r="BK192" i="30"/>
  <c r="BL23" i="30"/>
  <c r="BL22" i="30"/>
  <c r="BL191" i="30" s="1"/>
  <c r="BM18" i="30"/>
  <c r="BL188" i="30"/>
  <c r="BN16" i="30"/>
  <c r="BM185" i="30"/>
  <c r="BN21" i="18" s="1"/>
  <c r="BN92" i="18" s="1"/>
  <c r="BM19" i="30"/>
  <c r="BK25" i="30"/>
  <c r="BJ27" i="30"/>
  <c r="BJ194" i="30"/>
  <c r="BQ53" i="30"/>
  <c r="BR52" i="30" s="1"/>
  <c r="BT36" i="30"/>
  <c r="BU35" i="30" s="1"/>
  <c r="BP87" i="30"/>
  <c r="BQ86" i="30" s="1"/>
  <c r="BO178" i="30"/>
  <c r="BO180" i="30" s="1"/>
  <c r="BO144" i="30"/>
  <c r="BO146" i="30" s="1"/>
  <c r="BO161" i="30"/>
  <c r="BO163" i="30" s="1"/>
  <c r="BO42" i="30"/>
  <c r="BO44" i="30" s="1"/>
  <c r="BO93" i="30"/>
  <c r="BO95" i="30" s="1"/>
  <c r="BO76" i="30"/>
  <c r="BO78" i="30" s="1"/>
  <c r="BO127" i="30"/>
  <c r="BO129" i="30" s="1"/>
  <c r="BS172" i="30"/>
  <c r="BT171" i="30" s="1"/>
  <c r="BP70" i="30"/>
  <c r="BQ69" i="30" s="1"/>
  <c r="BP155" i="30"/>
  <c r="BQ154" i="30" s="1"/>
  <c r="BP91" i="30"/>
  <c r="BP90" i="30"/>
  <c r="BP39" i="30"/>
  <c r="BP40" i="30"/>
  <c r="BP57" i="30"/>
  <c r="BP56" i="30"/>
  <c r="BP108" i="30"/>
  <c r="BP107" i="30"/>
  <c r="BQ138" i="30"/>
  <c r="BR137" i="30" s="1"/>
  <c r="BU121" i="30"/>
  <c r="BV120" i="30" s="1"/>
  <c r="BQ25" i="19"/>
  <c r="BQ24" i="19"/>
  <c r="BS104" i="30"/>
  <c r="BT103" i="30" s="1"/>
  <c r="BP73" i="30"/>
  <c r="BP74" i="30"/>
  <c r="BO59" i="30"/>
  <c r="BO61" i="30" s="1"/>
  <c r="BO110" i="30"/>
  <c r="BO112" i="30" s="1"/>
  <c r="BP142" i="30"/>
  <c r="BP141" i="30"/>
  <c r="BP176" i="30"/>
  <c r="BP175" i="30"/>
  <c r="BP159" i="30"/>
  <c r="BP158" i="30"/>
  <c r="BP125" i="30"/>
  <c r="BP124" i="30"/>
  <c r="BK13" i="18" l="1"/>
  <c r="BK84" i="18" s="1"/>
  <c r="BJ196" i="30"/>
  <c r="BN18" i="30"/>
  <c r="BM188" i="30"/>
  <c r="BO16" i="30"/>
  <c r="BN185" i="30"/>
  <c r="BO21" i="18" s="1"/>
  <c r="BO92" i="18" s="1"/>
  <c r="BN19" i="30"/>
  <c r="BM187" i="30"/>
  <c r="BL192" i="30"/>
  <c r="BM22" i="30"/>
  <c r="BM191" i="30" s="1"/>
  <c r="BM23" i="30"/>
  <c r="BL25" i="30"/>
  <c r="BK27" i="30"/>
  <c r="BK194" i="30"/>
  <c r="G10" i="3"/>
  <c r="E10" i="45" s="1"/>
  <c r="BR53" i="30"/>
  <c r="BS52" i="30" s="1"/>
  <c r="BU36" i="30"/>
  <c r="BV35" i="30" s="1"/>
  <c r="BQ87" i="30"/>
  <c r="BR86" i="30" s="1"/>
  <c r="BP59" i="30"/>
  <c r="BP61" i="30" s="1"/>
  <c r="BP144" i="30"/>
  <c r="BP146" i="30" s="1"/>
  <c r="BP178" i="30"/>
  <c r="BP180" i="30" s="1"/>
  <c r="BP110" i="30"/>
  <c r="BP112" i="30" s="1"/>
  <c r="BQ40" i="30"/>
  <c r="BQ39" i="30"/>
  <c r="BP42" i="30"/>
  <c r="BP44" i="30" s="1"/>
  <c r="BP161" i="30"/>
  <c r="BP163" i="30" s="1"/>
  <c r="BV121" i="30"/>
  <c r="BW120" i="30" s="1"/>
  <c r="BQ155" i="30"/>
  <c r="BR154" i="30" s="1"/>
  <c r="BQ124" i="30"/>
  <c r="BQ125" i="30"/>
  <c r="BQ70" i="30"/>
  <c r="BR69" i="30" s="1"/>
  <c r="BP93" i="30"/>
  <c r="BP95" i="30" s="1"/>
  <c r="BT172" i="30"/>
  <c r="BU171" i="30" s="1"/>
  <c r="BQ91" i="30"/>
  <c r="BQ90" i="30"/>
  <c r="BQ158" i="30"/>
  <c r="BQ159" i="30"/>
  <c r="BQ73" i="30"/>
  <c r="BQ74" i="30"/>
  <c r="BP127" i="30"/>
  <c r="BP129" i="30" s="1"/>
  <c r="BP76" i="30"/>
  <c r="BP78" i="30" s="1"/>
  <c r="BR138" i="30"/>
  <c r="BS137" i="30" s="1"/>
  <c r="BQ175" i="30"/>
  <c r="BQ176" i="30"/>
  <c r="BQ107" i="30"/>
  <c r="BQ108" i="30"/>
  <c r="BQ141" i="30"/>
  <c r="BQ142" i="30"/>
  <c r="BT104" i="30"/>
  <c r="BU103" i="30" s="1"/>
  <c r="BQ56" i="30"/>
  <c r="BQ57" i="30"/>
  <c r="G13" i="3" l="1"/>
  <c r="E13" i="45" s="1"/>
  <c r="BL13" i="18"/>
  <c r="BK196" i="30"/>
  <c r="BL27" i="30"/>
  <c r="BL194" i="30"/>
  <c r="BP16" i="30"/>
  <c r="BO185" i="30"/>
  <c r="BP21" i="18" s="1"/>
  <c r="BP92" i="18" s="1"/>
  <c r="BO19" i="30"/>
  <c r="BM192" i="30"/>
  <c r="BN22" i="30"/>
  <c r="BN191" i="30" s="1"/>
  <c r="BN23" i="30"/>
  <c r="BM25" i="30"/>
  <c r="BO18" i="30"/>
  <c r="BN188" i="30"/>
  <c r="BN187" i="30"/>
  <c r="BK24" i="18"/>
  <c r="BK23" i="18"/>
  <c r="BS53" i="30"/>
  <c r="BT52" i="30" s="1"/>
  <c r="BV36" i="30"/>
  <c r="BW35" i="30" s="1"/>
  <c r="BR87" i="30"/>
  <c r="BS86" i="30" s="1"/>
  <c r="BQ144" i="30"/>
  <c r="BQ146" i="30" s="1"/>
  <c r="BQ42" i="30"/>
  <c r="BQ44" i="30" s="1"/>
  <c r="BQ76" i="30"/>
  <c r="BQ78" i="30" s="1"/>
  <c r="BQ127" i="30"/>
  <c r="BQ129" i="30" s="1"/>
  <c r="BQ178" i="30"/>
  <c r="BQ180" i="30" s="1"/>
  <c r="BQ59" i="30"/>
  <c r="BQ61" i="30" s="1"/>
  <c r="BR155" i="30"/>
  <c r="BS154" i="30" s="1"/>
  <c r="BR90" i="30"/>
  <c r="BR91" i="30"/>
  <c r="BU104" i="30"/>
  <c r="BV103" i="30" s="1"/>
  <c r="BW121" i="30"/>
  <c r="BX120" i="30" s="1"/>
  <c r="BR70" i="30"/>
  <c r="BS69" i="30" s="1"/>
  <c r="BQ161" i="30"/>
  <c r="BQ163" i="30" s="1"/>
  <c r="BR175" i="30"/>
  <c r="BR176" i="30"/>
  <c r="BR56" i="30"/>
  <c r="BR57" i="30"/>
  <c r="BS138" i="30"/>
  <c r="BT137" i="30" s="1"/>
  <c r="BQ93" i="30"/>
  <c r="BQ95" i="30" s="1"/>
  <c r="BR142" i="30"/>
  <c r="BR141" i="30"/>
  <c r="BR125" i="30"/>
  <c r="BR124" i="30"/>
  <c r="BU172" i="30"/>
  <c r="BV171" i="30" s="1"/>
  <c r="BR108" i="30"/>
  <c r="BR107" i="30"/>
  <c r="BR74" i="30"/>
  <c r="BR73" i="30"/>
  <c r="BQ110" i="30"/>
  <c r="BQ112" i="30" s="1"/>
  <c r="BR159" i="30"/>
  <c r="BR158" i="30"/>
  <c r="BR40" i="30"/>
  <c r="BR39" i="30"/>
  <c r="BL24" i="18" l="1"/>
  <c r="BL84" i="18"/>
  <c r="BN192" i="30"/>
  <c r="BO23" i="30"/>
  <c r="BO22" i="30"/>
  <c r="BO191" i="30" s="1"/>
  <c r="BM27" i="30"/>
  <c r="BM194" i="30"/>
  <c r="BO187" i="30"/>
  <c r="BP18" i="30"/>
  <c r="BO188" i="30"/>
  <c r="BQ16" i="30"/>
  <c r="BP185" i="30"/>
  <c r="BQ21" i="18" s="1"/>
  <c r="BQ92" i="18" s="1"/>
  <c r="BP19" i="30"/>
  <c r="BM13" i="18"/>
  <c r="BL196" i="30"/>
  <c r="BN25" i="30"/>
  <c r="BT53" i="30"/>
  <c r="BU52" i="30" s="1"/>
  <c r="BW36" i="30"/>
  <c r="BX35" i="30" s="1"/>
  <c r="BS87" i="30"/>
  <c r="BT86" i="30" s="1"/>
  <c r="BR161" i="30"/>
  <c r="BR163" i="30" s="1"/>
  <c r="BR144" i="30"/>
  <c r="BR146" i="30" s="1"/>
  <c r="BR127" i="30"/>
  <c r="BR129" i="30" s="1"/>
  <c r="BR110" i="30"/>
  <c r="BR112" i="30" s="1"/>
  <c r="BR42" i="30"/>
  <c r="BR44" i="30" s="1"/>
  <c r="BR93" i="30"/>
  <c r="BR95" i="30" s="1"/>
  <c r="BR178" i="30"/>
  <c r="BR180" i="30" s="1"/>
  <c r="BS40" i="30"/>
  <c r="BS39" i="30"/>
  <c r="BS124" i="30"/>
  <c r="BS125" i="30"/>
  <c r="BV104" i="30"/>
  <c r="BW103" i="30" s="1"/>
  <c r="BS142" i="30"/>
  <c r="BS141" i="30"/>
  <c r="BS74" i="30"/>
  <c r="BS73" i="30"/>
  <c r="BS155" i="30"/>
  <c r="BT154" i="30" s="1"/>
  <c r="BS70" i="30"/>
  <c r="BT69" i="30" s="1"/>
  <c r="BT138" i="30"/>
  <c r="BU137" i="30" s="1"/>
  <c r="BS90" i="30"/>
  <c r="BS91" i="30"/>
  <c r="BS158" i="30"/>
  <c r="BS159" i="30"/>
  <c r="BS108" i="30"/>
  <c r="BS107" i="30"/>
  <c r="BS56" i="30"/>
  <c r="BS57" i="30"/>
  <c r="BV172" i="30"/>
  <c r="BW171" i="30" s="1"/>
  <c r="BR59" i="30"/>
  <c r="BR61" i="30" s="1"/>
  <c r="BX121" i="30"/>
  <c r="BY120" i="30" s="1"/>
  <c r="BS176" i="30"/>
  <c r="BS175" i="30"/>
  <c r="BR76" i="30"/>
  <c r="BR78" i="30" s="1"/>
  <c r="BM24" i="18" l="1"/>
  <c r="BM84" i="18"/>
  <c r="BO25" i="30"/>
  <c r="BO194" i="30" s="1"/>
  <c r="BR16" i="30"/>
  <c r="BQ185" i="30"/>
  <c r="BQ19" i="30"/>
  <c r="BP187" i="30"/>
  <c r="BQ18" i="30"/>
  <c r="BP188" i="30"/>
  <c r="I3" i="3"/>
  <c r="BN13" i="18"/>
  <c r="BM196" i="30"/>
  <c r="BO192" i="30"/>
  <c r="BP23" i="30"/>
  <c r="BP22" i="30"/>
  <c r="BP191" i="30" s="1"/>
  <c r="BN27" i="30"/>
  <c r="BN194" i="30"/>
  <c r="BU53" i="30"/>
  <c r="BV52" i="30" s="1"/>
  <c r="BX36" i="30"/>
  <c r="BY35" i="30" s="1"/>
  <c r="BT87" i="30"/>
  <c r="BU86" i="30" s="1"/>
  <c r="BS178" i="30"/>
  <c r="BS180" i="30" s="1"/>
  <c r="BS76" i="30"/>
  <c r="BS78" i="30" s="1"/>
  <c r="BS42" i="30"/>
  <c r="BS44" i="30" s="1"/>
  <c r="BS144" i="30"/>
  <c r="BS146" i="30" s="1"/>
  <c r="BS161" i="30"/>
  <c r="BS163" i="30" s="1"/>
  <c r="BS93" i="30"/>
  <c r="BS95" i="30" s="1"/>
  <c r="BS127" i="30"/>
  <c r="BS129" i="30" s="1"/>
  <c r="BT73" i="30"/>
  <c r="BT74" i="30"/>
  <c r="BY121" i="30"/>
  <c r="BZ120" i="30" s="1"/>
  <c r="BU138" i="30"/>
  <c r="BV137" i="30" s="1"/>
  <c r="BT57" i="30"/>
  <c r="BT56" i="30"/>
  <c r="BS59" i="30"/>
  <c r="BS61" i="30" s="1"/>
  <c r="BT141" i="30"/>
  <c r="BT142" i="30"/>
  <c r="BW172" i="30"/>
  <c r="BX171" i="30" s="1"/>
  <c r="BW104" i="30"/>
  <c r="BX103" i="30" s="1"/>
  <c r="BT70" i="30"/>
  <c r="BU69" i="30" s="1"/>
  <c r="BS110" i="30"/>
  <c r="BS112" i="30" s="1"/>
  <c r="BT125" i="30"/>
  <c r="BT124" i="30"/>
  <c r="BT108" i="30"/>
  <c r="BT107" i="30"/>
  <c r="BT158" i="30"/>
  <c r="BT159" i="30"/>
  <c r="BT40" i="30"/>
  <c r="BT39" i="30"/>
  <c r="BT175" i="30"/>
  <c r="BT176" i="30"/>
  <c r="BT155" i="30"/>
  <c r="BU154" i="30" s="1"/>
  <c r="BT90" i="30"/>
  <c r="BT91" i="30"/>
  <c r="BO27" i="30" l="1"/>
  <c r="F18" i="3"/>
  <c r="F3" i="45"/>
  <c r="F21" i="3"/>
  <c r="BN24" i="18"/>
  <c r="BN84" i="18"/>
  <c r="BP25" i="30"/>
  <c r="BP27" i="30" s="1"/>
  <c r="I6" i="3"/>
  <c r="F6" i="45" s="1"/>
  <c r="BQ187" i="30"/>
  <c r="BP13" i="18"/>
  <c r="BO196" i="30"/>
  <c r="BO13" i="18"/>
  <c r="BN196" i="30"/>
  <c r="BR18" i="30"/>
  <c r="BQ188" i="30"/>
  <c r="BP192" i="30"/>
  <c r="BQ22" i="30"/>
  <c r="BQ191" i="30" s="1"/>
  <c r="BQ23" i="30"/>
  <c r="BS16" i="30"/>
  <c r="BR185" i="30"/>
  <c r="BR19" i="30"/>
  <c r="BT59" i="30"/>
  <c r="BT61" i="30" s="1"/>
  <c r="BV53" i="30"/>
  <c r="BW52" i="30" s="1"/>
  <c r="BY36" i="30"/>
  <c r="BZ35" i="30" s="1"/>
  <c r="BU87" i="30"/>
  <c r="BV86" i="30" s="1"/>
  <c r="BT42" i="30"/>
  <c r="BT44" i="30" s="1"/>
  <c r="BT144" i="30"/>
  <c r="BT146" i="30" s="1"/>
  <c r="BT110" i="30"/>
  <c r="BT112" i="30" s="1"/>
  <c r="BT127" i="30"/>
  <c r="BT129" i="30" s="1"/>
  <c r="BT178" i="30"/>
  <c r="BT180" i="30" s="1"/>
  <c r="BT161" i="30"/>
  <c r="BT163" i="30" s="1"/>
  <c r="BU70" i="30"/>
  <c r="BV69" i="30" s="1"/>
  <c r="BU57" i="30"/>
  <c r="BU56" i="30"/>
  <c r="BU90" i="30"/>
  <c r="BU91" i="30"/>
  <c r="BU40" i="30"/>
  <c r="BU39" i="30"/>
  <c r="BV138" i="30"/>
  <c r="BW137" i="30" s="1"/>
  <c r="BT76" i="30"/>
  <c r="BT78" i="30" s="1"/>
  <c r="BZ121" i="30"/>
  <c r="CA120" i="30" s="1"/>
  <c r="BT93" i="30"/>
  <c r="BT95" i="30" s="1"/>
  <c r="BU158" i="30"/>
  <c r="BU159" i="30"/>
  <c r="BX104" i="30"/>
  <c r="BY103" i="30" s="1"/>
  <c r="BX172" i="30"/>
  <c r="BY171" i="30" s="1"/>
  <c r="BU124" i="30"/>
  <c r="BU125" i="30"/>
  <c r="BU73" i="30"/>
  <c r="BU74" i="30"/>
  <c r="BU155" i="30"/>
  <c r="BV154" i="30" s="1"/>
  <c r="BU142" i="30"/>
  <c r="BU141" i="30"/>
  <c r="BU175" i="30"/>
  <c r="BU176" i="30"/>
  <c r="BU108" i="30"/>
  <c r="BU107" i="30"/>
  <c r="BO24" i="18" l="1"/>
  <c r="BO84" i="18"/>
  <c r="BP24" i="18"/>
  <c r="BP84" i="18"/>
  <c r="BP194" i="30"/>
  <c r="BR187" i="30"/>
  <c r="BQ13" i="18"/>
  <c r="BQ84" i="18" s="1"/>
  <c r="BP196" i="30"/>
  <c r="BS18" i="30"/>
  <c r="BR188" i="30"/>
  <c r="BQ25" i="30"/>
  <c r="BT16" i="30"/>
  <c r="BS185" i="30"/>
  <c r="BS19" i="30"/>
  <c r="BQ192" i="30"/>
  <c r="BR23" i="30"/>
  <c r="BR22" i="30"/>
  <c r="BR191" i="30" s="1"/>
  <c r="BW53" i="30"/>
  <c r="BX52" i="30" s="1"/>
  <c r="BZ36" i="30"/>
  <c r="CA35" i="30" s="1"/>
  <c r="BV87" i="30"/>
  <c r="BW86" i="30" s="1"/>
  <c r="BU127" i="30"/>
  <c r="BU129" i="30" s="1"/>
  <c r="BU42" i="30"/>
  <c r="BU44" i="30" s="1"/>
  <c r="BU144" i="30"/>
  <c r="BU146" i="30" s="1"/>
  <c r="BU59" i="30"/>
  <c r="BU61" i="30" s="1"/>
  <c r="BU76" i="30"/>
  <c r="BU78" i="30" s="1"/>
  <c r="BV155" i="30"/>
  <c r="BW154" i="30" s="1"/>
  <c r="BV74" i="30"/>
  <c r="BV73" i="30"/>
  <c r="BU161" i="30"/>
  <c r="BU163" i="30" s="1"/>
  <c r="BV39" i="30"/>
  <c r="BV40" i="30"/>
  <c r="BU110" i="30"/>
  <c r="BU112" i="30" s="1"/>
  <c r="BV124" i="30"/>
  <c r="BV125" i="30"/>
  <c r="BV159" i="30"/>
  <c r="BV158" i="30"/>
  <c r="BV57" i="30"/>
  <c r="BV56" i="30"/>
  <c r="BV90" i="30"/>
  <c r="BV91" i="30"/>
  <c r="BV142" i="30"/>
  <c r="BV141" i="30"/>
  <c r="BU93" i="30"/>
  <c r="BU95" i="30" s="1"/>
  <c r="BW138" i="30"/>
  <c r="BX137" i="30" s="1"/>
  <c r="BV108" i="30"/>
  <c r="BV107" i="30"/>
  <c r="BV176" i="30"/>
  <c r="BV175" i="30"/>
  <c r="BU178" i="30"/>
  <c r="BU180" i="30" s="1"/>
  <c r="BY172" i="30"/>
  <c r="BZ171" i="30" s="1"/>
  <c r="BY104" i="30"/>
  <c r="BZ103" i="30" s="1"/>
  <c r="CA121" i="30"/>
  <c r="CB120" i="30" s="1"/>
  <c r="BV70" i="30"/>
  <c r="BW69" i="30" s="1"/>
  <c r="BU16" i="30" l="1"/>
  <c r="BT185" i="30"/>
  <c r="BT19" i="30"/>
  <c r="BR192" i="30"/>
  <c r="BS22" i="30"/>
  <c r="BS191" i="30" s="1"/>
  <c r="BS23" i="30"/>
  <c r="BQ27" i="30"/>
  <c r="BQ196" i="30" s="1"/>
  <c r="BQ194" i="30"/>
  <c r="BS187" i="30"/>
  <c r="BQ24" i="18"/>
  <c r="BR25" i="30"/>
  <c r="BT18" i="30"/>
  <c r="BS188" i="30"/>
  <c r="BX53" i="30"/>
  <c r="BY52" i="30" s="1"/>
  <c r="CA36" i="30"/>
  <c r="CB35" i="30" s="1"/>
  <c r="BW87" i="30"/>
  <c r="BX86" i="30" s="1"/>
  <c r="BV178" i="30"/>
  <c r="BV180" i="30" s="1"/>
  <c r="BV161" i="30"/>
  <c r="BV163" i="30" s="1"/>
  <c r="BV144" i="30"/>
  <c r="BV146" i="30" s="1"/>
  <c r="BZ172" i="30"/>
  <c r="CA171" i="30" s="1"/>
  <c r="BW39" i="30"/>
  <c r="BW40" i="30"/>
  <c r="BW141" i="30"/>
  <c r="BW142" i="30"/>
  <c r="BW70" i="30"/>
  <c r="BX69" i="30" s="1"/>
  <c r="BV93" i="30"/>
  <c r="BV95" i="30" s="1"/>
  <c r="BX138" i="30"/>
  <c r="BY137" i="30" s="1"/>
  <c r="BV42" i="30"/>
  <c r="BV44" i="30" s="1"/>
  <c r="BW176" i="30"/>
  <c r="BW175" i="30"/>
  <c r="CB121" i="30"/>
  <c r="CC120" i="30" s="1"/>
  <c r="BV110" i="30"/>
  <c r="BV112" i="30" s="1"/>
  <c r="BV59" i="30"/>
  <c r="BV61" i="30" s="1"/>
  <c r="BW107" i="30"/>
  <c r="BW108" i="30"/>
  <c r="BW90" i="30"/>
  <c r="BW91" i="30"/>
  <c r="BW73" i="30"/>
  <c r="BW74" i="30"/>
  <c r="BV76" i="30"/>
  <c r="BV78" i="30" s="1"/>
  <c r="BW57" i="30"/>
  <c r="BW56" i="30"/>
  <c r="BZ104" i="30"/>
  <c r="CA103" i="30" s="1"/>
  <c r="BW159" i="30"/>
  <c r="BW158" i="30"/>
  <c r="BW124" i="30"/>
  <c r="BW125" i="30"/>
  <c r="BV127" i="30"/>
  <c r="BV129" i="30" s="1"/>
  <c r="BW155" i="30"/>
  <c r="BX154" i="30" s="1"/>
  <c r="BS25" i="30" l="1"/>
  <c r="BS27" i="30" s="1"/>
  <c r="BS196" i="30" s="1"/>
  <c r="BT187" i="30"/>
  <c r="G3" i="3"/>
  <c r="E3" i="45" s="1"/>
  <c r="BR27" i="30"/>
  <c r="BR196" i="30" s="1"/>
  <c r="BR194" i="30"/>
  <c r="BS192" i="30"/>
  <c r="BT23" i="30"/>
  <c r="BT22" i="30"/>
  <c r="BT191" i="30" s="1"/>
  <c r="BU18" i="30"/>
  <c r="BT188" i="30"/>
  <c r="BV16" i="30"/>
  <c r="BU185" i="30"/>
  <c r="BU19" i="30"/>
  <c r="BY53" i="30"/>
  <c r="BZ52" i="30" s="1"/>
  <c r="CB36" i="30"/>
  <c r="CC35" i="30" s="1"/>
  <c r="BW144" i="30"/>
  <c r="BW146" i="30" s="1"/>
  <c r="BX87" i="30"/>
  <c r="BY86" i="30" s="1"/>
  <c r="BW59" i="30"/>
  <c r="BW61" i="30" s="1"/>
  <c r="BW178" i="30"/>
  <c r="BW180" i="30" s="1"/>
  <c r="BW93" i="30"/>
  <c r="BW95" i="30" s="1"/>
  <c r="BX155" i="30"/>
  <c r="BY154" i="30" s="1"/>
  <c r="BX91" i="30"/>
  <c r="BX90" i="30"/>
  <c r="BX70" i="30"/>
  <c r="BY69" i="30" s="1"/>
  <c r="BW110" i="30"/>
  <c r="BW112" i="30" s="1"/>
  <c r="BX57" i="30"/>
  <c r="BX56" i="30"/>
  <c r="BX141" i="30"/>
  <c r="BX142" i="30"/>
  <c r="BW161" i="30"/>
  <c r="BW163" i="30" s="1"/>
  <c r="CA104" i="30"/>
  <c r="CB103" i="30" s="1"/>
  <c r="BY138" i="30"/>
  <c r="BZ137" i="30" s="1"/>
  <c r="BX107" i="30"/>
  <c r="BX108" i="30"/>
  <c r="BX124" i="30"/>
  <c r="BX125" i="30"/>
  <c r="CC121" i="30"/>
  <c r="CD120" i="30" s="1"/>
  <c r="BX39" i="30"/>
  <c r="BX40" i="30"/>
  <c r="BW127" i="30"/>
  <c r="BW129" i="30" s="1"/>
  <c r="BW42" i="30"/>
  <c r="BW44" i="30" s="1"/>
  <c r="BX158" i="30"/>
  <c r="BX159" i="30"/>
  <c r="BW76" i="30"/>
  <c r="BW78" i="30" s="1"/>
  <c r="BX176" i="30"/>
  <c r="BX175" i="30"/>
  <c r="BX74" i="30"/>
  <c r="BX73" i="30"/>
  <c r="CA172" i="30"/>
  <c r="CB171" i="30" s="1"/>
  <c r="BS194" i="30" l="1"/>
  <c r="BU187" i="30"/>
  <c r="E18" i="3"/>
  <c r="G6" i="3"/>
  <c r="E6" i="45" s="1"/>
  <c r="BT192" i="30"/>
  <c r="BU22" i="30"/>
  <c r="BU191" i="30" s="1"/>
  <c r="BU23" i="30"/>
  <c r="BT25" i="30"/>
  <c r="BV18" i="30"/>
  <c r="BU188" i="30"/>
  <c r="BW16" i="30"/>
  <c r="BV185" i="30"/>
  <c r="BV19" i="30"/>
  <c r="BZ53" i="30"/>
  <c r="CA52" i="30" s="1"/>
  <c r="CC36" i="30"/>
  <c r="CD35" i="30" s="1"/>
  <c r="BY87" i="30"/>
  <c r="BZ86" i="30" s="1"/>
  <c r="BX110" i="30"/>
  <c r="BX112" i="30" s="1"/>
  <c r="BX161" i="30"/>
  <c r="BX163" i="30" s="1"/>
  <c r="CB104" i="30"/>
  <c r="CC103" i="30" s="1"/>
  <c r="BY56" i="30"/>
  <c r="BY57" i="30"/>
  <c r="BZ138" i="30"/>
  <c r="CA137" i="30" s="1"/>
  <c r="BX93" i="30"/>
  <c r="BX95" i="30" s="1"/>
  <c r="CB172" i="30"/>
  <c r="CC171" i="30" s="1"/>
  <c r="BY108" i="30"/>
  <c r="BY107" i="30"/>
  <c r="BY90" i="30"/>
  <c r="BY91" i="30"/>
  <c r="BY70" i="30"/>
  <c r="BZ69" i="30" s="1"/>
  <c r="BY125" i="30"/>
  <c r="BY124" i="30"/>
  <c r="BY176" i="30"/>
  <c r="BY175" i="30"/>
  <c r="BY159" i="30"/>
  <c r="BY158" i="30"/>
  <c r="BY40" i="30"/>
  <c r="BY39" i="30"/>
  <c r="BX42" i="30"/>
  <c r="BX44" i="30" s="1"/>
  <c r="BX76" i="30"/>
  <c r="BX78" i="30" s="1"/>
  <c r="BY74" i="30"/>
  <c r="BY73" i="30"/>
  <c r="CD121" i="30"/>
  <c r="CE120" i="30" s="1"/>
  <c r="BY142" i="30"/>
  <c r="BY141" i="30"/>
  <c r="BX144" i="30"/>
  <c r="BX146" i="30" s="1"/>
  <c r="BY155" i="30"/>
  <c r="BZ154" i="30" s="1"/>
  <c r="BX178" i="30"/>
  <c r="BX180" i="30" s="1"/>
  <c r="BX127" i="30"/>
  <c r="BX129" i="30" s="1"/>
  <c r="BX59" i="30"/>
  <c r="BX61" i="30" s="1"/>
  <c r="BV187" i="30" l="1"/>
  <c r="BT27" i="30"/>
  <c r="BT196" i="30" s="1"/>
  <c r="BT194" i="30"/>
  <c r="BU192" i="30"/>
  <c r="BV23" i="30"/>
  <c r="BV22" i="30"/>
  <c r="BV191" i="30" s="1"/>
  <c r="BW18" i="30"/>
  <c r="BV188" i="30"/>
  <c r="BX16" i="30"/>
  <c r="BW185" i="30"/>
  <c r="BW19" i="30"/>
  <c r="E21" i="3"/>
  <c r="D18" i="3"/>
  <c r="D17" i="45" s="1"/>
  <c r="BU25" i="30"/>
  <c r="CA53" i="30"/>
  <c r="CB52" i="30" s="1"/>
  <c r="CD36" i="30"/>
  <c r="CE35" i="30" s="1"/>
  <c r="BY76" i="30"/>
  <c r="BY78" i="30" s="1"/>
  <c r="BZ87" i="30"/>
  <c r="CA86" i="30" s="1"/>
  <c r="BY127" i="30"/>
  <c r="BY129" i="30" s="1"/>
  <c r="BY144" i="30"/>
  <c r="BY146" i="30" s="1"/>
  <c r="BY110" i="30"/>
  <c r="BY112" i="30" s="1"/>
  <c r="BY161" i="30"/>
  <c r="BY163" i="30" s="1"/>
  <c r="BY42" i="30"/>
  <c r="BY44" i="30" s="1"/>
  <c r="BY178" i="30"/>
  <c r="BY180" i="30" s="1"/>
  <c r="CE121" i="30"/>
  <c r="CF120" i="30" s="1"/>
  <c r="BZ70" i="30"/>
  <c r="CA69" i="30" s="1"/>
  <c r="BZ175" i="30"/>
  <c r="BZ176" i="30"/>
  <c r="CA138" i="30"/>
  <c r="CB137" i="30" s="1"/>
  <c r="BZ155" i="30"/>
  <c r="CA154" i="30" s="1"/>
  <c r="BZ40" i="30"/>
  <c r="BZ39" i="30"/>
  <c r="CC104" i="30"/>
  <c r="CD103" i="30" s="1"/>
  <c r="BZ124" i="30"/>
  <c r="BZ125" i="30"/>
  <c r="BZ73" i="30"/>
  <c r="BZ74" i="30"/>
  <c r="BY93" i="30"/>
  <c r="BY95" i="30" s="1"/>
  <c r="CC172" i="30"/>
  <c r="CD171" i="30" s="1"/>
  <c r="BZ90" i="30"/>
  <c r="BZ91" i="30"/>
  <c r="BZ56" i="30"/>
  <c r="BZ57" i="30"/>
  <c r="BY59" i="30"/>
  <c r="BY61" i="30" s="1"/>
  <c r="BZ108" i="30"/>
  <c r="BZ107" i="30"/>
  <c r="BZ141" i="30"/>
  <c r="BZ142" i="30"/>
  <c r="BZ158" i="30"/>
  <c r="BZ159" i="30"/>
  <c r="D21" i="3" l="1"/>
  <c r="D20" i="45" s="1"/>
  <c r="BY16" i="30"/>
  <c r="BX185" i="30"/>
  <c r="BX19" i="30"/>
  <c r="BW187" i="30"/>
  <c r="BV192" i="30"/>
  <c r="BW22" i="30"/>
  <c r="BW191" i="30" s="1"/>
  <c r="BW23" i="30"/>
  <c r="BX18" i="30"/>
  <c r="BW188" i="30"/>
  <c r="BV25" i="30"/>
  <c r="BU27" i="30"/>
  <c r="BU196" i="30" s="1"/>
  <c r="BU194" i="30"/>
  <c r="BZ76" i="30"/>
  <c r="BZ78" i="30" s="1"/>
  <c r="CB53" i="30"/>
  <c r="CC52" i="30" s="1"/>
  <c r="CE36" i="30"/>
  <c r="CF35" i="30" s="1"/>
  <c r="BZ110" i="30"/>
  <c r="BZ112" i="30" s="1"/>
  <c r="CA87" i="30"/>
  <c r="CB86" i="30" s="1"/>
  <c r="BZ144" i="30"/>
  <c r="BZ146" i="30" s="1"/>
  <c r="BZ178" i="30"/>
  <c r="BZ180" i="30" s="1"/>
  <c r="BZ42" i="30"/>
  <c r="BZ44" i="30" s="1"/>
  <c r="CD172" i="30"/>
  <c r="CE171" i="30" s="1"/>
  <c r="CB138" i="30"/>
  <c r="CC137" i="30" s="1"/>
  <c r="CA142" i="30"/>
  <c r="CA141" i="30"/>
  <c r="CA155" i="30"/>
  <c r="CB154" i="30" s="1"/>
  <c r="CA108" i="30"/>
  <c r="CA107" i="30"/>
  <c r="CA73" i="30"/>
  <c r="CA74" i="30"/>
  <c r="CA57" i="30"/>
  <c r="CA56" i="30"/>
  <c r="CF121" i="30"/>
  <c r="CG120" i="30" s="1"/>
  <c r="CA125" i="30"/>
  <c r="CA124" i="30"/>
  <c r="CA70" i="30"/>
  <c r="CB69" i="30" s="1"/>
  <c r="CA175" i="30"/>
  <c r="CA176" i="30"/>
  <c r="BZ127" i="30"/>
  <c r="BZ129" i="30" s="1"/>
  <c r="BZ59" i="30"/>
  <c r="BZ61" i="30" s="1"/>
  <c r="CA91" i="30"/>
  <c r="CA90" i="30"/>
  <c r="CD104" i="30"/>
  <c r="CE103" i="30" s="1"/>
  <c r="BZ93" i="30"/>
  <c r="BZ95" i="30" s="1"/>
  <c r="CA158" i="30"/>
  <c r="CA159" i="30"/>
  <c r="BZ161" i="30"/>
  <c r="BZ163" i="30" s="1"/>
  <c r="CA39" i="30"/>
  <c r="CA40" i="30"/>
  <c r="BX187" i="30" l="1"/>
  <c r="BV27" i="30"/>
  <c r="BV196" i="30" s="1"/>
  <c r="BV194" i="30"/>
  <c r="BW192" i="30"/>
  <c r="BX23" i="30"/>
  <c r="BX22" i="30"/>
  <c r="BX191" i="30" s="1"/>
  <c r="BW25" i="30"/>
  <c r="BY18" i="30"/>
  <c r="BX188" i="30"/>
  <c r="BZ16" i="30"/>
  <c r="BY185" i="30"/>
  <c r="BY19" i="30"/>
  <c r="CC53" i="30"/>
  <c r="CD52" i="30" s="1"/>
  <c r="CF36" i="30"/>
  <c r="CG35" i="30" s="1"/>
  <c r="CB87" i="30"/>
  <c r="CC86" i="30" s="1"/>
  <c r="CA59" i="30"/>
  <c r="CA61" i="30" s="1"/>
  <c r="CA144" i="30"/>
  <c r="CA146" i="30" s="1"/>
  <c r="CA93" i="30"/>
  <c r="CA95" i="30" s="1"/>
  <c r="CA110" i="30"/>
  <c r="CA112" i="30" s="1"/>
  <c r="CA127" i="30"/>
  <c r="CA129" i="30" s="1"/>
  <c r="CG121" i="30"/>
  <c r="CH120" i="30" s="1"/>
  <c r="CB155" i="30"/>
  <c r="CC154" i="30" s="1"/>
  <c r="CB125" i="30"/>
  <c r="CB124" i="30"/>
  <c r="CB39" i="30"/>
  <c r="CB40" i="30"/>
  <c r="CE104" i="30"/>
  <c r="CF103" i="30" s="1"/>
  <c r="CA42" i="30"/>
  <c r="CA44" i="30" s="1"/>
  <c r="CB70" i="30"/>
  <c r="CC69" i="30" s="1"/>
  <c r="CB142" i="30"/>
  <c r="CB141" i="30"/>
  <c r="CB90" i="30"/>
  <c r="CB91" i="30"/>
  <c r="CB159" i="30"/>
  <c r="CB158" i="30"/>
  <c r="CA76" i="30"/>
  <c r="CA78" i="30" s="1"/>
  <c r="CC138" i="30"/>
  <c r="CD137" i="30" s="1"/>
  <c r="CB56" i="30"/>
  <c r="CB57" i="30"/>
  <c r="CA161" i="30"/>
  <c r="CA163" i="30" s="1"/>
  <c r="CB176" i="30"/>
  <c r="CB175" i="30"/>
  <c r="CB74" i="30"/>
  <c r="CB73" i="30"/>
  <c r="CA178" i="30"/>
  <c r="CA180" i="30" s="1"/>
  <c r="CB108" i="30"/>
  <c r="CB107" i="30"/>
  <c r="CE172" i="30"/>
  <c r="CF171" i="30" s="1"/>
  <c r="BY187" i="30" l="1"/>
  <c r="BZ18" i="30"/>
  <c r="BY188" i="30"/>
  <c r="CA16" i="30"/>
  <c r="BZ185" i="30"/>
  <c r="BZ19" i="30"/>
  <c r="BW27" i="30"/>
  <c r="BW196" i="30" s="1"/>
  <c r="BW194" i="30"/>
  <c r="BX192" i="30"/>
  <c r="BY22" i="30"/>
  <c r="BY191" i="30" s="1"/>
  <c r="BY23" i="30"/>
  <c r="BX25" i="30"/>
  <c r="CB178" i="30"/>
  <c r="CB180" i="30" s="1"/>
  <c r="CD53" i="30"/>
  <c r="CE52" i="30" s="1"/>
  <c r="CG36" i="30"/>
  <c r="CH35" i="30" s="1"/>
  <c r="CC87" i="30"/>
  <c r="CD86" i="30" s="1"/>
  <c r="CB76" i="30"/>
  <c r="CB78" i="30" s="1"/>
  <c r="CB144" i="30"/>
  <c r="CB146" i="30" s="1"/>
  <c r="CB59" i="30"/>
  <c r="CB61" i="30" s="1"/>
  <c r="CB127" i="30"/>
  <c r="CB129" i="30" s="1"/>
  <c r="CB110" i="30"/>
  <c r="CB112" i="30" s="1"/>
  <c r="CC74" i="30"/>
  <c r="CC73" i="30"/>
  <c r="CF104" i="30"/>
  <c r="CG103" i="30" s="1"/>
  <c r="CC155" i="30"/>
  <c r="CD154" i="30" s="1"/>
  <c r="CC159" i="30"/>
  <c r="CC158" i="30"/>
  <c r="CC40" i="30"/>
  <c r="CC39" i="30"/>
  <c r="CC175" i="30"/>
  <c r="CC176" i="30"/>
  <c r="CC57" i="30"/>
  <c r="CC56" i="30"/>
  <c r="CB93" i="30"/>
  <c r="CB95" i="30" s="1"/>
  <c r="CC142" i="30"/>
  <c r="CC141" i="30"/>
  <c r="CC91" i="30"/>
  <c r="CC90" i="30"/>
  <c r="CB42" i="30"/>
  <c r="CB44" i="30" s="1"/>
  <c r="CC125" i="30"/>
  <c r="CC124" i="30"/>
  <c r="CF172" i="30"/>
  <c r="CG171" i="30" s="1"/>
  <c r="CB161" i="30"/>
  <c r="CB163" i="30" s="1"/>
  <c r="CC107" i="30"/>
  <c r="CC108" i="30"/>
  <c r="CD138" i="30"/>
  <c r="CE137" i="30" s="1"/>
  <c r="CH121" i="30"/>
  <c r="CI120" i="30" s="1"/>
  <c r="CC70" i="30"/>
  <c r="CD69" i="30" s="1"/>
  <c r="BX27" i="30" l="1"/>
  <c r="BX196" i="30" s="1"/>
  <c r="BX194" i="30"/>
  <c r="CA18" i="30"/>
  <c r="BZ188" i="30"/>
  <c r="BY192" i="30"/>
  <c r="BZ22" i="30"/>
  <c r="BZ191" i="30" s="1"/>
  <c r="BZ23" i="30"/>
  <c r="CB16" i="30"/>
  <c r="CA185" i="30"/>
  <c r="CA19" i="30"/>
  <c r="BZ187" i="30"/>
  <c r="BY25" i="30"/>
  <c r="CE53" i="30"/>
  <c r="CF52" i="30" s="1"/>
  <c r="CH36" i="30"/>
  <c r="CI35" i="30" s="1"/>
  <c r="CC144" i="30"/>
  <c r="CC146" i="30" s="1"/>
  <c r="CC161" i="30"/>
  <c r="CC163" i="30" s="1"/>
  <c r="CD87" i="30"/>
  <c r="CE86" i="30" s="1"/>
  <c r="CC59" i="30"/>
  <c r="CC61" i="30" s="1"/>
  <c r="CC127" i="30"/>
  <c r="CC129" i="30" s="1"/>
  <c r="CC42" i="30"/>
  <c r="CC44" i="30" s="1"/>
  <c r="CC93" i="30"/>
  <c r="CC95" i="30" s="1"/>
  <c r="CC178" i="30"/>
  <c r="CC180" i="30" s="1"/>
  <c r="CD158" i="30"/>
  <c r="CD159" i="30"/>
  <c r="CD70" i="30"/>
  <c r="CE69" i="30" s="1"/>
  <c r="CD125" i="30"/>
  <c r="CD124" i="30"/>
  <c r="CD91" i="30"/>
  <c r="CD90" i="30"/>
  <c r="CD155" i="30"/>
  <c r="CE154" i="30" s="1"/>
  <c r="CD40" i="30"/>
  <c r="CD39" i="30"/>
  <c r="CE138" i="30"/>
  <c r="CF137" i="30" s="1"/>
  <c r="CD74" i="30"/>
  <c r="CD73" i="30"/>
  <c r="CI121" i="30"/>
  <c r="CJ120" i="30" s="1"/>
  <c r="CD142" i="30"/>
  <c r="CD141" i="30"/>
  <c r="CD108" i="30"/>
  <c r="CD107" i="30"/>
  <c r="CC110" i="30"/>
  <c r="CC112" i="30" s="1"/>
  <c r="CG104" i="30"/>
  <c r="CH103" i="30" s="1"/>
  <c r="CC76" i="30"/>
  <c r="CC78" i="30" s="1"/>
  <c r="CD57" i="30"/>
  <c r="CD56" i="30"/>
  <c r="CG172" i="30"/>
  <c r="CH171" i="30" s="1"/>
  <c r="CD175" i="30"/>
  <c r="CD176" i="30"/>
  <c r="BZ25" i="30" l="1"/>
  <c r="BZ27" i="30" s="1"/>
  <c r="BZ196" i="30" s="1"/>
  <c r="CB18" i="30"/>
  <c r="CA188" i="30"/>
  <c r="BY27" i="30"/>
  <c r="BY196" i="30" s="1"/>
  <c r="BY194" i="30"/>
  <c r="CC16" i="30"/>
  <c r="CB185" i="30"/>
  <c r="CB19" i="30"/>
  <c r="BZ192" i="30"/>
  <c r="CA23" i="30"/>
  <c r="CA22" i="30"/>
  <c r="CA191" i="30" s="1"/>
  <c r="CA187" i="30"/>
  <c r="CF53" i="30"/>
  <c r="CG52" i="30" s="1"/>
  <c r="CI36" i="30"/>
  <c r="CJ35" i="30" s="1"/>
  <c r="CE87" i="30"/>
  <c r="CF86" i="30" s="1"/>
  <c r="CD144" i="30"/>
  <c r="CD146" i="30" s="1"/>
  <c r="CD127" i="30"/>
  <c r="CD129" i="30" s="1"/>
  <c r="CD42" i="30"/>
  <c r="CD44" i="30" s="1"/>
  <c r="CD59" i="30"/>
  <c r="CD61" i="30" s="1"/>
  <c r="CD110" i="30"/>
  <c r="CD112" i="30" s="1"/>
  <c r="CD93" i="30"/>
  <c r="CD95" i="30" s="1"/>
  <c r="CE108" i="30"/>
  <c r="CE107" i="30"/>
  <c r="CE142" i="30"/>
  <c r="CE141" i="30"/>
  <c r="CH172" i="30"/>
  <c r="CI171" i="30" s="1"/>
  <c r="CD161" i="30"/>
  <c r="CD163" i="30" s="1"/>
  <c r="CE70" i="30"/>
  <c r="CF69" i="30" s="1"/>
  <c r="CE57" i="30"/>
  <c r="CE56" i="30"/>
  <c r="CE155" i="30"/>
  <c r="CF154" i="30" s="1"/>
  <c r="CJ121" i="30"/>
  <c r="CK120" i="30" s="1"/>
  <c r="CE176" i="30"/>
  <c r="CE175" i="30"/>
  <c r="CE40" i="30"/>
  <c r="CE39" i="30"/>
  <c r="CE91" i="30"/>
  <c r="CE90" i="30"/>
  <c r="CE125" i="30"/>
  <c r="CE124" i="30"/>
  <c r="CH104" i="30"/>
  <c r="CI103" i="30" s="1"/>
  <c r="CE73" i="30"/>
  <c r="CE74" i="30"/>
  <c r="CE159" i="30"/>
  <c r="CE158" i="30"/>
  <c r="CD76" i="30"/>
  <c r="CD78" i="30" s="1"/>
  <c r="CD178" i="30"/>
  <c r="CD180" i="30" s="1"/>
  <c r="CF138" i="30"/>
  <c r="CG137" i="30" s="1"/>
  <c r="BZ194" i="30" l="1"/>
  <c r="CA25" i="30"/>
  <c r="CA27" i="30" s="1"/>
  <c r="CA196" i="30" s="1"/>
  <c r="CA192" i="30"/>
  <c r="CB22" i="30"/>
  <c r="CB191" i="30" s="1"/>
  <c r="CB23" i="30"/>
  <c r="CC18" i="30"/>
  <c r="CB188" i="30"/>
  <c r="CD16" i="30"/>
  <c r="CC185" i="30"/>
  <c r="CC19" i="30"/>
  <c r="CB187" i="30"/>
  <c r="CB25" i="30"/>
  <c r="CG53" i="30"/>
  <c r="CH52" i="30" s="1"/>
  <c r="CJ36" i="30"/>
  <c r="CK35" i="30" s="1"/>
  <c r="CF87" i="30"/>
  <c r="CG86" i="30" s="1"/>
  <c r="CE93" i="30"/>
  <c r="CE95" i="30" s="1"/>
  <c r="CE110" i="30"/>
  <c r="CE112" i="30" s="1"/>
  <c r="CE42" i="30"/>
  <c r="CE44" i="30" s="1"/>
  <c r="CE144" i="30"/>
  <c r="CE146" i="30" s="1"/>
  <c r="CE161" i="30"/>
  <c r="CE163" i="30" s="1"/>
  <c r="CE178" i="30"/>
  <c r="CE180" i="30" s="1"/>
  <c r="CE59" i="30"/>
  <c r="CE61" i="30" s="1"/>
  <c r="CE127" i="30"/>
  <c r="CE129" i="30" s="1"/>
  <c r="CF57" i="30"/>
  <c r="CF56" i="30"/>
  <c r="CF39" i="30"/>
  <c r="CF40" i="30"/>
  <c r="CF125" i="30"/>
  <c r="CF124" i="30"/>
  <c r="CF70" i="30"/>
  <c r="CG69" i="30" s="1"/>
  <c r="CF90" i="30"/>
  <c r="CF91" i="30"/>
  <c r="CF73" i="30"/>
  <c r="CF74" i="30"/>
  <c r="CI172" i="30"/>
  <c r="CJ171" i="30" s="1"/>
  <c r="CF141" i="30"/>
  <c r="CF142" i="30"/>
  <c r="CF175" i="30"/>
  <c r="CF176" i="30"/>
  <c r="CK121" i="30"/>
  <c r="CL120" i="30" s="1"/>
  <c r="CF155" i="30"/>
  <c r="CG154" i="30" s="1"/>
  <c r="CI104" i="30"/>
  <c r="CJ103" i="30" s="1"/>
  <c r="CF159" i="30"/>
  <c r="CF158" i="30"/>
  <c r="CG138" i="30"/>
  <c r="CH137" i="30" s="1"/>
  <c r="CE76" i="30"/>
  <c r="CE78" i="30" s="1"/>
  <c r="CF108" i="30"/>
  <c r="CF107" i="30"/>
  <c r="CA194" i="30" l="1"/>
  <c r="CD18" i="30"/>
  <c r="CC188" i="30"/>
  <c r="CB27" i="30"/>
  <c r="CB196" i="30" s="1"/>
  <c r="CB194" i="30"/>
  <c r="CE16" i="30"/>
  <c r="CD185" i="30"/>
  <c r="CD19" i="30"/>
  <c r="CC187" i="30"/>
  <c r="CB192" i="30"/>
  <c r="CC23" i="30"/>
  <c r="CC22" i="30"/>
  <c r="CC191" i="30" s="1"/>
  <c r="CH53" i="30"/>
  <c r="CI52" i="30" s="1"/>
  <c r="CK36" i="30"/>
  <c r="CL35" i="30" s="1"/>
  <c r="CG87" i="30"/>
  <c r="CH86" i="30" s="1"/>
  <c r="CF110" i="30"/>
  <c r="CF112" i="30" s="1"/>
  <c r="CF93" i="30"/>
  <c r="CF95" i="30" s="1"/>
  <c r="CF59" i="30"/>
  <c r="CF61" i="30" s="1"/>
  <c r="CF127" i="30"/>
  <c r="CF129" i="30" s="1"/>
  <c r="CG40" i="30"/>
  <c r="CG39" i="30"/>
  <c r="CJ104" i="30"/>
  <c r="CK103" i="30" s="1"/>
  <c r="CH138" i="30"/>
  <c r="CI137" i="30" s="1"/>
  <c r="CG70" i="30"/>
  <c r="CH69" i="30" s="1"/>
  <c r="CL121" i="30"/>
  <c r="CM120" i="30" s="1"/>
  <c r="CF42" i="30"/>
  <c r="CF44" i="30" s="1"/>
  <c r="CF144" i="30"/>
  <c r="CF146" i="30" s="1"/>
  <c r="CJ172" i="30"/>
  <c r="CK171" i="30" s="1"/>
  <c r="CG155" i="30"/>
  <c r="CH154" i="30" s="1"/>
  <c r="CG124" i="30"/>
  <c r="CG125" i="30"/>
  <c r="CG142" i="30"/>
  <c r="CG141" i="30"/>
  <c r="CG175" i="30"/>
  <c r="CG176" i="30"/>
  <c r="CF178" i="30"/>
  <c r="CF180" i="30" s="1"/>
  <c r="CG56" i="30"/>
  <c r="CG57" i="30"/>
  <c r="CG158" i="30"/>
  <c r="CG159" i="30"/>
  <c r="CG74" i="30"/>
  <c r="CG73" i="30"/>
  <c r="CG107" i="30"/>
  <c r="CG108" i="30"/>
  <c r="CF76" i="30"/>
  <c r="CF78" i="30" s="1"/>
  <c r="CF161" i="30"/>
  <c r="CF163" i="30" s="1"/>
  <c r="CG90" i="30"/>
  <c r="CG91" i="30"/>
  <c r="CC192" i="30" l="1"/>
  <c r="CD22" i="30"/>
  <c r="CD191" i="30" s="1"/>
  <c r="CD23" i="30"/>
  <c r="CC25" i="30"/>
  <c r="CE18" i="30"/>
  <c r="CD188" i="30"/>
  <c r="CF16" i="30"/>
  <c r="CE185" i="30"/>
  <c r="CE19" i="30"/>
  <c r="CD187" i="30"/>
  <c r="CD25" i="30"/>
  <c r="CG42" i="30"/>
  <c r="CG44" i="30" s="1"/>
  <c r="CI53" i="30"/>
  <c r="CJ52" i="30" s="1"/>
  <c r="CL36" i="30"/>
  <c r="CM35" i="30" s="1"/>
  <c r="CH87" i="30"/>
  <c r="CI86" i="30" s="1"/>
  <c r="CG144" i="30"/>
  <c r="CG146" i="30" s="1"/>
  <c r="CG161" i="30"/>
  <c r="CG163" i="30" s="1"/>
  <c r="CG178" i="30"/>
  <c r="CG180" i="30" s="1"/>
  <c r="CH74" i="30"/>
  <c r="CH73" i="30"/>
  <c r="CM121" i="30"/>
  <c r="CN120" i="30" s="1"/>
  <c r="CH107" i="30"/>
  <c r="CH108" i="30"/>
  <c r="CH142" i="30"/>
  <c r="CH141" i="30"/>
  <c r="CG76" i="30"/>
  <c r="CG78" i="30" s="1"/>
  <c r="CH70" i="30"/>
  <c r="CI69" i="30" s="1"/>
  <c r="CK104" i="30"/>
  <c r="CL103" i="30" s="1"/>
  <c r="CG110" i="30"/>
  <c r="CG112" i="30" s="1"/>
  <c r="CH159" i="30"/>
  <c r="CH158" i="30"/>
  <c r="CI138" i="30"/>
  <c r="CJ137" i="30" s="1"/>
  <c r="CK172" i="30"/>
  <c r="CL171" i="30" s="1"/>
  <c r="CG127" i="30"/>
  <c r="CG129" i="30" s="1"/>
  <c r="CH91" i="30"/>
  <c r="CH90" i="30"/>
  <c r="CG93" i="30"/>
  <c r="CG95" i="30" s="1"/>
  <c r="CH125" i="30"/>
  <c r="CH124" i="30"/>
  <c r="CH155" i="30"/>
  <c r="CI154" i="30" s="1"/>
  <c r="CH57" i="30"/>
  <c r="CH56" i="30"/>
  <c r="CG59" i="30"/>
  <c r="CG61" i="30" s="1"/>
  <c r="CH176" i="30"/>
  <c r="CH175" i="30"/>
  <c r="CH40" i="30"/>
  <c r="CH39" i="30"/>
  <c r="CD27" i="30" l="1"/>
  <c r="CD196" i="30" s="1"/>
  <c r="CD194" i="30"/>
  <c r="CF18" i="30"/>
  <c r="CE188" i="30"/>
  <c r="CG16" i="30"/>
  <c r="CF185" i="30"/>
  <c r="CF19" i="30"/>
  <c r="CE187" i="30"/>
  <c r="CC27" i="30"/>
  <c r="CC196" i="30" s="1"/>
  <c r="CC194" i="30"/>
  <c r="CD192" i="30"/>
  <c r="CE23" i="30"/>
  <c r="CE22" i="30"/>
  <c r="CE191" i="30" s="1"/>
  <c r="CJ53" i="30"/>
  <c r="CK52" i="30" s="1"/>
  <c r="CM36" i="30"/>
  <c r="CN35" i="30" s="1"/>
  <c r="CH59" i="30"/>
  <c r="CH61" i="30" s="1"/>
  <c r="CI87" i="30"/>
  <c r="CJ86" i="30" s="1"/>
  <c r="CH161" i="30"/>
  <c r="CH163" i="30" s="1"/>
  <c r="CH42" i="30"/>
  <c r="CH44" i="30" s="1"/>
  <c r="CH127" i="30"/>
  <c r="CH129" i="30" s="1"/>
  <c r="CH178" i="30"/>
  <c r="CH180" i="30" s="1"/>
  <c r="CH76" i="30"/>
  <c r="CH78" i="30" s="1"/>
  <c r="CH93" i="30"/>
  <c r="CH95" i="30" s="1"/>
  <c r="CI70" i="30"/>
  <c r="CJ69" i="30" s="1"/>
  <c r="CI141" i="30"/>
  <c r="CI142" i="30"/>
  <c r="CJ138" i="30"/>
  <c r="CK137" i="30" s="1"/>
  <c r="CI56" i="30"/>
  <c r="CI57" i="30"/>
  <c r="CI39" i="30"/>
  <c r="CI40" i="30"/>
  <c r="CI91" i="30"/>
  <c r="CI90" i="30"/>
  <c r="CH144" i="30"/>
  <c r="CH146" i="30" s="1"/>
  <c r="CL172" i="30"/>
  <c r="CM171" i="30" s="1"/>
  <c r="CI108" i="30"/>
  <c r="CI107" i="30"/>
  <c r="CH110" i="30"/>
  <c r="CH112" i="30" s="1"/>
  <c r="CI155" i="30"/>
  <c r="CJ154" i="30" s="1"/>
  <c r="CN121" i="30"/>
  <c r="CO120" i="30" s="1"/>
  <c r="CI175" i="30"/>
  <c r="CI176" i="30"/>
  <c r="CI159" i="30"/>
  <c r="CI158" i="30"/>
  <c r="CI124" i="30"/>
  <c r="CI125" i="30"/>
  <c r="CL104" i="30"/>
  <c r="CM103" i="30" s="1"/>
  <c r="CI74" i="30"/>
  <c r="CI73" i="30"/>
  <c r="CE25" i="30" l="1"/>
  <c r="CE192" i="30"/>
  <c r="CF22" i="30"/>
  <c r="CF191" i="30" s="1"/>
  <c r="CF23" i="30"/>
  <c r="CG18" i="30"/>
  <c r="CF188" i="30"/>
  <c r="CH16" i="30"/>
  <c r="CG185" i="30"/>
  <c r="CG19" i="30"/>
  <c r="CF187" i="30"/>
  <c r="CK53" i="30"/>
  <c r="CL52" i="30" s="1"/>
  <c r="CN36" i="30"/>
  <c r="CO35" i="30" s="1"/>
  <c r="CJ87" i="30"/>
  <c r="CK86" i="30" s="1"/>
  <c r="CI93" i="30"/>
  <c r="CI95" i="30" s="1"/>
  <c r="CI178" i="30"/>
  <c r="CI180" i="30" s="1"/>
  <c r="CI76" i="30"/>
  <c r="CI78" i="30" s="1"/>
  <c r="CI127" i="30"/>
  <c r="CI129" i="30" s="1"/>
  <c r="CI144" i="30"/>
  <c r="CI146" i="30" s="1"/>
  <c r="CI161" i="30"/>
  <c r="CI163" i="30" s="1"/>
  <c r="CM104" i="30"/>
  <c r="CN103" i="30" s="1"/>
  <c r="CI42" i="30"/>
  <c r="CI44" i="30" s="1"/>
  <c r="CJ107" i="30"/>
  <c r="CJ108" i="30"/>
  <c r="CJ40" i="30"/>
  <c r="CJ39" i="30"/>
  <c r="CI59" i="30"/>
  <c r="CI61" i="30" s="1"/>
  <c r="CM172" i="30"/>
  <c r="CN171" i="30" s="1"/>
  <c r="CK138" i="30"/>
  <c r="CL137" i="30" s="1"/>
  <c r="CI110" i="30"/>
  <c r="CI112" i="30" s="1"/>
  <c r="CJ56" i="30"/>
  <c r="CJ57" i="30"/>
  <c r="CJ158" i="30"/>
  <c r="CJ159" i="30"/>
  <c r="CJ125" i="30"/>
  <c r="CJ124" i="30"/>
  <c r="CJ176" i="30"/>
  <c r="CJ175" i="30"/>
  <c r="CJ142" i="30"/>
  <c r="CJ141" i="30"/>
  <c r="CO121" i="30"/>
  <c r="CP120" i="30" s="1"/>
  <c r="CJ70" i="30"/>
  <c r="CK69" i="30" s="1"/>
  <c r="CJ155" i="30"/>
  <c r="CK154" i="30" s="1"/>
  <c r="CJ74" i="30"/>
  <c r="CJ73" i="30"/>
  <c r="CJ91" i="30"/>
  <c r="CJ90" i="30"/>
  <c r="CF25" i="30" l="1"/>
  <c r="CF27" i="30" s="1"/>
  <c r="CF196" i="30" s="1"/>
  <c r="CH18" i="30"/>
  <c r="CG188" i="30"/>
  <c r="CI16" i="30"/>
  <c r="CH185" i="30"/>
  <c r="CH19" i="30"/>
  <c r="CG187" i="30"/>
  <c r="CF192" i="30"/>
  <c r="CG22" i="30"/>
  <c r="CG191" i="30" s="1"/>
  <c r="CG23" i="30"/>
  <c r="CE27" i="30"/>
  <c r="CE196" i="30" s="1"/>
  <c r="CE194" i="30"/>
  <c r="CL53" i="30"/>
  <c r="CM52" i="30" s="1"/>
  <c r="CO36" i="30"/>
  <c r="CP35" i="30" s="1"/>
  <c r="CK87" i="30"/>
  <c r="CL86" i="30" s="1"/>
  <c r="CJ42" i="30"/>
  <c r="CJ44" i="30" s="1"/>
  <c r="CJ76" i="30"/>
  <c r="CJ78" i="30" s="1"/>
  <c r="CJ93" i="30"/>
  <c r="CJ95" i="30" s="1"/>
  <c r="CJ127" i="30"/>
  <c r="CJ129" i="30" s="1"/>
  <c r="CJ144" i="30"/>
  <c r="CJ146" i="30" s="1"/>
  <c r="CJ59" i="30"/>
  <c r="CJ61" i="30" s="1"/>
  <c r="CK73" i="30"/>
  <c r="CK74" i="30"/>
  <c r="CK70" i="30"/>
  <c r="CL69" i="30" s="1"/>
  <c r="CL138" i="30"/>
  <c r="CM137" i="30" s="1"/>
  <c r="CK155" i="30"/>
  <c r="CL154" i="30" s="1"/>
  <c r="CK175" i="30"/>
  <c r="CK176" i="30"/>
  <c r="CN172" i="30"/>
  <c r="CO171" i="30" s="1"/>
  <c r="CK125" i="30"/>
  <c r="CK124" i="30"/>
  <c r="CK40" i="30"/>
  <c r="CK39" i="30"/>
  <c r="CP121" i="30"/>
  <c r="CQ120" i="30" s="1"/>
  <c r="CK108" i="30"/>
  <c r="CK107" i="30"/>
  <c r="CJ110" i="30"/>
  <c r="CJ112" i="30" s="1"/>
  <c r="CK141" i="30"/>
  <c r="CK142" i="30"/>
  <c r="CK159" i="30"/>
  <c r="CK158" i="30"/>
  <c r="CK90" i="30"/>
  <c r="CK91" i="30"/>
  <c r="CJ161" i="30"/>
  <c r="CJ163" i="30" s="1"/>
  <c r="CJ178" i="30"/>
  <c r="CJ180" i="30" s="1"/>
  <c r="CK57" i="30"/>
  <c r="CK56" i="30"/>
  <c r="CN104" i="30"/>
  <c r="CO103" i="30" s="1"/>
  <c r="CF194" i="30" l="1"/>
  <c r="CG25" i="30"/>
  <c r="CG192" i="30"/>
  <c r="CH22" i="30"/>
  <c r="CH191" i="30" s="1"/>
  <c r="CH23" i="30"/>
  <c r="CI18" i="30"/>
  <c r="CH188" i="30"/>
  <c r="CJ16" i="30"/>
  <c r="CI185" i="30"/>
  <c r="CI19" i="30"/>
  <c r="CH187" i="30"/>
  <c r="CM53" i="30"/>
  <c r="CN52" i="30" s="1"/>
  <c r="CP36" i="30"/>
  <c r="CQ35" i="30" s="1"/>
  <c r="CK144" i="30"/>
  <c r="CK146" i="30" s="1"/>
  <c r="CK76" i="30"/>
  <c r="CK78" i="30" s="1"/>
  <c r="CL87" i="30"/>
  <c r="CM86" i="30" s="1"/>
  <c r="CK42" i="30"/>
  <c r="CK44" i="30" s="1"/>
  <c r="CK59" i="30"/>
  <c r="CK61" i="30" s="1"/>
  <c r="CK110" i="30"/>
  <c r="CK112" i="30" s="1"/>
  <c r="CK93" i="30"/>
  <c r="CK95" i="30" s="1"/>
  <c r="CQ121" i="30"/>
  <c r="CR120" i="30" s="1"/>
  <c r="CL155" i="30"/>
  <c r="CM154" i="30" s="1"/>
  <c r="CL124" i="30"/>
  <c r="CL125" i="30"/>
  <c r="CL158" i="30"/>
  <c r="CL159" i="30"/>
  <c r="CL70" i="30"/>
  <c r="CM69" i="30" s="1"/>
  <c r="CL39" i="30"/>
  <c r="CL40" i="30"/>
  <c r="CO172" i="30"/>
  <c r="CP171" i="30" s="1"/>
  <c r="CM138" i="30"/>
  <c r="CN137" i="30" s="1"/>
  <c r="CL91" i="30"/>
  <c r="CL90" i="30"/>
  <c r="CK127" i="30"/>
  <c r="CK129" i="30" s="1"/>
  <c r="CL141" i="30"/>
  <c r="CL142" i="30"/>
  <c r="CK161" i="30"/>
  <c r="CK163" i="30" s="1"/>
  <c r="CO104" i="30"/>
  <c r="CP103" i="30" s="1"/>
  <c r="CL175" i="30"/>
  <c r="CL176" i="30"/>
  <c r="CL74" i="30"/>
  <c r="CL73" i="30"/>
  <c r="CL107" i="30"/>
  <c r="CL108" i="30"/>
  <c r="CK178" i="30"/>
  <c r="CK180" i="30" s="1"/>
  <c r="CL57" i="30"/>
  <c r="CL56" i="30"/>
  <c r="CH25" i="30" l="1"/>
  <c r="CH27" i="30" s="1"/>
  <c r="CH196" i="30" s="1"/>
  <c r="CJ18" i="30"/>
  <c r="CI188" i="30"/>
  <c r="CK16" i="30"/>
  <c r="CJ185" i="30"/>
  <c r="CJ19" i="30"/>
  <c r="CI187" i="30"/>
  <c r="CH192" i="30"/>
  <c r="CI23" i="30"/>
  <c r="CI22" i="30"/>
  <c r="CI191" i="30" s="1"/>
  <c r="CG27" i="30"/>
  <c r="CG196" i="30" s="1"/>
  <c r="CG194" i="30"/>
  <c r="CN53" i="30"/>
  <c r="CO52" i="30" s="1"/>
  <c r="CQ36" i="30"/>
  <c r="CR35" i="30" s="1"/>
  <c r="CM87" i="30"/>
  <c r="CN86" i="30" s="1"/>
  <c r="CL93" i="30"/>
  <c r="CL95" i="30" s="1"/>
  <c r="CL59" i="30"/>
  <c r="CL61" i="30" s="1"/>
  <c r="CL144" i="30"/>
  <c r="CL146" i="30" s="1"/>
  <c r="CL76" i="30"/>
  <c r="CL78" i="30" s="1"/>
  <c r="CL42" i="30"/>
  <c r="CL44" i="30" s="1"/>
  <c r="CL161" i="30"/>
  <c r="CL163" i="30" s="1"/>
  <c r="CM108" i="30"/>
  <c r="CM107" i="30"/>
  <c r="CL127" i="30"/>
  <c r="CL129" i="30" s="1"/>
  <c r="CL110" i="30"/>
  <c r="CL112" i="30" s="1"/>
  <c r="CM70" i="30"/>
  <c r="CN69" i="30" s="1"/>
  <c r="CM125" i="30"/>
  <c r="CM124" i="30"/>
  <c r="CM159" i="30"/>
  <c r="CM158" i="30"/>
  <c r="CL178" i="30"/>
  <c r="CL180" i="30" s="1"/>
  <c r="CM91" i="30"/>
  <c r="CM90" i="30"/>
  <c r="CM73" i="30"/>
  <c r="CM74" i="30"/>
  <c r="CM176" i="30"/>
  <c r="CM175" i="30"/>
  <c r="CN138" i="30"/>
  <c r="CO137" i="30" s="1"/>
  <c r="CM155" i="30"/>
  <c r="CN154" i="30" s="1"/>
  <c r="CP104" i="30"/>
  <c r="CQ103" i="30" s="1"/>
  <c r="CM142" i="30"/>
  <c r="CM141" i="30"/>
  <c r="CP172" i="30"/>
  <c r="CQ171" i="30" s="1"/>
  <c r="CR121" i="30"/>
  <c r="CS120" i="30" s="1"/>
  <c r="CM56" i="30"/>
  <c r="CM57" i="30"/>
  <c r="CM40" i="30"/>
  <c r="CM39" i="30"/>
  <c r="CH194" i="30" l="1"/>
  <c r="CI192" i="30"/>
  <c r="CJ22" i="30"/>
  <c r="CJ191" i="30" s="1"/>
  <c r="CJ23" i="30"/>
  <c r="CI25" i="30"/>
  <c r="CK18" i="30"/>
  <c r="CJ188" i="30"/>
  <c r="CL16" i="30"/>
  <c r="CK185" i="30"/>
  <c r="CK19" i="30"/>
  <c r="CJ187" i="30"/>
  <c r="CJ25" i="30"/>
  <c r="CM144" i="30"/>
  <c r="CM146" i="30" s="1"/>
  <c r="CO53" i="30"/>
  <c r="CP52" i="30" s="1"/>
  <c r="CR36" i="30"/>
  <c r="CS35" i="30" s="1"/>
  <c r="CN87" i="30"/>
  <c r="CO86" i="30" s="1"/>
  <c r="CM178" i="30"/>
  <c r="CM180" i="30" s="1"/>
  <c r="CM110" i="30"/>
  <c r="CM112" i="30" s="1"/>
  <c r="CM93" i="30"/>
  <c r="CM95" i="30" s="1"/>
  <c r="CM42" i="30"/>
  <c r="CM44" i="30" s="1"/>
  <c r="CM161" i="30"/>
  <c r="CM163" i="30" s="1"/>
  <c r="CM127" i="30"/>
  <c r="CM129" i="30" s="1"/>
  <c r="CM59" i="30"/>
  <c r="CM61" i="30" s="1"/>
  <c r="CN124" i="30"/>
  <c r="CN125" i="30"/>
  <c r="CN158" i="30"/>
  <c r="CN159" i="30"/>
  <c r="CN40" i="30"/>
  <c r="CN39" i="30"/>
  <c r="CN91" i="30"/>
  <c r="CN90" i="30"/>
  <c r="CN141" i="30"/>
  <c r="CN142" i="30"/>
  <c r="CN70" i="30"/>
  <c r="CO69" i="30" s="1"/>
  <c r="CQ172" i="30"/>
  <c r="CR171" i="30" s="1"/>
  <c r="CN176" i="30"/>
  <c r="CN175" i="30"/>
  <c r="CN73" i="30"/>
  <c r="CN74" i="30"/>
  <c r="CQ104" i="30"/>
  <c r="CR103" i="30" s="1"/>
  <c r="CN155" i="30"/>
  <c r="CO154" i="30" s="1"/>
  <c r="CN56" i="30"/>
  <c r="CN57" i="30"/>
  <c r="CM76" i="30"/>
  <c r="CM78" i="30" s="1"/>
  <c r="CS121" i="30"/>
  <c r="CT120" i="30" s="1"/>
  <c r="CO138" i="30"/>
  <c r="CP137" i="30" s="1"/>
  <c r="CN108" i="30"/>
  <c r="CN107" i="30"/>
  <c r="CJ27" i="30" l="1"/>
  <c r="CJ196" i="30" s="1"/>
  <c r="CJ194" i="30"/>
  <c r="CL18" i="30"/>
  <c r="CK188" i="30"/>
  <c r="CM16" i="30"/>
  <c r="CL185" i="30"/>
  <c r="CL19" i="30"/>
  <c r="CK187" i="30"/>
  <c r="CI27" i="30"/>
  <c r="CI196" i="30" s="1"/>
  <c r="CI194" i="30"/>
  <c r="CJ192" i="30"/>
  <c r="CK22" i="30"/>
  <c r="CK191" i="30" s="1"/>
  <c r="CK23" i="30"/>
  <c r="CP53" i="30"/>
  <c r="CQ52" i="30" s="1"/>
  <c r="CS36" i="30"/>
  <c r="CT35" i="30" s="1"/>
  <c r="CN76" i="30"/>
  <c r="CN78" i="30" s="1"/>
  <c r="CO87" i="30"/>
  <c r="CP86" i="30" s="1"/>
  <c r="CN42" i="30"/>
  <c r="CN44" i="30" s="1"/>
  <c r="CN161" i="30"/>
  <c r="CN163" i="30" s="1"/>
  <c r="CN110" i="30"/>
  <c r="CN112" i="30" s="1"/>
  <c r="CN93" i="30"/>
  <c r="CN95" i="30" s="1"/>
  <c r="CN178" i="30"/>
  <c r="CN180" i="30" s="1"/>
  <c r="CO142" i="30"/>
  <c r="CO141" i="30"/>
  <c r="CT121" i="30"/>
  <c r="CU120" i="30" s="1"/>
  <c r="CP138" i="30"/>
  <c r="CQ137" i="30" s="1"/>
  <c r="CN144" i="30"/>
  <c r="CN146" i="30" s="1"/>
  <c r="CO57" i="30"/>
  <c r="CO56" i="30"/>
  <c r="CO90" i="30"/>
  <c r="CO91" i="30"/>
  <c r="CO74" i="30"/>
  <c r="CO73" i="30"/>
  <c r="CO158" i="30"/>
  <c r="CO159" i="30"/>
  <c r="CR104" i="30"/>
  <c r="CS103" i="30" s="1"/>
  <c r="CO40" i="30"/>
  <c r="CO39" i="30"/>
  <c r="CO175" i="30"/>
  <c r="CO176" i="30"/>
  <c r="CN59" i="30"/>
  <c r="CN61" i="30" s="1"/>
  <c r="CR172" i="30"/>
  <c r="CS171" i="30" s="1"/>
  <c r="CO155" i="30"/>
  <c r="CP154" i="30" s="1"/>
  <c r="CO70" i="30"/>
  <c r="CP69" i="30" s="1"/>
  <c r="CO124" i="30"/>
  <c r="CO125" i="30"/>
  <c r="CO107" i="30"/>
  <c r="CO108" i="30"/>
  <c r="CN127" i="30"/>
  <c r="CN129" i="30" s="1"/>
  <c r="CK192" i="30" l="1"/>
  <c r="CL23" i="30"/>
  <c r="CL22" i="30"/>
  <c r="CL191" i="30" s="1"/>
  <c r="CK25" i="30"/>
  <c r="CM18" i="30"/>
  <c r="CL188" i="30"/>
  <c r="CN16" i="30"/>
  <c r="CM185" i="30"/>
  <c r="CM19" i="30"/>
  <c r="CL187" i="30"/>
  <c r="CQ53" i="30"/>
  <c r="CR52" i="30" s="1"/>
  <c r="CO144" i="30"/>
  <c r="CO146" i="30" s="1"/>
  <c r="CT36" i="30"/>
  <c r="CU35" i="30" s="1"/>
  <c r="CP87" i="30"/>
  <c r="CQ86" i="30" s="1"/>
  <c r="CO59" i="30"/>
  <c r="CO61" i="30" s="1"/>
  <c r="CO127" i="30"/>
  <c r="CO129" i="30" s="1"/>
  <c r="CP56" i="30"/>
  <c r="CP57" i="30"/>
  <c r="CP40" i="30"/>
  <c r="CP39" i="30"/>
  <c r="CP155" i="30"/>
  <c r="CQ154" i="30" s="1"/>
  <c r="CQ138" i="30"/>
  <c r="CR137" i="30" s="1"/>
  <c r="CO76" i="30"/>
  <c r="CO78" i="30" s="1"/>
  <c r="CP70" i="30"/>
  <c r="CQ69" i="30" s="1"/>
  <c r="CS104" i="30"/>
  <c r="CT103" i="30" s="1"/>
  <c r="CO161" i="30"/>
  <c r="CO163" i="30" s="1"/>
  <c r="CP159" i="30"/>
  <c r="CP158" i="30"/>
  <c r="CS172" i="30"/>
  <c r="CT171" i="30" s="1"/>
  <c r="CP107" i="30"/>
  <c r="CP108" i="30"/>
  <c r="CP124" i="30"/>
  <c r="CP125" i="30"/>
  <c r="CU121" i="30"/>
  <c r="CV120" i="30" s="1"/>
  <c r="CP73" i="30"/>
  <c r="CP74" i="30"/>
  <c r="CP176" i="30"/>
  <c r="CP175" i="30"/>
  <c r="CP91" i="30"/>
  <c r="CP90" i="30"/>
  <c r="CO178" i="30"/>
  <c r="CO180" i="30" s="1"/>
  <c r="CO93" i="30"/>
  <c r="CO95" i="30" s="1"/>
  <c r="CP141" i="30"/>
  <c r="CP142" i="30"/>
  <c r="CO110" i="30"/>
  <c r="CO112" i="30" s="1"/>
  <c r="CO42" i="30"/>
  <c r="CO44" i="30" s="1"/>
  <c r="CL25" i="30" l="1"/>
  <c r="CL27" i="30" s="1"/>
  <c r="CL196" i="30" s="1"/>
  <c r="CN18" i="30"/>
  <c r="CM188" i="30"/>
  <c r="CM187" i="30"/>
  <c r="CO16" i="30"/>
  <c r="CN185" i="30"/>
  <c r="CN19" i="30"/>
  <c r="CK27" i="30"/>
  <c r="CK196" i="30" s="1"/>
  <c r="CK194" i="30"/>
  <c r="CL192" i="30"/>
  <c r="CM22" i="30"/>
  <c r="CM191" i="30" s="1"/>
  <c r="CM23" i="30"/>
  <c r="CR53" i="30"/>
  <c r="CS52" i="30" s="1"/>
  <c r="CU36" i="30"/>
  <c r="CV35" i="30" s="1"/>
  <c r="CP161" i="30"/>
  <c r="CP163" i="30" s="1"/>
  <c r="CQ87" i="30"/>
  <c r="CR86" i="30" s="1"/>
  <c r="CP93" i="30"/>
  <c r="CP95" i="30" s="1"/>
  <c r="CP42" i="30"/>
  <c r="CP44" i="30" s="1"/>
  <c r="CP178" i="30"/>
  <c r="CP180" i="30" s="1"/>
  <c r="CQ125" i="30"/>
  <c r="CQ124" i="30"/>
  <c r="CQ175" i="30"/>
  <c r="CQ176" i="30"/>
  <c r="CT172" i="30"/>
  <c r="CU171" i="30" s="1"/>
  <c r="CR138" i="30"/>
  <c r="CS137" i="30" s="1"/>
  <c r="CP127" i="30"/>
  <c r="CP129" i="30" s="1"/>
  <c r="CV121" i="30"/>
  <c r="CW120" i="30" s="1"/>
  <c r="CQ90" i="30"/>
  <c r="CQ91" i="30"/>
  <c r="CP110" i="30"/>
  <c r="CP112" i="30" s="1"/>
  <c r="CP144" i="30"/>
  <c r="CP146" i="30" s="1"/>
  <c r="CQ39" i="30"/>
  <c r="CQ40" i="30"/>
  <c r="CQ107" i="30"/>
  <c r="CQ108" i="30"/>
  <c r="CQ142" i="30"/>
  <c r="CQ141" i="30"/>
  <c r="CT104" i="30"/>
  <c r="CU103" i="30" s="1"/>
  <c r="CQ70" i="30"/>
  <c r="CR69" i="30" s="1"/>
  <c r="CQ74" i="30"/>
  <c r="CQ73" i="30"/>
  <c r="CQ158" i="30"/>
  <c r="CQ159" i="30"/>
  <c r="CQ155" i="30"/>
  <c r="CR154" i="30" s="1"/>
  <c r="CP76" i="30"/>
  <c r="CP78" i="30" s="1"/>
  <c r="CQ56" i="30"/>
  <c r="CQ57" i="30"/>
  <c r="CP59" i="30"/>
  <c r="CP61" i="30" s="1"/>
  <c r="CL194" i="30" l="1"/>
  <c r="CM192" i="30"/>
  <c r="CN22" i="30"/>
  <c r="CN191" i="30" s="1"/>
  <c r="CN23" i="30"/>
  <c r="CO18" i="30"/>
  <c r="CN188" i="30"/>
  <c r="CP16" i="30"/>
  <c r="CO185" i="30"/>
  <c r="CO19" i="30"/>
  <c r="CM25" i="30"/>
  <c r="CN187" i="30"/>
  <c r="CN25" i="30"/>
  <c r="CS53" i="30"/>
  <c r="CT52" i="30" s="1"/>
  <c r="CV36" i="30"/>
  <c r="CW35" i="30" s="1"/>
  <c r="CR87" i="30"/>
  <c r="CS86" i="30" s="1"/>
  <c r="CQ127" i="30"/>
  <c r="CQ129" i="30" s="1"/>
  <c r="CQ144" i="30"/>
  <c r="CQ146" i="30" s="1"/>
  <c r="CQ93" i="30"/>
  <c r="CQ95" i="30" s="1"/>
  <c r="CQ178" i="30"/>
  <c r="CQ180" i="30" s="1"/>
  <c r="CR141" i="30"/>
  <c r="CR142" i="30"/>
  <c r="CR155" i="30"/>
  <c r="CS154" i="30" s="1"/>
  <c r="CW121" i="30"/>
  <c r="CX120" i="30" s="1"/>
  <c r="CR40" i="30"/>
  <c r="CR39" i="30"/>
  <c r="CR57" i="30"/>
  <c r="CR56" i="30"/>
  <c r="CR108" i="30"/>
  <c r="CR107" i="30"/>
  <c r="CR158" i="30"/>
  <c r="CR159" i="30"/>
  <c r="CU172" i="30"/>
  <c r="CV171" i="30" s="1"/>
  <c r="CR74" i="30"/>
  <c r="CR73" i="30"/>
  <c r="CR70" i="30"/>
  <c r="CS69" i="30" s="1"/>
  <c r="CQ42" i="30"/>
  <c r="CQ44" i="30" s="1"/>
  <c r="CQ110" i="30"/>
  <c r="CQ112" i="30" s="1"/>
  <c r="CS138" i="30"/>
  <c r="CT137" i="30" s="1"/>
  <c r="CR175" i="30"/>
  <c r="CR176" i="30"/>
  <c r="CQ59" i="30"/>
  <c r="CQ61" i="30" s="1"/>
  <c r="CQ161" i="30"/>
  <c r="CQ163" i="30" s="1"/>
  <c r="CR124" i="30"/>
  <c r="CR125" i="30"/>
  <c r="CU104" i="30"/>
  <c r="CV103" i="30" s="1"/>
  <c r="CR90" i="30"/>
  <c r="CR91" i="30"/>
  <c r="CQ76" i="30"/>
  <c r="CQ78" i="30" s="1"/>
  <c r="CN27" i="30" l="1"/>
  <c r="CN196" i="30" s="1"/>
  <c r="CN194" i="30"/>
  <c r="CM27" i="30"/>
  <c r="CM196" i="30" s="1"/>
  <c r="CM194" i="30"/>
  <c r="CP18" i="30"/>
  <c r="CO188" i="30"/>
  <c r="CQ16" i="30"/>
  <c r="CP185" i="30"/>
  <c r="CP19" i="30"/>
  <c r="CO187" i="30"/>
  <c r="CN192" i="30"/>
  <c r="CO23" i="30"/>
  <c r="CO22" i="30"/>
  <c r="CO191" i="30" s="1"/>
  <c r="CT53" i="30"/>
  <c r="CU52" i="30" s="1"/>
  <c r="CW36" i="30"/>
  <c r="CX35" i="30" s="1"/>
  <c r="CS87" i="30"/>
  <c r="CT86" i="30" s="1"/>
  <c r="CR161" i="30"/>
  <c r="CR163" i="30" s="1"/>
  <c r="CR42" i="30"/>
  <c r="CR44" i="30" s="1"/>
  <c r="CR110" i="30"/>
  <c r="CR112" i="30" s="1"/>
  <c r="CR127" i="30"/>
  <c r="CR129" i="30" s="1"/>
  <c r="CR76" i="30"/>
  <c r="CR78" i="30" s="1"/>
  <c r="CX121" i="30"/>
  <c r="CY120" i="30" s="1"/>
  <c r="CS70" i="30"/>
  <c r="CT69" i="30" s="1"/>
  <c r="CS73" i="30"/>
  <c r="CS74" i="30"/>
  <c r="CS155" i="30"/>
  <c r="CT154" i="30" s="1"/>
  <c r="CS176" i="30"/>
  <c r="CS175" i="30"/>
  <c r="CS56" i="30"/>
  <c r="CS57" i="30"/>
  <c r="CR178" i="30"/>
  <c r="CR180" i="30" s="1"/>
  <c r="CR59" i="30"/>
  <c r="CR61" i="30" s="1"/>
  <c r="CS39" i="30"/>
  <c r="CS40" i="30"/>
  <c r="CS91" i="30"/>
  <c r="CS90" i="30"/>
  <c r="CV172" i="30"/>
  <c r="CW171" i="30" s="1"/>
  <c r="CR93" i="30"/>
  <c r="CR95" i="30" s="1"/>
  <c r="CS158" i="30"/>
  <c r="CS159" i="30"/>
  <c r="CV104" i="30"/>
  <c r="CW103" i="30" s="1"/>
  <c r="CT138" i="30"/>
  <c r="CU137" i="30" s="1"/>
  <c r="CS142" i="30"/>
  <c r="CS141" i="30"/>
  <c r="CS125" i="30"/>
  <c r="CS124" i="30"/>
  <c r="CS107" i="30"/>
  <c r="CS108" i="30"/>
  <c r="CR144" i="30"/>
  <c r="CR146" i="30" s="1"/>
  <c r="CO25" i="30" l="1"/>
  <c r="CQ18" i="30"/>
  <c r="CP188" i="30"/>
  <c r="CO192" i="30"/>
  <c r="CP23" i="30"/>
  <c r="CP22" i="30"/>
  <c r="CP191" i="30" s="1"/>
  <c r="CR16" i="30"/>
  <c r="CQ185" i="30"/>
  <c r="CQ19" i="30"/>
  <c r="CP187" i="30"/>
  <c r="CU53" i="30"/>
  <c r="CV52" i="30" s="1"/>
  <c r="CX36" i="30"/>
  <c r="CY35" i="30" s="1"/>
  <c r="CT87" i="30"/>
  <c r="CU86" i="30" s="1"/>
  <c r="CS144" i="30"/>
  <c r="CS146" i="30" s="1"/>
  <c r="CS127" i="30"/>
  <c r="CS129" i="30" s="1"/>
  <c r="CS59" i="30"/>
  <c r="CS61" i="30" s="1"/>
  <c r="CS178" i="30"/>
  <c r="CS180" i="30" s="1"/>
  <c r="CS110" i="30"/>
  <c r="CS112" i="30" s="1"/>
  <c r="CT142" i="30"/>
  <c r="CT141" i="30"/>
  <c r="CT175" i="30"/>
  <c r="CT176" i="30"/>
  <c r="CT159" i="30"/>
  <c r="CT158" i="30"/>
  <c r="CT91" i="30"/>
  <c r="CT90" i="30"/>
  <c r="CU138" i="30"/>
  <c r="CV137" i="30" s="1"/>
  <c r="CT73" i="30"/>
  <c r="CT74" i="30"/>
  <c r="CT155" i="30"/>
  <c r="CU154" i="30" s="1"/>
  <c r="CS93" i="30"/>
  <c r="CS95" i="30" s="1"/>
  <c r="CW104" i="30"/>
  <c r="CX103" i="30" s="1"/>
  <c r="CT39" i="30"/>
  <c r="CT40" i="30"/>
  <c r="CS42" i="30"/>
  <c r="CS44" i="30" s="1"/>
  <c r="CT70" i="30"/>
  <c r="CU69" i="30" s="1"/>
  <c r="CT108" i="30"/>
  <c r="CT107" i="30"/>
  <c r="CS161" i="30"/>
  <c r="CS163" i="30" s="1"/>
  <c r="CS76" i="30"/>
  <c r="CS78" i="30" s="1"/>
  <c r="CT124" i="30"/>
  <c r="CT125" i="30"/>
  <c r="CW172" i="30"/>
  <c r="CX171" i="30" s="1"/>
  <c r="CT56" i="30"/>
  <c r="CT57" i="30"/>
  <c r="CY121" i="30"/>
  <c r="CZ120" i="30" s="1"/>
  <c r="CP25" i="30" l="1"/>
  <c r="CP27" i="30" s="1"/>
  <c r="CP196" i="30" s="1"/>
  <c r="CR18" i="30"/>
  <c r="CQ188" i="30"/>
  <c r="CS16" i="30"/>
  <c r="CR185" i="30"/>
  <c r="CR19" i="30"/>
  <c r="CP192" i="30"/>
  <c r="CQ23" i="30"/>
  <c r="CQ22" i="30"/>
  <c r="CQ191" i="30" s="1"/>
  <c r="CQ187" i="30"/>
  <c r="CO27" i="30"/>
  <c r="CO196" i="30" s="1"/>
  <c r="CO194" i="30"/>
  <c r="CV53" i="30"/>
  <c r="CW52" i="30" s="1"/>
  <c r="CY36" i="30"/>
  <c r="CZ35" i="30" s="1"/>
  <c r="CU87" i="30"/>
  <c r="CV86" i="30" s="1"/>
  <c r="CT110" i="30"/>
  <c r="CT112" i="30" s="1"/>
  <c r="CT144" i="30"/>
  <c r="CT146" i="30" s="1"/>
  <c r="CT93" i="30"/>
  <c r="CT95" i="30" s="1"/>
  <c r="CT127" i="30"/>
  <c r="CT129" i="30" s="1"/>
  <c r="CT178" i="30"/>
  <c r="CT180" i="30" s="1"/>
  <c r="CU158" i="30"/>
  <c r="CU159" i="30"/>
  <c r="CX104" i="30"/>
  <c r="CY103" i="30" s="1"/>
  <c r="CU57" i="30"/>
  <c r="CU56" i="30"/>
  <c r="CT161" i="30"/>
  <c r="CT163" i="30" s="1"/>
  <c r="CU107" i="30"/>
  <c r="CU108" i="30"/>
  <c r="CU155" i="30"/>
  <c r="CV154" i="30" s="1"/>
  <c r="CU70" i="30"/>
  <c r="CV69" i="30" s="1"/>
  <c r="CU74" i="30"/>
  <c r="CU73" i="30"/>
  <c r="CU91" i="30"/>
  <c r="CU90" i="30"/>
  <c r="CU176" i="30"/>
  <c r="CU175" i="30"/>
  <c r="CZ121" i="30"/>
  <c r="DA120" i="30" s="1"/>
  <c r="DA121" i="30"/>
  <c r="CT59" i="30"/>
  <c r="CT61" i="30" s="1"/>
  <c r="CT76" i="30"/>
  <c r="CT78" i="30" s="1"/>
  <c r="CX172" i="30"/>
  <c r="CY171" i="30" s="1"/>
  <c r="CU40" i="30"/>
  <c r="CU39" i="30"/>
  <c r="CU125" i="30"/>
  <c r="CU124" i="30"/>
  <c r="CT42" i="30"/>
  <c r="CT44" i="30" s="1"/>
  <c r="CV138" i="30"/>
  <c r="CW137" i="30" s="1"/>
  <c r="CU141" i="30"/>
  <c r="CU142" i="30"/>
  <c r="CP194" i="30" l="1"/>
  <c r="CQ25" i="30"/>
  <c r="CQ27" i="30" s="1"/>
  <c r="CQ196" i="30" s="1"/>
  <c r="CQ192" i="30"/>
  <c r="CR23" i="30"/>
  <c r="CR22" i="30"/>
  <c r="CR191" i="30" s="1"/>
  <c r="CS18" i="30"/>
  <c r="CR188" i="30"/>
  <c r="CT16" i="30"/>
  <c r="CS185" i="30"/>
  <c r="CS19" i="30"/>
  <c r="CR187" i="30"/>
  <c r="CR25" i="30"/>
  <c r="CW53" i="30"/>
  <c r="CX52" i="30" s="1"/>
  <c r="CZ36" i="30"/>
  <c r="DA35" i="30" s="1"/>
  <c r="DA36" i="30"/>
  <c r="CV87" i="30"/>
  <c r="CW86" i="30" s="1"/>
  <c r="CU178" i="30"/>
  <c r="CU180" i="30" s="1"/>
  <c r="CU93" i="30"/>
  <c r="CU95" i="30" s="1"/>
  <c r="CU127" i="30"/>
  <c r="CU129" i="30" s="1"/>
  <c r="CU42" i="30"/>
  <c r="CU44" i="30" s="1"/>
  <c r="CU161" i="30"/>
  <c r="CU163" i="30" s="1"/>
  <c r="CU110" i="30"/>
  <c r="CU112" i="30" s="1"/>
  <c r="CU76" i="30"/>
  <c r="CU78" i="30" s="1"/>
  <c r="CV155" i="30"/>
  <c r="CW154" i="30" s="1"/>
  <c r="CV57" i="30"/>
  <c r="CV56" i="30"/>
  <c r="CV40" i="30"/>
  <c r="CV39" i="30"/>
  <c r="CV73" i="30"/>
  <c r="CV74" i="30"/>
  <c r="CV176" i="30"/>
  <c r="CV175" i="30"/>
  <c r="CY172" i="30"/>
  <c r="CZ171" i="30" s="1"/>
  <c r="CY104" i="30"/>
  <c r="CZ103" i="30" s="1"/>
  <c r="CW138" i="30"/>
  <c r="CX137" i="30" s="1"/>
  <c r="CV108" i="30"/>
  <c r="CV107" i="30"/>
  <c r="CV124" i="30"/>
  <c r="CV125" i="30"/>
  <c r="CU59" i="30"/>
  <c r="CU61" i="30" s="1"/>
  <c r="CV91" i="30"/>
  <c r="CV90" i="30"/>
  <c r="CV142" i="30"/>
  <c r="CV141" i="30"/>
  <c r="CU144" i="30"/>
  <c r="CU146" i="30" s="1"/>
  <c r="CV70" i="30"/>
  <c r="CW69" i="30" s="1"/>
  <c r="CV158" i="30"/>
  <c r="CV159" i="30"/>
  <c r="CQ194" i="30" l="1"/>
  <c r="CT18" i="30"/>
  <c r="CS188" i="30"/>
  <c r="CU16" i="30"/>
  <c r="CT185" i="30"/>
  <c r="CT19" i="30"/>
  <c r="CR27" i="30"/>
  <c r="CR196" i="30" s="1"/>
  <c r="CR194" i="30"/>
  <c r="CS187" i="30"/>
  <c r="CR192" i="30"/>
  <c r="CS23" i="30"/>
  <c r="CS22" i="30"/>
  <c r="CS191" i="30" s="1"/>
  <c r="CX53" i="30"/>
  <c r="CY52" i="30" s="1"/>
  <c r="CW87" i="30"/>
  <c r="CX86" i="30" s="1"/>
  <c r="CV59" i="30"/>
  <c r="CV61" i="30" s="1"/>
  <c r="CV42" i="30"/>
  <c r="CV44" i="30" s="1"/>
  <c r="CV178" i="30"/>
  <c r="CV180" i="30" s="1"/>
  <c r="CV76" i="30"/>
  <c r="CV78" i="30" s="1"/>
  <c r="CV110" i="30"/>
  <c r="CV112" i="30" s="1"/>
  <c r="CV93" i="30"/>
  <c r="CV95" i="30" s="1"/>
  <c r="CV127" i="30"/>
  <c r="CV129" i="30" s="1"/>
  <c r="CW125" i="30"/>
  <c r="CW124" i="30"/>
  <c r="CX138" i="30"/>
  <c r="CY137" i="30" s="1"/>
  <c r="CW108" i="30"/>
  <c r="CW107" i="30"/>
  <c r="CW39" i="30"/>
  <c r="CW40" i="30"/>
  <c r="CW158" i="30"/>
  <c r="CW159" i="30"/>
  <c r="CW176" i="30"/>
  <c r="CW175" i="30"/>
  <c r="CW70" i="30"/>
  <c r="CX69" i="30" s="1"/>
  <c r="CW141" i="30"/>
  <c r="CW142" i="30"/>
  <c r="CW74" i="30"/>
  <c r="CW73" i="30"/>
  <c r="DA104" i="30"/>
  <c r="CZ104" i="30"/>
  <c r="DA103" i="30" s="1"/>
  <c r="CV144" i="30"/>
  <c r="CV146" i="30" s="1"/>
  <c r="CW57" i="30"/>
  <c r="CW56" i="30"/>
  <c r="CW155" i="30"/>
  <c r="CX154" i="30" s="1"/>
  <c r="CV161" i="30"/>
  <c r="CV163" i="30" s="1"/>
  <c r="CW90" i="30"/>
  <c r="CW91" i="30"/>
  <c r="CZ172" i="30"/>
  <c r="DA171" i="30" s="1"/>
  <c r="DA172" i="30"/>
  <c r="CS192" i="30" l="1"/>
  <c r="CT23" i="30"/>
  <c r="CT22" i="30"/>
  <c r="CT191" i="30" s="1"/>
  <c r="CS25" i="30"/>
  <c r="CU18" i="30"/>
  <c r="CT188" i="30"/>
  <c r="CV16" i="30"/>
  <c r="CU185" i="30"/>
  <c r="CU19" i="30"/>
  <c r="CT187" i="30"/>
  <c r="CT25" i="30"/>
  <c r="CY53" i="30"/>
  <c r="CZ52" i="30" s="1"/>
  <c r="CX87" i="30"/>
  <c r="CY86" i="30" s="1"/>
  <c r="CW110" i="30"/>
  <c r="CW112" i="30" s="1"/>
  <c r="CW76" i="30"/>
  <c r="CW78" i="30" s="1"/>
  <c r="CW127" i="30"/>
  <c r="CW129" i="30" s="1"/>
  <c r="CW161" i="30"/>
  <c r="CW163" i="30" s="1"/>
  <c r="CW59" i="30"/>
  <c r="CW61" i="30" s="1"/>
  <c r="CX175" i="30"/>
  <c r="CX176" i="30"/>
  <c r="CX90" i="30"/>
  <c r="CX91" i="30"/>
  <c r="CX142" i="30"/>
  <c r="CX141" i="30"/>
  <c r="CX159" i="30"/>
  <c r="CX158" i="30"/>
  <c r="CW42" i="30"/>
  <c r="CW44" i="30" s="1"/>
  <c r="CW93" i="30"/>
  <c r="CW95" i="30" s="1"/>
  <c r="CX40" i="30"/>
  <c r="CX39" i="30"/>
  <c r="CX74" i="30"/>
  <c r="CX73" i="30"/>
  <c r="CX107" i="30"/>
  <c r="CX108" i="30"/>
  <c r="CW144" i="30"/>
  <c r="CW146" i="30" s="1"/>
  <c r="CY138" i="30"/>
  <c r="CZ137" i="30" s="1"/>
  <c r="CX155" i="30"/>
  <c r="CY154" i="30" s="1"/>
  <c r="CX70" i="30"/>
  <c r="CY69" i="30" s="1"/>
  <c r="CX125" i="30"/>
  <c r="CX124" i="30"/>
  <c r="CX57" i="30"/>
  <c r="CX56" i="30"/>
  <c r="CW178" i="30"/>
  <c r="CW180" i="30" s="1"/>
  <c r="CT27" i="30" l="1"/>
  <c r="CT196" i="30" s="1"/>
  <c r="CT194" i="30"/>
  <c r="CV18" i="30"/>
  <c r="CU188" i="30"/>
  <c r="CW16" i="30"/>
  <c r="CV185" i="30"/>
  <c r="CV19" i="30"/>
  <c r="CU187" i="30"/>
  <c r="CS27" i="30"/>
  <c r="CS196" i="30" s="1"/>
  <c r="CS194" i="30"/>
  <c r="CT192" i="30"/>
  <c r="CU23" i="30"/>
  <c r="CU22" i="30"/>
  <c r="CU191" i="30" s="1"/>
  <c r="CZ53" i="30"/>
  <c r="DA52" i="30" s="1"/>
  <c r="DA53" i="30"/>
  <c r="CY87" i="30"/>
  <c r="CZ86" i="30" s="1"/>
  <c r="CX127" i="30"/>
  <c r="CX129" i="30" s="1"/>
  <c r="CX59" i="30"/>
  <c r="CX61" i="30" s="1"/>
  <c r="CX42" i="30"/>
  <c r="CX44" i="30" s="1"/>
  <c r="CX144" i="30"/>
  <c r="CX146" i="30" s="1"/>
  <c r="CX161" i="30"/>
  <c r="CX163" i="30" s="1"/>
  <c r="CX76" i="30"/>
  <c r="CX78" i="30" s="1"/>
  <c r="CY158" i="30"/>
  <c r="CY159" i="30"/>
  <c r="CY107" i="30"/>
  <c r="CY108" i="30"/>
  <c r="CY175" i="30"/>
  <c r="CY176" i="30"/>
  <c r="CY91" i="30"/>
  <c r="CY90" i="30"/>
  <c r="CY56" i="30"/>
  <c r="CY57" i="30"/>
  <c r="DA138" i="30"/>
  <c r="CZ138" i="30"/>
  <c r="DA137" i="30" s="1"/>
  <c r="CY141" i="30"/>
  <c r="CY142" i="30"/>
  <c r="CX93" i="30"/>
  <c r="CX95" i="30" s="1"/>
  <c r="CX110" i="30"/>
  <c r="CX112" i="30" s="1"/>
  <c r="CY125" i="30"/>
  <c r="CY124" i="30"/>
  <c r="CX178" i="30"/>
  <c r="CX180" i="30" s="1"/>
  <c r="CY74" i="30"/>
  <c r="CY73" i="30"/>
  <c r="CY70" i="30"/>
  <c r="CZ69" i="30" s="1"/>
  <c r="CY39" i="30"/>
  <c r="CY40" i="30"/>
  <c r="CY155" i="30"/>
  <c r="CZ154" i="30" s="1"/>
  <c r="CU25" i="30" l="1"/>
  <c r="CU192" i="30"/>
  <c r="CV22" i="30"/>
  <c r="CV191" i="30" s="1"/>
  <c r="CV23" i="30"/>
  <c r="CX16" i="30"/>
  <c r="CW185" i="30"/>
  <c r="CW19" i="30"/>
  <c r="CW18" i="30"/>
  <c r="CV188" i="30"/>
  <c r="CV187" i="30"/>
  <c r="CY144" i="30"/>
  <c r="CY146" i="30" s="1"/>
  <c r="CY161" i="30"/>
  <c r="CY163" i="30" s="1"/>
  <c r="DA87" i="30"/>
  <c r="CZ87" i="30"/>
  <c r="DA86" i="30" s="1"/>
  <c r="CY93" i="30"/>
  <c r="CY95" i="30" s="1"/>
  <c r="CY59" i="30"/>
  <c r="CY61" i="30" s="1"/>
  <c r="CY110" i="30"/>
  <c r="CY112" i="30" s="1"/>
  <c r="DA70" i="30"/>
  <c r="CZ70" i="30"/>
  <c r="DA69" i="30" s="1"/>
  <c r="CZ125" i="30"/>
  <c r="CZ124" i="30"/>
  <c r="CZ73" i="30"/>
  <c r="CZ74" i="30"/>
  <c r="CZ91" i="30"/>
  <c r="CZ90" i="30"/>
  <c r="CZ175" i="30"/>
  <c r="CZ176" i="30"/>
  <c r="CZ155" i="30"/>
  <c r="DA154" i="30" s="1"/>
  <c r="DA155" i="30"/>
  <c r="CZ57" i="30"/>
  <c r="CZ56" i="30"/>
  <c r="CY127" i="30"/>
  <c r="CY129" i="30" s="1"/>
  <c r="CY178" i="30"/>
  <c r="CY180" i="30" s="1"/>
  <c r="CZ141" i="30"/>
  <c r="CZ142" i="30"/>
  <c r="CZ108" i="30"/>
  <c r="CZ107" i="30"/>
  <c r="CZ39" i="30"/>
  <c r="CZ40" i="30"/>
  <c r="CY42" i="30"/>
  <c r="CY44" i="30" s="1"/>
  <c r="CZ158" i="30"/>
  <c r="CZ159" i="30"/>
  <c r="CY76" i="30"/>
  <c r="CY78" i="30" s="1"/>
  <c r="CV25" i="30" l="1"/>
  <c r="CV194" i="30" s="1"/>
  <c r="CW187" i="30"/>
  <c r="CX18" i="30"/>
  <c r="CW188" i="30"/>
  <c r="CY16" i="30"/>
  <c r="CX185" i="30"/>
  <c r="CX19" i="30"/>
  <c r="CV192" i="30"/>
  <c r="CW22" i="30"/>
  <c r="CW191" i="30" s="1"/>
  <c r="CW23" i="30"/>
  <c r="CU27" i="30"/>
  <c r="CU196" i="30" s="1"/>
  <c r="CU194" i="30"/>
  <c r="CZ59" i="30"/>
  <c r="CZ61" i="30" s="1"/>
  <c r="CZ178" i="30"/>
  <c r="CZ180" i="30" s="1"/>
  <c r="CZ42" i="30"/>
  <c r="CZ44" i="30" s="1"/>
  <c r="CZ93" i="30"/>
  <c r="CZ95" i="30" s="1"/>
  <c r="CZ144" i="30"/>
  <c r="CZ146" i="30" s="1"/>
  <c r="CZ76" i="30"/>
  <c r="CZ78" i="30" s="1"/>
  <c r="DA107" i="30"/>
  <c r="DA108" i="30"/>
  <c r="DA175" i="30"/>
  <c r="DA176" i="30"/>
  <c r="DA141" i="30"/>
  <c r="DA142" i="30"/>
  <c r="DA125" i="30"/>
  <c r="DA124" i="30"/>
  <c r="DA39" i="30"/>
  <c r="DA40" i="30"/>
  <c r="CZ110" i="30"/>
  <c r="CZ112" i="30" s="1"/>
  <c r="DA90" i="30"/>
  <c r="DA91" i="30"/>
  <c r="CZ161" i="30"/>
  <c r="CZ163" i="30" s="1"/>
  <c r="DA74" i="30"/>
  <c r="DA73" i="30"/>
  <c r="CZ127" i="30"/>
  <c r="CZ129" i="30" s="1"/>
  <c r="DA158" i="30"/>
  <c r="DA159" i="30"/>
  <c r="DA57" i="30"/>
  <c r="DA56" i="30"/>
  <c r="CV27" i="30" l="1"/>
  <c r="CV196" i="30" s="1"/>
  <c r="CY18" i="30"/>
  <c r="CX188" i="30"/>
  <c r="CW192" i="30"/>
  <c r="CX22" i="30"/>
  <c r="CX191" i="30" s="1"/>
  <c r="CX23" i="30"/>
  <c r="CZ16" i="30"/>
  <c r="CY185" i="30"/>
  <c r="CY19" i="30"/>
  <c r="CX187" i="30"/>
  <c r="CW25" i="30"/>
  <c r="DA76" i="30"/>
  <c r="DA78" i="30" s="1"/>
  <c r="DA161" i="30"/>
  <c r="DA163" i="30" s="1"/>
  <c r="DA127" i="30"/>
  <c r="DA129" i="30" s="1"/>
  <c r="DA93" i="30"/>
  <c r="DA95" i="30" s="1"/>
  <c r="DA59" i="30"/>
  <c r="DA61" i="30" s="1"/>
  <c r="DA42" i="30"/>
  <c r="DA44" i="30" s="1"/>
  <c r="DA144" i="30"/>
  <c r="DA146" i="30" s="1"/>
  <c r="DA178" i="30"/>
  <c r="DA180" i="30" s="1"/>
  <c r="DA110" i="30"/>
  <c r="DA112" i="30" s="1"/>
  <c r="CX25" i="30" l="1"/>
  <c r="CX27" i="30" s="1"/>
  <c r="CX196" i="30" s="1"/>
  <c r="CW27" i="30"/>
  <c r="CW196" i="30" s="1"/>
  <c r="CW194" i="30"/>
  <c r="CZ18" i="30"/>
  <c r="CY188" i="30"/>
  <c r="DA16" i="30"/>
  <c r="CZ185" i="30"/>
  <c r="CZ19" i="30"/>
  <c r="CX192" i="30"/>
  <c r="CY22" i="30"/>
  <c r="CY191" i="30" s="1"/>
  <c r="CY23" i="30"/>
  <c r="CY187" i="30"/>
  <c r="CX194" i="30" l="1"/>
  <c r="CY25" i="30"/>
  <c r="CY192" i="30"/>
  <c r="CZ23" i="30"/>
  <c r="CZ22" i="30"/>
  <c r="CZ191" i="30" s="1"/>
  <c r="DA18" i="30"/>
  <c r="CZ188" i="30"/>
  <c r="DA185" i="30"/>
  <c r="DA19" i="30"/>
  <c r="DA188" i="30" s="1"/>
  <c r="CZ187" i="30"/>
  <c r="CZ25" i="30" l="1"/>
  <c r="CZ27" i="30" s="1"/>
  <c r="CZ196" i="30" s="1"/>
  <c r="DA187" i="30"/>
  <c r="CZ192" i="30"/>
  <c r="DA22" i="30"/>
  <c r="DA191" i="30" s="1"/>
  <c r="DA23" i="30"/>
  <c r="DA192" i="30" s="1"/>
  <c r="CY27" i="30"/>
  <c r="CY196" i="30" s="1"/>
  <c r="CY194" i="30"/>
  <c r="CZ194" i="30" l="1"/>
  <c r="DA25" i="30"/>
  <c r="DA27" i="30" l="1"/>
  <c r="DA196" i="30" s="1"/>
  <c r="DA194" i="30"/>
  <c r="AW73" i="19" l="1"/>
  <c r="AW91" i="19" s="1"/>
  <c r="I28" i="8"/>
  <c r="L28" i="8"/>
  <c r="K28" i="8"/>
  <c r="J28" i="8"/>
  <c r="H28" i="8"/>
  <c r="F28" i="8"/>
  <c r="E28" i="8"/>
  <c r="G28" i="8"/>
  <c r="N28" i="8"/>
  <c r="O28" i="8" s="1"/>
  <c r="P28" i="8" s="1"/>
  <c r="Q28" i="8" s="1"/>
  <c r="R28" i="8" s="1"/>
  <c r="S28" i="8" s="1"/>
  <c r="T28" i="8" s="1"/>
  <c r="U28" i="8" s="1"/>
  <c r="V28" i="8" s="1"/>
  <c r="W28" i="8" s="1"/>
  <c r="X28" i="8" s="1"/>
  <c r="Y28" i="8" s="1"/>
  <c r="Z28" i="8" s="1"/>
  <c r="AA28" i="8" s="1"/>
  <c r="AB28" i="8" s="1"/>
  <c r="AC28" i="8" s="1"/>
  <c r="AD28" i="8" s="1"/>
  <c r="AE28" i="8" s="1"/>
  <c r="AF28" i="8" s="1"/>
  <c r="AG28" i="8" s="1"/>
  <c r="AH28" i="8" s="1"/>
  <c r="AI28" i="8" s="1"/>
  <c r="AJ28" i="8" s="1"/>
  <c r="AK28" i="8" s="1"/>
  <c r="AL28" i="8" s="1"/>
  <c r="AM28" i="8" s="1"/>
  <c r="AN28" i="8" s="1"/>
  <c r="AO28" i="8" s="1"/>
  <c r="AP28" i="8" s="1"/>
  <c r="AQ28" i="8" s="1"/>
  <c r="AR28" i="8" s="1"/>
  <c r="AS28" i="8" s="1"/>
  <c r="AT28" i="8" s="1"/>
  <c r="AU28" i="8" s="1"/>
  <c r="AV28" i="8" s="1"/>
  <c r="AW28" i="8" s="1"/>
  <c r="AX28" i="8" s="1"/>
  <c r="AY28" i="8" s="1"/>
  <c r="AZ28" i="8" s="1"/>
  <c r="BA28" i="8" s="1"/>
  <c r="BB28" i="8" s="1"/>
  <c r="BC28" i="8" s="1"/>
  <c r="BD28" i="8" s="1"/>
  <c r="BE28" i="8" s="1"/>
  <c r="BF28" i="8" s="1"/>
  <c r="BG28" i="8" s="1"/>
  <c r="BH28" i="8" s="1"/>
  <c r="M28" i="8"/>
  <c r="AZ74" i="19"/>
  <c r="AZ92" i="19" s="1"/>
  <c r="AC75" i="19"/>
  <c r="AC93" i="19" s="1"/>
  <c r="K78" i="19"/>
  <c r="K96" i="19" s="1"/>
  <c r="AI74" i="19"/>
  <c r="AI92" i="19" s="1"/>
  <c r="BH76" i="19"/>
  <c r="BH94" i="19" s="1"/>
  <c r="V5" i="3"/>
  <c r="B24" i="21" s="1"/>
  <c r="C24" i="21" s="1"/>
  <c r="D24" i="21" s="1"/>
  <c r="E24" i="21" s="1"/>
  <c r="F24" i="21" s="1"/>
  <c r="G24" i="21" s="1"/>
  <c r="H24" i="21" s="1"/>
  <c r="I24" i="21" s="1"/>
  <c r="J24" i="21" s="1"/>
  <c r="K24" i="21" s="1"/>
  <c r="AB74" i="19"/>
  <c r="AB92" i="19" s="1"/>
  <c r="I74" i="19"/>
  <c r="I92" i="19" s="1"/>
  <c r="BJ75" i="19"/>
  <c r="BJ93" i="19" s="1"/>
  <c r="AY76" i="19"/>
  <c r="AY94" i="19" s="1"/>
  <c r="AS73" i="19"/>
  <c r="AS91" i="19" s="1"/>
  <c r="O75" i="19"/>
  <c r="O93" i="19" s="1"/>
  <c r="T76" i="19"/>
  <c r="T94" i="19" s="1"/>
  <c r="AS74" i="19"/>
  <c r="AS92" i="19" s="1"/>
  <c r="AE76" i="19"/>
  <c r="AE94" i="19" s="1"/>
  <c r="AD76" i="19"/>
  <c r="AD94" i="19" s="1"/>
  <c r="Q73" i="19"/>
  <c r="Q91" i="19" s="1"/>
  <c r="AU76" i="19"/>
  <c r="AU94" i="19" s="1"/>
  <c r="L78" i="19"/>
  <c r="L96" i="19" s="1"/>
  <c r="BE75" i="19"/>
  <c r="BE93" i="19" s="1"/>
  <c r="I76" i="19"/>
  <c r="I94" i="19" s="1"/>
  <c r="BE73" i="19"/>
  <c r="BE91" i="19" s="1"/>
  <c r="AQ76" i="19"/>
  <c r="AQ94" i="19" s="1"/>
  <c r="AG75" i="19"/>
  <c r="AG93" i="19" s="1"/>
  <c r="BD74" i="19"/>
  <c r="BD92" i="19" s="1"/>
  <c r="N78" i="19"/>
  <c r="N96" i="19" s="1"/>
  <c r="I78" i="19"/>
  <c r="I96" i="19" s="1"/>
  <c r="M74" i="19"/>
  <c r="M92" i="19" s="1"/>
  <c r="AO76" i="19"/>
  <c r="AO94" i="19" s="1"/>
  <c r="AK75" i="19"/>
  <c r="AK93" i="19" s="1"/>
  <c r="L76" i="19"/>
  <c r="L94" i="19" s="1"/>
  <c r="AQ75" i="19"/>
  <c r="AQ93" i="19" s="1"/>
  <c r="BG76" i="19"/>
  <c r="BG94" i="19" s="1"/>
  <c r="J75" i="19"/>
  <c r="J93" i="19" s="1"/>
  <c r="S75" i="19"/>
  <c r="S93" i="19" s="1"/>
  <c r="O73" i="19"/>
  <c r="O91" i="19" s="1"/>
  <c r="AV75" i="19"/>
  <c r="AV93" i="19" s="1"/>
  <c r="AK74" i="19"/>
  <c r="AK92" i="19" s="1"/>
  <c r="BD75" i="19"/>
  <c r="BD93" i="19" s="1"/>
  <c r="G76" i="19"/>
  <c r="G94" i="19" s="1"/>
  <c r="AX74" i="19"/>
  <c r="AX92" i="19" s="1"/>
  <c r="K74" i="19"/>
  <c r="K92" i="19" s="1"/>
  <c r="AP76" i="19"/>
  <c r="AP94" i="19" s="1"/>
  <c r="AY73" i="19"/>
  <c r="AY91" i="19" s="1"/>
  <c r="BI75" i="19"/>
  <c r="BI93" i="19" s="1"/>
  <c r="AV76" i="19"/>
  <c r="AV94" i="19" s="1"/>
  <c r="AO74" i="19"/>
  <c r="AO92" i="19" s="1"/>
  <c r="AQ74" i="19"/>
  <c r="AQ92" i="19" s="1"/>
  <c r="AX75" i="19"/>
  <c r="AX93" i="19" s="1"/>
  <c r="AW75" i="19"/>
  <c r="AW93" i="19" s="1"/>
  <c r="O78" i="19"/>
  <c r="O96" i="19" s="1"/>
  <c r="V74" i="19"/>
  <c r="V92" i="19" s="1"/>
  <c r="AC76" i="19"/>
  <c r="AC94" i="19" s="1"/>
  <c r="AP75" i="19"/>
  <c r="AP93" i="19" s="1"/>
  <c r="Z74" i="19"/>
  <c r="Z92" i="19" s="1"/>
  <c r="BF76" i="19"/>
  <c r="BF94" i="19" s="1"/>
  <c r="T74" i="19"/>
  <c r="T92" i="19" s="1"/>
  <c r="AE75" i="19"/>
  <c r="AE93" i="19" s="1"/>
  <c r="AP73" i="19"/>
  <c r="AP91" i="19" s="1"/>
  <c r="AK73" i="19"/>
  <c r="AK91" i="19" s="1"/>
  <c r="BJ76" i="19"/>
  <c r="BJ94" i="19" s="1"/>
  <c r="AS76" i="19"/>
  <c r="AS94" i="19" s="1"/>
  <c r="AG76" i="19"/>
  <c r="AG94" i="19" s="1"/>
  <c r="H74" i="19"/>
  <c r="H92" i="19" s="1"/>
  <c r="AZ76" i="19"/>
  <c r="AZ94" i="19" s="1"/>
  <c r="AO73" i="19"/>
  <c r="AO91" i="19" s="1"/>
  <c r="K76" i="19"/>
  <c r="K94" i="19" s="1"/>
  <c r="AH76" i="19"/>
  <c r="AH94" i="19" s="1"/>
  <c r="Y74" i="19"/>
  <c r="Y92" i="19" s="1"/>
  <c r="BC74" i="19"/>
  <c r="BC92" i="19" s="1"/>
  <c r="BG75" i="19"/>
  <c r="BG93" i="19" s="1"/>
  <c r="BF73" i="19"/>
  <c r="BF91" i="19" s="1"/>
  <c r="M76" i="19"/>
  <c r="M94" i="19" s="1"/>
  <c r="BI76" i="19"/>
  <c r="BI94" i="19" s="1"/>
  <c r="AH74" i="19"/>
  <c r="AH92" i="19" s="1"/>
  <c r="N74" i="19"/>
  <c r="N92" i="19" s="1"/>
  <c r="W75" i="19"/>
  <c r="W93" i="19" s="1"/>
  <c r="AU73" i="19"/>
  <c r="AU91" i="19" s="1"/>
  <c r="AN74" i="19"/>
  <c r="AN92" i="19" s="1"/>
  <c r="AD75" i="19"/>
  <c r="AD93" i="19" s="1"/>
  <c r="G75" i="19"/>
  <c r="G93" i="19" s="1"/>
  <c r="BD73" i="19"/>
  <c r="BD91" i="19" s="1"/>
  <c r="N73" i="19"/>
  <c r="N91" i="19" s="1"/>
  <c r="T75" i="19"/>
  <c r="T93" i="19" s="1"/>
  <c r="BC75" i="19"/>
  <c r="BC93" i="19" s="1"/>
  <c r="AA76" i="19"/>
  <c r="AA94" i="19" s="1"/>
  <c r="AZ75" i="19"/>
  <c r="AZ93" i="19" s="1"/>
  <c r="M75" i="19"/>
  <c r="M93" i="19" s="1"/>
  <c r="BD76" i="19"/>
  <c r="BD94" i="19" s="1"/>
  <c r="P76" i="19"/>
  <c r="P94" i="19" s="1"/>
  <c r="O74" i="19"/>
  <c r="O92" i="19" s="1"/>
  <c r="R76" i="19"/>
  <c r="R94" i="19" s="1"/>
  <c r="AG74" i="19"/>
  <c r="AG92" i="19" s="1"/>
  <c r="L74" i="19"/>
  <c r="L92" i="19" s="1"/>
  <c r="AY75" i="19"/>
  <c r="AY93" i="19" s="1"/>
  <c r="AE73" i="19"/>
  <c r="AE91" i="19" s="1"/>
  <c r="AU74" i="19"/>
  <c r="AU92" i="19" s="1"/>
  <c r="R75" i="19"/>
  <c r="R93" i="19" s="1"/>
  <c r="AM75" i="19"/>
  <c r="AM93" i="19" s="1"/>
  <c r="AA75" i="19"/>
  <c r="AA93" i="19" s="1"/>
  <c r="AN75" i="19"/>
  <c r="AN93" i="19" s="1"/>
  <c r="Z75" i="19"/>
  <c r="Z93" i="19" s="1"/>
  <c r="AF76" i="19"/>
  <c r="AF94" i="19" s="1"/>
  <c r="J78" i="19"/>
  <c r="J96" i="19" s="1"/>
  <c r="AN76" i="19"/>
  <c r="AN94" i="19" s="1"/>
  <c r="BE74" i="19"/>
  <c r="BE92" i="19" s="1"/>
  <c r="AX76" i="19"/>
  <c r="AX94" i="19" s="1"/>
  <c r="W74" i="19"/>
  <c r="W92" i="19" s="1"/>
  <c r="AC73" i="19"/>
  <c r="AC91" i="19" s="1"/>
  <c r="BA73" i="19"/>
  <c r="BA91" i="19" s="1"/>
  <c r="M73" i="19"/>
  <c r="M91" i="19" s="1"/>
  <c r="L73" i="19"/>
  <c r="L91" i="19" s="1"/>
  <c r="G73" i="19"/>
  <c r="G91" i="19" s="1"/>
  <c r="AZ73" i="19"/>
  <c r="AZ91" i="19" s="1"/>
  <c r="AR73" i="19"/>
  <c r="AR91" i="19" s="1"/>
  <c r="X73" i="19"/>
  <c r="X91" i="19" s="1"/>
  <c r="AF73" i="19"/>
  <c r="AF91" i="19" s="1"/>
  <c r="Z73" i="19"/>
  <c r="Z91" i="19" s="1"/>
  <c r="AA73" i="19"/>
  <c r="AA91" i="19" s="1"/>
  <c r="Y73" i="19"/>
  <c r="Y91" i="19" s="1"/>
  <c r="R73" i="19"/>
  <c r="R91" i="19" s="1"/>
  <c r="J76" i="19"/>
  <c r="J94" i="19" s="1"/>
  <c r="W76" i="19"/>
  <c r="W94" i="19" s="1"/>
  <c r="AD74" i="19"/>
  <c r="AD92" i="19" s="1"/>
  <c r="BB73" i="19"/>
  <c r="BB91" i="19" s="1"/>
  <c r="BG73" i="19"/>
  <c r="BG91" i="19" s="1"/>
  <c r="U73" i="19"/>
  <c r="U91" i="19" s="1"/>
  <c r="T73" i="19"/>
  <c r="T91" i="19" s="1"/>
  <c r="AN73" i="19"/>
  <c r="AN91" i="19" s="1"/>
  <c r="AI73" i="19"/>
  <c r="AI91" i="19" s="1"/>
  <c r="AQ73" i="19"/>
  <c r="AQ91" i="19" s="1"/>
  <c r="BJ73" i="19"/>
  <c r="BJ91" i="19" s="1"/>
  <c r="AP74" i="19"/>
  <c r="AP92" i="19" s="1"/>
  <c r="X75" i="19"/>
  <c r="X93" i="19" s="1"/>
  <c r="BB74" i="19"/>
  <c r="BB92" i="19" s="1"/>
  <c r="AT74" i="19"/>
  <c r="AT92" i="19" s="1"/>
  <c r="BI73" i="19"/>
  <c r="BI91" i="19" s="1"/>
  <c r="AH73" i="19"/>
  <c r="AH91" i="19" s="1"/>
  <c r="AB73" i="19"/>
  <c r="AB91" i="19" s="1"/>
  <c r="AX73" i="19"/>
  <c r="AX91" i="19" s="1"/>
  <c r="AV73" i="19"/>
  <c r="AV91" i="19" s="1"/>
  <c r="AL73" i="19"/>
  <c r="AL91" i="19" s="1"/>
  <c r="AT73" i="19"/>
  <c r="AT91" i="19" s="1"/>
  <c r="S73" i="19"/>
  <c r="S91" i="19" s="1"/>
  <c r="I73" i="19"/>
  <c r="I91" i="19" s="1"/>
  <c r="H75" i="19"/>
  <c r="H93" i="19" s="1"/>
  <c r="BC76" i="19"/>
  <c r="BC94" i="19" s="1"/>
  <c r="AF74" i="19"/>
  <c r="AF92" i="19" s="1"/>
  <c r="Y76" i="19"/>
  <c r="Y94" i="19" s="1"/>
  <c r="AB75" i="19"/>
  <c r="AB93" i="19" s="1"/>
  <c r="R74" i="19"/>
  <c r="R92" i="19" s="1"/>
  <c r="AU75" i="19"/>
  <c r="AU93" i="19" s="1"/>
  <c r="AH75" i="19"/>
  <c r="AH93" i="19" s="1"/>
  <c r="S76" i="19"/>
  <c r="S94" i="19" s="1"/>
  <c r="H78" i="19"/>
  <c r="H96" i="19" s="1"/>
  <c r="BE76" i="19"/>
  <c r="BE94" i="19" s="1"/>
  <c r="Q74" i="19"/>
  <c r="Q92" i="19" s="1"/>
  <c r="BH74" i="19"/>
  <c r="BH92" i="19" s="1"/>
  <c r="W73" i="19"/>
  <c r="W91" i="19" s="1"/>
  <c r="AD73" i="19"/>
  <c r="AD91" i="19" s="1"/>
  <c r="H73" i="19"/>
  <c r="H91" i="19" s="1"/>
  <c r="P74" i="19"/>
  <c r="P92" i="19" s="1"/>
  <c r="AT75" i="19"/>
  <c r="AT93" i="19" s="1"/>
  <c r="N75" i="19"/>
  <c r="N93" i="19" s="1"/>
  <c r="AO75" i="19"/>
  <c r="AO93" i="19" s="1"/>
  <c r="BA74" i="19"/>
  <c r="BA92" i="19" s="1"/>
  <c r="AJ75" i="19"/>
  <c r="AJ93" i="19" s="1"/>
  <c r="AW76" i="19"/>
  <c r="AW94" i="19" s="1"/>
  <c r="Z76" i="19"/>
  <c r="Z94" i="19" s="1"/>
  <c r="AT76" i="19"/>
  <c r="AT94" i="19" s="1"/>
  <c r="BA76" i="19"/>
  <c r="BA94" i="19" s="1"/>
  <c r="AK76" i="19"/>
  <c r="AK94" i="19" s="1"/>
  <c r="AE74" i="19"/>
  <c r="AE92" i="19" s="1"/>
  <c r="S74" i="19"/>
  <c r="S92" i="19" s="1"/>
  <c r="J73" i="19"/>
  <c r="J91" i="19" s="1"/>
  <c r="V73" i="19"/>
  <c r="V91" i="19" s="1"/>
  <c r="BC73" i="19"/>
  <c r="BC91" i="19" s="1"/>
  <c r="M78" i="19"/>
  <c r="M96" i="19" s="1"/>
  <c r="Q75" i="19"/>
  <c r="Q93" i="19" s="1"/>
  <c r="V75" i="19"/>
  <c r="V93" i="19" s="1"/>
  <c r="J74" i="19"/>
  <c r="J92" i="19" s="1"/>
  <c r="AM74" i="19"/>
  <c r="AM92" i="19" s="1"/>
  <c r="AF75" i="19"/>
  <c r="AF93" i="19" s="1"/>
  <c r="O76" i="19"/>
  <c r="O94" i="19" s="1"/>
  <c r="K75" i="19"/>
  <c r="K93" i="19" s="1"/>
  <c r="BF75" i="19"/>
  <c r="BF93" i="19" s="1"/>
  <c r="AJ76" i="19"/>
  <c r="AJ94" i="19" s="1"/>
  <c r="AA74" i="19"/>
  <c r="AA92" i="19" s="1"/>
  <c r="AL76" i="19"/>
  <c r="AL94" i="19" s="1"/>
  <c r="P73" i="19"/>
  <c r="P91" i="19" s="1"/>
  <c r="BH73" i="19"/>
  <c r="BH91" i="19" s="1"/>
  <c r="H76" i="19"/>
  <c r="H94" i="19" s="1"/>
  <c r="BG74" i="19"/>
  <c r="BG92" i="19" s="1"/>
  <c r="N76" i="19"/>
  <c r="N94" i="19" s="1"/>
  <c r="BB75" i="19"/>
  <c r="BB93" i="19" s="1"/>
  <c r="BJ74" i="19"/>
  <c r="BJ92" i="19" s="1"/>
  <c r="U74" i="19"/>
  <c r="U92" i="19" s="1"/>
  <c r="AY74" i="19"/>
  <c r="AY92" i="19" s="1"/>
  <c r="Y75" i="19"/>
  <c r="Y93" i="19" s="1"/>
  <c r="X76" i="19"/>
  <c r="X94" i="19" s="1"/>
  <c r="AL75" i="19"/>
  <c r="AL93" i="19" s="1"/>
  <c r="AR75" i="19"/>
  <c r="AR93" i="19" s="1"/>
  <c r="AR76" i="19"/>
  <c r="AR94" i="19" s="1"/>
  <c r="BB76" i="19"/>
  <c r="BB94" i="19" s="1"/>
  <c r="AJ73" i="19"/>
  <c r="AJ91" i="19" s="1"/>
  <c r="AG73" i="19"/>
  <c r="AG91" i="19" s="1"/>
  <c r="K73" i="19"/>
  <c r="K91" i="19" s="1"/>
  <c r="AI76" i="19"/>
  <c r="AI94" i="19" s="1"/>
  <c r="V76" i="19"/>
  <c r="V94" i="19" s="1"/>
  <c r="AL74" i="19"/>
  <c r="AL92" i="19" s="1"/>
  <c r="X74" i="19"/>
  <c r="X92" i="19" s="1"/>
  <c r="AR74" i="19"/>
  <c r="AR92" i="19" s="1"/>
  <c r="AV74" i="19"/>
  <c r="AV92" i="19" s="1"/>
  <c r="AJ74" i="19"/>
  <c r="AJ92" i="19" s="1"/>
  <c r="L75" i="19"/>
  <c r="L93" i="19" s="1"/>
  <c r="G78" i="19"/>
  <c r="G96" i="19" s="1"/>
  <c r="AI75" i="19"/>
  <c r="AI93" i="19" s="1"/>
  <c r="BA75" i="19"/>
  <c r="BA93" i="19" s="1"/>
  <c r="Q76" i="19"/>
  <c r="Q94" i="19" s="1"/>
  <c r="AS75" i="19"/>
  <c r="AS93" i="19" s="1"/>
  <c r="AM73" i="19"/>
  <c r="AM91" i="19" s="1"/>
  <c r="AB76" i="19"/>
  <c r="AB94" i="19" s="1"/>
  <c r="U76" i="19"/>
  <c r="U94" i="19" s="1"/>
  <c r="AC74" i="19"/>
  <c r="AC92" i="19" s="1"/>
  <c r="AW74" i="19"/>
  <c r="AW92" i="19" s="1"/>
  <c r="P78" i="19"/>
  <c r="P96" i="19" s="1"/>
  <c r="BF74" i="19"/>
  <c r="BF92" i="19" s="1"/>
  <c r="G74" i="19"/>
  <c r="G92" i="19" s="1"/>
  <c r="BH75" i="19"/>
  <c r="BH93" i="19" s="1"/>
  <c r="BI74" i="19"/>
  <c r="BI92" i="19" s="1"/>
  <c r="U75" i="19"/>
  <c r="U93" i="19" s="1"/>
  <c r="I75" i="19"/>
  <c r="I93" i="19" s="1"/>
  <c r="AM76" i="19"/>
  <c r="AM94" i="19" s="1"/>
  <c r="P75" i="19"/>
  <c r="P93" i="19" s="1"/>
  <c r="E18" i="21" l="1"/>
  <c r="H18" i="21"/>
  <c r="M71" i="19" s="1"/>
  <c r="M89" i="19" s="1"/>
  <c r="AS82" i="19"/>
  <c r="AK82" i="19"/>
  <c r="AY82" i="19"/>
  <c r="AU82" i="19"/>
  <c r="O82" i="19"/>
  <c r="BE82" i="19"/>
  <c r="F6" i="28"/>
  <c r="L82" i="19"/>
  <c r="N12" i="3"/>
  <c r="BF82" i="19"/>
  <c r="Q82" i="19"/>
  <c r="K82" i="19"/>
  <c r="N4" i="3"/>
  <c r="AO82" i="19"/>
  <c r="N11" i="3"/>
  <c r="BC82" i="19"/>
  <c r="T82" i="19"/>
  <c r="V82" i="19"/>
  <c r="AX82" i="19"/>
  <c r="U82" i="19"/>
  <c r="AZ82" i="19"/>
  <c r="P82" i="19"/>
  <c r="AV82" i="19"/>
  <c r="AR82" i="19"/>
  <c r="J82" i="19"/>
  <c r="AB82" i="19"/>
  <c r="BG82" i="19"/>
  <c r="G82" i="19"/>
  <c r="BD82" i="19"/>
  <c r="J18" i="21"/>
  <c r="O71" i="19" s="1"/>
  <c r="O89" i="19" s="1"/>
  <c r="H82" i="19"/>
  <c r="AH82" i="19"/>
  <c r="BB82" i="19"/>
  <c r="I18" i="21"/>
  <c r="N71" i="19" s="1"/>
  <c r="N89" i="19" s="1"/>
  <c r="BI82" i="19"/>
  <c r="M82" i="19"/>
  <c r="F18" i="21"/>
  <c r="K71" i="19" s="1"/>
  <c r="K89" i="19" s="1"/>
  <c r="N10" i="3"/>
  <c r="N5" i="3"/>
  <c r="AD82" i="19"/>
  <c r="N3" i="3"/>
  <c r="AM82" i="19"/>
  <c r="W82" i="19"/>
  <c r="R82" i="19"/>
  <c r="BA82" i="19"/>
  <c r="Y82" i="19"/>
  <c r="G18" i="21"/>
  <c r="L71" i="19" s="1"/>
  <c r="L89" i="19" s="1"/>
  <c r="I82" i="19"/>
  <c r="AA82" i="19"/>
  <c r="AC82" i="19"/>
  <c r="AW82" i="19"/>
  <c r="BJ82" i="19"/>
  <c r="AE82" i="19"/>
  <c r="D18" i="21"/>
  <c r="I71" i="19" s="1"/>
  <c r="I89" i="19" s="1"/>
  <c r="K18" i="21"/>
  <c r="P71" i="19" s="1"/>
  <c r="AQ82" i="19"/>
  <c r="Z82" i="19"/>
  <c r="N82" i="19"/>
  <c r="AJ82" i="19"/>
  <c r="AP82" i="19"/>
  <c r="AT82" i="19"/>
  <c r="AI82" i="19"/>
  <c r="AF82" i="19"/>
  <c r="S82" i="19"/>
  <c r="AG82" i="19"/>
  <c r="B18" i="21"/>
  <c r="G71" i="19" s="1"/>
  <c r="G89" i="19" s="1"/>
  <c r="C18" i="21"/>
  <c r="H71" i="19" s="1"/>
  <c r="H89" i="19" s="1"/>
  <c r="BH82" i="19"/>
  <c r="AL82" i="19"/>
  <c r="AN82" i="19"/>
  <c r="X82" i="19"/>
  <c r="Q71" i="19" l="1"/>
  <c r="P89" i="19"/>
  <c r="N13" i="3"/>
  <c r="J71" i="19"/>
  <c r="L19" i="3"/>
  <c r="H29" i="45" s="1"/>
  <c r="L20" i="3"/>
  <c r="H30" i="45" s="1"/>
  <c r="F5" i="28"/>
  <c r="F10" i="28" s="1"/>
  <c r="B36" i="21" s="1"/>
  <c r="G6" i="28"/>
  <c r="L18" i="3"/>
  <c r="H28" i="45" s="1"/>
  <c r="M83" i="19"/>
  <c r="N6" i="3"/>
  <c r="J12" i="3"/>
  <c r="J13" i="3" l="1"/>
  <c r="I13" i="45" s="1"/>
  <c r="I12" i="45"/>
  <c r="J83" i="19"/>
  <c r="J89" i="19"/>
  <c r="R71" i="19"/>
  <c r="Q89" i="19"/>
  <c r="Q83" i="19"/>
  <c r="G5" i="28"/>
  <c r="G10" i="28" s="1"/>
  <c r="C36" i="21" s="1"/>
  <c r="H6" i="28"/>
  <c r="B37" i="21"/>
  <c r="G75" i="18"/>
  <c r="G93" i="18" s="1"/>
  <c r="B51" i="21"/>
  <c r="B43" i="21"/>
  <c r="B44" i="21" s="1"/>
  <c r="P83" i="19"/>
  <c r="L21" i="3"/>
  <c r="H31" i="45" s="1"/>
  <c r="L83" i="19"/>
  <c r="I83" i="19"/>
  <c r="N83" i="19"/>
  <c r="G83" i="19"/>
  <c r="K83" i="19"/>
  <c r="H83" i="19"/>
  <c r="O83" i="19"/>
  <c r="CJ21" i="20" l="1"/>
  <c r="CT21" i="20"/>
  <c r="CJ48" i="20"/>
  <c r="CT25" i="20"/>
  <c r="CJ25" i="20"/>
  <c r="CT6" i="20"/>
  <c r="CJ6" i="20"/>
  <c r="CT48" i="20"/>
  <c r="CT19" i="20"/>
  <c r="CJ19" i="20"/>
  <c r="CJ20" i="20"/>
  <c r="CT20" i="20"/>
  <c r="CT16" i="20"/>
  <c r="CT10" i="20"/>
  <c r="CJ16" i="20"/>
  <c r="CJ10" i="20"/>
  <c r="S71" i="19"/>
  <c r="R89" i="19"/>
  <c r="CT39" i="20"/>
  <c r="CT17" i="20"/>
  <c r="CT43" i="20"/>
  <c r="CT14" i="20"/>
  <c r="CT7" i="20"/>
  <c r="CJ39" i="20"/>
  <c r="CJ13" i="20"/>
  <c r="CJ41" i="20"/>
  <c r="CJ26" i="20"/>
  <c r="CJ40" i="20"/>
  <c r="CJ27" i="20"/>
  <c r="CJ38" i="20"/>
  <c r="CT40" i="20"/>
  <c r="CT26" i="20"/>
  <c r="CJ28" i="20"/>
  <c r="CJ42" i="20"/>
  <c r="CT44" i="20"/>
  <c r="CT37" i="20"/>
  <c r="CJ43" i="20"/>
  <c r="CJ14" i="20"/>
  <c r="CJ44" i="20"/>
  <c r="CT41" i="20"/>
  <c r="CT27" i="20"/>
  <c r="CJ31" i="20"/>
  <c r="CJ7" i="20"/>
  <c r="CT38" i="20"/>
  <c r="CT31" i="20"/>
  <c r="CT42" i="20"/>
  <c r="CT28" i="20"/>
  <c r="CT13" i="20"/>
  <c r="CJ17" i="20"/>
  <c r="CJ37" i="20"/>
  <c r="R83" i="19"/>
  <c r="G71" i="18"/>
  <c r="G89" i="18" s="1"/>
  <c r="G72" i="18"/>
  <c r="G90" i="18" s="1"/>
  <c r="G73" i="18"/>
  <c r="G91" i="18" s="1"/>
  <c r="B12" i="21"/>
  <c r="G70" i="18"/>
  <c r="G88" i="18" s="1"/>
  <c r="B57" i="21"/>
  <c r="H5" i="28"/>
  <c r="H10" i="28" s="1"/>
  <c r="D36" i="21" s="1"/>
  <c r="I6" i="28"/>
  <c r="C37" i="21"/>
  <c r="C51" i="21"/>
  <c r="H75" i="18"/>
  <c r="H93" i="18" s="1"/>
  <c r="C43" i="21"/>
  <c r="CK48" i="20" l="1"/>
  <c r="CK21" i="20"/>
  <c r="CU48" i="20"/>
  <c r="CU21" i="20"/>
  <c r="CU6" i="20"/>
  <c r="CK25" i="20"/>
  <c r="CK6" i="20"/>
  <c r="CU25" i="20"/>
  <c r="CK19" i="20"/>
  <c r="CU19" i="20"/>
  <c r="CK20" i="20"/>
  <c r="CU20" i="20"/>
  <c r="CU16" i="20"/>
  <c r="CU10" i="20"/>
  <c r="CK16" i="20"/>
  <c r="CK10" i="20"/>
  <c r="T71" i="19"/>
  <c r="S89" i="19"/>
  <c r="CK37" i="20"/>
  <c r="CU43" i="20"/>
  <c r="CU14" i="20"/>
  <c r="CU7" i="20"/>
  <c r="CK31" i="20"/>
  <c r="CU40" i="20"/>
  <c r="CU26" i="20"/>
  <c r="CK13" i="20"/>
  <c r="CK28" i="20"/>
  <c r="CK42" i="20"/>
  <c r="CK39" i="20"/>
  <c r="CU44" i="20"/>
  <c r="CU37" i="20"/>
  <c r="CK7" i="20"/>
  <c r="CU41" i="20"/>
  <c r="CU27" i="20"/>
  <c r="CK44" i="20"/>
  <c r="CK27" i="20"/>
  <c r="CK41" i="20"/>
  <c r="CU38" i="20"/>
  <c r="CU31" i="20"/>
  <c r="CK38" i="20"/>
  <c r="CU42" i="20"/>
  <c r="CU28" i="20"/>
  <c r="CU13" i="20"/>
  <c r="CK17" i="20"/>
  <c r="CK14" i="20"/>
  <c r="CK43" i="20"/>
  <c r="CU39" i="20"/>
  <c r="CU17" i="20"/>
  <c r="CK26" i="20"/>
  <c r="CK40" i="20"/>
  <c r="S83" i="19"/>
  <c r="G79" i="18"/>
  <c r="H70" i="18"/>
  <c r="H88" i="18" s="1"/>
  <c r="H71" i="18"/>
  <c r="H89" i="18" s="1"/>
  <c r="H73" i="18"/>
  <c r="H91" i="18" s="1"/>
  <c r="H72" i="18"/>
  <c r="H90" i="18" s="1"/>
  <c r="C12" i="21"/>
  <c r="C44" i="21"/>
  <c r="C57" i="21"/>
  <c r="J6" i="28"/>
  <c r="I5" i="28"/>
  <c r="I10" i="28" s="1"/>
  <c r="E36" i="21" s="1"/>
  <c r="D43" i="21"/>
  <c r="I70" i="18" s="1"/>
  <c r="I88" i="18" s="1"/>
  <c r="D37" i="21"/>
  <c r="I75" i="18"/>
  <c r="I93" i="18" s="1"/>
  <c r="D51" i="21"/>
  <c r="G68" i="18"/>
  <c r="G86" i="18" s="1"/>
  <c r="CL21" i="20" l="1"/>
  <c r="CV48" i="20"/>
  <c r="CV25" i="20"/>
  <c r="CV21" i="20"/>
  <c r="CV6" i="20"/>
  <c r="CL25" i="20"/>
  <c r="CL6" i="20"/>
  <c r="CL48" i="20"/>
  <c r="CL19" i="20"/>
  <c r="CV19" i="20"/>
  <c r="CV20" i="20"/>
  <c r="CL20" i="20"/>
  <c r="CL16" i="20"/>
  <c r="CL10" i="20"/>
  <c r="CV16" i="20"/>
  <c r="CV10" i="20"/>
  <c r="U71" i="19"/>
  <c r="T89" i="19"/>
  <c r="CV43" i="20"/>
  <c r="CV14" i="20"/>
  <c r="CV7" i="20"/>
  <c r="CL26" i="20"/>
  <c r="CL40" i="20"/>
  <c r="CL37" i="20"/>
  <c r="CV40" i="20"/>
  <c r="CV26" i="20"/>
  <c r="CL31" i="20"/>
  <c r="CV44" i="20"/>
  <c r="CV37" i="20"/>
  <c r="CL13" i="20"/>
  <c r="CL28" i="20"/>
  <c r="CL42" i="20"/>
  <c r="CL39" i="20"/>
  <c r="CV41" i="20"/>
  <c r="CV27" i="20"/>
  <c r="CL7" i="20"/>
  <c r="CV38" i="20"/>
  <c r="CV31" i="20"/>
  <c r="CL44" i="20"/>
  <c r="CL27" i="20"/>
  <c r="CL41" i="20"/>
  <c r="CV42" i="20"/>
  <c r="CV28" i="20"/>
  <c r="CV13" i="20"/>
  <c r="CL38" i="20"/>
  <c r="CV39" i="20"/>
  <c r="CV17" i="20"/>
  <c r="CL17" i="20"/>
  <c r="CL14" i="20"/>
  <c r="CL43" i="20"/>
  <c r="T83" i="19"/>
  <c r="D12" i="21"/>
  <c r="I72" i="18"/>
  <c r="I90" i="18" s="1"/>
  <c r="I71" i="18"/>
  <c r="I89" i="18" s="1"/>
  <c r="D57" i="21"/>
  <c r="D44" i="21"/>
  <c r="I73" i="18"/>
  <c r="I91" i="18" s="1"/>
  <c r="E37" i="21"/>
  <c r="J75" i="18"/>
  <c r="J93" i="18" s="1"/>
  <c r="E51" i="21"/>
  <c r="E43" i="21"/>
  <c r="J70" i="18" s="1"/>
  <c r="J88" i="18" s="1"/>
  <c r="J5" i="28"/>
  <c r="J10" i="28" s="1"/>
  <c r="F36" i="21" s="1"/>
  <c r="K6" i="28"/>
  <c r="H68" i="18"/>
  <c r="H86" i="18" s="1"/>
  <c r="G80" i="18"/>
  <c r="H79" i="18"/>
  <c r="CW6" i="20" l="1"/>
  <c r="CM25" i="20"/>
  <c r="CW48" i="20"/>
  <c r="CM21" i="20"/>
  <c r="CM48" i="20"/>
  <c r="CW21" i="20"/>
  <c r="CM6" i="20"/>
  <c r="CW25" i="20"/>
  <c r="CM19" i="20"/>
  <c r="CW19" i="20"/>
  <c r="CW20" i="20"/>
  <c r="CM20" i="20"/>
  <c r="CM10" i="20"/>
  <c r="CW16" i="20"/>
  <c r="CW10" i="20"/>
  <c r="CM16" i="20"/>
  <c r="V71" i="19"/>
  <c r="U89" i="19"/>
  <c r="CM14" i="20"/>
  <c r="CM43" i="20"/>
  <c r="CW40" i="20"/>
  <c r="CW26" i="20"/>
  <c r="CM26" i="20"/>
  <c r="CM40" i="20"/>
  <c r="CM37" i="20"/>
  <c r="CW44" i="20"/>
  <c r="CW37" i="20"/>
  <c r="CM31" i="20"/>
  <c r="CW41" i="20"/>
  <c r="CW27" i="20"/>
  <c r="CM13" i="20"/>
  <c r="CM28" i="20"/>
  <c r="CM42" i="20"/>
  <c r="CM39" i="20"/>
  <c r="CW38" i="20"/>
  <c r="CW31" i="20"/>
  <c r="CM7" i="20"/>
  <c r="CW42" i="20"/>
  <c r="CW28" i="20"/>
  <c r="CW13" i="20"/>
  <c r="CM44" i="20"/>
  <c r="CM27" i="20"/>
  <c r="CM41" i="20"/>
  <c r="CW39" i="20"/>
  <c r="CW17" i="20"/>
  <c r="CM38" i="20"/>
  <c r="CW43" i="20"/>
  <c r="CW14" i="20"/>
  <c r="CW7" i="20"/>
  <c r="CM17" i="20"/>
  <c r="U83" i="19"/>
  <c r="I79" i="18"/>
  <c r="L6" i="28"/>
  <c r="K5" i="28"/>
  <c r="K10" i="28" s="1"/>
  <c r="G36" i="21" s="1"/>
  <c r="I68" i="18"/>
  <c r="I86" i="18" s="1"/>
  <c r="F37" i="21"/>
  <c r="K75" i="18"/>
  <c r="K93" i="18" s="1"/>
  <c r="F43" i="21"/>
  <c r="F51" i="21"/>
  <c r="H80" i="18"/>
  <c r="E57" i="21"/>
  <c r="E12" i="21"/>
  <c r="E44" i="21"/>
  <c r="J73" i="18"/>
  <c r="J91" i="18" s="1"/>
  <c r="J71" i="18"/>
  <c r="J89" i="18" s="1"/>
  <c r="J72" i="18"/>
  <c r="J90" i="18" s="1"/>
  <c r="CN48" i="20" l="1"/>
  <c r="CX48" i="20"/>
  <c r="CX21" i="20"/>
  <c r="CX6" i="20"/>
  <c r="CN21" i="20"/>
  <c r="CN25" i="20"/>
  <c r="CN6" i="20"/>
  <c r="CX25" i="20"/>
  <c r="CX19" i="20"/>
  <c r="CN19" i="20"/>
  <c r="CN20" i="20"/>
  <c r="CX20" i="20"/>
  <c r="CX10" i="20"/>
  <c r="CX16" i="20"/>
  <c r="CN10" i="20"/>
  <c r="CN16" i="20"/>
  <c r="W71" i="19"/>
  <c r="V89" i="19"/>
  <c r="CX40" i="20"/>
  <c r="CX26" i="20"/>
  <c r="CN17" i="20"/>
  <c r="CN14" i="20"/>
  <c r="CX44" i="20"/>
  <c r="CX37" i="20"/>
  <c r="CN26" i="20"/>
  <c r="CN40" i="20"/>
  <c r="CN37" i="20"/>
  <c r="CX41" i="20"/>
  <c r="CX27" i="20"/>
  <c r="CN31" i="20"/>
  <c r="CX38" i="20"/>
  <c r="CX31" i="20"/>
  <c r="CN13" i="20"/>
  <c r="CN28" i="20"/>
  <c r="CN42" i="20"/>
  <c r="CN39" i="20"/>
  <c r="CX42" i="20"/>
  <c r="CX28" i="20"/>
  <c r="CX13" i="20"/>
  <c r="CN7" i="20"/>
  <c r="CX39" i="20"/>
  <c r="CX17" i="20"/>
  <c r="CN44" i="20"/>
  <c r="CN27" i="20"/>
  <c r="CN41" i="20"/>
  <c r="CX43" i="20"/>
  <c r="CX14" i="20"/>
  <c r="CX7" i="20"/>
  <c r="CN38" i="20"/>
  <c r="CN43" i="20"/>
  <c r="V83" i="19"/>
  <c r="J79" i="18"/>
  <c r="I80" i="18"/>
  <c r="F44" i="21"/>
  <c r="K71" i="18"/>
  <c r="K89" i="18" s="1"/>
  <c r="K73" i="18"/>
  <c r="K91" i="18" s="1"/>
  <c r="F12" i="21"/>
  <c r="F57" i="21"/>
  <c r="K72" i="18"/>
  <c r="K90" i="18" s="1"/>
  <c r="G37" i="21"/>
  <c r="L75" i="18"/>
  <c r="L93" i="18" s="1"/>
  <c r="G43" i="21"/>
  <c r="L70" i="18" s="1"/>
  <c r="L88" i="18" s="1"/>
  <c r="G51" i="21"/>
  <c r="L5" i="28"/>
  <c r="L10" i="28" s="1"/>
  <c r="H36" i="21" s="1"/>
  <c r="M6" i="28"/>
  <c r="J68" i="18"/>
  <c r="J86" i="18" s="1"/>
  <c r="K70" i="18"/>
  <c r="K88" i="18" s="1"/>
  <c r="CY21" i="20" l="1"/>
  <c r="CY48" i="20"/>
  <c r="CO21" i="20"/>
  <c r="CO48" i="20"/>
  <c r="CO25" i="20"/>
  <c r="CY25" i="20"/>
  <c r="CY6" i="20"/>
  <c r="CO6" i="20"/>
  <c r="CY19" i="20"/>
  <c r="CO19" i="20"/>
  <c r="CY20" i="20"/>
  <c r="CO20" i="20"/>
  <c r="CY16" i="20"/>
  <c r="CO16" i="20"/>
  <c r="CO10" i="20"/>
  <c r="CY10" i="20"/>
  <c r="X71" i="19"/>
  <c r="W89" i="19"/>
  <c r="CY44" i="20"/>
  <c r="CY37" i="20"/>
  <c r="CO17" i="20"/>
  <c r="CO14" i="20"/>
  <c r="CO43" i="20"/>
  <c r="CY41" i="20"/>
  <c r="CY27" i="20"/>
  <c r="CO26" i="20"/>
  <c r="CO40" i="20"/>
  <c r="CO37" i="20"/>
  <c r="CY38" i="20"/>
  <c r="CY31" i="20"/>
  <c r="CO31" i="20"/>
  <c r="CY42" i="20"/>
  <c r="CY28" i="20"/>
  <c r="CY13" i="20"/>
  <c r="CO13" i="20"/>
  <c r="CO28" i="20"/>
  <c r="CO42" i="20"/>
  <c r="CO39" i="20"/>
  <c r="CY39" i="20"/>
  <c r="CY17" i="20"/>
  <c r="CO7" i="20"/>
  <c r="CO44" i="20"/>
  <c r="CY43" i="20"/>
  <c r="CY14" i="20"/>
  <c r="CY7" i="20"/>
  <c r="CO27" i="20"/>
  <c r="CO41" i="20"/>
  <c r="CY40" i="20"/>
  <c r="CY26" i="20"/>
  <c r="CO38" i="20"/>
  <c r="W83" i="19"/>
  <c r="K79" i="18"/>
  <c r="G57" i="21"/>
  <c r="G44" i="21"/>
  <c r="L73" i="18"/>
  <c r="L91" i="18" s="1"/>
  <c r="L72" i="18"/>
  <c r="L90" i="18" s="1"/>
  <c r="G12" i="21"/>
  <c r="L71" i="18"/>
  <c r="L89" i="18" s="1"/>
  <c r="J80" i="18"/>
  <c r="K68" i="18"/>
  <c r="K86" i="18" s="1"/>
  <c r="M5" i="28"/>
  <c r="M10" i="28" s="1"/>
  <c r="I36" i="21" s="1"/>
  <c r="N6" i="28"/>
  <c r="H51" i="21"/>
  <c r="H43" i="21"/>
  <c r="M75" i="18"/>
  <c r="M93" i="18" s="1"/>
  <c r="H37" i="21"/>
  <c r="CZ21" i="20" l="1"/>
  <c r="CP48" i="20"/>
  <c r="CP21" i="20"/>
  <c r="CZ25" i="20"/>
  <c r="CZ6" i="20"/>
  <c r="CP25" i="20"/>
  <c r="CZ48" i="20"/>
  <c r="CP6" i="20"/>
  <c r="CP19" i="20"/>
  <c r="CZ19" i="20"/>
  <c r="CZ20" i="20"/>
  <c r="CP20" i="20"/>
  <c r="CZ16" i="20"/>
  <c r="CP16" i="20"/>
  <c r="CZ10" i="20"/>
  <c r="CP10" i="20"/>
  <c r="Y71" i="19"/>
  <c r="X89" i="19"/>
  <c r="CZ44" i="20"/>
  <c r="CZ37" i="20"/>
  <c r="CP38" i="20"/>
  <c r="CZ41" i="20"/>
  <c r="CZ27" i="20"/>
  <c r="CP17" i="20"/>
  <c r="CP14" i="20"/>
  <c r="CP43" i="20"/>
  <c r="CZ38" i="20"/>
  <c r="CZ31" i="20"/>
  <c r="CP26" i="20"/>
  <c r="CP40" i="20"/>
  <c r="CP37" i="20"/>
  <c r="CZ42" i="20"/>
  <c r="CZ28" i="20"/>
  <c r="CZ13" i="20"/>
  <c r="CP31" i="20"/>
  <c r="CZ39" i="20"/>
  <c r="CZ17" i="20"/>
  <c r="CP13" i="20"/>
  <c r="CP28" i="20"/>
  <c r="CP42" i="20"/>
  <c r="CP39" i="20"/>
  <c r="CZ43" i="20"/>
  <c r="CZ14" i="20"/>
  <c r="CZ7" i="20"/>
  <c r="CP7" i="20"/>
  <c r="CZ40" i="20"/>
  <c r="CZ26" i="20"/>
  <c r="CP44" i="20"/>
  <c r="CP27" i="20"/>
  <c r="CP41" i="20"/>
  <c r="X83" i="19"/>
  <c r="L79" i="18"/>
  <c r="M71" i="18"/>
  <c r="M89" i="18" s="1"/>
  <c r="M72" i="18"/>
  <c r="M90" i="18" s="1"/>
  <c r="M73" i="18"/>
  <c r="M91" i="18" s="1"/>
  <c r="H12" i="21"/>
  <c r="H57" i="21"/>
  <c r="H44" i="21"/>
  <c r="K80" i="18"/>
  <c r="M70" i="18"/>
  <c r="M88" i="18" s="1"/>
  <c r="O6" i="28"/>
  <c r="O5" i="28" s="1"/>
  <c r="O10" i="28" s="1"/>
  <c r="N5" i="28"/>
  <c r="N10" i="28" s="1"/>
  <c r="J36" i="21" s="1"/>
  <c r="N75" i="18"/>
  <c r="N93" i="18" s="1"/>
  <c r="I51" i="21"/>
  <c r="I43" i="21"/>
  <c r="N70" i="18" s="1"/>
  <c r="N88" i="18" s="1"/>
  <c r="I37" i="21"/>
  <c r="L68" i="18"/>
  <c r="L86" i="18" s="1"/>
  <c r="DA21" i="20" l="1"/>
  <c r="DA6" i="20"/>
  <c r="CQ21" i="20"/>
  <c r="CQ48" i="20"/>
  <c r="CQ6" i="20"/>
  <c r="CQ25" i="20"/>
  <c r="DA48" i="20"/>
  <c r="DA25" i="20"/>
  <c r="CQ19" i="20"/>
  <c r="DA19" i="20"/>
  <c r="CQ20" i="20"/>
  <c r="DA20" i="20"/>
  <c r="DA10" i="20"/>
  <c r="CQ16" i="20"/>
  <c r="CQ10" i="20"/>
  <c r="DA16" i="20"/>
  <c r="Z71" i="19"/>
  <c r="Y89" i="19"/>
  <c r="CQ27" i="20"/>
  <c r="CQ41" i="20"/>
  <c r="DA41" i="20"/>
  <c r="DA27" i="20"/>
  <c r="CQ38" i="20"/>
  <c r="DA38" i="20"/>
  <c r="DA31" i="20"/>
  <c r="CQ17" i="20"/>
  <c r="CQ14" i="20"/>
  <c r="CQ43" i="20"/>
  <c r="DA42" i="20"/>
  <c r="DA28" i="20"/>
  <c r="DA13" i="20"/>
  <c r="CQ26" i="20"/>
  <c r="CQ40" i="20"/>
  <c r="CQ37" i="20"/>
  <c r="DA39" i="20"/>
  <c r="DA17" i="20"/>
  <c r="CQ31" i="20"/>
  <c r="DA43" i="20"/>
  <c r="DA14" i="20"/>
  <c r="DA7" i="20"/>
  <c r="CQ13" i="20"/>
  <c r="CQ28" i="20"/>
  <c r="CQ42" i="20"/>
  <c r="CQ39" i="20"/>
  <c r="DA40" i="20"/>
  <c r="DA26" i="20"/>
  <c r="CQ7" i="20"/>
  <c r="DA44" i="20"/>
  <c r="DA37" i="20"/>
  <c r="CQ44" i="20"/>
  <c r="Y83" i="19"/>
  <c r="K36" i="21"/>
  <c r="K37" i="21" s="1"/>
  <c r="L37" i="21" s="1"/>
  <c r="M37" i="21" s="1"/>
  <c r="M79" i="18"/>
  <c r="L80" i="18"/>
  <c r="N71" i="18"/>
  <c r="N89" i="18" s="1"/>
  <c r="I57" i="21"/>
  <c r="I44" i="21"/>
  <c r="I12" i="21"/>
  <c r="N72" i="18"/>
  <c r="N90" i="18" s="1"/>
  <c r="N73" i="18"/>
  <c r="N91" i="18" s="1"/>
  <c r="M68" i="18"/>
  <c r="M86" i="18" s="1"/>
  <c r="J37" i="21"/>
  <c r="J51" i="21"/>
  <c r="O75" i="18"/>
  <c r="O93" i="18" s="1"/>
  <c r="J43" i="21"/>
  <c r="CR21" i="20" l="1"/>
  <c r="CR6" i="20"/>
  <c r="DB21" i="20"/>
  <c r="DB25" i="20"/>
  <c r="DB6" i="20"/>
  <c r="CR48" i="20"/>
  <c r="DB48" i="20"/>
  <c r="CR25" i="20"/>
  <c r="DB19" i="20"/>
  <c r="CR19" i="20"/>
  <c r="CR20" i="20"/>
  <c r="DB20" i="20"/>
  <c r="DB16" i="20"/>
  <c r="DB10" i="20"/>
  <c r="CR16" i="20"/>
  <c r="CR10" i="20"/>
  <c r="AA71" i="19"/>
  <c r="Z89" i="19"/>
  <c r="DB41" i="20"/>
  <c r="DB27" i="20"/>
  <c r="CR27" i="20"/>
  <c r="DB38" i="20"/>
  <c r="DB31" i="20"/>
  <c r="CR38" i="20"/>
  <c r="DB42" i="20"/>
  <c r="DB28" i="20"/>
  <c r="DB13" i="20"/>
  <c r="CR17" i="20"/>
  <c r="CR14" i="20"/>
  <c r="CR43" i="20"/>
  <c r="DB39" i="20"/>
  <c r="DB17" i="20"/>
  <c r="CR26" i="20"/>
  <c r="CR40" i="20"/>
  <c r="CR37" i="20"/>
  <c r="DB43" i="20"/>
  <c r="DB14" i="20"/>
  <c r="DB7" i="20"/>
  <c r="CR41" i="20"/>
  <c r="CR31" i="20"/>
  <c r="DB40" i="20"/>
  <c r="DB26" i="20"/>
  <c r="CR13" i="20"/>
  <c r="CR28" i="20"/>
  <c r="CR42" i="20"/>
  <c r="CR39" i="20"/>
  <c r="DB44" i="20"/>
  <c r="DB37" i="20"/>
  <c r="CR7" i="20"/>
  <c r="CR44" i="20"/>
  <c r="Z83" i="19"/>
  <c r="K43" i="21"/>
  <c r="P73" i="18" s="1"/>
  <c r="N79" i="18"/>
  <c r="K51" i="21"/>
  <c r="P75" i="18"/>
  <c r="M80" i="18"/>
  <c r="N68" i="18"/>
  <c r="N86" i="18" s="1"/>
  <c r="O70" i="18"/>
  <c r="O88" i="18" s="1"/>
  <c r="O73" i="18"/>
  <c r="O91" i="18" s="1"/>
  <c r="O71" i="18"/>
  <c r="O89" i="18" s="1"/>
  <c r="O72" i="18"/>
  <c r="O90" i="18" s="1"/>
  <c r="J57" i="21"/>
  <c r="J44" i="21"/>
  <c r="J12" i="21"/>
  <c r="DC21" i="20" l="1"/>
  <c r="DC6" i="20"/>
  <c r="CS21" i="20"/>
  <c r="CS6" i="20"/>
  <c r="CS48" i="20"/>
  <c r="CS25" i="20"/>
  <c r="DC48" i="20"/>
  <c r="DC25" i="20"/>
  <c r="DC19" i="20"/>
  <c r="CS19" i="20"/>
  <c r="DC20" i="20"/>
  <c r="CS20" i="20"/>
  <c r="CS10" i="20"/>
  <c r="DC16" i="20"/>
  <c r="CS16" i="20"/>
  <c r="DC10" i="20"/>
  <c r="Q75" i="18"/>
  <c r="P93" i="18"/>
  <c r="Q73" i="18"/>
  <c r="P91" i="18"/>
  <c r="AB71" i="19"/>
  <c r="AA89" i="19"/>
  <c r="DC38" i="20"/>
  <c r="DC31" i="20"/>
  <c r="CS27" i="20"/>
  <c r="CS41" i="20"/>
  <c r="CS44" i="20"/>
  <c r="DC42" i="20"/>
  <c r="DC28" i="20"/>
  <c r="DC13" i="20"/>
  <c r="CS38" i="20"/>
  <c r="DC39" i="20"/>
  <c r="DC17" i="20"/>
  <c r="CS17" i="20"/>
  <c r="CS14" i="20"/>
  <c r="CS43" i="20"/>
  <c r="DC43" i="20"/>
  <c r="DC14" i="20"/>
  <c r="DC7" i="20"/>
  <c r="CS26" i="20"/>
  <c r="CS40" i="20"/>
  <c r="CS37" i="20"/>
  <c r="CS42" i="20"/>
  <c r="DC40" i="20"/>
  <c r="DC26" i="20"/>
  <c r="CS31" i="20"/>
  <c r="DC44" i="20"/>
  <c r="DC37" i="20"/>
  <c r="CS13" i="20"/>
  <c r="CS28" i="20"/>
  <c r="CS39" i="20"/>
  <c r="DC41" i="20"/>
  <c r="DC27" i="20"/>
  <c r="CS7" i="20"/>
  <c r="AA83" i="19"/>
  <c r="K44" i="21"/>
  <c r="L44" i="21" s="1"/>
  <c r="K12" i="21"/>
  <c r="P71" i="18"/>
  <c r="K57" i="21"/>
  <c r="P70" i="18"/>
  <c r="P72" i="18"/>
  <c r="N80" i="18"/>
  <c r="O68" i="18"/>
  <c r="O86" i="18" s="1"/>
  <c r="O79" i="18"/>
  <c r="Q70" i="18" l="1"/>
  <c r="Q88" i="18" s="1"/>
  <c r="P88" i="18"/>
  <c r="Q71" i="18"/>
  <c r="P89" i="18"/>
  <c r="AC71" i="19"/>
  <c r="AB89" i="19"/>
  <c r="R73" i="18"/>
  <c r="Q91" i="18"/>
  <c r="Q72" i="18"/>
  <c r="P90" i="18"/>
  <c r="R75" i="18"/>
  <c r="Q93" i="18"/>
  <c r="AB83" i="19"/>
  <c r="P68" i="18"/>
  <c r="P79" i="18"/>
  <c r="O80" i="18"/>
  <c r="R70" i="18" l="1"/>
  <c r="R88" i="18" s="1"/>
  <c r="S75" i="18"/>
  <c r="R93" i="18"/>
  <c r="S73" i="18"/>
  <c r="R91" i="18"/>
  <c r="AD71" i="19"/>
  <c r="AC89" i="19"/>
  <c r="R72" i="18"/>
  <c r="Q90" i="18"/>
  <c r="Q68" i="18"/>
  <c r="Q86" i="18" s="1"/>
  <c r="P86" i="18"/>
  <c r="R71" i="18"/>
  <c r="Q89" i="18"/>
  <c r="Q79" i="18"/>
  <c r="AC83" i="19"/>
  <c r="P80" i="18"/>
  <c r="S70" i="18" l="1"/>
  <c r="S88" i="18" s="1"/>
  <c r="R79" i="18"/>
  <c r="S71" i="18"/>
  <c r="R89" i="18"/>
  <c r="S72" i="18"/>
  <c r="R90" i="18"/>
  <c r="R68" i="18"/>
  <c r="R86" i="18" s="1"/>
  <c r="Q80" i="18"/>
  <c r="AE71" i="19"/>
  <c r="AD89" i="19"/>
  <c r="T73" i="18"/>
  <c r="S91" i="18"/>
  <c r="T75" i="18"/>
  <c r="S93" i="18"/>
  <c r="AD83" i="19"/>
  <c r="T70" i="18" l="1"/>
  <c r="T88" i="18" s="1"/>
  <c r="R80" i="18"/>
  <c r="AF71" i="19"/>
  <c r="AE89" i="19"/>
  <c r="U75" i="18"/>
  <c r="T93" i="18"/>
  <c r="U73" i="18"/>
  <c r="T91" i="18"/>
  <c r="T72" i="18"/>
  <c r="S90" i="18"/>
  <c r="S79" i="18"/>
  <c r="S68" i="18"/>
  <c r="S86" i="18" s="1"/>
  <c r="T71" i="18"/>
  <c r="S89" i="18"/>
  <c r="AE83" i="19"/>
  <c r="U70" i="18"/>
  <c r="U88" i="18" s="1"/>
  <c r="U72" i="18" l="1"/>
  <c r="T90" i="18"/>
  <c r="T79" i="18"/>
  <c r="U71" i="18"/>
  <c r="T89" i="18"/>
  <c r="V73" i="18"/>
  <c r="U91" i="18"/>
  <c r="T68" i="18"/>
  <c r="T86" i="18" s="1"/>
  <c r="S80" i="18"/>
  <c r="V75" i="18"/>
  <c r="U93" i="18"/>
  <c r="AG71" i="19"/>
  <c r="AF89" i="19"/>
  <c r="AF83" i="19"/>
  <c r="V70" i="18"/>
  <c r="V88" i="18" s="1"/>
  <c r="V71" i="18" l="1"/>
  <c r="U89" i="18"/>
  <c r="AH71" i="19"/>
  <c r="AG89" i="19"/>
  <c r="W75" i="18"/>
  <c r="V93" i="18"/>
  <c r="W73" i="18"/>
  <c r="V91" i="18"/>
  <c r="U79" i="18"/>
  <c r="U68" i="18"/>
  <c r="U86" i="18" s="1"/>
  <c r="T80" i="18"/>
  <c r="V72" i="18"/>
  <c r="U90" i="18"/>
  <c r="AG83" i="19"/>
  <c r="W70" i="18"/>
  <c r="W88" i="18" s="1"/>
  <c r="W72" i="18" l="1"/>
  <c r="V90" i="18"/>
  <c r="X73" i="18"/>
  <c r="W91" i="18"/>
  <c r="U80" i="18"/>
  <c r="X75" i="18"/>
  <c r="W93" i="18"/>
  <c r="V68" i="18"/>
  <c r="V86" i="18" s="1"/>
  <c r="AI71" i="19"/>
  <c r="AH89" i="19"/>
  <c r="V79" i="18"/>
  <c r="W71" i="18"/>
  <c r="V89" i="18"/>
  <c r="AH83" i="19"/>
  <c r="X70" i="18"/>
  <c r="X88" i="18" s="1"/>
  <c r="X71" i="18" l="1"/>
  <c r="W89" i="18"/>
  <c r="AJ71" i="19"/>
  <c r="AI89" i="19"/>
  <c r="Y75" i="18"/>
  <c r="X93" i="18"/>
  <c r="W79" i="18"/>
  <c r="Y73" i="18"/>
  <c r="X91" i="18"/>
  <c r="V80" i="18"/>
  <c r="W68" i="18"/>
  <c r="W86" i="18" s="1"/>
  <c r="X72" i="18"/>
  <c r="W90" i="18"/>
  <c r="AI83" i="19"/>
  <c r="Y70" i="18"/>
  <c r="Y88" i="18" s="1"/>
  <c r="Z73" i="18" l="1"/>
  <c r="Y91" i="18"/>
  <c r="Y72" i="18"/>
  <c r="X90" i="18"/>
  <c r="X68" i="18"/>
  <c r="X86" i="18" s="1"/>
  <c r="Z75" i="18"/>
  <c r="Y93" i="18"/>
  <c r="W80" i="18"/>
  <c r="AK71" i="19"/>
  <c r="AJ89" i="19"/>
  <c r="X79" i="18"/>
  <c r="Y71" i="18"/>
  <c r="X89" i="18"/>
  <c r="AJ83" i="19"/>
  <c r="Z70" i="18"/>
  <c r="Z88" i="18" s="1"/>
  <c r="AA75" i="18" l="1"/>
  <c r="Z93" i="18"/>
  <c r="Z71" i="18"/>
  <c r="Y89" i="18"/>
  <c r="AL71" i="19"/>
  <c r="AK89" i="19"/>
  <c r="Y79" i="18"/>
  <c r="X80" i="18"/>
  <c r="Z72" i="18"/>
  <c r="Y90" i="18"/>
  <c r="Y68" i="18"/>
  <c r="Y86" i="18" s="1"/>
  <c r="AA73" i="18"/>
  <c r="Z91" i="18"/>
  <c r="AK83" i="19"/>
  <c r="AA70" i="18"/>
  <c r="AA88" i="18" s="1"/>
  <c r="AB73" i="18" l="1"/>
  <c r="AA91" i="18"/>
  <c r="AA72" i="18"/>
  <c r="Z90" i="18"/>
  <c r="AM71" i="19"/>
  <c r="AL89" i="19"/>
  <c r="Y80" i="18"/>
  <c r="Z68" i="18"/>
  <c r="Z86" i="18" s="1"/>
  <c r="AA71" i="18"/>
  <c r="Z89" i="18"/>
  <c r="Z79" i="18"/>
  <c r="AB75" i="18"/>
  <c r="AA93" i="18"/>
  <c r="AL83" i="19"/>
  <c r="AB70" i="18"/>
  <c r="AB88" i="18" s="1"/>
  <c r="AC75" i="18" l="1"/>
  <c r="AB93" i="18"/>
  <c r="AB71" i="18"/>
  <c r="AA89" i="18"/>
  <c r="AN71" i="19"/>
  <c r="AM89" i="19"/>
  <c r="AA79" i="18"/>
  <c r="AB72" i="18"/>
  <c r="AA90" i="18"/>
  <c r="AA68" i="18"/>
  <c r="AA86" i="18" s="1"/>
  <c r="Z80" i="18"/>
  <c r="AC73" i="18"/>
  <c r="AB91" i="18"/>
  <c r="AM83" i="19"/>
  <c r="AC70" i="18"/>
  <c r="AC88" i="18" s="1"/>
  <c r="AD73" i="18" l="1"/>
  <c r="AC91" i="18"/>
  <c r="AC72" i="18"/>
  <c r="AB90" i="18"/>
  <c r="AO71" i="19"/>
  <c r="AN89" i="19"/>
  <c r="AA80" i="18"/>
  <c r="AB68" i="18"/>
  <c r="AB86" i="18" s="1"/>
  <c r="AC71" i="18"/>
  <c r="AB89" i="18"/>
  <c r="AB79" i="18"/>
  <c r="AD75" i="18"/>
  <c r="AC93" i="18"/>
  <c r="AN83" i="19"/>
  <c r="AD70" i="18"/>
  <c r="AD88" i="18" s="1"/>
  <c r="AE75" i="18" l="1"/>
  <c r="AD93" i="18"/>
  <c r="AD71" i="18"/>
  <c r="AC89" i="18"/>
  <c r="AP71" i="19"/>
  <c r="AO89" i="19"/>
  <c r="AC79" i="18"/>
  <c r="AD72" i="18"/>
  <c r="AC90" i="18"/>
  <c r="AC68" i="18"/>
  <c r="AC86" i="18" s="1"/>
  <c r="AB80" i="18"/>
  <c r="AE73" i="18"/>
  <c r="AD91" i="18"/>
  <c r="AO83" i="19"/>
  <c r="AE70" i="18"/>
  <c r="AE88" i="18" s="1"/>
  <c r="AF73" i="18" l="1"/>
  <c r="AE91" i="18"/>
  <c r="AE72" i="18"/>
  <c r="AD90" i="18"/>
  <c r="AQ71" i="19"/>
  <c r="AP89" i="19"/>
  <c r="AD68" i="18"/>
  <c r="AD86" i="18" s="1"/>
  <c r="AC80" i="18"/>
  <c r="AE71" i="18"/>
  <c r="AD89" i="18"/>
  <c r="AD79" i="18"/>
  <c r="AF75" i="18"/>
  <c r="AE93" i="18"/>
  <c r="AP83" i="19"/>
  <c r="AF70" i="18"/>
  <c r="AF88" i="18" s="1"/>
  <c r="AG75" i="18" l="1"/>
  <c r="AF93" i="18"/>
  <c r="AF71" i="18"/>
  <c r="AE89" i="18"/>
  <c r="AR71" i="19"/>
  <c r="AQ89" i="19"/>
  <c r="AE79" i="18"/>
  <c r="AF72" i="18"/>
  <c r="AE90" i="18"/>
  <c r="AD80" i="18"/>
  <c r="AE68" i="18"/>
  <c r="AE86" i="18" s="1"/>
  <c r="AG73" i="18"/>
  <c r="AF91" i="18"/>
  <c r="AQ83" i="19"/>
  <c r="AG70" i="18"/>
  <c r="AG88" i="18" s="1"/>
  <c r="AH73" i="18" l="1"/>
  <c r="AG91" i="18"/>
  <c r="AG72" i="18"/>
  <c r="AF90" i="18"/>
  <c r="AS71" i="19"/>
  <c r="AR89" i="19"/>
  <c r="AF68" i="18"/>
  <c r="AF86" i="18" s="1"/>
  <c r="AE80" i="18"/>
  <c r="AG71" i="18"/>
  <c r="AF89" i="18"/>
  <c r="AF79" i="18"/>
  <c r="AH75" i="18"/>
  <c r="AG93" i="18"/>
  <c r="AR83" i="19"/>
  <c r="AH70" i="18"/>
  <c r="AH88" i="18" s="1"/>
  <c r="AI75" i="18" l="1"/>
  <c r="AH93" i="18"/>
  <c r="AH71" i="18"/>
  <c r="AG89" i="18"/>
  <c r="AT71" i="19"/>
  <c r="AS89" i="19"/>
  <c r="AG79" i="18"/>
  <c r="AH72" i="18"/>
  <c r="AG90" i="18"/>
  <c r="AG68" i="18"/>
  <c r="AG86" i="18" s="1"/>
  <c r="AF80" i="18"/>
  <c r="AI73" i="18"/>
  <c r="AH91" i="18"/>
  <c r="AS83" i="19"/>
  <c r="AI70" i="18"/>
  <c r="AI88" i="18" s="1"/>
  <c r="AJ73" i="18" l="1"/>
  <c r="AI91" i="18"/>
  <c r="AI72" i="18"/>
  <c r="AH90" i="18"/>
  <c r="AU71" i="19"/>
  <c r="AT89" i="19"/>
  <c r="AG80" i="18"/>
  <c r="AH68" i="18"/>
  <c r="AH86" i="18" s="1"/>
  <c r="AI71" i="18"/>
  <c r="AH89" i="18"/>
  <c r="AH79" i="18"/>
  <c r="AJ75" i="18"/>
  <c r="AI93" i="18"/>
  <c r="AT83" i="19"/>
  <c r="AJ70" i="18"/>
  <c r="AJ88" i="18" s="1"/>
  <c r="AK75" i="18" l="1"/>
  <c r="AJ93" i="18"/>
  <c r="AJ71" i="18"/>
  <c r="AI89" i="18"/>
  <c r="AV71" i="19"/>
  <c r="AU89" i="19"/>
  <c r="AI79" i="18"/>
  <c r="AJ72" i="18"/>
  <c r="AI90" i="18"/>
  <c r="AH80" i="18"/>
  <c r="AI68" i="18"/>
  <c r="AI86" i="18" s="1"/>
  <c r="AK73" i="18"/>
  <c r="AJ91" i="18"/>
  <c r="AU83" i="19"/>
  <c r="AK70" i="18"/>
  <c r="AK88" i="18" s="1"/>
  <c r="AL73" i="18" l="1"/>
  <c r="AK91" i="18"/>
  <c r="AK72" i="18"/>
  <c r="AJ90" i="18"/>
  <c r="AW71" i="19"/>
  <c r="AV89" i="19"/>
  <c r="AJ68" i="18"/>
  <c r="AJ86" i="18" s="1"/>
  <c r="AI80" i="18"/>
  <c r="AK71" i="18"/>
  <c r="AJ89" i="18"/>
  <c r="AJ79" i="18"/>
  <c r="AL75" i="18"/>
  <c r="AK93" i="18"/>
  <c r="AV83" i="19"/>
  <c r="AL70" i="18"/>
  <c r="AL88" i="18" s="1"/>
  <c r="AM75" i="18" l="1"/>
  <c r="AL93" i="18"/>
  <c r="AL71" i="18"/>
  <c r="AK89" i="18"/>
  <c r="AX71" i="19"/>
  <c r="AW89" i="19"/>
  <c r="AK79" i="18"/>
  <c r="AL72" i="18"/>
  <c r="AK90" i="18"/>
  <c r="AJ80" i="18"/>
  <c r="AK68" i="18"/>
  <c r="AK86" i="18" s="1"/>
  <c r="AM73" i="18"/>
  <c r="AL91" i="18"/>
  <c r="AW83" i="19"/>
  <c r="AM70" i="18"/>
  <c r="AM88" i="18" s="1"/>
  <c r="AY71" i="19" l="1"/>
  <c r="AX89" i="19"/>
  <c r="AN73" i="18"/>
  <c r="AM91" i="18"/>
  <c r="AM72" i="18"/>
  <c r="AL90" i="18"/>
  <c r="AK80" i="18"/>
  <c r="AL68" i="18"/>
  <c r="AL86" i="18" s="1"/>
  <c r="AM71" i="18"/>
  <c r="AL89" i="18"/>
  <c r="AL79" i="18"/>
  <c r="AN75" i="18"/>
  <c r="AM93" i="18"/>
  <c r="AX83" i="19"/>
  <c r="AN70" i="18"/>
  <c r="AN88" i="18" s="1"/>
  <c r="AN72" i="18" l="1"/>
  <c r="AM90" i="18"/>
  <c r="AO75" i="18"/>
  <c r="AN93" i="18"/>
  <c r="AN71" i="18"/>
  <c r="AM89" i="18"/>
  <c r="AM79" i="18"/>
  <c r="AO73" i="18"/>
  <c r="AN91" i="18"/>
  <c r="AM68" i="18"/>
  <c r="AM86" i="18" s="1"/>
  <c r="AL80" i="18"/>
  <c r="AZ71" i="19"/>
  <c r="AY89" i="19"/>
  <c r="AY83" i="19"/>
  <c r="AO70" i="18"/>
  <c r="AO88" i="18" s="1"/>
  <c r="AN68" i="18" l="1"/>
  <c r="AN86" i="18" s="1"/>
  <c r="BA71" i="19"/>
  <c r="AZ89" i="19"/>
  <c r="AP73" i="18"/>
  <c r="AO91" i="18"/>
  <c r="AO71" i="18"/>
  <c r="AN89" i="18"/>
  <c r="AM80" i="18"/>
  <c r="AP75" i="18"/>
  <c r="AO93" i="18"/>
  <c r="AN79" i="18"/>
  <c r="AO72" i="18"/>
  <c r="AN90" i="18"/>
  <c r="AZ83" i="19"/>
  <c r="AO68" i="18"/>
  <c r="AO86" i="18" s="1"/>
  <c r="AP70" i="18"/>
  <c r="AP88" i="18" s="1"/>
  <c r="AN80" i="18" l="1"/>
  <c r="AP72" i="18"/>
  <c r="AO90" i="18"/>
  <c r="AO79" i="18"/>
  <c r="AQ75" i="18"/>
  <c r="AP93" i="18"/>
  <c r="AP71" i="18"/>
  <c r="AO89" i="18"/>
  <c r="AQ73" i="18"/>
  <c r="AP91" i="18"/>
  <c r="BB71" i="19"/>
  <c r="BA89" i="19"/>
  <c r="BA83" i="19"/>
  <c r="AQ70" i="18"/>
  <c r="AQ88" i="18" s="1"/>
  <c r="AO80" i="18"/>
  <c r="AP68" i="18"/>
  <c r="AP86" i="18" s="1"/>
  <c r="AP79" i="18" l="1"/>
  <c r="BC71" i="19"/>
  <c r="BB89" i="19"/>
  <c r="AR73" i="18"/>
  <c r="AQ91" i="18"/>
  <c r="AQ71" i="18"/>
  <c r="AP89" i="18"/>
  <c r="AR75" i="18"/>
  <c r="AQ93" i="18"/>
  <c r="AQ72" i="18"/>
  <c r="AP90" i="18"/>
  <c r="BB83" i="19"/>
  <c r="AQ68" i="18"/>
  <c r="AQ86" i="18" s="1"/>
  <c r="AP80" i="18"/>
  <c r="AR70" i="18"/>
  <c r="AR88" i="18" s="1"/>
  <c r="AQ79" i="18" l="1"/>
  <c r="AR72" i="18"/>
  <c r="AQ90" i="18"/>
  <c r="AS75" i="18"/>
  <c r="AR93" i="18"/>
  <c r="AR71" i="18"/>
  <c r="AQ89" i="18"/>
  <c r="AS73" i="18"/>
  <c r="AR91" i="18"/>
  <c r="BD71" i="19"/>
  <c r="BC89" i="19"/>
  <c r="BC83" i="19"/>
  <c r="AS70" i="18"/>
  <c r="AS88" i="18" s="1"/>
  <c r="AQ80" i="18"/>
  <c r="AR68" i="18"/>
  <c r="AR86" i="18" s="1"/>
  <c r="AR79" i="18" l="1"/>
  <c r="BE71" i="19"/>
  <c r="BD89" i="19"/>
  <c r="AT73" i="18"/>
  <c r="AS91" i="18"/>
  <c r="AS71" i="18"/>
  <c r="AR89" i="18"/>
  <c r="AT75" i="18"/>
  <c r="AS93" i="18"/>
  <c r="AS72" i="18"/>
  <c r="AR90" i="18"/>
  <c r="BD83" i="19"/>
  <c r="AS68" i="18"/>
  <c r="AS86" i="18" s="1"/>
  <c r="AR80" i="18"/>
  <c r="AT70" i="18"/>
  <c r="AT88" i="18" s="1"/>
  <c r="AT71" i="18" l="1"/>
  <c r="AS89" i="18"/>
  <c r="AT72" i="18"/>
  <c r="AS90" i="18"/>
  <c r="AU75" i="18"/>
  <c r="AT93" i="18"/>
  <c r="AU73" i="18"/>
  <c r="AT91" i="18"/>
  <c r="AS79" i="18"/>
  <c r="BF71" i="19"/>
  <c r="BE89" i="19"/>
  <c r="BE83" i="19"/>
  <c r="AU70" i="18"/>
  <c r="AU88" i="18" s="1"/>
  <c r="AT68" i="18"/>
  <c r="AT86" i="18" s="1"/>
  <c r="AS80" i="18"/>
  <c r="AT79" i="18" l="1"/>
  <c r="BG71" i="19"/>
  <c r="BF89" i="19"/>
  <c r="AV73" i="18"/>
  <c r="AU91" i="18"/>
  <c r="AV75" i="18"/>
  <c r="AU93" i="18"/>
  <c r="AU72" i="18"/>
  <c r="AT90" i="18"/>
  <c r="AU71" i="18"/>
  <c r="AT89" i="18"/>
  <c r="BF83" i="19"/>
  <c r="AT80" i="18"/>
  <c r="AU68" i="18"/>
  <c r="AU86" i="18" s="1"/>
  <c r="AV70" i="18"/>
  <c r="AV88" i="18" s="1"/>
  <c r="AV71" i="18" l="1"/>
  <c r="AU89" i="18"/>
  <c r="AU79" i="18"/>
  <c r="AV72" i="18"/>
  <c r="AU90" i="18"/>
  <c r="AW75" i="18"/>
  <c r="AV93" i="18"/>
  <c r="AW73" i="18"/>
  <c r="AV91" i="18"/>
  <c r="BH71" i="19"/>
  <c r="BG89" i="19"/>
  <c r="BG83" i="19"/>
  <c r="AW70" i="18"/>
  <c r="AW88" i="18" s="1"/>
  <c r="AU80" i="18"/>
  <c r="AV68" i="18"/>
  <c r="AV86" i="18" s="1"/>
  <c r="AV79" i="18" l="1"/>
  <c r="BI71" i="19"/>
  <c r="BH89" i="19"/>
  <c r="AX73" i="18"/>
  <c r="AW91" i="18"/>
  <c r="AX75" i="18"/>
  <c r="AW93" i="18"/>
  <c r="AW72" i="18"/>
  <c r="AV90" i="18"/>
  <c r="AW71" i="18"/>
  <c r="AV89" i="18"/>
  <c r="BH83" i="19"/>
  <c r="AV80" i="18"/>
  <c r="AW68" i="18"/>
  <c r="AW86" i="18" s="1"/>
  <c r="AX70" i="18"/>
  <c r="AX88" i="18" s="1"/>
  <c r="AX71" i="18" l="1"/>
  <c r="AW89" i="18"/>
  <c r="AX72" i="18"/>
  <c r="AW90" i="18"/>
  <c r="AY75" i="18"/>
  <c r="AX93" i="18"/>
  <c r="AY73" i="18"/>
  <c r="AX91" i="18"/>
  <c r="AW79" i="18"/>
  <c r="BJ71" i="19"/>
  <c r="BJ89" i="19" s="1"/>
  <c r="BI89" i="19"/>
  <c r="BI83" i="19"/>
  <c r="AY70" i="18"/>
  <c r="AY88" i="18" s="1"/>
  <c r="AW80" i="18"/>
  <c r="AX68" i="18"/>
  <c r="AX86" i="18" s="1"/>
  <c r="AX79" i="18" l="1"/>
  <c r="AZ73" i="18"/>
  <c r="AY91" i="18"/>
  <c r="AZ75" i="18"/>
  <c r="AY93" i="18"/>
  <c r="AY72" i="18"/>
  <c r="AX90" i="18"/>
  <c r="AY71" i="18"/>
  <c r="AX89" i="18"/>
  <c r="BJ83" i="19"/>
  <c r="AX80" i="18"/>
  <c r="AY68" i="18"/>
  <c r="AY86" i="18" s="1"/>
  <c r="AZ70" i="18"/>
  <c r="AZ88" i="18" s="1"/>
  <c r="AY79" i="18" l="1"/>
  <c r="AZ71" i="18"/>
  <c r="AY89" i="18"/>
  <c r="AZ72" i="18"/>
  <c r="AY90" i="18"/>
  <c r="BA75" i="18"/>
  <c r="AZ93" i="18"/>
  <c r="BA73" i="18"/>
  <c r="AZ91" i="18"/>
  <c r="H12" i="3"/>
  <c r="G12" i="45" s="1"/>
  <c r="BA70" i="18"/>
  <c r="BA88" i="18" s="1"/>
  <c r="AZ68" i="18"/>
  <c r="AZ86" i="18" s="1"/>
  <c r="AY80" i="18"/>
  <c r="AZ79" i="18" l="1"/>
  <c r="BB73" i="18"/>
  <c r="BA91" i="18"/>
  <c r="BB75" i="18"/>
  <c r="BA93" i="18"/>
  <c r="BA72" i="18"/>
  <c r="AZ90" i="18"/>
  <c r="BA71" i="18"/>
  <c r="AZ89" i="18"/>
  <c r="H13" i="3"/>
  <c r="G13" i="45" s="1"/>
  <c r="BA68" i="18"/>
  <c r="BA86" i="18" s="1"/>
  <c r="AZ80" i="18"/>
  <c r="BB70" i="18"/>
  <c r="BB88" i="18" s="1"/>
  <c r="BA79" i="18" l="1"/>
  <c r="BB71" i="18"/>
  <c r="BA89" i="18"/>
  <c r="BB72" i="18"/>
  <c r="BA90" i="18"/>
  <c r="BC75" i="18"/>
  <c r="BB93" i="18"/>
  <c r="BC73" i="18"/>
  <c r="BB91" i="18"/>
  <c r="BC70" i="18"/>
  <c r="BC88" i="18" s="1"/>
  <c r="BA80" i="18"/>
  <c r="BB68" i="18"/>
  <c r="BB86" i="18" s="1"/>
  <c r="BB79" i="18" l="1"/>
  <c r="BD73" i="18"/>
  <c r="BC91" i="18"/>
  <c r="BD75" i="18"/>
  <c r="BC93" i="18"/>
  <c r="BC72" i="18"/>
  <c r="BB90" i="18"/>
  <c r="BC71" i="18"/>
  <c r="BB89" i="18"/>
  <c r="BB80" i="18"/>
  <c r="BC68" i="18"/>
  <c r="BC86" i="18" s="1"/>
  <c r="BD70" i="18"/>
  <c r="BD88" i="18" s="1"/>
  <c r="BC79" i="18" l="1"/>
  <c r="BD71" i="18"/>
  <c r="BC89" i="18"/>
  <c r="BD72" i="18"/>
  <c r="BC90" i="18"/>
  <c r="BE75" i="18"/>
  <c r="BD93" i="18"/>
  <c r="BE73" i="18"/>
  <c r="BD91" i="18"/>
  <c r="BE70" i="18"/>
  <c r="BE88" i="18" s="1"/>
  <c r="BC80" i="18"/>
  <c r="BD68" i="18"/>
  <c r="BD86" i="18" s="1"/>
  <c r="BD79" i="18" l="1"/>
  <c r="BF73" i="18"/>
  <c r="BE91" i="18"/>
  <c r="BF75" i="18"/>
  <c r="BE93" i="18"/>
  <c r="BE72" i="18"/>
  <c r="BD90" i="18"/>
  <c r="BE71" i="18"/>
  <c r="BD89" i="18"/>
  <c r="BE68" i="18"/>
  <c r="BE86" i="18" s="1"/>
  <c r="BD80" i="18"/>
  <c r="BF70" i="18"/>
  <c r="BF88" i="18" s="1"/>
  <c r="BE79" i="18" l="1"/>
  <c r="BF71" i="18"/>
  <c r="BE89" i="18"/>
  <c r="BF72" i="18"/>
  <c r="BE90" i="18"/>
  <c r="BG75" i="18"/>
  <c r="BF93" i="18"/>
  <c r="BG73" i="18"/>
  <c r="BF91" i="18"/>
  <c r="BG70" i="18"/>
  <c r="BG88" i="18" s="1"/>
  <c r="BF68" i="18"/>
  <c r="BF86" i="18" s="1"/>
  <c r="BE80" i="18"/>
  <c r="BF79" i="18" l="1"/>
  <c r="BH73" i="18"/>
  <c r="BG91" i="18"/>
  <c r="BH75" i="18"/>
  <c r="BG93" i="18"/>
  <c r="BG72" i="18"/>
  <c r="BF90" i="18"/>
  <c r="BG71" i="18"/>
  <c r="BF89" i="18"/>
  <c r="BG68" i="18"/>
  <c r="BG86" i="18" s="1"/>
  <c r="BF80" i="18"/>
  <c r="BH70" i="18"/>
  <c r="BH88" i="18" s="1"/>
  <c r="BG79" i="18" l="1"/>
  <c r="BH71" i="18"/>
  <c r="BG89" i="18"/>
  <c r="BH72" i="18"/>
  <c r="BG90" i="18"/>
  <c r="BI75" i="18"/>
  <c r="BH93" i="18"/>
  <c r="BI73" i="18"/>
  <c r="BH91" i="18"/>
  <c r="BI70" i="18"/>
  <c r="BI88" i="18" s="1"/>
  <c r="BH68" i="18"/>
  <c r="BH86" i="18" s="1"/>
  <c r="BG80" i="18"/>
  <c r="BH79" i="18" l="1"/>
  <c r="BJ73" i="18"/>
  <c r="BI91" i="18"/>
  <c r="BJ75" i="18"/>
  <c r="BI93" i="18"/>
  <c r="BI72" i="18"/>
  <c r="BH90" i="18"/>
  <c r="BI71" i="18"/>
  <c r="BH89" i="18"/>
  <c r="BH80" i="18"/>
  <c r="BI68" i="18"/>
  <c r="BI86" i="18" s="1"/>
  <c r="BJ70" i="18"/>
  <c r="BJ88" i="18" s="1"/>
  <c r="BI79" i="18" l="1"/>
  <c r="BJ71" i="18"/>
  <c r="BI89" i="18"/>
  <c r="BJ72" i="18"/>
  <c r="BI90" i="18"/>
  <c r="BJ93" i="18"/>
  <c r="BJ91" i="18"/>
  <c r="BJ68" i="18"/>
  <c r="BJ86" i="18" s="1"/>
  <c r="BI80" i="18"/>
  <c r="BJ79" i="18" l="1"/>
  <c r="BJ90" i="18"/>
  <c r="BJ89" i="18"/>
  <c r="J5" i="3"/>
  <c r="I5" i="45" s="1"/>
  <c r="BK68" i="18"/>
  <c r="BK86" i="18" s="1"/>
  <c r="BJ80" i="18"/>
  <c r="I20" i="3" l="1"/>
  <c r="E30" i="45" s="1"/>
  <c r="J6" i="3"/>
  <c r="I6" i="45" s="1"/>
  <c r="BL68" i="18"/>
  <c r="BL86" i="18" s="1"/>
  <c r="BK80" i="18"/>
  <c r="I21" i="3" l="1"/>
  <c r="E31" i="45" s="1"/>
  <c r="BL80" i="18"/>
  <c r="BM68" i="18"/>
  <c r="BM86" i="18" s="1"/>
  <c r="BM80" i="18" l="1"/>
  <c r="BN76" i="18" l="1"/>
  <c r="BN80" i="18"/>
  <c r="BN78" i="18"/>
  <c r="BO76" i="18" l="1"/>
  <c r="BO78" i="18"/>
  <c r="BO80" i="18"/>
  <c r="BP80" i="18" l="1"/>
  <c r="BP76" i="18"/>
  <c r="BP78" i="18"/>
  <c r="BQ80" i="18" l="1"/>
  <c r="BQ76" i="18"/>
  <c r="BQ78" i="18"/>
  <c r="BR76" i="18" l="1"/>
  <c r="BR78" i="18"/>
  <c r="BR80" i="18"/>
  <c r="BS80" i="18" l="1"/>
  <c r="BS76" i="18"/>
  <c r="BS78" i="18"/>
  <c r="H5" i="3" l="1"/>
  <c r="G5" i="45" s="1"/>
  <c r="H6" i="3" l="1"/>
  <c r="G6" i="45" s="1"/>
  <c r="H20" i="3"/>
  <c r="C30" i="45" s="1"/>
  <c r="H21" i="3" l="1"/>
  <c r="C31" i="45" s="1"/>
  <c r="E45" i="42" l="1"/>
  <c r="G45" i="42" s="1"/>
  <c r="U20" i="12"/>
  <c r="U5" i="12"/>
  <c r="P21" i="20"/>
  <c r="U39" i="12"/>
  <c r="U9" i="12"/>
  <c r="U11" i="12"/>
  <c r="U36" i="12"/>
  <c r="U46" i="12"/>
  <c r="U40" i="12"/>
  <c r="U17" i="12"/>
  <c r="U30" i="12"/>
  <c r="U12" i="12"/>
  <c r="U14" i="12"/>
  <c r="U45" i="12"/>
  <c r="U16" i="12"/>
  <c r="U29" i="12"/>
  <c r="P34" i="20"/>
  <c r="P30" i="20"/>
  <c r="P33" i="20"/>
  <c r="P35" i="20"/>
  <c r="U28" i="12"/>
  <c r="U34" i="12"/>
  <c r="P47" i="20"/>
  <c r="U22" i="12"/>
  <c r="P23" i="20"/>
  <c r="P36" i="20"/>
  <c r="U18" i="12"/>
  <c r="P22" i="20"/>
  <c r="P5" i="20"/>
  <c r="U23" i="12"/>
  <c r="P12" i="20"/>
  <c r="P19" i="20"/>
  <c r="P46" i="20"/>
  <c r="P4" i="20"/>
  <c r="U35" i="12"/>
  <c r="P9" i="20"/>
  <c r="P6" i="20"/>
  <c r="P48" i="20"/>
  <c r="U38" i="12" l="1"/>
  <c r="P10" i="20"/>
  <c r="U10" i="20" s="1"/>
  <c r="AO10" i="20" s="1"/>
  <c r="U43" i="12"/>
  <c r="P18" i="20"/>
  <c r="W18" i="20" s="1"/>
  <c r="AQ18" i="20" s="1"/>
  <c r="P32" i="20"/>
  <c r="T32" i="20" s="1"/>
  <c r="AN32" i="20" s="1"/>
  <c r="U26" i="12"/>
  <c r="AF26" i="12" s="1"/>
  <c r="P20" i="20"/>
  <c r="S20" i="20" s="1"/>
  <c r="P11" i="20"/>
  <c r="AG11" i="20" s="1"/>
  <c r="U44" i="12"/>
  <c r="Y44" i="12" s="1"/>
  <c r="AA44" i="12" s="1"/>
  <c r="U4" i="12"/>
  <c r="Y4" i="12" s="1"/>
  <c r="AA4" i="12" s="1"/>
  <c r="U19" i="12"/>
  <c r="X19" i="12" s="1"/>
  <c r="Z19" i="12" s="1"/>
  <c r="AA21" i="20"/>
  <c r="AU21" i="20" s="1"/>
  <c r="Q21" i="20"/>
  <c r="AK21" i="20" s="1"/>
  <c r="BP21" i="20"/>
  <c r="BZ21" i="20" s="1"/>
  <c r="BQ21" i="20"/>
  <c r="CA21" i="20" s="1"/>
  <c r="R21" i="20"/>
  <c r="AL21" i="20" s="1"/>
  <c r="AB21" i="20"/>
  <c r="AV21" i="20" s="1"/>
  <c r="S21" i="20"/>
  <c r="AM21" i="20" s="1"/>
  <c r="AC21" i="20"/>
  <c r="AW21" i="20" s="1"/>
  <c r="BR21" i="20"/>
  <c r="CB21" i="20" s="1"/>
  <c r="AD21" i="20"/>
  <c r="AX21" i="20" s="1"/>
  <c r="T21" i="20"/>
  <c r="AN21" i="20" s="1"/>
  <c r="BS21" i="20"/>
  <c r="CC21" i="20" s="1"/>
  <c r="U21" i="20"/>
  <c r="AO21" i="20" s="1"/>
  <c r="AE21" i="20"/>
  <c r="AY21" i="20" s="1"/>
  <c r="BT21" i="20"/>
  <c r="CD21" i="20" s="1"/>
  <c r="BU21" i="20"/>
  <c r="CE21" i="20" s="1"/>
  <c r="V21" i="20"/>
  <c r="AP21" i="20" s="1"/>
  <c r="AF21" i="20"/>
  <c r="AZ21" i="20" s="1"/>
  <c r="BV21" i="20"/>
  <c r="CF21" i="20" s="1"/>
  <c r="W21" i="20"/>
  <c r="AQ21" i="20" s="1"/>
  <c r="AG21" i="20"/>
  <c r="BA21" i="20" s="1"/>
  <c r="BW21" i="20"/>
  <c r="CG21" i="20" s="1"/>
  <c r="X21" i="20"/>
  <c r="AR21" i="20" s="1"/>
  <c r="AH21" i="20"/>
  <c r="BB21" i="20" s="1"/>
  <c r="Y21" i="20"/>
  <c r="AS21" i="20" s="1"/>
  <c r="BX21" i="20"/>
  <c r="CH21" i="20" s="1"/>
  <c r="AI21" i="20"/>
  <c r="BC21" i="20" s="1"/>
  <c r="BY21" i="20"/>
  <c r="CI21" i="20" s="1"/>
  <c r="Z21" i="20"/>
  <c r="AT21" i="20" s="1"/>
  <c r="AJ21" i="20"/>
  <c r="BD21" i="20" s="1"/>
  <c r="AF5" i="12"/>
  <c r="X5" i="12"/>
  <c r="Z5" i="12" s="1"/>
  <c r="Y5" i="12"/>
  <c r="AA5" i="12" s="1"/>
  <c r="U33" i="12"/>
  <c r="U32" i="12"/>
  <c r="AF20" i="12"/>
  <c r="Y20" i="12"/>
  <c r="AA20" i="12" s="1"/>
  <c r="X20" i="12"/>
  <c r="Z20" i="12" s="1"/>
  <c r="P17" i="20"/>
  <c r="AA17" i="20" s="1"/>
  <c r="AU17" i="20" s="1"/>
  <c r="E46" i="42"/>
  <c r="G46" i="42" s="1"/>
  <c r="G47" i="42" s="1"/>
  <c r="K17" i="42" s="1"/>
  <c r="AA10" i="20"/>
  <c r="AU10" i="20" s="1"/>
  <c r="AB10" i="20"/>
  <c r="AV10" i="20" s="1"/>
  <c r="R10" i="20"/>
  <c r="AL10" i="20" s="1"/>
  <c r="T10" i="20"/>
  <c r="AN10" i="20" s="1"/>
  <c r="AD10" i="20"/>
  <c r="AX10" i="20" s="1"/>
  <c r="AC10" i="20"/>
  <c r="AW10" i="20" s="1"/>
  <c r="S10" i="20"/>
  <c r="AM10" i="20" s="1"/>
  <c r="AE10" i="20"/>
  <c r="AY10" i="20" s="1"/>
  <c r="V10" i="20"/>
  <c r="AP10" i="20" s="1"/>
  <c r="W10" i="20"/>
  <c r="AQ10" i="20" s="1"/>
  <c r="AF10" i="20"/>
  <c r="AZ10" i="20" s="1"/>
  <c r="AG10" i="20"/>
  <c r="BA10" i="20" s="1"/>
  <c r="X10" i="20"/>
  <c r="AR10" i="20" s="1"/>
  <c r="Y10" i="20"/>
  <c r="AS10" i="20" s="1"/>
  <c r="AH10" i="20"/>
  <c r="BB10" i="20" s="1"/>
  <c r="AJ10" i="20"/>
  <c r="BD10" i="20" s="1"/>
  <c r="Z10" i="20"/>
  <c r="AT10" i="20" s="1"/>
  <c r="R18" i="20"/>
  <c r="AL18" i="20" s="1"/>
  <c r="U18" i="20"/>
  <c r="AO18" i="20" s="1"/>
  <c r="AE18" i="20"/>
  <c r="AY18" i="20" s="1"/>
  <c r="V18" i="20"/>
  <c r="AP18" i="20" s="1"/>
  <c r="AF18" i="20"/>
  <c r="AZ18" i="20" s="1"/>
  <c r="AG18" i="20"/>
  <c r="BA18" i="20" s="1"/>
  <c r="AA35" i="20"/>
  <c r="Q35" i="20"/>
  <c r="R35" i="20"/>
  <c r="AC35" i="20"/>
  <c r="AB35" i="20"/>
  <c r="S35" i="20"/>
  <c r="T35" i="20"/>
  <c r="AD35" i="20"/>
  <c r="AE35" i="20"/>
  <c r="U35" i="20"/>
  <c r="AF35" i="20"/>
  <c r="V35" i="20"/>
  <c r="W35" i="20"/>
  <c r="AG35" i="20"/>
  <c r="AI35" i="20"/>
  <c r="Y35" i="20"/>
  <c r="AH35" i="20"/>
  <c r="X35" i="20"/>
  <c r="Z35" i="20"/>
  <c r="AJ35" i="20"/>
  <c r="BD35" i="20" s="1"/>
  <c r="AA33" i="20"/>
  <c r="AU33" i="20" s="1"/>
  <c r="Q33" i="20"/>
  <c r="AK33" i="20" s="1"/>
  <c r="S33" i="20"/>
  <c r="AM33" i="20" s="1"/>
  <c r="AC33" i="20"/>
  <c r="AW33" i="20" s="1"/>
  <c r="AB33" i="20"/>
  <c r="AV33" i="20" s="1"/>
  <c r="R33" i="20"/>
  <c r="AL33" i="20" s="1"/>
  <c r="AD33" i="20"/>
  <c r="AX33" i="20" s="1"/>
  <c r="T33" i="20"/>
  <c r="AN33" i="20" s="1"/>
  <c r="U33" i="20"/>
  <c r="AO33" i="20" s="1"/>
  <c r="AE33" i="20"/>
  <c r="AY33" i="20" s="1"/>
  <c r="V33" i="20"/>
  <c r="AP33" i="20" s="1"/>
  <c r="AF33" i="20"/>
  <c r="AZ33" i="20" s="1"/>
  <c r="AG33" i="20"/>
  <c r="BA33" i="20" s="1"/>
  <c r="W33" i="20"/>
  <c r="AQ33" i="20" s="1"/>
  <c r="AI33" i="20"/>
  <c r="BC33" i="20" s="1"/>
  <c r="AH33" i="20"/>
  <c r="BB33" i="20" s="1"/>
  <c r="Y33" i="20"/>
  <c r="AS33" i="20" s="1"/>
  <c r="X33" i="20"/>
  <c r="AR33" i="20" s="1"/>
  <c r="AJ33" i="20"/>
  <c r="BD33" i="20" s="1"/>
  <c r="Z33" i="20"/>
  <c r="AT33" i="20" s="1"/>
  <c r="AA30" i="20"/>
  <c r="AU30" i="20" s="1"/>
  <c r="Q30" i="20"/>
  <c r="AK30" i="20" s="1"/>
  <c r="S30" i="20"/>
  <c r="AM30" i="20" s="1"/>
  <c r="AC30" i="20"/>
  <c r="AW30" i="20" s="1"/>
  <c r="R30" i="20"/>
  <c r="AL30" i="20" s="1"/>
  <c r="AB30" i="20"/>
  <c r="AV30" i="20" s="1"/>
  <c r="T30" i="20"/>
  <c r="AN30" i="20" s="1"/>
  <c r="AD30" i="20"/>
  <c r="AX30" i="20" s="1"/>
  <c r="AE30" i="20"/>
  <c r="AY30" i="20" s="1"/>
  <c r="U30" i="20"/>
  <c r="AO30" i="20" s="1"/>
  <c r="AF30" i="20"/>
  <c r="AZ30" i="20" s="1"/>
  <c r="V30" i="20"/>
  <c r="AP30" i="20" s="1"/>
  <c r="W30" i="20"/>
  <c r="AQ30" i="20" s="1"/>
  <c r="AG30" i="20"/>
  <c r="BA30" i="20" s="1"/>
  <c r="X30" i="20"/>
  <c r="AR30" i="20" s="1"/>
  <c r="AI30" i="20"/>
  <c r="BC30" i="20" s="1"/>
  <c r="Y30" i="20"/>
  <c r="AS30" i="20" s="1"/>
  <c r="AH30" i="20"/>
  <c r="BB30" i="20" s="1"/>
  <c r="AJ30" i="20"/>
  <c r="BD30" i="20" s="1"/>
  <c r="Z30" i="20"/>
  <c r="AT30" i="20" s="1"/>
  <c r="Q5" i="20"/>
  <c r="AA5" i="20"/>
  <c r="S5" i="20"/>
  <c r="R5" i="20"/>
  <c r="AB5" i="20"/>
  <c r="AC5" i="20"/>
  <c r="AD5" i="20"/>
  <c r="T5" i="20"/>
  <c r="U5" i="20"/>
  <c r="AE5" i="20"/>
  <c r="V5" i="20"/>
  <c r="AF5" i="20"/>
  <c r="AG5" i="20"/>
  <c r="W5" i="20"/>
  <c r="Y5" i="20"/>
  <c r="X5" i="20"/>
  <c r="AH5" i="20"/>
  <c r="AI5" i="20"/>
  <c r="AJ5" i="20"/>
  <c r="Z5" i="20"/>
  <c r="AA12" i="20"/>
  <c r="AU12" i="20" s="1"/>
  <c r="Q12" i="20"/>
  <c r="AK12" i="20" s="1"/>
  <c r="AB12" i="20"/>
  <c r="AV12" i="20" s="1"/>
  <c r="R12" i="20"/>
  <c r="AL12" i="20" s="1"/>
  <c r="AC12" i="20"/>
  <c r="AW12" i="20" s="1"/>
  <c r="S12" i="20"/>
  <c r="AM12" i="20" s="1"/>
  <c r="T12" i="20"/>
  <c r="AN12" i="20" s="1"/>
  <c r="AD12" i="20"/>
  <c r="AX12" i="20" s="1"/>
  <c r="AE12" i="20"/>
  <c r="AY12" i="20" s="1"/>
  <c r="U12" i="20"/>
  <c r="AO12" i="20" s="1"/>
  <c r="AF12" i="20"/>
  <c r="AZ12" i="20" s="1"/>
  <c r="V12" i="20"/>
  <c r="AP12" i="20" s="1"/>
  <c r="W12" i="20"/>
  <c r="AQ12" i="20" s="1"/>
  <c r="AG12" i="20"/>
  <c r="BA12" i="20" s="1"/>
  <c r="AI12" i="20"/>
  <c r="BC12" i="20" s="1"/>
  <c r="AH12" i="20"/>
  <c r="BB12" i="20" s="1"/>
  <c r="Y12" i="20"/>
  <c r="AS12" i="20" s="1"/>
  <c r="X12" i="20"/>
  <c r="AR12" i="20" s="1"/>
  <c r="AJ12" i="20"/>
  <c r="BD12" i="20" s="1"/>
  <c r="Z12" i="20"/>
  <c r="AT12" i="20" s="1"/>
  <c r="Q6" i="20"/>
  <c r="AA6" i="20"/>
  <c r="R6" i="20"/>
  <c r="AC6" i="20"/>
  <c r="AB6" i="20"/>
  <c r="S6" i="20"/>
  <c r="AD6" i="20"/>
  <c r="T6" i="20"/>
  <c r="U6" i="20"/>
  <c r="AE6" i="20"/>
  <c r="AF6" i="20"/>
  <c r="V6" i="20"/>
  <c r="W6" i="20"/>
  <c r="AG6" i="20"/>
  <c r="AI6" i="20"/>
  <c r="Y6" i="20"/>
  <c r="AH6" i="20"/>
  <c r="X6" i="20"/>
  <c r="Z6" i="20"/>
  <c r="AJ6" i="20"/>
  <c r="AA23" i="20"/>
  <c r="Q23" i="20"/>
  <c r="AC23" i="20"/>
  <c r="R23" i="20"/>
  <c r="S23" i="20"/>
  <c r="AB23" i="20"/>
  <c r="T23" i="20"/>
  <c r="AD23" i="20"/>
  <c r="U23" i="20"/>
  <c r="AE23" i="20"/>
  <c r="AF23" i="20"/>
  <c r="V23" i="20"/>
  <c r="W23" i="20"/>
  <c r="AG23" i="20"/>
  <c r="AI23" i="20"/>
  <c r="Y23" i="20"/>
  <c r="AH23" i="20"/>
  <c r="X23" i="20"/>
  <c r="Z23" i="20"/>
  <c r="AJ23" i="20"/>
  <c r="BD23" i="20" s="1"/>
  <c r="Q9" i="20"/>
  <c r="AK9" i="20" s="1"/>
  <c r="AA9" i="20"/>
  <c r="AU9" i="20" s="1"/>
  <c r="R9" i="20"/>
  <c r="AL9" i="20" s="1"/>
  <c r="AB9" i="20"/>
  <c r="AV9" i="20" s="1"/>
  <c r="AC9" i="20"/>
  <c r="AW9" i="20" s="1"/>
  <c r="T9" i="20"/>
  <c r="AN9" i="20" s="1"/>
  <c r="S9" i="20"/>
  <c r="AM9" i="20" s="1"/>
  <c r="AD9" i="20"/>
  <c r="AX9" i="20" s="1"/>
  <c r="AE9" i="20"/>
  <c r="AY9" i="20" s="1"/>
  <c r="U9" i="20"/>
  <c r="AO9" i="20" s="1"/>
  <c r="V9" i="20"/>
  <c r="AP9" i="20" s="1"/>
  <c r="W9" i="20"/>
  <c r="AQ9" i="20" s="1"/>
  <c r="AF9" i="20"/>
  <c r="AZ9" i="20" s="1"/>
  <c r="AG9" i="20"/>
  <c r="BA9" i="20" s="1"/>
  <c r="AH9" i="20"/>
  <c r="BB9" i="20" s="1"/>
  <c r="X9" i="20"/>
  <c r="AR9" i="20" s="1"/>
  <c r="Y9" i="20"/>
  <c r="AS9" i="20" s="1"/>
  <c r="AI9" i="20"/>
  <c r="BC9" i="20" s="1"/>
  <c r="AJ9" i="20"/>
  <c r="BD9" i="20" s="1"/>
  <c r="Z9" i="20"/>
  <c r="AT9" i="20" s="1"/>
  <c r="AA19" i="20"/>
  <c r="Q19" i="20"/>
  <c r="AB19" i="20"/>
  <c r="S19" i="20"/>
  <c r="R19" i="20"/>
  <c r="AC19" i="20"/>
  <c r="T19" i="20"/>
  <c r="AD19" i="20"/>
  <c r="U19" i="20"/>
  <c r="AE19" i="20"/>
  <c r="AF19" i="20"/>
  <c r="V19" i="20"/>
  <c r="W19" i="20"/>
  <c r="AG19" i="20"/>
  <c r="AH19" i="20"/>
  <c r="X19" i="20"/>
  <c r="Y19" i="20"/>
  <c r="AI19" i="20"/>
  <c r="Z19" i="20"/>
  <c r="AJ19" i="20"/>
  <c r="Q48" i="20"/>
  <c r="AK48" i="20" s="1"/>
  <c r="AA48" i="20"/>
  <c r="AU48" i="20" s="1"/>
  <c r="S48" i="20"/>
  <c r="AM48" i="20" s="1"/>
  <c r="AB48" i="20"/>
  <c r="AV48" i="20" s="1"/>
  <c r="R48" i="20"/>
  <c r="AL48" i="20" s="1"/>
  <c r="AC48" i="20"/>
  <c r="AW48" i="20" s="1"/>
  <c r="T48" i="20"/>
  <c r="AN48" i="20" s="1"/>
  <c r="AD48" i="20"/>
  <c r="AX48" i="20" s="1"/>
  <c r="U48" i="20"/>
  <c r="AO48" i="20" s="1"/>
  <c r="AE48" i="20"/>
  <c r="AY48" i="20" s="1"/>
  <c r="AF48" i="20"/>
  <c r="AZ48" i="20" s="1"/>
  <c r="V48" i="20"/>
  <c r="AP48" i="20" s="1"/>
  <c r="W48" i="20"/>
  <c r="AQ48" i="20" s="1"/>
  <c r="AG48" i="20"/>
  <c r="BA48" i="20" s="1"/>
  <c r="AI48" i="20"/>
  <c r="BC48" i="20" s="1"/>
  <c r="Y48" i="20"/>
  <c r="AS48" i="20" s="1"/>
  <c r="AH48" i="20"/>
  <c r="BB48" i="20" s="1"/>
  <c r="X48" i="20"/>
  <c r="AR48" i="20" s="1"/>
  <c r="Z48" i="20"/>
  <c r="AT48" i="20" s="1"/>
  <c r="AJ48" i="20"/>
  <c r="BD48" i="20" s="1"/>
  <c r="Q22" i="20"/>
  <c r="AK22" i="20" s="1"/>
  <c r="AA22" i="20"/>
  <c r="AU22" i="20" s="1"/>
  <c r="S22" i="20"/>
  <c r="AM22" i="20" s="1"/>
  <c r="AB22" i="20"/>
  <c r="AV22" i="20" s="1"/>
  <c r="AC22" i="20"/>
  <c r="AW22" i="20" s="1"/>
  <c r="R22" i="20"/>
  <c r="AL22" i="20" s="1"/>
  <c r="AD22" i="20"/>
  <c r="AX22" i="20" s="1"/>
  <c r="T22" i="20"/>
  <c r="AN22" i="20" s="1"/>
  <c r="U22" i="20"/>
  <c r="AO22" i="20" s="1"/>
  <c r="AE22" i="20"/>
  <c r="AY22" i="20" s="1"/>
  <c r="AF22" i="20"/>
  <c r="AZ22" i="20" s="1"/>
  <c r="V22" i="20"/>
  <c r="AP22" i="20" s="1"/>
  <c r="W22" i="20"/>
  <c r="AQ22" i="20" s="1"/>
  <c r="AG22" i="20"/>
  <c r="BA22" i="20" s="1"/>
  <c r="X22" i="20"/>
  <c r="AR22" i="20" s="1"/>
  <c r="Y22" i="20"/>
  <c r="AS22" i="20" s="1"/>
  <c r="AI22" i="20"/>
  <c r="BC22" i="20" s="1"/>
  <c r="AH22" i="20"/>
  <c r="BB22" i="20" s="1"/>
  <c r="AJ22" i="20"/>
  <c r="BD22" i="20" s="1"/>
  <c r="Z22" i="20"/>
  <c r="AT22" i="20" s="1"/>
  <c r="AA34" i="20"/>
  <c r="AU34" i="20" s="1"/>
  <c r="Q34" i="20"/>
  <c r="AK34" i="20" s="1"/>
  <c r="AB34" i="20"/>
  <c r="AV34" i="20" s="1"/>
  <c r="R34" i="20"/>
  <c r="AL34" i="20" s="1"/>
  <c r="S34" i="20"/>
  <c r="AM34" i="20" s="1"/>
  <c r="AC34" i="20"/>
  <c r="AW34" i="20" s="1"/>
  <c r="T34" i="20"/>
  <c r="AN34" i="20" s="1"/>
  <c r="AD34" i="20"/>
  <c r="AX34" i="20" s="1"/>
  <c r="AE34" i="20"/>
  <c r="AY34" i="20" s="1"/>
  <c r="U34" i="20"/>
  <c r="AO34" i="20" s="1"/>
  <c r="V34" i="20"/>
  <c r="AP34" i="20" s="1"/>
  <c r="AF34" i="20"/>
  <c r="AZ34" i="20" s="1"/>
  <c r="AG34" i="20"/>
  <c r="BA34" i="20" s="1"/>
  <c r="W34" i="20"/>
  <c r="AQ34" i="20" s="1"/>
  <c r="Y34" i="20"/>
  <c r="AS34" i="20" s="1"/>
  <c r="AI34" i="20"/>
  <c r="BC34" i="20" s="1"/>
  <c r="AH34" i="20"/>
  <c r="BB34" i="20" s="1"/>
  <c r="X34" i="20"/>
  <c r="AR34" i="20" s="1"/>
  <c r="AJ34" i="20"/>
  <c r="BD34" i="20" s="1"/>
  <c r="Z34" i="20"/>
  <c r="AT34" i="20" s="1"/>
  <c r="AA4" i="20"/>
  <c r="Q4" i="20"/>
  <c r="AB4" i="20"/>
  <c r="R4" i="20"/>
  <c r="AC4" i="20"/>
  <c r="S4" i="20"/>
  <c r="T4" i="20"/>
  <c r="AD4" i="20"/>
  <c r="AE4" i="20"/>
  <c r="U4" i="20"/>
  <c r="V4" i="20"/>
  <c r="AF4" i="20"/>
  <c r="W4" i="20"/>
  <c r="AG4" i="20"/>
  <c r="X4" i="20"/>
  <c r="AH4" i="20"/>
  <c r="Y4" i="20"/>
  <c r="AI4" i="20"/>
  <c r="Z4" i="20"/>
  <c r="AJ4" i="20"/>
  <c r="AA36" i="20"/>
  <c r="AU36" i="20" s="1"/>
  <c r="Q36" i="20"/>
  <c r="AK36" i="20" s="1"/>
  <c r="S36" i="20"/>
  <c r="AM36" i="20" s="1"/>
  <c r="R36" i="20"/>
  <c r="AL36" i="20" s="1"/>
  <c r="AC36" i="20"/>
  <c r="AW36" i="20" s="1"/>
  <c r="AB36" i="20"/>
  <c r="AV36" i="20" s="1"/>
  <c r="T36" i="20"/>
  <c r="AN36" i="20" s="1"/>
  <c r="AD36" i="20"/>
  <c r="AX36" i="20" s="1"/>
  <c r="U36" i="20"/>
  <c r="AO36" i="20" s="1"/>
  <c r="AE36" i="20"/>
  <c r="AY36" i="20" s="1"/>
  <c r="AF36" i="20"/>
  <c r="AZ36" i="20" s="1"/>
  <c r="V36" i="20"/>
  <c r="AP36" i="20" s="1"/>
  <c r="W36" i="20"/>
  <c r="AQ36" i="20" s="1"/>
  <c r="AG36" i="20"/>
  <c r="BA36" i="20" s="1"/>
  <c r="AH36" i="20"/>
  <c r="BB36" i="20" s="1"/>
  <c r="Y36" i="20"/>
  <c r="AS36" i="20" s="1"/>
  <c r="AI36" i="20"/>
  <c r="BC36" i="20" s="1"/>
  <c r="X36" i="20"/>
  <c r="AR36" i="20" s="1"/>
  <c r="AJ36" i="20"/>
  <c r="BD36" i="20" s="1"/>
  <c r="Z36" i="20"/>
  <c r="AT36" i="20" s="1"/>
  <c r="Q46" i="20"/>
  <c r="AK46" i="20" s="1"/>
  <c r="AA46" i="20"/>
  <c r="AU46" i="20" s="1"/>
  <c r="R46" i="20"/>
  <c r="AL46" i="20" s="1"/>
  <c r="AB46" i="20"/>
  <c r="AV46" i="20" s="1"/>
  <c r="AC46" i="20"/>
  <c r="AW46" i="20" s="1"/>
  <c r="T46" i="20"/>
  <c r="AN46" i="20" s="1"/>
  <c r="S46" i="20"/>
  <c r="AM46" i="20" s="1"/>
  <c r="AD46" i="20"/>
  <c r="AX46" i="20" s="1"/>
  <c r="AE46" i="20"/>
  <c r="AY46" i="20" s="1"/>
  <c r="U46" i="20"/>
  <c r="AO46" i="20" s="1"/>
  <c r="AF46" i="20"/>
  <c r="AZ46" i="20" s="1"/>
  <c r="W46" i="20"/>
  <c r="AQ46" i="20" s="1"/>
  <c r="AG46" i="20"/>
  <c r="BA46" i="20" s="1"/>
  <c r="V46" i="20"/>
  <c r="AP46" i="20" s="1"/>
  <c r="X46" i="20"/>
  <c r="AR46" i="20" s="1"/>
  <c r="AI46" i="20"/>
  <c r="BC46" i="20" s="1"/>
  <c r="AH46" i="20"/>
  <c r="BB46" i="20" s="1"/>
  <c r="Y46" i="20"/>
  <c r="AS46" i="20" s="1"/>
  <c r="Z46" i="20"/>
  <c r="AT46" i="20" s="1"/>
  <c r="AJ46" i="20"/>
  <c r="BD46" i="20" s="1"/>
  <c r="AA47" i="20"/>
  <c r="Q47" i="20"/>
  <c r="S47" i="20"/>
  <c r="AC47" i="20"/>
  <c r="R47" i="20"/>
  <c r="AB47" i="20"/>
  <c r="T47" i="20"/>
  <c r="AD47" i="20"/>
  <c r="AE47" i="20"/>
  <c r="U47" i="20"/>
  <c r="V47" i="20"/>
  <c r="AF47" i="20"/>
  <c r="AG47" i="20"/>
  <c r="W47" i="20"/>
  <c r="AH47" i="20"/>
  <c r="AI47" i="20"/>
  <c r="Y47" i="20"/>
  <c r="X47" i="20"/>
  <c r="Z47" i="20"/>
  <c r="AJ47" i="20"/>
  <c r="AF12" i="12"/>
  <c r="X12" i="12"/>
  <c r="Z12" i="12" s="1"/>
  <c r="Y12" i="12"/>
  <c r="AA12" i="12" s="1"/>
  <c r="AF30" i="12"/>
  <c r="Y30" i="12"/>
  <c r="AA30" i="12" s="1"/>
  <c r="X30" i="12"/>
  <c r="Z30" i="12" s="1"/>
  <c r="Y17" i="12"/>
  <c r="AA17" i="12" s="1"/>
  <c r="AF17" i="12"/>
  <c r="X17" i="12"/>
  <c r="Z17" i="12" s="1"/>
  <c r="Y14" i="12"/>
  <c r="AA14" i="12" s="1"/>
  <c r="AF14" i="12"/>
  <c r="X14" i="12"/>
  <c r="Z14" i="12" s="1"/>
  <c r="Y38" i="12"/>
  <c r="AA38" i="12" s="1"/>
  <c r="AF38" i="12"/>
  <c r="X38" i="12"/>
  <c r="Z38" i="12" s="1"/>
  <c r="X40" i="12"/>
  <c r="Z40" i="12" s="1"/>
  <c r="Y40" i="12"/>
  <c r="AA40" i="12" s="1"/>
  <c r="AF40" i="12"/>
  <c r="X46" i="12"/>
  <c r="Z46" i="12" s="1"/>
  <c r="Y46" i="12"/>
  <c r="AA46" i="12" s="1"/>
  <c r="AF46" i="12"/>
  <c r="AF36" i="12"/>
  <c r="Y36" i="12"/>
  <c r="AA36" i="12" s="1"/>
  <c r="X36" i="12"/>
  <c r="Z36" i="12" s="1"/>
  <c r="P37" i="20"/>
  <c r="BP34" i="20"/>
  <c r="BZ34" i="20" s="1"/>
  <c r="BQ34" i="20"/>
  <c r="CA34" i="20" s="1"/>
  <c r="BR34" i="20"/>
  <c r="CB34" i="20" s="1"/>
  <c r="BS34" i="20"/>
  <c r="CC34" i="20" s="1"/>
  <c r="BT34" i="20"/>
  <c r="CD34" i="20" s="1"/>
  <c r="BU34" i="20"/>
  <c r="CE34" i="20" s="1"/>
  <c r="BW34" i="20"/>
  <c r="CG34" i="20" s="1"/>
  <c r="BV34" i="20"/>
  <c r="CF34" i="20" s="1"/>
  <c r="BX34" i="20"/>
  <c r="CH34" i="20" s="1"/>
  <c r="BY34" i="20"/>
  <c r="CI34" i="20" s="1"/>
  <c r="X11" i="12"/>
  <c r="Z11" i="12" s="1"/>
  <c r="Y11" i="12"/>
  <c r="AA11" i="12" s="1"/>
  <c r="AF11" i="12"/>
  <c r="BP35" i="20"/>
  <c r="BZ35" i="20" s="1"/>
  <c r="BQ35" i="20"/>
  <c r="CA35" i="20" s="1"/>
  <c r="BR35" i="20"/>
  <c r="CB35" i="20" s="1"/>
  <c r="BS35" i="20"/>
  <c r="CC35" i="20" s="1"/>
  <c r="BT35" i="20"/>
  <c r="CD35" i="20" s="1"/>
  <c r="BU35" i="20"/>
  <c r="CE35" i="20" s="1"/>
  <c r="BW35" i="20"/>
  <c r="CG35" i="20" s="1"/>
  <c r="BV35" i="20"/>
  <c r="CF35" i="20" s="1"/>
  <c r="BX35" i="20"/>
  <c r="CH35" i="20" s="1"/>
  <c r="BY35" i="20"/>
  <c r="CI35" i="20" s="1"/>
  <c r="BP33" i="20"/>
  <c r="BZ33" i="20" s="1"/>
  <c r="BQ33" i="20"/>
  <c r="CA33" i="20" s="1"/>
  <c r="BR33" i="20"/>
  <c r="CB33" i="20" s="1"/>
  <c r="BS33" i="20"/>
  <c r="CC33" i="20" s="1"/>
  <c r="BT33" i="20"/>
  <c r="CD33" i="20" s="1"/>
  <c r="BU33" i="20"/>
  <c r="CE33" i="20" s="1"/>
  <c r="BW33" i="20"/>
  <c r="CG33" i="20" s="1"/>
  <c r="BV33" i="20"/>
  <c r="CF33" i="20" s="1"/>
  <c r="BX33" i="20"/>
  <c r="CH33" i="20" s="1"/>
  <c r="BY33" i="20"/>
  <c r="CI33" i="20" s="1"/>
  <c r="Y29" i="12"/>
  <c r="AA29" i="12" s="1"/>
  <c r="AF29" i="12"/>
  <c r="X29" i="12"/>
  <c r="Z29" i="12" s="1"/>
  <c r="P28" i="20"/>
  <c r="BQ28" i="20" s="1"/>
  <c r="CA28" i="20" s="1"/>
  <c r="P27" i="20"/>
  <c r="BY27" i="20" s="1"/>
  <c r="CI27" i="20" s="1"/>
  <c r="X16" i="12"/>
  <c r="Z16" i="12" s="1"/>
  <c r="Y16" i="12"/>
  <c r="AA16" i="12" s="1"/>
  <c r="AF16" i="12"/>
  <c r="Y9" i="12"/>
  <c r="AA9" i="12" s="1"/>
  <c r="AF9" i="12"/>
  <c r="X9" i="12"/>
  <c r="Z9" i="12" s="1"/>
  <c r="U48" i="12"/>
  <c r="U25" i="12"/>
  <c r="U37" i="12"/>
  <c r="U47" i="12"/>
  <c r="U13" i="12"/>
  <c r="U31" i="12"/>
  <c r="U8" i="12"/>
  <c r="U15" i="12"/>
  <c r="U27" i="12"/>
  <c r="U10" i="12"/>
  <c r="U24" i="12"/>
  <c r="U6" i="12"/>
  <c r="U21" i="12"/>
  <c r="U7" i="12"/>
  <c r="P31" i="20"/>
  <c r="BP30" i="20"/>
  <c r="BZ30" i="20" s="1"/>
  <c r="BQ30" i="20"/>
  <c r="CA30" i="20" s="1"/>
  <c r="BR30" i="20"/>
  <c r="CB30" i="20" s="1"/>
  <c r="BS30" i="20"/>
  <c r="CC30" i="20" s="1"/>
  <c r="BT30" i="20"/>
  <c r="CD30" i="20" s="1"/>
  <c r="BU30" i="20"/>
  <c r="CE30" i="20" s="1"/>
  <c r="BV30" i="20"/>
  <c r="CF30" i="20" s="1"/>
  <c r="BW30" i="20"/>
  <c r="CG30" i="20" s="1"/>
  <c r="BX30" i="20"/>
  <c r="CH30" i="20" s="1"/>
  <c r="BY30" i="20"/>
  <c r="CI30" i="20" s="1"/>
  <c r="BW32" i="20"/>
  <c r="CG32" i="20" s="1"/>
  <c r="Y45" i="12"/>
  <c r="AA45" i="12" s="1"/>
  <c r="X45" i="12"/>
  <c r="Z45" i="12" s="1"/>
  <c r="AF45" i="12"/>
  <c r="X39" i="12"/>
  <c r="Z39" i="12" s="1"/>
  <c r="AF39" i="12"/>
  <c r="Y39" i="12"/>
  <c r="AA39" i="12" s="1"/>
  <c r="P15" i="20"/>
  <c r="AF28" i="12"/>
  <c r="Y28" i="12"/>
  <c r="AA28" i="12" s="1"/>
  <c r="X28" i="12"/>
  <c r="Z28" i="12" s="1"/>
  <c r="BP12" i="20"/>
  <c r="BZ12" i="20" s="1"/>
  <c r="BQ12" i="20"/>
  <c r="CA12" i="20" s="1"/>
  <c r="BR12" i="20"/>
  <c r="CB12" i="20" s="1"/>
  <c r="BS12" i="20"/>
  <c r="CC12" i="20" s="1"/>
  <c r="BT12" i="20"/>
  <c r="CD12" i="20" s="1"/>
  <c r="BU12" i="20"/>
  <c r="CE12" i="20" s="1"/>
  <c r="BV12" i="20"/>
  <c r="CF12" i="20" s="1"/>
  <c r="BW12" i="20"/>
  <c r="CG12" i="20" s="1"/>
  <c r="BX12" i="20"/>
  <c r="CH12" i="20" s="1"/>
  <c r="BY12" i="20"/>
  <c r="CI12" i="20" s="1"/>
  <c r="BP9" i="20"/>
  <c r="BZ9" i="20" s="1"/>
  <c r="BQ9" i="20"/>
  <c r="CA9" i="20" s="1"/>
  <c r="BR9" i="20"/>
  <c r="CB9" i="20" s="1"/>
  <c r="BS9" i="20"/>
  <c r="CC9" i="20" s="1"/>
  <c r="BT9" i="20"/>
  <c r="CD9" i="20" s="1"/>
  <c r="BU9" i="20"/>
  <c r="CE9" i="20" s="1"/>
  <c r="BV9" i="20"/>
  <c r="CF9" i="20" s="1"/>
  <c r="BW9" i="20"/>
  <c r="CG9" i="20" s="1"/>
  <c r="BX9" i="20"/>
  <c r="CH9" i="20" s="1"/>
  <c r="BY9" i="20"/>
  <c r="CI9" i="20" s="1"/>
  <c r="BP18" i="20"/>
  <c r="BZ18" i="20" s="1"/>
  <c r="BQ18" i="20"/>
  <c r="CA18" i="20" s="1"/>
  <c r="BR18" i="20"/>
  <c r="CB18" i="20" s="1"/>
  <c r="BS18" i="20"/>
  <c r="CC18" i="20" s="1"/>
  <c r="BT18" i="20"/>
  <c r="CD18" i="20" s="1"/>
  <c r="BU18" i="20"/>
  <c r="CE18" i="20" s="1"/>
  <c r="BV18" i="20"/>
  <c r="CF18" i="20" s="1"/>
  <c r="BP5" i="20"/>
  <c r="BZ5" i="20" s="1"/>
  <c r="BQ5" i="20"/>
  <c r="CA5" i="20" s="1"/>
  <c r="BR5" i="20"/>
  <c r="CB5" i="20" s="1"/>
  <c r="BS5" i="20"/>
  <c r="CC5" i="20" s="1"/>
  <c r="BT5" i="20"/>
  <c r="CD5" i="20" s="1"/>
  <c r="BU5" i="20"/>
  <c r="CE5" i="20" s="1"/>
  <c r="BV5" i="20"/>
  <c r="CF5" i="20" s="1"/>
  <c r="BW5" i="20"/>
  <c r="CG5" i="20" s="1"/>
  <c r="BX5" i="20"/>
  <c r="CH5" i="20" s="1"/>
  <c r="BY5" i="20"/>
  <c r="CI5" i="20" s="1"/>
  <c r="BP47" i="20"/>
  <c r="BZ47" i="20" s="1"/>
  <c r="BQ47" i="20"/>
  <c r="CA47" i="20" s="1"/>
  <c r="BR47" i="20"/>
  <c r="CB47" i="20" s="1"/>
  <c r="BS47" i="20"/>
  <c r="CC47" i="20" s="1"/>
  <c r="BT47" i="20"/>
  <c r="CD47" i="20" s="1"/>
  <c r="BU47" i="20"/>
  <c r="CE47" i="20" s="1"/>
  <c r="BV47" i="20"/>
  <c r="CF47" i="20" s="1"/>
  <c r="BW47" i="20"/>
  <c r="CG47" i="20" s="1"/>
  <c r="BX47" i="20"/>
  <c r="CH47" i="20" s="1"/>
  <c r="BY47" i="20"/>
  <c r="CI47" i="20" s="1"/>
  <c r="BP10" i="20"/>
  <c r="BZ10" i="20" s="1"/>
  <c r="BQ10" i="20"/>
  <c r="CA10" i="20" s="1"/>
  <c r="BR10" i="20"/>
  <c r="CB10" i="20" s="1"/>
  <c r="BS10" i="20"/>
  <c r="CC10" i="20" s="1"/>
  <c r="BT10" i="20"/>
  <c r="CD10" i="20" s="1"/>
  <c r="BU10" i="20"/>
  <c r="CE10" i="20" s="1"/>
  <c r="BV10" i="20"/>
  <c r="CF10" i="20" s="1"/>
  <c r="BW10" i="20"/>
  <c r="CG10" i="20" s="1"/>
  <c r="BX10" i="20"/>
  <c r="CH10" i="20" s="1"/>
  <c r="BY10" i="20"/>
  <c r="CI10" i="20" s="1"/>
  <c r="BP4" i="20"/>
  <c r="BZ4" i="20" s="1"/>
  <c r="BQ4" i="20"/>
  <c r="CA4" i="20" s="1"/>
  <c r="BR4" i="20"/>
  <c r="CB4" i="20" s="1"/>
  <c r="BS4" i="20"/>
  <c r="CC4" i="20" s="1"/>
  <c r="BT4" i="20"/>
  <c r="CD4" i="20" s="1"/>
  <c r="BU4" i="20"/>
  <c r="CE4" i="20" s="1"/>
  <c r="BV4" i="20"/>
  <c r="CF4" i="20" s="1"/>
  <c r="BW4" i="20"/>
  <c r="CG4" i="20" s="1"/>
  <c r="BX4" i="20"/>
  <c r="CH4" i="20" s="1"/>
  <c r="BY4" i="20"/>
  <c r="CI4" i="20" s="1"/>
  <c r="BP23" i="20"/>
  <c r="BZ23" i="20" s="1"/>
  <c r="BQ23" i="20"/>
  <c r="CA23" i="20" s="1"/>
  <c r="BR23" i="20"/>
  <c r="CB23" i="20" s="1"/>
  <c r="BS23" i="20"/>
  <c r="CC23" i="20" s="1"/>
  <c r="BT23" i="20"/>
  <c r="CD23" i="20" s="1"/>
  <c r="BU23" i="20"/>
  <c r="CE23" i="20" s="1"/>
  <c r="BV23" i="20"/>
  <c r="CF23" i="20" s="1"/>
  <c r="BW23" i="20"/>
  <c r="CG23" i="20" s="1"/>
  <c r="BX23" i="20"/>
  <c r="CH23" i="20" s="1"/>
  <c r="BY23" i="20"/>
  <c r="CI23" i="20" s="1"/>
  <c r="BP48" i="20"/>
  <c r="BZ48" i="20" s="1"/>
  <c r="BQ48" i="20"/>
  <c r="CA48" i="20" s="1"/>
  <c r="BR48" i="20"/>
  <c r="CB48" i="20" s="1"/>
  <c r="BS48" i="20"/>
  <c r="CC48" i="20" s="1"/>
  <c r="BT48" i="20"/>
  <c r="CD48" i="20" s="1"/>
  <c r="BU48" i="20"/>
  <c r="CE48" i="20" s="1"/>
  <c r="BV48" i="20"/>
  <c r="CF48" i="20" s="1"/>
  <c r="BW48" i="20"/>
  <c r="CG48" i="20" s="1"/>
  <c r="BX48" i="20"/>
  <c r="CH48" i="20" s="1"/>
  <c r="BY48" i="20"/>
  <c r="CI48" i="20" s="1"/>
  <c r="BP22" i="20"/>
  <c r="BZ22" i="20" s="1"/>
  <c r="BQ22" i="20"/>
  <c r="CA22" i="20" s="1"/>
  <c r="BR22" i="20"/>
  <c r="CB22" i="20" s="1"/>
  <c r="BS22" i="20"/>
  <c r="CC22" i="20" s="1"/>
  <c r="BT22" i="20"/>
  <c r="CD22" i="20" s="1"/>
  <c r="BU22" i="20"/>
  <c r="CE22" i="20" s="1"/>
  <c r="BV22" i="20"/>
  <c r="CF22" i="20" s="1"/>
  <c r="BW22" i="20"/>
  <c r="CG22" i="20" s="1"/>
  <c r="BX22" i="20"/>
  <c r="CH22" i="20" s="1"/>
  <c r="BY22" i="20"/>
  <c r="CI22" i="20" s="1"/>
  <c r="BP46" i="20"/>
  <c r="BZ46" i="20" s="1"/>
  <c r="BQ46" i="20"/>
  <c r="CA46" i="20" s="1"/>
  <c r="BR46" i="20"/>
  <c r="CB46" i="20" s="1"/>
  <c r="BS46" i="20"/>
  <c r="CC46" i="20" s="1"/>
  <c r="BT46" i="20"/>
  <c r="CD46" i="20" s="1"/>
  <c r="BU46" i="20"/>
  <c r="CE46" i="20" s="1"/>
  <c r="BV46" i="20"/>
  <c r="CF46" i="20" s="1"/>
  <c r="BW46" i="20"/>
  <c r="CG46" i="20" s="1"/>
  <c r="BX46" i="20"/>
  <c r="CH46" i="20" s="1"/>
  <c r="BY46" i="20"/>
  <c r="CI46" i="20" s="1"/>
  <c r="BP19" i="20"/>
  <c r="BZ19" i="20" s="1"/>
  <c r="BQ19" i="20"/>
  <c r="CA19" i="20" s="1"/>
  <c r="BR19" i="20"/>
  <c r="CB19" i="20" s="1"/>
  <c r="BS19" i="20"/>
  <c r="CC19" i="20" s="1"/>
  <c r="BT19" i="20"/>
  <c r="CD19" i="20" s="1"/>
  <c r="BU19" i="20"/>
  <c r="CE19" i="20" s="1"/>
  <c r="BV19" i="20"/>
  <c r="CF19" i="20" s="1"/>
  <c r="BW19" i="20"/>
  <c r="CG19" i="20" s="1"/>
  <c r="BX19" i="20"/>
  <c r="CH19" i="20" s="1"/>
  <c r="BY19" i="20"/>
  <c r="CI19" i="20" s="1"/>
  <c r="BP36" i="20"/>
  <c r="BZ36" i="20" s="1"/>
  <c r="BQ36" i="20"/>
  <c r="CA36" i="20" s="1"/>
  <c r="BR36" i="20"/>
  <c r="CB36" i="20" s="1"/>
  <c r="BS36" i="20"/>
  <c r="CC36" i="20" s="1"/>
  <c r="BT36" i="20"/>
  <c r="CD36" i="20" s="1"/>
  <c r="BU36" i="20"/>
  <c r="CE36" i="20" s="1"/>
  <c r="BV36" i="20"/>
  <c r="CF36" i="20" s="1"/>
  <c r="BW36" i="20"/>
  <c r="CG36" i="20" s="1"/>
  <c r="BX36" i="20"/>
  <c r="CH36" i="20" s="1"/>
  <c r="BY36" i="20"/>
  <c r="CI36" i="20" s="1"/>
  <c r="BP6" i="20"/>
  <c r="BZ6" i="20" s="1"/>
  <c r="BQ6" i="20"/>
  <c r="CA6" i="20" s="1"/>
  <c r="BR6" i="20"/>
  <c r="CB6" i="20" s="1"/>
  <c r="BS6" i="20"/>
  <c r="CC6" i="20" s="1"/>
  <c r="BT6" i="20"/>
  <c r="CD6" i="20" s="1"/>
  <c r="BU6" i="20"/>
  <c r="CE6" i="20" s="1"/>
  <c r="BV6" i="20"/>
  <c r="CF6" i="20" s="1"/>
  <c r="BW6" i="20"/>
  <c r="CG6" i="20" s="1"/>
  <c r="BX6" i="20"/>
  <c r="CH6" i="20" s="1"/>
  <c r="BY6" i="20"/>
  <c r="CI6" i="20" s="1"/>
  <c r="AF23" i="12"/>
  <c r="AF22" i="12"/>
  <c r="AF43" i="12"/>
  <c r="AF35" i="12"/>
  <c r="AF34" i="12"/>
  <c r="AF18" i="12"/>
  <c r="Y35" i="12"/>
  <c r="AA35" i="12" s="1"/>
  <c r="X35" i="12"/>
  <c r="Z35" i="12" s="1"/>
  <c r="Y43" i="12"/>
  <c r="AA43" i="12" s="1"/>
  <c r="X43" i="12"/>
  <c r="Z43" i="12" s="1"/>
  <c r="Y23" i="12"/>
  <c r="AA23" i="12" s="1"/>
  <c r="X23" i="12"/>
  <c r="Z23" i="12" s="1"/>
  <c r="Y18" i="12"/>
  <c r="AA18" i="12" s="1"/>
  <c r="X18" i="12"/>
  <c r="Z18" i="12" s="1"/>
  <c r="Y22" i="12"/>
  <c r="AA22" i="12" s="1"/>
  <c r="X22" i="12"/>
  <c r="Z22" i="12" s="1"/>
  <c r="X34" i="12"/>
  <c r="Z34" i="12" s="1"/>
  <c r="Y34" i="12"/>
  <c r="AA34" i="12" s="1"/>
  <c r="P14" i="20"/>
  <c r="U41" i="12"/>
  <c r="P44" i="20"/>
  <c r="P29" i="20"/>
  <c r="P41" i="20"/>
  <c r="P42" i="20"/>
  <c r="P24" i="20"/>
  <c r="P38" i="20"/>
  <c r="P8" i="20"/>
  <c r="P26" i="20"/>
  <c r="P13" i="20"/>
  <c r="P39" i="20"/>
  <c r="P40" i="20"/>
  <c r="P16" i="20"/>
  <c r="P45" i="20"/>
  <c r="P25" i="20"/>
  <c r="U42" i="12"/>
  <c r="P43" i="20"/>
  <c r="P7" i="20"/>
  <c r="AC20" i="20" l="1"/>
  <c r="AC18" i="20"/>
  <c r="AW18" i="20" s="1"/>
  <c r="Z18" i="20"/>
  <c r="AT18" i="20" s="1"/>
  <c r="AI18" i="20"/>
  <c r="BC18" i="20" s="1"/>
  <c r="AH18" i="20"/>
  <c r="BB18" i="20" s="1"/>
  <c r="BX18" i="20"/>
  <c r="CH18" i="20" s="1"/>
  <c r="T18" i="20"/>
  <c r="AN18" i="20" s="1"/>
  <c r="AD18" i="20"/>
  <c r="AX18" i="20" s="1"/>
  <c r="S18" i="20"/>
  <c r="AM18" i="20" s="1"/>
  <c r="AI10" i="20"/>
  <c r="BC10" i="20" s="1"/>
  <c r="Q10" i="20"/>
  <c r="AK10" i="20" s="1"/>
  <c r="AJ18" i="20"/>
  <c r="BD18" i="20" s="1"/>
  <c r="AB18" i="20"/>
  <c r="AV18" i="20" s="1"/>
  <c r="BF18" i="20" s="1"/>
  <c r="BQ32" i="20"/>
  <c r="CA32" i="20" s="1"/>
  <c r="BY18" i="20"/>
  <c r="CI18" i="20" s="1"/>
  <c r="S32" i="20"/>
  <c r="AM32" i="20" s="1"/>
  <c r="X18" i="20"/>
  <c r="AR18" i="20" s="1"/>
  <c r="AA18" i="20"/>
  <c r="AU18" i="20" s="1"/>
  <c r="Y18" i="20"/>
  <c r="AS18" i="20" s="1"/>
  <c r="BM18" i="20" s="1"/>
  <c r="Q18" i="20"/>
  <c r="AK18" i="20" s="1"/>
  <c r="BW18" i="20"/>
  <c r="CG18" i="20" s="1"/>
  <c r="R20" i="20"/>
  <c r="AL20" i="20" s="1"/>
  <c r="AB20" i="20"/>
  <c r="AV20" i="20" s="1"/>
  <c r="AA20" i="20"/>
  <c r="AU20" i="20" s="1"/>
  <c r="BT11" i="20"/>
  <c r="CD11" i="20" s="1"/>
  <c r="Q20" i="20"/>
  <c r="X26" i="12"/>
  <c r="Z26" i="12" s="1"/>
  <c r="W11" i="20"/>
  <c r="AQ11" i="20" s="1"/>
  <c r="AF11" i="20"/>
  <c r="AZ11" i="20" s="1"/>
  <c r="V11" i="20"/>
  <c r="AP11" i="20" s="1"/>
  <c r="AE11" i="20"/>
  <c r="AJ20" i="20"/>
  <c r="BD20" i="20" s="1"/>
  <c r="BR11" i="20"/>
  <c r="CB11" i="20" s="1"/>
  <c r="T11" i="20"/>
  <c r="AN11" i="20" s="1"/>
  <c r="U11" i="20"/>
  <c r="AO11" i="20" s="1"/>
  <c r="AI20" i="20"/>
  <c r="BC20" i="20" s="1"/>
  <c r="Y20" i="20"/>
  <c r="AS20" i="20" s="1"/>
  <c r="BS20" i="20"/>
  <c r="CC20" i="20" s="1"/>
  <c r="BY11" i="20"/>
  <c r="CI11" i="20" s="1"/>
  <c r="AF4" i="12"/>
  <c r="AH20" i="20"/>
  <c r="BB20" i="20" s="1"/>
  <c r="BX11" i="20"/>
  <c r="CH11" i="20" s="1"/>
  <c r="X20" i="20"/>
  <c r="AR20" i="20" s="1"/>
  <c r="BQ20" i="20"/>
  <c r="CA20" i="20" s="1"/>
  <c r="BW11" i="20"/>
  <c r="CG11" i="20" s="1"/>
  <c r="W20" i="20"/>
  <c r="AQ20" i="20" s="1"/>
  <c r="BR20" i="20"/>
  <c r="CB20" i="20" s="1"/>
  <c r="X4" i="12"/>
  <c r="Z4" i="12" s="1"/>
  <c r="AB4" i="12" s="1"/>
  <c r="Y26" i="12"/>
  <c r="AA26" i="12" s="1"/>
  <c r="BP20" i="20"/>
  <c r="BZ20" i="20" s="1"/>
  <c r="BU11" i="20"/>
  <c r="CE11" i="20" s="1"/>
  <c r="AJ32" i="20"/>
  <c r="BD32" i="20" s="1"/>
  <c r="V20" i="20"/>
  <c r="AP20" i="20" s="1"/>
  <c r="BS11" i="20"/>
  <c r="CC11" i="20" s="1"/>
  <c r="AD11" i="20"/>
  <c r="AX11" i="20" s="1"/>
  <c r="V32" i="20"/>
  <c r="AP32" i="20" s="1"/>
  <c r="AG20" i="20"/>
  <c r="BA20" i="20" s="1"/>
  <c r="BQ11" i="20"/>
  <c r="CA11" i="20" s="1"/>
  <c r="R11" i="20"/>
  <c r="AL11" i="20" s="1"/>
  <c r="BY20" i="20"/>
  <c r="CI20" i="20" s="1"/>
  <c r="AC11" i="20"/>
  <c r="AW11" i="20" s="1"/>
  <c r="Z11" i="20"/>
  <c r="AT11" i="20" s="1"/>
  <c r="AE20" i="20"/>
  <c r="AY20" i="20" s="1"/>
  <c r="BW20" i="20"/>
  <c r="CG20" i="20" s="1"/>
  <c r="AI11" i="20"/>
  <c r="BC11" i="20" s="1"/>
  <c r="Q11" i="20"/>
  <c r="AK11" i="20" s="1"/>
  <c r="U20" i="20"/>
  <c r="AO20" i="20" s="1"/>
  <c r="AF20" i="20"/>
  <c r="AZ20" i="20" s="1"/>
  <c r="Y11" i="20"/>
  <c r="AS11" i="20" s="1"/>
  <c r="AA11" i="20"/>
  <c r="AU11" i="20" s="1"/>
  <c r="T20" i="20"/>
  <c r="AN20" i="20" s="1"/>
  <c r="BP11" i="20"/>
  <c r="BZ11" i="20" s="1"/>
  <c r="S11" i="20"/>
  <c r="AM11" i="20" s="1"/>
  <c r="BV20" i="20"/>
  <c r="CF20" i="20" s="1"/>
  <c r="BU20" i="20"/>
  <c r="CE20" i="20" s="1"/>
  <c r="AD20" i="20"/>
  <c r="AX20" i="20" s="1"/>
  <c r="BX20" i="20"/>
  <c r="CH20" i="20" s="1"/>
  <c r="X11" i="20"/>
  <c r="AR11" i="20" s="1"/>
  <c r="BT20" i="20"/>
  <c r="CD20" i="20" s="1"/>
  <c r="AH11" i="20"/>
  <c r="BB11" i="20" s="1"/>
  <c r="Z20" i="20"/>
  <c r="AT20" i="20" s="1"/>
  <c r="X44" i="12"/>
  <c r="Z44" i="12" s="1"/>
  <c r="AJ11" i="20"/>
  <c r="BD11" i="20" s="1"/>
  <c r="AB11" i="20"/>
  <c r="AV11" i="20" s="1"/>
  <c r="AF44" i="12"/>
  <c r="BV11" i="20"/>
  <c r="CF11" i="20" s="1"/>
  <c r="AM35" i="20"/>
  <c r="AX4" i="20"/>
  <c r="AN4" i="20"/>
  <c r="BC23" i="20"/>
  <c r="AU23" i="20"/>
  <c r="AR35" i="20"/>
  <c r="AW35" i="20"/>
  <c r="AR23" i="20"/>
  <c r="AT35" i="20"/>
  <c r="BN35" i="20" s="1"/>
  <c r="AM4" i="20"/>
  <c r="AR19" i="20"/>
  <c r="BA23" i="20"/>
  <c r="BB35" i="20"/>
  <c r="AL35" i="20"/>
  <c r="AW20" i="20"/>
  <c r="AW4" i="20"/>
  <c r="BB19" i="20"/>
  <c r="AQ23" i="20"/>
  <c r="AZ5" i="20"/>
  <c r="AS35" i="20"/>
  <c r="AK35" i="20"/>
  <c r="BA19" i="20"/>
  <c r="AP23" i="20"/>
  <c r="AP5" i="20"/>
  <c r="BC35" i="20"/>
  <c r="AU35" i="20"/>
  <c r="AN35" i="20"/>
  <c r="AL19" i="20"/>
  <c r="AZ23" i="20"/>
  <c r="AY5" i="20"/>
  <c r="BA35" i="20"/>
  <c r="AO4" i="20"/>
  <c r="AP19" i="20"/>
  <c r="AY23" i="20"/>
  <c r="AO5" i="20"/>
  <c r="AQ35" i="20"/>
  <c r="AY4" i="20"/>
  <c r="AR4" i="20"/>
  <c r="AZ19" i="20"/>
  <c r="AO23" i="20"/>
  <c r="AN5" i="20"/>
  <c r="AP35" i="20"/>
  <c r="BA4" i="20"/>
  <c r="AY19" i="20"/>
  <c r="AX23" i="20"/>
  <c r="AX5" i="20"/>
  <c r="AZ35" i="20"/>
  <c r="AL23" i="20"/>
  <c r="BB23" i="20"/>
  <c r="AQ4" i="20"/>
  <c r="AN23" i="20"/>
  <c r="AO35" i="20"/>
  <c r="AT19" i="20"/>
  <c r="AK23" i="20"/>
  <c r="AV35" i="20"/>
  <c r="AZ4" i="20"/>
  <c r="AV23" i="20"/>
  <c r="AY35" i="20"/>
  <c r="AW23" i="20"/>
  <c r="AS23" i="20"/>
  <c r="AP4" i="20"/>
  <c r="AN19" i="20"/>
  <c r="AT23" i="20"/>
  <c r="BN23" i="20" s="1"/>
  <c r="AM23" i="20"/>
  <c r="AM20" i="20"/>
  <c r="AL5" i="20"/>
  <c r="AX35" i="20"/>
  <c r="BR32" i="20"/>
  <c r="CB32" i="20" s="1"/>
  <c r="AD32" i="20"/>
  <c r="AX32" i="20" s="1"/>
  <c r="BH32" i="20" s="1"/>
  <c r="BP32" i="20"/>
  <c r="BZ32" i="20" s="1"/>
  <c r="Z32" i="20"/>
  <c r="AT32" i="20" s="1"/>
  <c r="R32" i="20"/>
  <c r="AL32" i="20" s="1"/>
  <c r="AI32" i="20"/>
  <c r="BC32" i="20" s="1"/>
  <c r="AB32" i="20"/>
  <c r="AV32" i="20" s="1"/>
  <c r="Y32" i="20"/>
  <c r="AS32" i="20" s="1"/>
  <c r="AC32" i="20"/>
  <c r="AW32" i="20" s="1"/>
  <c r="BG32" i="20" s="1"/>
  <c r="AH32" i="20"/>
  <c r="BB32" i="20" s="1"/>
  <c r="Q32" i="20"/>
  <c r="AK32" i="20" s="1"/>
  <c r="X32" i="20"/>
  <c r="AR32" i="20" s="1"/>
  <c r="AA32" i="20"/>
  <c r="AU32" i="20" s="1"/>
  <c r="BY32" i="20"/>
  <c r="CI32" i="20" s="1"/>
  <c r="W32" i="20"/>
  <c r="AQ32" i="20" s="1"/>
  <c r="BX32" i="20"/>
  <c r="CH32" i="20" s="1"/>
  <c r="AG32" i="20"/>
  <c r="BA32" i="20" s="1"/>
  <c r="BV32" i="20"/>
  <c r="CF32" i="20" s="1"/>
  <c r="AF32" i="20"/>
  <c r="AZ32" i="20" s="1"/>
  <c r="BU32" i="20"/>
  <c r="CE32" i="20" s="1"/>
  <c r="AE32" i="20"/>
  <c r="AY32" i="20" s="1"/>
  <c r="BT32" i="20"/>
  <c r="CD32" i="20" s="1"/>
  <c r="U32" i="20"/>
  <c r="AO32" i="20" s="1"/>
  <c r="BS32" i="20"/>
  <c r="CC32" i="20" s="1"/>
  <c r="Y19" i="12"/>
  <c r="AA19" i="12" s="1"/>
  <c r="AF19" i="12"/>
  <c r="AB20" i="12"/>
  <c r="BF21" i="20"/>
  <c r="BE21" i="20"/>
  <c r="BI21" i="20"/>
  <c r="BH21" i="20"/>
  <c r="BR17" i="20"/>
  <c r="CB17" i="20" s="1"/>
  <c r="AB5" i="12"/>
  <c r="X17" i="20"/>
  <c r="AR17" i="20" s="1"/>
  <c r="BP17" i="20"/>
  <c r="BZ17" i="20" s="1"/>
  <c r="AG17" i="20"/>
  <c r="BA17" i="20" s="1"/>
  <c r="BM21" i="20"/>
  <c r="W17" i="20"/>
  <c r="AQ17" i="20" s="1"/>
  <c r="V17" i="20"/>
  <c r="AP17" i="20" s="1"/>
  <c r="BL21" i="20"/>
  <c r="AF17" i="20"/>
  <c r="AZ17" i="20" s="1"/>
  <c r="AF32" i="12"/>
  <c r="Y32" i="12"/>
  <c r="AA32" i="12" s="1"/>
  <c r="X32" i="12"/>
  <c r="Z32" i="12" s="1"/>
  <c r="AH17" i="20"/>
  <c r="BB17" i="20" s="1"/>
  <c r="AE17" i="20"/>
  <c r="AY17" i="20" s="1"/>
  <c r="AF33" i="12"/>
  <c r="Y33" i="12"/>
  <c r="AA33" i="12" s="1"/>
  <c r="X33" i="12"/>
  <c r="Z33" i="12" s="1"/>
  <c r="BG21" i="20"/>
  <c r="BY17" i="20"/>
  <c r="CI17" i="20" s="1"/>
  <c r="U17" i="20"/>
  <c r="AO17" i="20" s="1"/>
  <c r="BK21" i="20"/>
  <c r="BX17" i="20"/>
  <c r="CH17" i="20" s="1"/>
  <c r="AD17" i="20"/>
  <c r="AX17" i="20" s="1"/>
  <c r="BW17" i="20"/>
  <c r="CG17" i="20" s="1"/>
  <c r="T17" i="20"/>
  <c r="AN17" i="20" s="1"/>
  <c r="BV17" i="20"/>
  <c r="CF17" i="20" s="1"/>
  <c r="AJ17" i="20"/>
  <c r="BD17" i="20" s="1"/>
  <c r="S17" i="20"/>
  <c r="AM17" i="20" s="1"/>
  <c r="BJ21" i="20"/>
  <c r="BU17" i="20"/>
  <c r="CE17" i="20" s="1"/>
  <c r="Z17" i="20"/>
  <c r="AT17" i="20" s="1"/>
  <c r="AC17" i="20"/>
  <c r="AW17" i="20" s="1"/>
  <c r="BQ17" i="20"/>
  <c r="CA17" i="20" s="1"/>
  <c r="BT17" i="20"/>
  <c r="CD17" i="20" s="1"/>
  <c r="AI17" i="20"/>
  <c r="BC17" i="20" s="1"/>
  <c r="Q17" i="20"/>
  <c r="AK17" i="20" s="1"/>
  <c r="BE17" i="20" s="1"/>
  <c r="BN21" i="20"/>
  <c r="BS17" i="20"/>
  <c r="CC17" i="20" s="1"/>
  <c r="Y17" i="20"/>
  <c r="AS17" i="20" s="1"/>
  <c r="L17" i="42"/>
  <c r="I47" i="42"/>
  <c r="R17" i="20"/>
  <c r="AL17" i="20" s="1"/>
  <c r="AB17" i="20"/>
  <c r="AV17" i="20" s="1"/>
  <c r="BP28" i="20"/>
  <c r="BZ28" i="20" s="1"/>
  <c r="AB29" i="12"/>
  <c r="BY28" i="20"/>
  <c r="CI28" i="20" s="1"/>
  <c r="BX28" i="20"/>
  <c r="CH28" i="20" s="1"/>
  <c r="BW28" i="20"/>
  <c r="CG28" i="20" s="1"/>
  <c r="BV27" i="20"/>
  <c r="CF27" i="20" s="1"/>
  <c r="BV28" i="20"/>
  <c r="CF28" i="20" s="1"/>
  <c r="BU27" i="20"/>
  <c r="CE27" i="20" s="1"/>
  <c r="BU28" i="20"/>
  <c r="CE28" i="20" s="1"/>
  <c r="BT27" i="20"/>
  <c r="CD27" i="20" s="1"/>
  <c r="BT28" i="20"/>
  <c r="CD28" i="20" s="1"/>
  <c r="BS27" i="20"/>
  <c r="CC27" i="20" s="1"/>
  <c r="BS28" i="20"/>
  <c r="CC28" i="20" s="1"/>
  <c r="BR27" i="20"/>
  <c r="CB27" i="20" s="1"/>
  <c r="BQ27" i="20"/>
  <c r="CA27" i="20" s="1"/>
  <c r="BX27" i="20"/>
  <c r="CH27" i="20" s="1"/>
  <c r="BW27" i="20"/>
  <c r="CG27" i="20" s="1"/>
  <c r="AA29" i="20"/>
  <c r="AU29" i="20" s="1"/>
  <c r="Q29" i="20"/>
  <c r="S29" i="20"/>
  <c r="AM29" i="20" s="1"/>
  <c r="R29" i="20"/>
  <c r="AC29" i="20"/>
  <c r="AW29" i="20" s="1"/>
  <c r="AB29" i="20"/>
  <c r="AV29" i="20" s="1"/>
  <c r="AD29" i="20"/>
  <c r="T29" i="20"/>
  <c r="AE29" i="20"/>
  <c r="U29" i="20"/>
  <c r="V29" i="20"/>
  <c r="AF29" i="20"/>
  <c r="W29" i="20"/>
  <c r="AG29" i="20"/>
  <c r="AH29" i="20"/>
  <c r="BB29" i="20" s="1"/>
  <c r="X29" i="20"/>
  <c r="AR29" i="20" s="1"/>
  <c r="AI29" i="20"/>
  <c r="BC29" i="20" s="1"/>
  <c r="Y29" i="20"/>
  <c r="AS29" i="20" s="1"/>
  <c r="Z29" i="20"/>
  <c r="AT29" i="20" s="1"/>
  <c r="AJ29" i="20"/>
  <c r="BD29" i="20" s="1"/>
  <c r="Q40" i="20"/>
  <c r="AK40" i="20" s="1"/>
  <c r="AA40" i="20"/>
  <c r="AU40" i="20" s="1"/>
  <c r="R40" i="20"/>
  <c r="AL40" i="20" s="1"/>
  <c r="AB40" i="20"/>
  <c r="AV40" i="20" s="1"/>
  <c r="S40" i="20"/>
  <c r="AM40" i="20" s="1"/>
  <c r="AC40" i="20"/>
  <c r="AW40" i="20" s="1"/>
  <c r="T40" i="20"/>
  <c r="AN40" i="20" s="1"/>
  <c r="AD40" i="20"/>
  <c r="AX40" i="20" s="1"/>
  <c r="U40" i="20"/>
  <c r="AO40" i="20" s="1"/>
  <c r="AE40" i="20"/>
  <c r="AY40" i="20" s="1"/>
  <c r="V40" i="20"/>
  <c r="AP40" i="20" s="1"/>
  <c r="AF40" i="20"/>
  <c r="AZ40" i="20" s="1"/>
  <c r="W40" i="20"/>
  <c r="AQ40" i="20" s="1"/>
  <c r="AG40" i="20"/>
  <c r="BA40" i="20" s="1"/>
  <c r="X40" i="20"/>
  <c r="AR40" i="20" s="1"/>
  <c r="AH40" i="20"/>
  <c r="BB40" i="20" s="1"/>
  <c r="AI40" i="20"/>
  <c r="BC40" i="20" s="1"/>
  <c r="Y40" i="20"/>
  <c r="AS40" i="20" s="1"/>
  <c r="Z40" i="20"/>
  <c r="AT40" i="20" s="1"/>
  <c r="AJ40" i="20"/>
  <c r="BD40" i="20" s="1"/>
  <c r="AA16" i="20"/>
  <c r="Q16" i="20"/>
  <c r="AB16" i="20"/>
  <c r="R16" i="20"/>
  <c r="AC16" i="20"/>
  <c r="T16" i="20"/>
  <c r="S16" i="20"/>
  <c r="AD16" i="20"/>
  <c r="U16" i="20"/>
  <c r="AE16" i="20"/>
  <c r="AG16" i="20"/>
  <c r="W16" i="20"/>
  <c r="V16" i="20"/>
  <c r="AF16" i="20"/>
  <c r="X16" i="20"/>
  <c r="AH16" i="20"/>
  <c r="AI16" i="20"/>
  <c r="Y16" i="20"/>
  <c r="Z16" i="20"/>
  <c r="AJ16" i="20"/>
  <c r="Q44" i="20"/>
  <c r="AK44" i="20" s="1"/>
  <c r="AA44" i="20"/>
  <c r="AU44" i="20" s="1"/>
  <c r="R44" i="20"/>
  <c r="AL44" i="20" s="1"/>
  <c r="AB44" i="20"/>
  <c r="AV44" i="20" s="1"/>
  <c r="S44" i="20"/>
  <c r="AM44" i="20" s="1"/>
  <c r="AC44" i="20"/>
  <c r="AW44" i="20" s="1"/>
  <c r="T44" i="20"/>
  <c r="AN44" i="20" s="1"/>
  <c r="AD44" i="20"/>
  <c r="AX44" i="20" s="1"/>
  <c r="U44" i="20"/>
  <c r="AO44" i="20" s="1"/>
  <c r="AE44" i="20"/>
  <c r="AY44" i="20" s="1"/>
  <c r="AF44" i="20"/>
  <c r="AZ44" i="20" s="1"/>
  <c r="V44" i="20"/>
  <c r="AP44" i="20" s="1"/>
  <c r="AG44" i="20"/>
  <c r="BA44" i="20" s="1"/>
  <c r="W44" i="20"/>
  <c r="AQ44" i="20" s="1"/>
  <c r="AH44" i="20"/>
  <c r="BB44" i="20" s="1"/>
  <c r="X44" i="20"/>
  <c r="AR44" i="20" s="1"/>
  <c r="AI44" i="20"/>
  <c r="BC44" i="20" s="1"/>
  <c r="Y44" i="20"/>
  <c r="AS44" i="20" s="1"/>
  <c r="AJ44" i="20"/>
  <c r="BD44" i="20" s="1"/>
  <c r="Z44" i="20"/>
  <c r="AT44" i="20" s="1"/>
  <c r="AA39" i="20"/>
  <c r="AU39" i="20" s="1"/>
  <c r="Q39" i="20"/>
  <c r="AK39" i="20" s="1"/>
  <c r="R39" i="20"/>
  <c r="AL39" i="20" s="1"/>
  <c r="AB39" i="20"/>
  <c r="AV39" i="20" s="1"/>
  <c r="S39" i="20"/>
  <c r="AC39" i="20"/>
  <c r="T39" i="20"/>
  <c r="AD39" i="20"/>
  <c r="AE39" i="20"/>
  <c r="U39" i="20"/>
  <c r="AF39" i="20"/>
  <c r="V39" i="20"/>
  <c r="AG39" i="20"/>
  <c r="W39" i="20"/>
  <c r="X39" i="20"/>
  <c r="AH39" i="20"/>
  <c r="BB39" i="20" s="1"/>
  <c r="Y39" i="20"/>
  <c r="AS39" i="20" s="1"/>
  <c r="AI39" i="20"/>
  <c r="BC39" i="20" s="1"/>
  <c r="Z39" i="20"/>
  <c r="AJ39" i="20"/>
  <c r="AA14" i="20"/>
  <c r="Q14" i="20"/>
  <c r="AB14" i="20"/>
  <c r="R14" i="20"/>
  <c r="AC14" i="20"/>
  <c r="S14" i="20"/>
  <c r="T14" i="20"/>
  <c r="AD14" i="20"/>
  <c r="U14" i="20"/>
  <c r="AE14" i="20"/>
  <c r="AF14" i="20"/>
  <c r="V14" i="20"/>
  <c r="W14" i="20"/>
  <c r="AG14" i="20"/>
  <c r="X14" i="20"/>
  <c r="AH14" i="20"/>
  <c r="AI14" i="20"/>
  <c r="Y14" i="20"/>
  <c r="AJ14" i="20"/>
  <c r="BD14" i="20" s="1"/>
  <c r="Z14" i="20"/>
  <c r="AA45" i="20"/>
  <c r="AU45" i="20" s="1"/>
  <c r="Q45" i="20"/>
  <c r="AK45" i="20" s="1"/>
  <c r="AB45" i="20"/>
  <c r="R45" i="20"/>
  <c r="AC45" i="20"/>
  <c r="T45" i="20"/>
  <c r="S45" i="20"/>
  <c r="AD45" i="20"/>
  <c r="U45" i="20"/>
  <c r="AE45" i="20"/>
  <c r="V45" i="20"/>
  <c r="AP45" i="20" s="1"/>
  <c r="W45" i="20"/>
  <c r="AQ45" i="20" s="1"/>
  <c r="AG45" i="20"/>
  <c r="AF45" i="20"/>
  <c r="AZ45" i="20" s="1"/>
  <c r="AI45" i="20"/>
  <c r="BC45" i="20" s="1"/>
  <c r="AH45" i="20"/>
  <c r="BB45" i="20" s="1"/>
  <c r="Y45" i="20"/>
  <c r="X45" i="20"/>
  <c r="Z45" i="20"/>
  <c r="AT45" i="20" s="1"/>
  <c r="AJ45" i="20"/>
  <c r="BD45" i="20" s="1"/>
  <c r="Q26" i="20"/>
  <c r="AK26" i="20" s="1"/>
  <c r="AA26" i="20"/>
  <c r="AU26" i="20" s="1"/>
  <c r="R26" i="20"/>
  <c r="AL26" i="20" s="1"/>
  <c r="AB26" i="20"/>
  <c r="AV26" i="20" s="1"/>
  <c r="S26" i="20"/>
  <c r="AM26" i="20" s="1"/>
  <c r="AC26" i="20"/>
  <c r="AW26" i="20" s="1"/>
  <c r="AD26" i="20"/>
  <c r="AX26" i="20" s="1"/>
  <c r="T26" i="20"/>
  <c r="AN26" i="20" s="1"/>
  <c r="U26" i="20"/>
  <c r="AO26" i="20" s="1"/>
  <c r="AE26" i="20"/>
  <c r="AY26" i="20" s="1"/>
  <c r="V26" i="20"/>
  <c r="AP26" i="20" s="1"/>
  <c r="AF26" i="20"/>
  <c r="AZ26" i="20" s="1"/>
  <c r="W26" i="20"/>
  <c r="AQ26" i="20" s="1"/>
  <c r="AG26" i="20"/>
  <c r="BA26" i="20" s="1"/>
  <c r="X26" i="20"/>
  <c r="AR26" i="20" s="1"/>
  <c r="AH26" i="20"/>
  <c r="BB26" i="20" s="1"/>
  <c r="Y26" i="20"/>
  <c r="AS26" i="20" s="1"/>
  <c r="AI26" i="20"/>
  <c r="BC26" i="20" s="1"/>
  <c r="AJ26" i="20"/>
  <c r="BD26" i="20" s="1"/>
  <c r="Z26" i="20"/>
  <c r="AT26" i="20" s="1"/>
  <c r="Q27" i="20"/>
  <c r="AK27" i="20" s="1"/>
  <c r="AA27" i="20"/>
  <c r="AU27" i="20" s="1"/>
  <c r="AB27" i="20"/>
  <c r="AV27" i="20" s="1"/>
  <c r="R27" i="20"/>
  <c r="AL27" i="20" s="1"/>
  <c r="AC27" i="20"/>
  <c r="AW27" i="20" s="1"/>
  <c r="S27" i="20"/>
  <c r="AM27" i="20" s="1"/>
  <c r="AD27" i="20"/>
  <c r="AX27" i="20" s="1"/>
  <c r="T27" i="20"/>
  <c r="AN27" i="20" s="1"/>
  <c r="U27" i="20"/>
  <c r="AO27" i="20" s="1"/>
  <c r="AE27" i="20"/>
  <c r="AY27" i="20" s="1"/>
  <c r="AF27" i="20"/>
  <c r="AZ27" i="20" s="1"/>
  <c r="V27" i="20"/>
  <c r="AP27" i="20" s="1"/>
  <c r="AG27" i="20"/>
  <c r="BA27" i="20" s="1"/>
  <c r="W27" i="20"/>
  <c r="AQ27" i="20" s="1"/>
  <c r="X27" i="20"/>
  <c r="AR27" i="20" s="1"/>
  <c r="AH27" i="20"/>
  <c r="BB27" i="20" s="1"/>
  <c r="Y27" i="20"/>
  <c r="AS27" i="20" s="1"/>
  <c r="AI27" i="20"/>
  <c r="BC27" i="20" s="1"/>
  <c r="Z27" i="20"/>
  <c r="AT27" i="20" s="1"/>
  <c r="AJ27" i="20"/>
  <c r="BD27" i="20" s="1"/>
  <c r="Q28" i="20"/>
  <c r="AK28" i="20" s="1"/>
  <c r="AA28" i="20"/>
  <c r="AU28" i="20" s="1"/>
  <c r="R28" i="20"/>
  <c r="AL28" i="20" s="1"/>
  <c r="AB28" i="20"/>
  <c r="AV28" i="20" s="1"/>
  <c r="S28" i="20"/>
  <c r="AM28" i="20" s="1"/>
  <c r="AC28" i="20"/>
  <c r="AW28" i="20" s="1"/>
  <c r="AD28" i="20"/>
  <c r="AX28" i="20" s="1"/>
  <c r="T28" i="20"/>
  <c r="AN28" i="20" s="1"/>
  <c r="U28" i="20"/>
  <c r="AO28" i="20" s="1"/>
  <c r="AE28" i="20"/>
  <c r="AY28" i="20" s="1"/>
  <c r="V28" i="20"/>
  <c r="AP28" i="20" s="1"/>
  <c r="AF28" i="20"/>
  <c r="AZ28" i="20" s="1"/>
  <c r="AG28" i="20"/>
  <c r="BA28" i="20" s="1"/>
  <c r="W28" i="20"/>
  <c r="AQ28" i="20" s="1"/>
  <c r="X28" i="20"/>
  <c r="AR28" i="20" s="1"/>
  <c r="AH28" i="20"/>
  <c r="BB28" i="20" s="1"/>
  <c r="AI28" i="20"/>
  <c r="BC28" i="20" s="1"/>
  <c r="Y28" i="20"/>
  <c r="AS28" i="20" s="1"/>
  <c r="Z28" i="20"/>
  <c r="AT28" i="20" s="1"/>
  <c r="AJ28" i="20"/>
  <c r="BD28" i="20" s="1"/>
  <c r="BW15" i="20"/>
  <c r="CG15" i="20" s="1"/>
  <c r="Q15" i="20"/>
  <c r="AK15" i="20" s="1"/>
  <c r="AA15" i="20"/>
  <c r="AU15" i="20" s="1"/>
  <c r="R15" i="20"/>
  <c r="AL15" i="20" s="1"/>
  <c r="AB15" i="20"/>
  <c r="AV15" i="20" s="1"/>
  <c r="S15" i="20"/>
  <c r="AM15" i="20" s="1"/>
  <c r="AC15" i="20"/>
  <c r="AW15" i="20" s="1"/>
  <c r="T15" i="20"/>
  <c r="AN15" i="20" s="1"/>
  <c r="AD15" i="20"/>
  <c r="AX15" i="20" s="1"/>
  <c r="AE15" i="20"/>
  <c r="AY15" i="20" s="1"/>
  <c r="U15" i="20"/>
  <c r="AO15" i="20" s="1"/>
  <c r="V15" i="20"/>
  <c r="AP15" i="20" s="1"/>
  <c r="AF15" i="20"/>
  <c r="AZ15" i="20" s="1"/>
  <c r="AG15" i="20"/>
  <c r="BA15" i="20" s="1"/>
  <c r="W15" i="20"/>
  <c r="AQ15" i="20" s="1"/>
  <c r="X15" i="20"/>
  <c r="AR15" i="20" s="1"/>
  <c r="AH15" i="20"/>
  <c r="BB15" i="20" s="1"/>
  <c r="Y15" i="20"/>
  <c r="AS15" i="20" s="1"/>
  <c r="AI15" i="20"/>
  <c r="BC15" i="20" s="1"/>
  <c r="Z15" i="20"/>
  <c r="AT15" i="20" s="1"/>
  <c r="AJ15" i="20"/>
  <c r="BD15" i="20" s="1"/>
  <c r="AA25" i="20"/>
  <c r="AU25" i="20" s="1"/>
  <c r="Q25" i="20"/>
  <c r="AK25" i="20" s="1"/>
  <c r="R25" i="20"/>
  <c r="AL25" i="20" s="1"/>
  <c r="S25" i="20"/>
  <c r="AM25" i="20" s="1"/>
  <c r="AB25" i="20"/>
  <c r="AV25" i="20" s="1"/>
  <c r="AC25" i="20"/>
  <c r="AW25" i="20" s="1"/>
  <c r="AD25" i="20"/>
  <c r="AX25" i="20" s="1"/>
  <c r="T25" i="20"/>
  <c r="AN25" i="20" s="1"/>
  <c r="AE25" i="20"/>
  <c r="AY25" i="20" s="1"/>
  <c r="U25" i="20"/>
  <c r="AO25" i="20" s="1"/>
  <c r="AF25" i="20"/>
  <c r="AZ25" i="20" s="1"/>
  <c r="V25" i="20"/>
  <c r="AP25" i="20" s="1"/>
  <c r="W25" i="20"/>
  <c r="AQ25" i="20" s="1"/>
  <c r="AG25" i="20"/>
  <c r="BA25" i="20" s="1"/>
  <c r="AH25" i="20"/>
  <c r="BB25" i="20" s="1"/>
  <c r="X25" i="20"/>
  <c r="AR25" i="20" s="1"/>
  <c r="Y25" i="20"/>
  <c r="AS25" i="20" s="1"/>
  <c r="AI25" i="20"/>
  <c r="Z25" i="20"/>
  <c r="AT25" i="20" s="1"/>
  <c r="AJ25" i="20"/>
  <c r="BD25" i="20" s="1"/>
  <c r="Q38" i="20"/>
  <c r="AK38" i="20" s="1"/>
  <c r="AA38" i="20"/>
  <c r="AU38" i="20" s="1"/>
  <c r="R38" i="20"/>
  <c r="AL38" i="20" s="1"/>
  <c r="AB38" i="20"/>
  <c r="AC38" i="20"/>
  <c r="S38" i="20"/>
  <c r="T38" i="20"/>
  <c r="AD38" i="20"/>
  <c r="AE38" i="20"/>
  <c r="AY38" i="20" s="1"/>
  <c r="U38" i="20"/>
  <c r="AO38" i="20" s="1"/>
  <c r="AF38" i="20"/>
  <c r="AZ38" i="20" s="1"/>
  <c r="V38" i="20"/>
  <c r="W38" i="20"/>
  <c r="AQ38" i="20" s="1"/>
  <c r="AG38" i="20"/>
  <c r="BA38" i="20" s="1"/>
  <c r="AH38" i="20"/>
  <c r="X38" i="20"/>
  <c r="Y38" i="20"/>
  <c r="AI38" i="20"/>
  <c r="AJ38" i="20"/>
  <c r="BD38" i="20" s="1"/>
  <c r="Z38" i="20"/>
  <c r="Q31" i="20"/>
  <c r="AK31" i="20" s="1"/>
  <c r="AA31" i="20"/>
  <c r="AU31" i="20" s="1"/>
  <c r="AB31" i="20"/>
  <c r="AV31" i="20" s="1"/>
  <c r="R31" i="20"/>
  <c r="AL31" i="20" s="1"/>
  <c r="AC31" i="20"/>
  <c r="AW31" i="20" s="1"/>
  <c r="S31" i="20"/>
  <c r="AM31" i="20" s="1"/>
  <c r="T31" i="20"/>
  <c r="AN31" i="20" s="1"/>
  <c r="AD31" i="20"/>
  <c r="AX31" i="20" s="1"/>
  <c r="U31" i="20"/>
  <c r="AO31" i="20" s="1"/>
  <c r="AE31" i="20"/>
  <c r="AY31" i="20" s="1"/>
  <c r="AF31" i="20"/>
  <c r="AZ31" i="20" s="1"/>
  <c r="V31" i="20"/>
  <c r="AP31" i="20" s="1"/>
  <c r="W31" i="20"/>
  <c r="AQ31" i="20" s="1"/>
  <c r="AG31" i="20"/>
  <c r="BA31" i="20" s="1"/>
  <c r="X31" i="20"/>
  <c r="AR31" i="20" s="1"/>
  <c r="AH31" i="20"/>
  <c r="BB31" i="20" s="1"/>
  <c r="AI31" i="20"/>
  <c r="BC31" i="20" s="1"/>
  <c r="Y31" i="20"/>
  <c r="AS31" i="20" s="1"/>
  <c r="AJ31" i="20"/>
  <c r="BD31" i="20" s="1"/>
  <c r="Z31" i="20"/>
  <c r="AT31" i="20" s="1"/>
  <c r="BQ37" i="20"/>
  <c r="CA37" i="20" s="1"/>
  <c r="AA37" i="20"/>
  <c r="AU37" i="20" s="1"/>
  <c r="Q37" i="20"/>
  <c r="AK37" i="20" s="1"/>
  <c r="AB37" i="20"/>
  <c r="AV37" i="20" s="1"/>
  <c r="R37" i="20"/>
  <c r="AL37" i="20" s="1"/>
  <c r="S37" i="20"/>
  <c r="AM37" i="20" s="1"/>
  <c r="AC37" i="20"/>
  <c r="AW37" i="20" s="1"/>
  <c r="AD37" i="20"/>
  <c r="AX37" i="20" s="1"/>
  <c r="T37" i="20"/>
  <c r="AN37" i="20" s="1"/>
  <c r="U37" i="20"/>
  <c r="AO37" i="20" s="1"/>
  <c r="AE37" i="20"/>
  <c r="AY37" i="20" s="1"/>
  <c r="V37" i="20"/>
  <c r="AP37" i="20" s="1"/>
  <c r="AF37" i="20"/>
  <c r="AZ37" i="20" s="1"/>
  <c r="W37" i="20"/>
  <c r="AQ37" i="20" s="1"/>
  <c r="AG37" i="20"/>
  <c r="BA37" i="20" s="1"/>
  <c r="X37" i="20"/>
  <c r="AR37" i="20" s="1"/>
  <c r="AH37" i="20"/>
  <c r="BB37" i="20" s="1"/>
  <c r="AI37" i="20"/>
  <c r="BC37" i="20" s="1"/>
  <c r="Y37" i="20"/>
  <c r="AS37" i="20" s="1"/>
  <c r="AJ37" i="20"/>
  <c r="BD37" i="20" s="1"/>
  <c r="Z37" i="20"/>
  <c r="AT37" i="20" s="1"/>
  <c r="AA13" i="20"/>
  <c r="AU13" i="20" s="1"/>
  <c r="Q13" i="20"/>
  <c r="R13" i="20"/>
  <c r="AL13" i="20" s="1"/>
  <c r="AB13" i="20"/>
  <c r="AV13" i="20" s="1"/>
  <c r="S13" i="20"/>
  <c r="AM13" i="20" s="1"/>
  <c r="AC13" i="20"/>
  <c r="AW13" i="20" s="1"/>
  <c r="T13" i="20"/>
  <c r="AN13" i="20" s="1"/>
  <c r="AD13" i="20"/>
  <c r="AX13" i="20" s="1"/>
  <c r="U13" i="20"/>
  <c r="AO13" i="20" s="1"/>
  <c r="AE13" i="20"/>
  <c r="AY13" i="20" s="1"/>
  <c r="AF13" i="20"/>
  <c r="AZ13" i="20" s="1"/>
  <c r="V13" i="20"/>
  <c r="AP13" i="20" s="1"/>
  <c r="AG13" i="20"/>
  <c r="W13" i="20"/>
  <c r="AQ13" i="20" s="1"/>
  <c r="X13" i="20"/>
  <c r="AH13" i="20"/>
  <c r="BB13" i="20" s="1"/>
  <c r="Y13" i="20"/>
  <c r="AS13" i="20" s="1"/>
  <c r="AI13" i="20"/>
  <c r="BC13" i="20" s="1"/>
  <c r="Z13" i="20"/>
  <c r="AT13" i="20" s="1"/>
  <c r="AJ13" i="20"/>
  <c r="BD13" i="20" s="1"/>
  <c r="AA7" i="20"/>
  <c r="Q7" i="20"/>
  <c r="AB7" i="20"/>
  <c r="R7" i="20"/>
  <c r="S7" i="20"/>
  <c r="AC7" i="20"/>
  <c r="AD7" i="20"/>
  <c r="T7" i="20"/>
  <c r="U7" i="20"/>
  <c r="AE7" i="20"/>
  <c r="V7" i="20"/>
  <c r="AF7" i="20"/>
  <c r="W7" i="20"/>
  <c r="AG7" i="20"/>
  <c r="AH7" i="20"/>
  <c r="X7" i="20"/>
  <c r="Y7" i="20"/>
  <c r="AI7" i="20"/>
  <c r="Z7" i="20"/>
  <c r="AJ7" i="20"/>
  <c r="BD7" i="20" s="1"/>
  <c r="AA8" i="20"/>
  <c r="AU8" i="20" s="1"/>
  <c r="Q8" i="20"/>
  <c r="AK8" i="20" s="1"/>
  <c r="R8" i="20"/>
  <c r="AL8" i="20" s="1"/>
  <c r="AB8" i="20"/>
  <c r="AV8" i="20" s="1"/>
  <c r="S8" i="20"/>
  <c r="AM8" i="20" s="1"/>
  <c r="AC8" i="20"/>
  <c r="AW8" i="20" s="1"/>
  <c r="T8" i="20"/>
  <c r="AN8" i="20" s="1"/>
  <c r="AD8" i="20"/>
  <c r="AX8" i="20" s="1"/>
  <c r="AE8" i="20"/>
  <c r="AY8" i="20" s="1"/>
  <c r="U8" i="20"/>
  <c r="AO8" i="20" s="1"/>
  <c r="AF8" i="20"/>
  <c r="AZ8" i="20" s="1"/>
  <c r="V8" i="20"/>
  <c r="AP8" i="20" s="1"/>
  <c r="W8" i="20"/>
  <c r="AQ8" i="20" s="1"/>
  <c r="AG8" i="20"/>
  <c r="BA8" i="20" s="1"/>
  <c r="AH8" i="20"/>
  <c r="BB8" i="20" s="1"/>
  <c r="X8" i="20"/>
  <c r="AR8" i="20" s="1"/>
  <c r="Y8" i="20"/>
  <c r="AS8" i="20" s="1"/>
  <c r="AI8" i="20"/>
  <c r="BC8" i="20" s="1"/>
  <c r="AJ8" i="20"/>
  <c r="BD8" i="20" s="1"/>
  <c r="Z8" i="20"/>
  <c r="AT8" i="20" s="1"/>
  <c r="AA24" i="20"/>
  <c r="Q24" i="20"/>
  <c r="AB24" i="20"/>
  <c r="S24" i="20"/>
  <c r="AC24" i="20"/>
  <c r="R24" i="20"/>
  <c r="T24" i="20"/>
  <c r="AD24" i="20"/>
  <c r="AE24" i="20"/>
  <c r="U24" i="20"/>
  <c r="AF24" i="20"/>
  <c r="V24" i="20"/>
  <c r="W24" i="20"/>
  <c r="AG24" i="20"/>
  <c r="AH24" i="20"/>
  <c r="AI24" i="20"/>
  <c r="Y24" i="20"/>
  <c r="X24" i="20"/>
  <c r="AJ24" i="20"/>
  <c r="Z24" i="20"/>
  <c r="Q43" i="20"/>
  <c r="AK43" i="20" s="1"/>
  <c r="AA43" i="20"/>
  <c r="R43" i="20"/>
  <c r="AB43" i="20"/>
  <c r="S43" i="20"/>
  <c r="AM43" i="20" s="1"/>
  <c r="AC43" i="20"/>
  <c r="AW43" i="20" s="1"/>
  <c r="T43" i="20"/>
  <c r="AD43" i="20"/>
  <c r="AX43" i="20" s="1"/>
  <c r="U43" i="20"/>
  <c r="AO43" i="20" s="1"/>
  <c r="AE43" i="20"/>
  <c r="AF43" i="20"/>
  <c r="V43" i="20"/>
  <c r="W43" i="20"/>
  <c r="AQ43" i="20" s="1"/>
  <c r="AG43" i="20"/>
  <c r="X43" i="20"/>
  <c r="AH43" i="20"/>
  <c r="AI43" i="20"/>
  <c r="BC43" i="20" s="1"/>
  <c r="Y43" i="20"/>
  <c r="AS43" i="20" s="1"/>
  <c r="Z43" i="20"/>
  <c r="AJ43" i="20"/>
  <c r="BD43" i="20" s="1"/>
  <c r="AA42" i="20"/>
  <c r="AU42" i="20" s="1"/>
  <c r="Q42" i="20"/>
  <c r="AK42" i="20" s="1"/>
  <c r="AB42" i="20"/>
  <c r="AV42" i="20" s="1"/>
  <c r="R42" i="20"/>
  <c r="AL42" i="20" s="1"/>
  <c r="S42" i="20"/>
  <c r="AM42" i="20" s="1"/>
  <c r="AC42" i="20"/>
  <c r="AW42" i="20" s="1"/>
  <c r="T42" i="20"/>
  <c r="AN42" i="20" s="1"/>
  <c r="AD42" i="20"/>
  <c r="AX42" i="20" s="1"/>
  <c r="AE42" i="20"/>
  <c r="AY42" i="20" s="1"/>
  <c r="U42" i="20"/>
  <c r="AO42" i="20" s="1"/>
  <c r="AF42" i="20"/>
  <c r="AZ42" i="20" s="1"/>
  <c r="V42" i="20"/>
  <c r="AP42" i="20" s="1"/>
  <c r="AG42" i="20"/>
  <c r="BA42" i="20" s="1"/>
  <c r="W42" i="20"/>
  <c r="AQ42" i="20" s="1"/>
  <c r="X42" i="20"/>
  <c r="AR42" i="20" s="1"/>
  <c r="AH42" i="20"/>
  <c r="BB42" i="20" s="1"/>
  <c r="AI42" i="20"/>
  <c r="BC42" i="20" s="1"/>
  <c r="Y42" i="20"/>
  <c r="AS42" i="20" s="1"/>
  <c r="AJ42" i="20"/>
  <c r="BD42" i="20" s="1"/>
  <c r="Z42" i="20"/>
  <c r="AT42" i="20" s="1"/>
  <c r="Q41" i="20"/>
  <c r="AK41" i="20" s="1"/>
  <c r="AA41" i="20"/>
  <c r="AU41" i="20" s="1"/>
  <c r="R41" i="20"/>
  <c r="AL41" i="20" s="1"/>
  <c r="AB41" i="20"/>
  <c r="AV41" i="20" s="1"/>
  <c r="S41" i="20"/>
  <c r="AM41" i="20" s="1"/>
  <c r="AC41" i="20"/>
  <c r="AW41" i="20" s="1"/>
  <c r="AD41" i="20"/>
  <c r="AX41" i="20" s="1"/>
  <c r="T41" i="20"/>
  <c r="AN41" i="20" s="1"/>
  <c r="AE41" i="20"/>
  <c r="AY41" i="20" s="1"/>
  <c r="U41" i="20"/>
  <c r="AF41" i="20"/>
  <c r="AZ41" i="20" s="1"/>
  <c r="V41" i="20"/>
  <c r="AP41" i="20" s="1"/>
  <c r="W41" i="20"/>
  <c r="AQ41" i="20" s="1"/>
  <c r="AG41" i="20"/>
  <c r="BA41" i="20" s="1"/>
  <c r="X41" i="20"/>
  <c r="AR41" i="20" s="1"/>
  <c r="AH41" i="20"/>
  <c r="BB41" i="20" s="1"/>
  <c r="AI41" i="20"/>
  <c r="BC41" i="20" s="1"/>
  <c r="Y41" i="20"/>
  <c r="AS41" i="20" s="1"/>
  <c r="Z41" i="20"/>
  <c r="AT41" i="20" s="1"/>
  <c r="AJ41" i="20"/>
  <c r="BD41" i="20" s="1"/>
  <c r="BP27" i="20"/>
  <c r="BZ27" i="20" s="1"/>
  <c r="BR28" i="20"/>
  <c r="CB28" i="20" s="1"/>
  <c r="I12" i="42"/>
  <c r="J12" i="42"/>
  <c r="BM33" i="20"/>
  <c r="BG34" i="20"/>
  <c r="BL34" i="20"/>
  <c r="BN30" i="20"/>
  <c r="BI30" i="20"/>
  <c r="BM34" i="20"/>
  <c r="BN33" i="20"/>
  <c r="AB45" i="12"/>
  <c r="BF30" i="20"/>
  <c r="BF34" i="20"/>
  <c r="BJ34" i="20"/>
  <c r="BV15" i="20"/>
  <c r="CF15" i="20" s="1"/>
  <c r="BP37" i="20"/>
  <c r="BZ37" i="20" s="1"/>
  <c r="BI33" i="20"/>
  <c r="BU15" i="20"/>
  <c r="CE15" i="20" s="1"/>
  <c r="BL30" i="20"/>
  <c r="BT15" i="20"/>
  <c r="CD15" i="20" s="1"/>
  <c r="BV37" i="20"/>
  <c r="CF37" i="20" s="1"/>
  <c r="BU37" i="20"/>
  <c r="CE37" i="20" s="1"/>
  <c r="BS15" i="20"/>
  <c r="CC15" i="20" s="1"/>
  <c r="BR15" i="20"/>
  <c r="CB15" i="20" s="1"/>
  <c r="BQ15" i="20"/>
  <c r="CA15" i="20" s="1"/>
  <c r="BY37" i="20"/>
  <c r="CI37" i="20" s="1"/>
  <c r="BP15" i="20"/>
  <c r="BZ15" i="20" s="1"/>
  <c r="BX37" i="20"/>
  <c r="CH37" i="20" s="1"/>
  <c r="BW37" i="20"/>
  <c r="CG37" i="20" s="1"/>
  <c r="BI34" i="20"/>
  <c r="BT37" i="20"/>
  <c r="CD37" i="20" s="1"/>
  <c r="BY15" i="20"/>
  <c r="CI15" i="20" s="1"/>
  <c r="BS37" i="20"/>
  <c r="CC37" i="20" s="1"/>
  <c r="BJ33" i="20"/>
  <c r="BX15" i="20"/>
  <c r="CH15" i="20" s="1"/>
  <c r="BR37" i="20"/>
  <c r="CB37" i="20" s="1"/>
  <c r="BE33" i="20"/>
  <c r="BJ30" i="20"/>
  <c r="BE30" i="20"/>
  <c r="BG33" i="20"/>
  <c r="BE34" i="20"/>
  <c r="AB40" i="12"/>
  <c r="AB38" i="12"/>
  <c r="BH33" i="20"/>
  <c r="AB12" i="12"/>
  <c r="Y15" i="12"/>
  <c r="AA15" i="12" s="1"/>
  <c r="X15" i="12"/>
  <c r="Z15" i="12" s="1"/>
  <c r="AF15" i="12"/>
  <c r="AB46" i="12"/>
  <c r="BG30" i="20"/>
  <c r="Y27" i="12"/>
  <c r="AA27" i="12" s="1"/>
  <c r="X27" i="12"/>
  <c r="Z27" i="12" s="1"/>
  <c r="AF27" i="12"/>
  <c r="Y8" i="12"/>
  <c r="AA8" i="12" s="1"/>
  <c r="X8" i="12"/>
  <c r="Z8" i="12" s="1"/>
  <c r="AF8" i="12"/>
  <c r="BL33" i="20"/>
  <c r="AB17" i="12"/>
  <c r="BK30" i="20"/>
  <c r="AF31" i="12"/>
  <c r="X31" i="12"/>
  <c r="Z31" i="12" s="1"/>
  <c r="Y31" i="12"/>
  <c r="AA31" i="12" s="1"/>
  <c r="AB16" i="12"/>
  <c r="AB11" i="12"/>
  <c r="AB28" i="12"/>
  <c r="AF13" i="12"/>
  <c r="X13" i="12"/>
  <c r="Z13" i="12" s="1"/>
  <c r="Y13" i="12"/>
  <c r="AA13" i="12" s="1"/>
  <c r="BK33" i="20"/>
  <c r="X47" i="12"/>
  <c r="Z47" i="12" s="1"/>
  <c r="AF47" i="12"/>
  <c r="Y47" i="12"/>
  <c r="AA47" i="12" s="1"/>
  <c r="Y37" i="12"/>
  <c r="AA37" i="12" s="1"/>
  <c r="X37" i="12"/>
  <c r="Z37" i="12" s="1"/>
  <c r="AF37" i="12"/>
  <c r="BF33" i="20"/>
  <c r="BN34" i="20"/>
  <c r="BP31" i="20"/>
  <c r="BZ31" i="20" s="1"/>
  <c r="BQ31" i="20"/>
  <c r="CA31" i="20" s="1"/>
  <c r="BR31" i="20"/>
  <c r="CB31" i="20" s="1"/>
  <c r="BS31" i="20"/>
  <c r="CC31" i="20" s="1"/>
  <c r="BT31" i="20"/>
  <c r="CD31" i="20" s="1"/>
  <c r="BU31" i="20"/>
  <c r="CE31" i="20" s="1"/>
  <c r="BV31" i="20"/>
  <c r="CF31" i="20" s="1"/>
  <c r="BW31" i="20"/>
  <c r="CG31" i="20" s="1"/>
  <c r="BX31" i="20"/>
  <c r="CH31" i="20" s="1"/>
  <c r="BY31" i="20"/>
  <c r="CI31" i="20" s="1"/>
  <c r="X25" i="12"/>
  <c r="Z25" i="12" s="1"/>
  <c r="Y25" i="12"/>
  <c r="AA25" i="12" s="1"/>
  <c r="AF25" i="12"/>
  <c r="Y10" i="12"/>
  <c r="AA10" i="12" s="1"/>
  <c r="X10" i="12"/>
  <c r="Z10" i="12" s="1"/>
  <c r="AF10" i="12"/>
  <c r="AB39" i="12"/>
  <c r="BM30" i="20"/>
  <c r="AF7" i="12"/>
  <c r="Y7" i="12"/>
  <c r="AA7" i="12" s="1"/>
  <c r="X7" i="12"/>
  <c r="Z7" i="12" s="1"/>
  <c r="X48" i="12"/>
  <c r="Z48" i="12" s="1"/>
  <c r="Y48" i="12"/>
  <c r="AA48" i="12" s="1"/>
  <c r="AF48" i="12"/>
  <c r="Y21" i="12"/>
  <c r="AA21" i="12" s="1"/>
  <c r="AF21" i="12"/>
  <c r="X21" i="12"/>
  <c r="Z21" i="12" s="1"/>
  <c r="AB36" i="12"/>
  <c r="AF6" i="12"/>
  <c r="Y6" i="12"/>
  <c r="AA6" i="12" s="1"/>
  <c r="X6" i="12"/>
  <c r="Z6" i="12" s="1"/>
  <c r="BK34" i="20"/>
  <c r="BH34" i="20"/>
  <c r="BH30" i="20"/>
  <c r="AF24" i="12"/>
  <c r="X24" i="12"/>
  <c r="Z24" i="12" s="1"/>
  <c r="Y24" i="12"/>
  <c r="AA24" i="12" s="1"/>
  <c r="AB9" i="12"/>
  <c r="BP43" i="20"/>
  <c r="BZ43" i="20" s="1"/>
  <c r="BQ43" i="20"/>
  <c r="CA43" i="20" s="1"/>
  <c r="BR43" i="20"/>
  <c r="CB43" i="20" s="1"/>
  <c r="BS43" i="20"/>
  <c r="CC43" i="20" s="1"/>
  <c r="BT43" i="20"/>
  <c r="CD43" i="20" s="1"/>
  <c r="BU43" i="20"/>
  <c r="CE43" i="20" s="1"/>
  <c r="BV43" i="20"/>
  <c r="CF43" i="20" s="1"/>
  <c r="BW43" i="20"/>
  <c r="CG43" i="20" s="1"/>
  <c r="BX43" i="20"/>
  <c r="CH43" i="20" s="1"/>
  <c r="BY43" i="20"/>
  <c r="CI43" i="20" s="1"/>
  <c r="BP44" i="20"/>
  <c r="BZ44" i="20" s="1"/>
  <c r="BQ44" i="20"/>
  <c r="CA44" i="20" s="1"/>
  <c r="BR44" i="20"/>
  <c r="CB44" i="20" s="1"/>
  <c r="BS44" i="20"/>
  <c r="CC44" i="20" s="1"/>
  <c r="BT44" i="20"/>
  <c r="CD44" i="20" s="1"/>
  <c r="BU44" i="20"/>
  <c r="CE44" i="20" s="1"/>
  <c r="BV44" i="20"/>
  <c r="CF44" i="20" s="1"/>
  <c r="BW44" i="20"/>
  <c r="CG44" i="20" s="1"/>
  <c r="BX44" i="20"/>
  <c r="CH44" i="20" s="1"/>
  <c r="BY44" i="20"/>
  <c r="CI44" i="20" s="1"/>
  <c r="BP26" i="20"/>
  <c r="BZ26" i="20" s="1"/>
  <c r="BQ26" i="20"/>
  <c r="CA26" i="20" s="1"/>
  <c r="BR26" i="20"/>
  <c r="CB26" i="20" s="1"/>
  <c r="BS26" i="20"/>
  <c r="CC26" i="20" s="1"/>
  <c r="BT26" i="20"/>
  <c r="CD26" i="20" s="1"/>
  <c r="BU26" i="20"/>
  <c r="CE26" i="20" s="1"/>
  <c r="BV26" i="20"/>
  <c r="CF26" i="20" s="1"/>
  <c r="BW26" i="20"/>
  <c r="CG26" i="20" s="1"/>
  <c r="BX26" i="20"/>
  <c r="CH26" i="20" s="1"/>
  <c r="BY26" i="20"/>
  <c r="CI26" i="20" s="1"/>
  <c r="BP29" i="20"/>
  <c r="BZ29" i="20" s="1"/>
  <c r="BQ29" i="20"/>
  <c r="CA29" i="20" s="1"/>
  <c r="BR29" i="20"/>
  <c r="CB29" i="20" s="1"/>
  <c r="BS29" i="20"/>
  <c r="CC29" i="20" s="1"/>
  <c r="BT29" i="20"/>
  <c r="CD29" i="20" s="1"/>
  <c r="BU29" i="20"/>
  <c r="CE29" i="20" s="1"/>
  <c r="BV29" i="20"/>
  <c r="CF29" i="20" s="1"/>
  <c r="BW29" i="20"/>
  <c r="CG29" i="20" s="1"/>
  <c r="BX29" i="20"/>
  <c r="CH29" i="20" s="1"/>
  <c r="BY29" i="20"/>
  <c r="CI29" i="20" s="1"/>
  <c r="BP25" i="20"/>
  <c r="BZ25" i="20" s="1"/>
  <c r="BQ25" i="20"/>
  <c r="CA25" i="20" s="1"/>
  <c r="BR25" i="20"/>
  <c r="CB25" i="20" s="1"/>
  <c r="BS25" i="20"/>
  <c r="CC25" i="20" s="1"/>
  <c r="BT25" i="20"/>
  <c r="CD25" i="20" s="1"/>
  <c r="BU25" i="20"/>
  <c r="CE25" i="20" s="1"/>
  <c r="BV25" i="20"/>
  <c r="CF25" i="20" s="1"/>
  <c r="BW25" i="20"/>
  <c r="CG25" i="20" s="1"/>
  <c r="BX25" i="20"/>
  <c r="CH25" i="20" s="1"/>
  <c r="BY25" i="20"/>
  <c r="CI25" i="20" s="1"/>
  <c r="BP8" i="20"/>
  <c r="BZ8" i="20" s="1"/>
  <c r="BQ8" i="20"/>
  <c r="CA8" i="20" s="1"/>
  <c r="BR8" i="20"/>
  <c r="CB8" i="20" s="1"/>
  <c r="BS8" i="20"/>
  <c r="CC8" i="20" s="1"/>
  <c r="BT8" i="20"/>
  <c r="CD8" i="20" s="1"/>
  <c r="BU8" i="20"/>
  <c r="CE8" i="20" s="1"/>
  <c r="BV8" i="20"/>
  <c r="CF8" i="20" s="1"/>
  <c r="BW8" i="20"/>
  <c r="CG8" i="20" s="1"/>
  <c r="BX8" i="20"/>
  <c r="CH8" i="20" s="1"/>
  <c r="BY8" i="20"/>
  <c r="CI8" i="20" s="1"/>
  <c r="BP14" i="20"/>
  <c r="BZ14" i="20" s="1"/>
  <c r="BQ14" i="20"/>
  <c r="CA14" i="20" s="1"/>
  <c r="BR14" i="20"/>
  <c r="CB14" i="20" s="1"/>
  <c r="BS14" i="20"/>
  <c r="CC14" i="20" s="1"/>
  <c r="BT14" i="20"/>
  <c r="CD14" i="20" s="1"/>
  <c r="BU14" i="20"/>
  <c r="CE14" i="20" s="1"/>
  <c r="BV14" i="20"/>
  <c r="CF14" i="20" s="1"/>
  <c r="BW14" i="20"/>
  <c r="CG14" i="20" s="1"/>
  <c r="BX14" i="20"/>
  <c r="CH14" i="20" s="1"/>
  <c r="BY14" i="20"/>
  <c r="CI14" i="20" s="1"/>
  <c r="BP45" i="20"/>
  <c r="BZ45" i="20" s="1"/>
  <c r="BQ45" i="20"/>
  <c r="CA45" i="20" s="1"/>
  <c r="BR45" i="20"/>
  <c r="CB45" i="20" s="1"/>
  <c r="BS45" i="20"/>
  <c r="CC45" i="20" s="1"/>
  <c r="BT45" i="20"/>
  <c r="CD45" i="20" s="1"/>
  <c r="BU45" i="20"/>
  <c r="CE45" i="20" s="1"/>
  <c r="BV45" i="20"/>
  <c r="CF45" i="20" s="1"/>
  <c r="BW45" i="20"/>
  <c r="CG45" i="20" s="1"/>
  <c r="BX45" i="20"/>
  <c r="CH45" i="20" s="1"/>
  <c r="BY45" i="20"/>
  <c r="CI45" i="20" s="1"/>
  <c r="BP16" i="20"/>
  <c r="BZ16" i="20" s="1"/>
  <c r="BQ16" i="20"/>
  <c r="CA16" i="20" s="1"/>
  <c r="BR16" i="20"/>
  <c r="CB16" i="20" s="1"/>
  <c r="BS16" i="20"/>
  <c r="CC16" i="20" s="1"/>
  <c r="BT16" i="20"/>
  <c r="CD16" i="20" s="1"/>
  <c r="BU16" i="20"/>
  <c r="CE16" i="20" s="1"/>
  <c r="BV16" i="20"/>
  <c r="CF16" i="20" s="1"/>
  <c r="BW16" i="20"/>
  <c r="CG16" i="20" s="1"/>
  <c r="BX16" i="20"/>
  <c r="CH16" i="20" s="1"/>
  <c r="BY16" i="20"/>
  <c r="CI16" i="20" s="1"/>
  <c r="BP38" i="20"/>
  <c r="BZ38" i="20" s="1"/>
  <c r="BQ38" i="20"/>
  <c r="CA38" i="20" s="1"/>
  <c r="BR38" i="20"/>
  <c r="CB38" i="20" s="1"/>
  <c r="BS38" i="20"/>
  <c r="CC38" i="20" s="1"/>
  <c r="BT38" i="20"/>
  <c r="CD38" i="20" s="1"/>
  <c r="BU38" i="20"/>
  <c r="CE38" i="20" s="1"/>
  <c r="BV38" i="20"/>
  <c r="CF38" i="20" s="1"/>
  <c r="BW38" i="20"/>
  <c r="CG38" i="20" s="1"/>
  <c r="BX38" i="20"/>
  <c r="CH38" i="20" s="1"/>
  <c r="BY38" i="20"/>
  <c r="CI38" i="20" s="1"/>
  <c r="BP40" i="20"/>
  <c r="BZ40" i="20" s="1"/>
  <c r="BQ40" i="20"/>
  <c r="CA40" i="20" s="1"/>
  <c r="BR40" i="20"/>
  <c r="CB40" i="20" s="1"/>
  <c r="BS40" i="20"/>
  <c r="CC40" i="20" s="1"/>
  <c r="BT40" i="20"/>
  <c r="CD40" i="20" s="1"/>
  <c r="BU40" i="20"/>
  <c r="CE40" i="20" s="1"/>
  <c r="BV40" i="20"/>
  <c r="CF40" i="20" s="1"/>
  <c r="BW40" i="20"/>
  <c r="CG40" i="20" s="1"/>
  <c r="BX40" i="20"/>
  <c r="CH40" i="20" s="1"/>
  <c r="BY40" i="20"/>
  <c r="CI40" i="20" s="1"/>
  <c r="BP24" i="20"/>
  <c r="BZ24" i="20" s="1"/>
  <c r="BQ24" i="20"/>
  <c r="CA24" i="20" s="1"/>
  <c r="BR24" i="20"/>
  <c r="CB24" i="20" s="1"/>
  <c r="BS24" i="20"/>
  <c r="CC24" i="20" s="1"/>
  <c r="BT24" i="20"/>
  <c r="CD24" i="20" s="1"/>
  <c r="BU24" i="20"/>
  <c r="CE24" i="20" s="1"/>
  <c r="BV24" i="20"/>
  <c r="CF24" i="20" s="1"/>
  <c r="BW24" i="20"/>
  <c r="CG24" i="20" s="1"/>
  <c r="BX24" i="20"/>
  <c r="CH24" i="20" s="1"/>
  <c r="BY24" i="20"/>
  <c r="CI24" i="20" s="1"/>
  <c r="BP39" i="20"/>
  <c r="BZ39" i="20" s="1"/>
  <c r="BQ39" i="20"/>
  <c r="CA39" i="20" s="1"/>
  <c r="BR39" i="20"/>
  <c r="CB39" i="20" s="1"/>
  <c r="BS39" i="20"/>
  <c r="CC39" i="20" s="1"/>
  <c r="BT39" i="20"/>
  <c r="CD39" i="20" s="1"/>
  <c r="BU39" i="20"/>
  <c r="CE39" i="20" s="1"/>
  <c r="BV39" i="20"/>
  <c r="CF39" i="20" s="1"/>
  <c r="BW39" i="20"/>
  <c r="CG39" i="20" s="1"/>
  <c r="BX39" i="20"/>
  <c r="CH39" i="20" s="1"/>
  <c r="BY39" i="20"/>
  <c r="CI39" i="20" s="1"/>
  <c r="BP13" i="20"/>
  <c r="BZ13" i="20" s="1"/>
  <c r="BQ13" i="20"/>
  <c r="CA13" i="20" s="1"/>
  <c r="BR13" i="20"/>
  <c r="CB13" i="20" s="1"/>
  <c r="BS13" i="20"/>
  <c r="CC13" i="20" s="1"/>
  <c r="BT13" i="20"/>
  <c r="CD13" i="20" s="1"/>
  <c r="BU13" i="20"/>
  <c r="CE13" i="20" s="1"/>
  <c r="BV13" i="20"/>
  <c r="CF13" i="20" s="1"/>
  <c r="BW13" i="20"/>
  <c r="CG13" i="20" s="1"/>
  <c r="BX13" i="20"/>
  <c r="CH13" i="20" s="1"/>
  <c r="BY13" i="20"/>
  <c r="CI13" i="20" s="1"/>
  <c r="BP42" i="20"/>
  <c r="BZ42" i="20" s="1"/>
  <c r="BQ42" i="20"/>
  <c r="CA42" i="20" s="1"/>
  <c r="BR42" i="20"/>
  <c r="CB42" i="20" s="1"/>
  <c r="BS42" i="20"/>
  <c r="CC42" i="20" s="1"/>
  <c r="BT42" i="20"/>
  <c r="CD42" i="20" s="1"/>
  <c r="BU42" i="20"/>
  <c r="CE42" i="20" s="1"/>
  <c r="BV42" i="20"/>
  <c r="CF42" i="20" s="1"/>
  <c r="BW42" i="20"/>
  <c r="CG42" i="20" s="1"/>
  <c r="BX42" i="20"/>
  <c r="CH42" i="20" s="1"/>
  <c r="BY42" i="20"/>
  <c r="CI42" i="20" s="1"/>
  <c r="BP7" i="20"/>
  <c r="BZ7" i="20" s="1"/>
  <c r="BQ7" i="20"/>
  <c r="CA7" i="20" s="1"/>
  <c r="BR7" i="20"/>
  <c r="CB7" i="20" s="1"/>
  <c r="BS7" i="20"/>
  <c r="CC7" i="20" s="1"/>
  <c r="BT7" i="20"/>
  <c r="CD7" i="20" s="1"/>
  <c r="BU7" i="20"/>
  <c r="CE7" i="20" s="1"/>
  <c r="BV7" i="20"/>
  <c r="CF7" i="20" s="1"/>
  <c r="BW7" i="20"/>
  <c r="CG7" i="20" s="1"/>
  <c r="BX7" i="20"/>
  <c r="CH7" i="20" s="1"/>
  <c r="BY7" i="20"/>
  <c r="CI7" i="20" s="1"/>
  <c r="BP41" i="20"/>
  <c r="BZ41" i="20" s="1"/>
  <c r="BQ41" i="20"/>
  <c r="CA41" i="20" s="1"/>
  <c r="BR41" i="20"/>
  <c r="CB41" i="20" s="1"/>
  <c r="BS41" i="20"/>
  <c r="CC41" i="20" s="1"/>
  <c r="BT41" i="20"/>
  <c r="CD41" i="20" s="1"/>
  <c r="BU41" i="20"/>
  <c r="CE41" i="20" s="1"/>
  <c r="BV41" i="20"/>
  <c r="CF41" i="20" s="1"/>
  <c r="BW41" i="20"/>
  <c r="CG41" i="20" s="1"/>
  <c r="BX41" i="20"/>
  <c r="CH41" i="20" s="1"/>
  <c r="BY41" i="20"/>
  <c r="CI41" i="20" s="1"/>
  <c r="BI36" i="20"/>
  <c r="AB43" i="12"/>
  <c r="BH12" i="20"/>
  <c r="BL48" i="20"/>
  <c r="AF42" i="12"/>
  <c r="AF41" i="12"/>
  <c r="BI46" i="20"/>
  <c r="BG36" i="20"/>
  <c r="BM22" i="20"/>
  <c r="BF22" i="20"/>
  <c r="BG48" i="20"/>
  <c r="BG10" i="20"/>
  <c r="BK10" i="20"/>
  <c r="BL22" i="20"/>
  <c r="BN12" i="20"/>
  <c r="BH36" i="20"/>
  <c r="BJ18" i="20"/>
  <c r="BJ12" i="20"/>
  <c r="BJ46" i="20"/>
  <c r="BH48" i="20"/>
  <c r="BH10" i="20"/>
  <c r="BF46" i="20"/>
  <c r="BF48" i="20"/>
  <c r="BF10" i="20"/>
  <c r="BK48" i="20"/>
  <c r="BE18" i="20"/>
  <c r="BL12" i="20"/>
  <c r="BK22" i="20"/>
  <c r="BL18" i="20"/>
  <c r="BL46" i="20"/>
  <c r="BJ10" i="20"/>
  <c r="BL10" i="20"/>
  <c r="BE36" i="20"/>
  <c r="BJ22" i="20"/>
  <c r="BK18" i="20"/>
  <c r="BI48" i="20"/>
  <c r="BE10" i="20"/>
  <c r="BG18" i="20"/>
  <c r="BM36" i="20"/>
  <c r="BM46" i="20"/>
  <c r="BM48" i="20"/>
  <c r="BM10" i="20"/>
  <c r="BF36" i="20"/>
  <c r="BE22" i="20"/>
  <c r="BG12" i="20"/>
  <c r="BG46" i="20"/>
  <c r="BI18" i="20"/>
  <c r="BE12" i="20"/>
  <c r="BF12" i="20"/>
  <c r="BE46" i="20"/>
  <c r="BJ48" i="20"/>
  <c r="BL36" i="20"/>
  <c r="BN22" i="20"/>
  <c r="BK12" i="20"/>
  <c r="BM12" i="20"/>
  <c r="BI10" i="20"/>
  <c r="BH46" i="20"/>
  <c r="BK36" i="20"/>
  <c r="BG22" i="20"/>
  <c r="BI22" i="20"/>
  <c r="BE48" i="20"/>
  <c r="BN36" i="20"/>
  <c r="BJ36" i="20"/>
  <c r="BH22" i="20"/>
  <c r="AB23" i="12"/>
  <c r="BI12" i="20"/>
  <c r="BN46" i="20"/>
  <c r="BK46" i="20"/>
  <c r="BN48" i="20"/>
  <c r="BN10" i="20"/>
  <c r="Y42" i="12"/>
  <c r="AA42" i="12" s="1"/>
  <c r="X42" i="12"/>
  <c r="Z42" i="12" s="1"/>
  <c r="X41" i="12"/>
  <c r="Z41" i="12" s="1"/>
  <c r="Y41" i="12"/>
  <c r="AA41" i="12" s="1"/>
  <c r="AZ47" i="20"/>
  <c r="AQ47" i="20"/>
  <c r="AP47" i="20"/>
  <c r="AN47" i="20"/>
  <c r="BA47" i="20"/>
  <c r="AX47" i="20"/>
  <c r="AL47" i="20"/>
  <c r="AU47" i="20"/>
  <c r="AS47" i="20"/>
  <c r="BB47" i="20"/>
  <c r="AR47" i="20"/>
  <c r="AT47" i="20"/>
  <c r="AM47" i="20"/>
  <c r="BD47" i="20"/>
  <c r="AW47" i="20"/>
  <c r="BC47" i="20"/>
  <c r="AV47" i="20"/>
  <c r="AK47" i="20"/>
  <c r="AY47" i="20"/>
  <c r="AO47" i="20"/>
  <c r="AY11" i="20"/>
  <c r="BA11" i="20"/>
  <c r="BC5" i="20"/>
  <c r="AS5" i="20"/>
  <c r="AV5" i="20"/>
  <c r="AR5" i="20"/>
  <c r="AU5" i="20"/>
  <c r="BB5" i="20"/>
  <c r="AK5" i="20"/>
  <c r="AQ5" i="20"/>
  <c r="BA5" i="20"/>
  <c r="BD5" i="20"/>
  <c r="AW5" i="20"/>
  <c r="AT5" i="20"/>
  <c r="AM5" i="20"/>
  <c r="AQ19" i="20"/>
  <c r="AO19" i="20"/>
  <c r="AX19" i="20"/>
  <c r="BD19" i="20"/>
  <c r="AM19" i="20"/>
  <c r="AW19" i="20"/>
  <c r="BC19" i="20"/>
  <c r="AS19" i="20"/>
  <c r="AV19" i="20"/>
  <c r="AU19" i="20"/>
  <c r="AK19" i="20"/>
  <c r="AT4" i="20"/>
  <c r="BD4" i="20"/>
  <c r="BC4" i="20"/>
  <c r="AL4" i="20"/>
  <c r="AS4" i="20"/>
  <c r="AV4" i="20"/>
  <c r="AU4" i="20"/>
  <c r="BB4" i="20"/>
  <c r="AK4" i="20"/>
  <c r="AB35" i="12"/>
  <c r="BF9" i="20"/>
  <c r="BL9" i="20"/>
  <c r="BE9" i="20"/>
  <c r="BM9" i="20"/>
  <c r="BJ9" i="20"/>
  <c r="BK9" i="20"/>
  <c r="BI9" i="20"/>
  <c r="BH9" i="20"/>
  <c r="BN9" i="20"/>
  <c r="BG9" i="20"/>
  <c r="AN6" i="20"/>
  <c r="AT6" i="20"/>
  <c r="AM6" i="20"/>
  <c r="BD6" i="20"/>
  <c r="AW6" i="20"/>
  <c r="AX6" i="20"/>
  <c r="BC6" i="20"/>
  <c r="AL6" i="20"/>
  <c r="AS6" i="20"/>
  <c r="AV6" i="20"/>
  <c r="BB6" i="20"/>
  <c r="AU6" i="20"/>
  <c r="AR6" i="20"/>
  <c r="AK6" i="20"/>
  <c r="AQ6" i="20"/>
  <c r="BA6" i="20"/>
  <c r="AP6" i="20"/>
  <c r="AZ6" i="20"/>
  <c r="AY6" i="20"/>
  <c r="AO6" i="20"/>
  <c r="AK20" i="20"/>
  <c r="BH18" i="20" l="1"/>
  <c r="BN18" i="20"/>
  <c r="AB26" i="12"/>
  <c r="AG29" i="12"/>
  <c r="D54" i="8"/>
  <c r="E54" i="8"/>
  <c r="F54" i="8" s="1"/>
  <c r="BH11" i="20"/>
  <c r="BF11" i="20"/>
  <c r="BN20" i="20"/>
  <c r="BL35" i="20"/>
  <c r="BN32" i="20"/>
  <c r="BH4" i="20"/>
  <c r="BI20" i="20"/>
  <c r="BF5" i="20"/>
  <c r="BH35" i="20"/>
  <c r="BG20" i="20"/>
  <c r="BJ32" i="20"/>
  <c r="BI4" i="20"/>
  <c r="BM35" i="20"/>
  <c r="BG35" i="20"/>
  <c r="BM11" i="20"/>
  <c r="BL20" i="20"/>
  <c r="BL11" i="20"/>
  <c r="BI35" i="20"/>
  <c r="BF19" i="20"/>
  <c r="BG11" i="20"/>
  <c r="BL19" i="20"/>
  <c r="BM23" i="20"/>
  <c r="BG23" i="20"/>
  <c r="BH23" i="20"/>
  <c r="BJ19" i="20"/>
  <c r="BE35" i="20"/>
  <c r="BL23" i="20"/>
  <c r="AH29" i="12"/>
  <c r="BF23" i="20"/>
  <c r="BI5" i="20"/>
  <c r="BK20" i="20"/>
  <c r="BK23" i="20"/>
  <c r="BH5" i="20"/>
  <c r="BK35" i="20"/>
  <c r="BJ4" i="20"/>
  <c r="BJ35" i="20"/>
  <c r="BJ20" i="20"/>
  <c r="BM20" i="20"/>
  <c r="BH19" i="20"/>
  <c r="BJ23" i="20"/>
  <c r="BI23" i="20"/>
  <c r="BL32" i="20"/>
  <c r="BF35" i="20"/>
  <c r="BK19" i="20"/>
  <c r="BK4" i="20"/>
  <c r="BE23" i="20"/>
  <c r="BJ5" i="20"/>
  <c r="BG4" i="20"/>
  <c r="AX7" i="20"/>
  <c r="AS14" i="20"/>
  <c r="AN24" i="20"/>
  <c r="AT7" i="20"/>
  <c r="BN7" i="20" s="1"/>
  <c r="AM7" i="20"/>
  <c r="BC14" i="20"/>
  <c r="AV14" i="20"/>
  <c r="AM14" i="20"/>
  <c r="AW14" i="20"/>
  <c r="AX24" i="20"/>
  <c r="AW7" i="20"/>
  <c r="AL14" i="20"/>
  <c r="AT24" i="20"/>
  <c r="AL24" i="20"/>
  <c r="BC7" i="20"/>
  <c r="AL7" i="20"/>
  <c r="BB14" i="20"/>
  <c r="AK14" i="20"/>
  <c r="BH17" i="20"/>
  <c r="BE32" i="20"/>
  <c r="BN19" i="20"/>
  <c r="BI19" i="20"/>
  <c r="AS7" i="20"/>
  <c r="AV7" i="20"/>
  <c r="AR14" i="20"/>
  <c r="AU14" i="20"/>
  <c r="AR24" i="20"/>
  <c r="AR7" i="20"/>
  <c r="AK7" i="20"/>
  <c r="BA14" i="20"/>
  <c r="AO24" i="20"/>
  <c r="AV24" i="20"/>
  <c r="BB7" i="20"/>
  <c r="AU7" i="20"/>
  <c r="AQ14" i="20"/>
  <c r="BC24" i="20"/>
  <c r="AK24" i="20"/>
  <c r="BA7" i="20"/>
  <c r="AP14" i="20"/>
  <c r="AT14" i="20"/>
  <c r="AU24" i="20"/>
  <c r="AQ7" i="20"/>
  <c r="AZ14" i="20"/>
  <c r="AZ7" i="20"/>
  <c r="AY14" i="20"/>
  <c r="AN7" i="20"/>
  <c r="AP7" i="20"/>
  <c r="AO14" i="20"/>
  <c r="AY7" i="20"/>
  <c r="AX14" i="20"/>
  <c r="AO7" i="20"/>
  <c r="AN14" i="20"/>
  <c r="BK32" i="20"/>
  <c r="BM32" i="20"/>
  <c r="BI32" i="20"/>
  <c r="BM17" i="20"/>
  <c r="BF32" i="20"/>
  <c r="BJ17" i="20"/>
  <c r="BG17" i="20"/>
  <c r="BK17" i="20"/>
  <c r="AB32" i="12"/>
  <c r="BN17" i="20"/>
  <c r="AB33" i="12"/>
  <c r="BI17" i="20"/>
  <c r="BL17" i="20"/>
  <c r="K70" i="21"/>
  <c r="G17" i="19"/>
  <c r="D70" i="21"/>
  <c r="H71" i="21"/>
  <c r="H70" i="21"/>
  <c r="B70" i="21"/>
  <c r="E70" i="21"/>
  <c r="I70" i="21"/>
  <c r="F70" i="21"/>
  <c r="C70" i="21"/>
  <c r="J70" i="21"/>
  <c r="F71" i="21"/>
  <c r="G70" i="21"/>
  <c r="G71" i="21"/>
  <c r="D71" i="21"/>
  <c r="C71" i="21"/>
  <c r="I71" i="21"/>
  <c r="J71" i="21"/>
  <c r="G44" i="19"/>
  <c r="K71" i="21"/>
  <c r="B71" i="21"/>
  <c r="E71" i="21"/>
  <c r="BF17" i="20"/>
  <c r="CN32" i="20"/>
  <c r="CJ32" i="20"/>
  <c r="CM32" i="20"/>
  <c r="CK32" i="20"/>
  <c r="CL32" i="20"/>
  <c r="CO32" i="20"/>
  <c r="CP32" i="20"/>
  <c r="CQ32" i="20"/>
  <c r="CR32" i="20"/>
  <c r="CS32" i="20"/>
  <c r="CT32" i="20"/>
  <c r="CU32" i="20"/>
  <c r="CV32" i="20"/>
  <c r="CW32" i="20"/>
  <c r="CY32" i="20"/>
  <c r="CX32" i="20"/>
  <c r="CZ32" i="20"/>
  <c r="DA32" i="20"/>
  <c r="DB32" i="20"/>
  <c r="DC32" i="20"/>
  <c r="BI27" i="20"/>
  <c r="BE28" i="20"/>
  <c r="BJ28" i="20"/>
  <c r="BL27" i="20"/>
  <c r="BH15" i="20"/>
  <c r="BK27" i="20"/>
  <c r="BI28" i="20"/>
  <c r="BN28" i="20"/>
  <c r="BG28" i="20"/>
  <c r="BK28" i="20"/>
  <c r="BJ27" i="20"/>
  <c r="AB14" i="12"/>
  <c r="BL28" i="20"/>
  <c r="BE27" i="20"/>
  <c r="BF27" i="20"/>
  <c r="BM28" i="20"/>
  <c r="BF28" i="20"/>
  <c r="BM27" i="20"/>
  <c r="BN27" i="20"/>
  <c r="BH27" i="20"/>
  <c r="BG27" i="20"/>
  <c r="BH28" i="20"/>
  <c r="I5" i="42"/>
  <c r="I14" i="42"/>
  <c r="BH37" i="20"/>
  <c r="AB19" i="12"/>
  <c r="BK15" i="20"/>
  <c r="K12" i="42"/>
  <c r="AB30" i="12"/>
  <c r="I8" i="42"/>
  <c r="J14" i="42"/>
  <c r="I11" i="42"/>
  <c r="I10" i="42"/>
  <c r="J13" i="42"/>
  <c r="J9" i="42"/>
  <c r="J8" i="42"/>
  <c r="J7" i="42"/>
  <c r="J6" i="42"/>
  <c r="BM37" i="20"/>
  <c r="I9" i="42"/>
  <c r="J11" i="42"/>
  <c r="J10" i="42"/>
  <c r="I6" i="42"/>
  <c r="I7" i="42"/>
  <c r="I13" i="42"/>
  <c r="J5" i="42"/>
  <c r="BF15" i="20"/>
  <c r="BG15" i="20"/>
  <c r="BF37" i="20"/>
  <c r="BI15" i="20"/>
  <c r="BN37" i="20"/>
  <c r="BI37" i="20"/>
  <c r="BL37" i="20"/>
  <c r="BJ37" i="20"/>
  <c r="BG37" i="20"/>
  <c r="BE37" i="20"/>
  <c r="BK37" i="20"/>
  <c r="BJ31" i="20"/>
  <c r="AB8" i="12"/>
  <c r="D63" i="21"/>
  <c r="I16" i="18" s="1"/>
  <c r="AB48" i="12"/>
  <c r="BG31" i="20"/>
  <c r="AB15" i="12"/>
  <c r="AB10" i="12"/>
  <c r="BF31" i="20"/>
  <c r="I64" i="21"/>
  <c r="N42" i="18" s="1"/>
  <c r="N51" i="18" s="1"/>
  <c r="E64" i="21"/>
  <c r="J42" i="18" s="1"/>
  <c r="J51" i="18" s="1"/>
  <c r="AB21" i="12"/>
  <c r="BM31" i="20"/>
  <c r="AB31" i="12"/>
  <c r="BH31" i="20"/>
  <c r="BE31" i="20"/>
  <c r="AB37" i="12"/>
  <c r="K63" i="21"/>
  <c r="P16" i="18" s="1"/>
  <c r="BN31" i="20"/>
  <c r="BI31" i="20"/>
  <c r="J63" i="21"/>
  <c r="O16" i="18" s="1"/>
  <c r="G63" i="21"/>
  <c r="L16" i="18" s="1"/>
  <c r="AB27" i="12"/>
  <c r="AB47" i="12"/>
  <c r="F63" i="21"/>
  <c r="K16" i="18" s="1"/>
  <c r="AB6" i="12"/>
  <c r="BL31" i="20"/>
  <c r="AB13" i="12"/>
  <c r="BK31" i="20"/>
  <c r="K64" i="21"/>
  <c r="P42" i="18" s="1"/>
  <c r="P51" i="18" s="1"/>
  <c r="AB24" i="12"/>
  <c r="AB7" i="12"/>
  <c r="H64" i="21"/>
  <c r="M42" i="18" s="1"/>
  <c r="M51" i="18" s="1"/>
  <c r="F64" i="21"/>
  <c r="K42" i="18" s="1"/>
  <c r="K51" i="18" s="1"/>
  <c r="D64" i="21"/>
  <c r="I42" i="18" s="1"/>
  <c r="I51" i="18" s="1"/>
  <c r="I63" i="21"/>
  <c r="N16" i="18" s="1"/>
  <c r="C64" i="21"/>
  <c r="H42" i="18" s="1"/>
  <c r="H51" i="18" s="1"/>
  <c r="H63" i="21"/>
  <c r="M16" i="18" s="1"/>
  <c r="C63" i="21"/>
  <c r="H16" i="18" s="1"/>
  <c r="B63" i="21"/>
  <c r="G16" i="18" s="1"/>
  <c r="G64" i="21"/>
  <c r="L42" i="18" s="1"/>
  <c r="L49" i="18" s="1"/>
  <c r="E63" i="21"/>
  <c r="J16" i="18" s="1"/>
  <c r="B64" i="21"/>
  <c r="G42" i="18" s="1"/>
  <c r="G49" i="18" s="1"/>
  <c r="J64" i="21"/>
  <c r="O42" i="18" s="1"/>
  <c r="O51" i="18" s="1"/>
  <c r="G72" i="19"/>
  <c r="H72" i="19" s="1"/>
  <c r="I72" i="19" s="1"/>
  <c r="J72" i="19" s="1"/>
  <c r="K72" i="19" s="1"/>
  <c r="L72" i="19" s="1"/>
  <c r="M72" i="19" s="1"/>
  <c r="N72" i="19" s="1"/>
  <c r="O72" i="19" s="1"/>
  <c r="P72" i="19" s="1"/>
  <c r="Q72" i="19" s="1"/>
  <c r="R72" i="19" s="1"/>
  <c r="S72" i="19" s="1"/>
  <c r="T72" i="19" s="1"/>
  <c r="U72" i="19" s="1"/>
  <c r="V72" i="19" s="1"/>
  <c r="W72" i="19" s="1"/>
  <c r="X72" i="19" s="1"/>
  <c r="Y72" i="19" s="1"/>
  <c r="Z72" i="19" s="1"/>
  <c r="AA72" i="19" s="1"/>
  <c r="AB72" i="19" s="1"/>
  <c r="AC72" i="19" s="1"/>
  <c r="AD72" i="19" s="1"/>
  <c r="AE72" i="19" s="1"/>
  <c r="AF72" i="19" s="1"/>
  <c r="AG72" i="19" s="1"/>
  <c r="AH72" i="19" s="1"/>
  <c r="AI72" i="19" s="1"/>
  <c r="AJ72" i="19" s="1"/>
  <c r="AK72" i="19" s="1"/>
  <c r="AL72" i="19" s="1"/>
  <c r="AM72" i="19" s="1"/>
  <c r="AN72" i="19" s="1"/>
  <c r="AO72" i="19" s="1"/>
  <c r="AP72" i="19" s="1"/>
  <c r="AQ72" i="19" s="1"/>
  <c r="AR72" i="19" s="1"/>
  <c r="AS72" i="19" s="1"/>
  <c r="AT72" i="19" s="1"/>
  <c r="AU72" i="19" s="1"/>
  <c r="AV72" i="19" s="1"/>
  <c r="AW72" i="19" s="1"/>
  <c r="AX72" i="19" s="1"/>
  <c r="AY72" i="19" s="1"/>
  <c r="AZ72" i="19" s="1"/>
  <c r="BA72" i="19" s="1"/>
  <c r="BB72" i="19" s="1"/>
  <c r="BL4" i="20"/>
  <c r="G65" i="21"/>
  <c r="E65" i="21"/>
  <c r="D65" i="21"/>
  <c r="C65" i="21"/>
  <c r="F72" i="21"/>
  <c r="E72" i="21"/>
  <c r="D72" i="21"/>
  <c r="C72" i="21"/>
  <c r="H72" i="21"/>
  <c r="K72" i="21"/>
  <c r="B72" i="21"/>
  <c r="G72" i="21"/>
  <c r="J72" i="21"/>
  <c r="I72" i="21"/>
  <c r="B65" i="21"/>
  <c r="K65" i="21"/>
  <c r="J65" i="21"/>
  <c r="I65" i="21"/>
  <c r="F65" i="21"/>
  <c r="H65" i="21"/>
  <c r="K5" i="8"/>
  <c r="N5" i="8"/>
  <c r="Z6" i="8"/>
  <c r="X5" i="8"/>
  <c r="BE15" i="20"/>
  <c r="BG6" i="20"/>
  <c r="BN6" i="20"/>
  <c r="AM6" i="8"/>
  <c r="AN6" i="8"/>
  <c r="G6" i="8"/>
  <c r="O6" i="8"/>
  <c r="AC5" i="8"/>
  <c r="AJ5" i="8"/>
  <c r="AV6" i="8"/>
  <c r="AP6" i="8"/>
  <c r="F6" i="8"/>
  <c r="AU6" i="8"/>
  <c r="BE19" i="20"/>
  <c r="BK5" i="20"/>
  <c r="T6" i="8"/>
  <c r="BF20" i="20"/>
  <c r="AF6" i="8"/>
  <c r="U6" i="8"/>
  <c r="AC6" i="8"/>
  <c r="AK6" i="8"/>
  <c r="BN44" i="20"/>
  <c r="BK6" i="20"/>
  <c r="BE5" i="20"/>
  <c r="BM6" i="20"/>
  <c r="AD6" i="8"/>
  <c r="E6" i="8"/>
  <c r="BI11" i="20"/>
  <c r="L6" i="8"/>
  <c r="W6" i="8"/>
  <c r="AY6" i="8"/>
  <c r="AH6" i="8"/>
  <c r="V6" i="8"/>
  <c r="AE5" i="8"/>
  <c r="BN47" i="20"/>
  <c r="BE38" i="20"/>
  <c r="BK26" i="20"/>
  <c r="BJ13" i="20"/>
  <c r="BF39" i="20"/>
  <c r="BK25" i="20"/>
  <c r="AB42" i="12"/>
  <c r="AE6" i="8"/>
  <c r="BN29" i="20"/>
  <c r="BG29" i="20"/>
  <c r="BE41" i="20"/>
  <c r="BI38" i="20"/>
  <c r="BM8" i="20"/>
  <c r="BH26" i="20"/>
  <c r="BG13" i="20"/>
  <c r="BF40" i="20"/>
  <c r="BE45" i="20"/>
  <c r="BH25" i="20"/>
  <c r="AB44" i="12"/>
  <c r="AP5" i="8"/>
  <c r="Q5" i="8"/>
  <c r="AG6" i="8"/>
  <c r="AB6" i="8"/>
  <c r="AB41" i="12"/>
  <c r="N6" i="8"/>
  <c r="J6" i="8"/>
  <c r="S6" i="8"/>
  <c r="AX6" i="8"/>
  <c r="Y5" i="8"/>
  <c r="AN5" i="8"/>
  <c r="BM19" i="20"/>
  <c r="BM29" i="20"/>
  <c r="BN42" i="20"/>
  <c r="BG42" i="20"/>
  <c r="BE8" i="20"/>
  <c r="BN26" i="20"/>
  <c r="BG26" i="20"/>
  <c r="BF13" i="20"/>
  <c r="BL40" i="20"/>
  <c r="BE40" i="20"/>
  <c r="BG25" i="20"/>
  <c r="BG43" i="20"/>
  <c r="AQ6" i="8"/>
  <c r="AW6" i="8"/>
  <c r="AI6" i="8"/>
  <c r="AA6" i="8"/>
  <c r="V5" i="8"/>
  <c r="H6" i="8"/>
  <c r="AY5" i="8"/>
  <c r="Q6" i="8"/>
  <c r="AO6" i="8"/>
  <c r="AL6" i="8"/>
  <c r="T5" i="8"/>
  <c r="AO5" i="8"/>
  <c r="BF44" i="20"/>
  <c r="BL29" i="20"/>
  <c r="BM42" i="20"/>
  <c r="BK8" i="20"/>
  <c r="BF26" i="20"/>
  <c r="BJ45" i="20"/>
  <c r="BF25" i="20"/>
  <c r="BM43" i="20"/>
  <c r="AU5" i="8"/>
  <c r="AR6" i="8"/>
  <c r="AL5" i="8"/>
  <c r="X6" i="8"/>
  <c r="Y6" i="8"/>
  <c r="M6" i="8"/>
  <c r="M5" i="8"/>
  <c r="J5" i="8"/>
  <c r="BL44" i="20"/>
  <c r="BE44" i="20"/>
  <c r="BL42" i="20"/>
  <c r="BL26" i="20"/>
  <c r="BE26" i="20"/>
  <c r="BJ40" i="20"/>
  <c r="BL25" i="20"/>
  <c r="BE6" i="20"/>
  <c r="AT6" i="8"/>
  <c r="H5" i="8"/>
  <c r="AA5" i="8"/>
  <c r="BL6" i="20"/>
  <c r="AS6" i="8"/>
  <c r="K6" i="8"/>
  <c r="R6" i="8"/>
  <c r="AG5" i="8"/>
  <c r="R5" i="8"/>
  <c r="BG19" i="20"/>
  <c r="AB22" i="12"/>
  <c r="F5" i="8"/>
  <c r="AQ5" i="8"/>
  <c r="BN41" i="20"/>
  <c r="BJ42" i="20"/>
  <c r="BK38" i="20"/>
  <c r="BH8" i="20"/>
  <c r="BJ26" i="20"/>
  <c r="BE39" i="20"/>
  <c r="BH40" i="20"/>
  <c r="BJ25" i="20"/>
  <c r="BE20" i="20"/>
  <c r="AJ6" i="8"/>
  <c r="I6" i="8"/>
  <c r="P6" i="8"/>
  <c r="L5" i="8"/>
  <c r="AD5" i="8"/>
  <c r="BN11" i="20"/>
  <c r="BI44" i="20"/>
  <c r="BI42" i="20"/>
  <c r="BN8" i="20"/>
  <c r="BG8" i="20"/>
  <c r="BI26" i="20"/>
  <c r="BI25" i="20"/>
  <c r="BJ15" i="20"/>
  <c r="AM38" i="20"/>
  <c r="AV43" i="20"/>
  <c r="BC38" i="20"/>
  <c r="AU43" i="20"/>
  <c r="BE43" i="20" s="1"/>
  <c r="BC25" i="20"/>
  <c r="BM25" i="20" s="1"/>
  <c r="AO41" i="20"/>
  <c r="BI41" i="20" s="1"/>
  <c r="BE25" i="20"/>
  <c r="BJ11" i="20"/>
  <c r="BD39" i="20"/>
  <c r="BN15" i="20"/>
  <c r="BE42" i="20"/>
  <c r="BA13" i="20"/>
  <c r="BK13" i="20" s="1"/>
  <c r="BL15" i="20"/>
  <c r="BG5" i="20"/>
  <c r="BA29" i="20"/>
  <c r="BL5" i="20"/>
  <c r="AK29" i="20"/>
  <c r="BE29" i="20" s="1"/>
  <c r="AR13" i="20"/>
  <c r="BL13" i="20" s="1"/>
  <c r="AT39" i="20"/>
  <c r="BK47" i="20"/>
  <c r="AQ29" i="20"/>
  <c r="AO45" i="20"/>
  <c r="BH20" i="20"/>
  <c r="AT38" i="20"/>
  <c r="BN38" i="20" s="1"/>
  <c r="BJ8" i="20"/>
  <c r="BM15" i="20"/>
  <c r="AK13" i="20"/>
  <c r="BE13" i="20" s="1"/>
  <c r="AW5" i="8"/>
  <c r="E5" i="8"/>
  <c r="AR5" i="8"/>
  <c r="W5" i="8"/>
  <c r="P5" i="8"/>
  <c r="AV5" i="8"/>
  <c r="BK11" i="20"/>
  <c r="BL47" i="20"/>
  <c r="BK44" i="20"/>
  <c r="BH41" i="20"/>
  <c r="BK42" i="20"/>
  <c r="BI8" i="20"/>
  <c r="BM39" i="20"/>
  <c r="BI40" i="20"/>
  <c r="O5" i="8"/>
  <c r="BJ6" i="20"/>
  <c r="Z5" i="8"/>
  <c r="AM5" i="8"/>
  <c r="AF5" i="8"/>
  <c r="AB5" i="8"/>
  <c r="BE47" i="20"/>
  <c r="BH47" i="20"/>
  <c r="AH5" i="8"/>
  <c r="AX5" i="8"/>
  <c r="AT5" i="8"/>
  <c r="AK5" i="8"/>
  <c r="BM5" i="20"/>
  <c r="BJ44" i="20"/>
  <c r="BG41" i="20"/>
  <c r="BI13" i="20"/>
  <c r="BN45" i="20"/>
  <c r="BJ47" i="20"/>
  <c r="BM41" i="20"/>
  <c r="BF41" i="20"/>
  <c r="BH13" i="20"/>
  <c r="BN40" i="20"/>
  <c r="BG40" i="20"/>
  <c r="BM47" i="20"/>
  <c r="BH44" i="20"/>
  <c r="BL41" i="20"/>
  <c r="BH42" i="20"/>
  <c r="BF8" i="20"/>
  <c r="BN13" i="20"/>
  <c r="BM40" i="20"/>
  <c r="BF6" i="20"/>
  <c r="BH6" i="20"/>
  <c r="BK41" i="20"/>
  <c r="BL8" i="20"/>
  <c r="BM13" i="20"/>
  <c r="BN25" i="20"/>
  <c r="U5" i="8"/>
  <c r="I5" i="8"/>
  <c r="AI5" i="8"/>
  <c r="BN5" i="20"/>
  <c r="BE11" i="20"/>
  <c r="BG44" i="20"/>
  <c r="BI6" i="20"/>
  <c r="AS5" i="8"/>
  <c r="G5" i="8"/>
  <c r="S5" i="8"/>
  <c r="BF47" i="20"/>
  <c r="AB34" i="12"/>
  <c r="BM44" i="20"/>
  <c r="BJ41" i="20"/>
  <c r="BF42" i="20"/>
  <c r="BM26" i="20"/>
  <c r="BK40" i="20"/>
  <c r="BE4" i="20"/>
  <c r="BM4" i="20"/>
  <c r="BF4" i="20"/>
  <c r="BN4" i="20"/>
  <c r="AU15" i="8"/>
  <c r="U15" i="8"/>
  <c r="AF15" i="8"/>
  <c r="S15" i="8"/>
  <c r="AD15" i="8"/>
  <c r="AP15" i="8"/>
  <c r="K15" i="8"/>
  <c r="AT15" i="8"/>
  <c r="I15" i="8"/>
  <c r="AS15" i="8"/>
  <c r="G15" i="8"/>
  <c r="Y15" i="8"/>
  <c r="AN15" i="8"/>
  <c r="AH15" i="8"/>
  <c r="E15" i="8"/>
  <c r="X15" i="8"/>
  <c r="AV15" i="8"/>
  <c r="AM15" i="8"/>
  <c r="AO15" i="8"/>
  <c r="Z15" i="8"/>
  <c r="T15" i="8"/>
  <c r="AW15" i="8"/>
  <c r="O15" i="8"/>
  <c r="AL15" i="8"/>
  <c r="AA15" i="8"/>
  <c r="W15" i="8"/>
  <c r="AR15" i="8"/>
  <c r="H15" i="8"/>
  <c r="V15" i="8"/>
  <c r="AQ15" i="8"/>
  <c r="AB15" i="8"/>
  <c r="AE15" i="8"/>
  <c r="J15" i="8"/>
  <c r="AC15" i="8"/>
  <c r="L15" i="8"/>
  <c r="AY15" i="8"/>
  <c r="P15" i="8"/>
  <c r="AI15" i="8"/>
  <c r="AX15" i="8"/>
  <c r="AJ15" i="8"/>
  <c r="N15" i="8"/>
  <c r="F15" i="8"/>
  <c r="AK15" i="8"/>
  <c r="AG15" i="8"/>
  <c r="R15" i="8"/>
  <c r="Q15" i="8"/>
  <c r="M15" i="8"/>
  <c r="AB18" i="12"/>
  <c r="G14" i="8"/>
  <c r="AU14" i="8"/>
  <c r="AA14" i="8"/>
  <c r="AT14" i="8"/>
  <c r="AC14" i="8"/>
  <c r="V14" i="8"/>
  <c r="AM14" i="8"/>
  <c r="AD14" i="8"/>
  <c r="AB14" i="8"/>
  <c r="AN14" i="8"/>
  <c r="H14" i="8"/>
  <c r="AL14" i="8"/>
  <c r="AR14" i="8"/>
  <c r="AJ14" i="8"/>
  <c r="Z14" i="8"/>
  <c r="N14" i="8"/>
  <c r="P14" i="8"/>
  <c r="E14" i="8"/>
  <c r="K14" i="8"/>
  <c r="AH14" i="8"/>
  <c r="F14" i="8"/>
  <c r="M14" i="8"/>
  <c r="AO14" i="8"/>
  <c r="AF14" i="8"/>
  <c r="U14" i="8"/>
  <c r="J14" i="8"/>
  <c r="S14" i="8"/>
  <c r="AP14" i="8"/>
  <c r="Y14" i="8"/>
  <c r="R14" i="8"/>
  <c r="AX14" i="8"/>
  <c r="Q14" i="8"/>
  <c r="AK14" i="8"/>
  <c r="AV14" i="8"/>
  <c r="T14" i="8"/>
  <c r="AI14" i="8"/>
  <c r="W14" i="8"/>
  <c r="O14" i="8"/>
  <c r="I14" i="8"/>
  <c r="AY14" i="8"/>
  <c r="AW14" i="8"/>
  <c r="AG14" i="8"/>
  <c r="AS14" i="8"/>
  <c r="AQ14" i="8"/>
  <c r="X14" i="8"/>
  <c r="L14" i="8"/>
  <c r="AE14" i="8"/>
  <c r="BI47" i="20"/>
  <c r="BG47" i="20"/>
  <c r="AZ29" i="20"/>
  <c r="AP29" i="20"/>
  <c r="AY29" i="20"/>
  <c r="AO29" i="20"/>
  <c r="AX29" i="20"/>
  <c r="AN29" i="20"/>
  <c r="AL29" i="20"/>
  <c r="BF29" i="20" s="1"/>
  <c r="BD24" i="20"/>
  <c r="AS24" i="20"/>
  <c r="BB24" i="20"/>
  <c r="BA24" i="20"/>
  <c r="AQ24" i="20"/>
  <c r="AP24" i="20"/>
  <c r="AZ24" i="20"/>
  <c r="AY24" i="20"/>
  <c r="AW24" i="20"/>
  <c r="AM24" i="20"/>
  <c r="AS38" i="20"/>
  <c r="AR38" i="20"/>
  <c r="BB38" i="20"/>
  <c r="AP38" i="20"/>
  <c r="BJ38" i="20" s="1"/>
  <c r="AN38" i="20"/>
  <c r="AX38" i="20"/>
  <c r="AW38" i="20"/>
  <c r="AV38" i="20"/>
  <c r="BF38" i="20" s="1"/>
  <c r="AR39" i="20"/>
  <c r="BL39" i="20" s="1"/>
  <c r="AQ39" i="20"/>
  <c r="BA39" i="20"/>
  <c r="AP39" i="20"/>
  <c r="AZ39" i="20"/>
  <c r="AY39" i="20"/>
  <c r="AO39" i="20"/>
  <c r="AN39" i="20"/>
  <c r="AX39" i="20"/>
  <c r="AM39" i="20"/>
  <c r="AW39" i="20"/>
  <c r="BD16" i="20"/>
  <c r="N6" i="15" s="1"/>
  <c r="O6" i="15" s="1"/>
  <c r="P6" i="15" s="1"/>
  <c r="Q6" i="15" s="1"/>
  <c r="R6" i="15" s="1"/>
  <c r="S6" i="15" s="1"/>
  <c r="T6" i="15" s="1"/>
  <c r="U6" i="15" s="1"/>
  <c r="V6" i="15" s="1"/>
  <c r="W6" i="15" s="1"/>
  <c r="X6" i="15" s="1"/>
  <c r="Y6" i="15" s="1"/>
  <c r="Z6" i="15" s="1"/>
  <c r="AA6" i="15" s="1"/>
  <c r="AB6" i="15" s="1"/>
  <c r="AC6" i="15" s="1"/>
  <c r="AD6" i="15" s="1"/>
  <c r="AE6" i="15" s="1"/>
  <c r="AF6" i="15" s="1"/>
  <c r="AG6" i="15" s="1"/>
  <c r="AH6" i="15" s="1"/>
  <c r="AI6" i="15" s="1"/>
  <c r="AJ6" i="15" s="1"/>
  <c r="AK6" i="15" s="1"/>
  <c r="AL6" i="15" s="1"/>
  <c r="AM6" i="15" s="1"/>
  <c r="AN6" i="15" s="1"/>
  <c r="AO6" i="15" s="1"/>
  <c r="AP6" i="15" s="1"/>
  <c r="AQ6" i="15" s="1"/>
  <c r="AR6" i="15" s="1"/>
  <c r="AS6" i="15" s="1"/>
  <c r="AT6" i="15" s="1"/>
  <c r="AU6" i="15" s="1"/>
  <c r="AV6" i="15" s="1"/>
  <c r="AW6" i="15" s="1"/>
  <c r="AX6" i="15" s="1"/>
  <c r="AY6" i="15" s="1"/>
  <c r="AT16" i="20"/>
  <c r="BC16" i="20"/>
  <c r="AS16" i="20"/>
  <c r="AR16" i="20"/>
  <c r="BB16" i="20"/>
  <c r="AQ16" i="20"/>
  <c r="BA16" i="20"/>
  <c r="AP16" i="20"/>
  <c r="AZ16" i="20"/>
  <c r="AO16" i="20"/>
  <c r="AY16" i="20"/>
  <c r="AX16" i="20"/>
  <c r="AN16" i="20"/>
  <c r="AW16" i="20"/>
  <c r="AM16" i="20"/>
  <c r="AL16" i="20"/>
  <c r="AV16" i="20"/>
  <c r="AU16" i="20"/>
  <c r="E6" i="15" s="1"/>
  <c r="AK16" i="20"/>
  <c r="AS45" i="20"/>
  <c r="BM45" i="20" s="1"/>
  <c r="AR45" i="20"/>
  <c r="BL45" i="20" s="1"/>
  <c r="BA45" i="20"/>
  <c r="BK45" i="20" s="1"/>
  <c r="AY45" i="20"/>
  <c r="AN45" i="20"/>
  <c r="AX45" i="20"/>
  <c r="AW45" i="20"/>
  <c r="AM45" i="20"/>
  <c r="AV45" i="20"/>
  <c r="AL45" i="20"/>
  <c r="AT43" i="20"/>
  <c r="BN43" i="20" s="1"/>
  <c r="AR43" i="20"/>
  <c r="BB43" i="20"/>
  <c r="BA43" i="20"/>
  <c r="BK43" i="20" s="1"/>
  <c r="AZ43" i="20"/>
  <c r="AP43" i="20"/>
  <c r="AY43" i="20"/>
  <c r="BI43" i="20" s="1"/>
  <c r="AN43" i="20"/>
  <c r="BH43" i="20" s="1"/>
  <c r="AL43" i="20"/>
  <c r="J5" i="15" l="1"/>
  <c r="J6" i="15"/>
  <c r="CT29" i="20"/>
  <c r="CU29" i="20"/>
  <c r="CV29" i="20"/>
  <c r="CW29" i="20"/>
  <c r="CX29" i="20"/>
  <c r="CY29" i="20"/>
  <c r="CZ29" i="20"/>
  <c r="DA29" i="20"/>
  <c r="DB29" i="20"/>
  <c r="DC29" i="20"/>
  <c r="CJ29" i="20"/>
  <c r="CK29" i="20"/>
  <c r="CL29" i="20"/>
  <c r="CM29" i="20"/>
  <c r="CN29" i="20"/>
  <c r="CO29" i="20"/>
  <c r="CP29" i="20"/>
  <c r="CQ29" i="20"/>
  <c r="CR29" i="20"/>
  <c r="CS29" i="20"/>
  <c r="L6" i="15"/>
  <c r="M6" i="15"/>
  <c r="BF24" i="20"/>
  <c r="BI14" i="20"/>
  <c r="BI24" i="20"/>
  <c r="F15" i="15"/>
  <c r="BM7" i="20"/>
  <c r="BF14" i="20"/>
  <c r="BE24" i="20"/>
  <c r="BI7" i="20"/>
  <c r="N14" i="15"/>
  <c r="O14" i="15" s="1"/>
  <c r="BN24" i="20"/>
  <c r="BL7" i="20"/>
  <c r="BN14" i="20"/>
  <c r="BH14" i="20"/>
  <c r="BG14" i="20"/>
  <c r="BK14" i="20"/>
  <c r="BF7" i="20"/>
  <c r="BM14" i="20"/>
  <c r="BL24" i="20"/>
  <c r="BE7" i="20"/>
  <c r="BL14" i="20"/>
  <c r="BH24" i="20"/>
  <c r="BJ14" i="20"/>
  <c r="BK7" i="20"/>
  <c r="BJ7" i="20"/>
  <c r="BG7" i="20"/>
  <c r="BH7" i="20"/>
  <c r="BE14" i="20"/>
  <c r="BM24" i="20"/>
  <c r="E15" i="15"/>
  <c r="L14" i="15"/>
  <c r="I14" i="15"/>
  <c r="AR10" i="8"/>
  <c r="AK10" i="8"/>
  <c r="W10" i="8"/>
  <c r="G10" i="8"/>
  <c r="AB10" i="8"/>
  <c r="AX10" i="8"/>
  <c r="L10" i="8"/>
  <c r="AN10" i="8"/>
  <c r="AA10" i="8"/>
  <c r="AY10" i="8"/>
  <c r="Z10" i="8"/>
  <c r="O10" i="8"/>
  <c r="AU10" i="8"/>
  <c r="F10" i="8"/>
  <c r="T10" i="8"/>
  <c r="J10" i="8"/>
  <c r="S10" i="8"/>
  <c r="AT10" i="8"/>
  <c r="Q10" i="8"/>
  <c r="AE10" i="8"/>
  <c r="AO10" i="8"/>
  <c r="AH10" i="8"/>
  <c r="H10" i="8"/>
  <c r="AF10" i="8"/>
  <c r="AL10" i="8"/>
  <c r="R10" i="8"/>
  <c r="AD10" i="8"/>
  <c r="K10" i="8"/>
  <c r="U10" i="8"/>
  <c r="Y10" i="8"/>
  <c r="E10" i="8"/>
  <c r="AJ10" i="8"/>
  <c r="AQ10" i="8"/>
  <c r="AC10" i="8"/>
  <c r="X10" i="8"/>
  <c r="AW10" i="8"/>
  <c r="AP10" i="8"/>
  <c r="AI10" i="8"/>
  <c r="I10" i="8"/>
  <c r="M10" i="8"/>
  <c r="N10" i="8"/>
  <c r="AS10" i="8"/>
  <c r="AM10" i="8"/>
  <c r="AV10" i="8"/>
  <c r="AG10" i="8"/>
  <c r="V10" i="8"/>
  <c r="P10" i="8"/>
  <c r="G26" i="19"/>
  <c r="H44" i="19"/>
  <c r="I44" i="19" s="1"/>
  <c r="J44" i="19" s="1"/>
  <c r="K44" i="19" s="1"/>
  <c r="L44" i="19" s="1"/>
  <c r="M44" i="19" s="1"/>
  <c r="N44" i="19" s="1"/>
  <c r="O44" i="19" s="1"/>
  <c r="P44" i="19" s="1"/>
  <c r="Q44" i="19" s="1"/>
  <c r="R44" i="19" s="1"/>
  <c r="S44" i="19" s="1"/>
  <c r="T44" i="19" s="1"/>
  <c r="U44" i="19" s="1"/>
  <c r="V44" i="19" s="1"/>
  <c r="W44" i="19" s="1"/>
  <c r="X44" i="19" s="1"/>
  <c r="Y44" i="19" s="1"/>
  <c r="Z44" i="19" s="1"/>
  <c r="AA44" i="19" s="1"/>
  <c r="AB44" i="19" s="1"/>
  <c r="AC44" i="19" s="1"/>
  <c r="AD44" i="19" s="1"/>
  <c r="AE44" i="19" s="1"/>
  <c r="AF44" i="19" s="1"/>
  <c r="AG44" i="19" s="1"/>
  <c r="AH44" i="19" s="1"/>
  <c r="AI44" i="19" s="1"/>
  <c r="AJ44" i="19" s="1"/>
  <c r="AK44" i="19" s="1"/>
  <c r="AL44" i="19" s="1"/>
  <c r="AM44" i="19" s="1"/>
  <c r="AN44" i="19" s="1"/>
  <c r="AO44" i="19" s="1"/>
  <c r="AP44" i="19" s="1"/>
  <c r="AQ44" i="19" s="1"/>
  <c r="AR44" i="19" s="1"/>
  <c r="AS44" i="19" s="1"/>
  <c r="AT44" i="19" s="1"/>
  <c r="AU44" i="19" s="1"/>
  <c r="AV44" i="19" s="1"/>
  <c r="AW44" i="19" s="1"/>
  <c r="AX44" i="19" s="1"/>
  <c r="AY44" i="19" s="1"/>
  <c r="AZ44" i="19" s="1"/>
  <c r="BA44" i="19" s="1"/>
  <c r="H17" i="19"/>
  <c r="H26" i="19" s="1"/>
  <c r="H73" i="21"/>
  <c r="G24" i="19"/>
  <c r="CT33" i="20"/>
  <c r="CU33" i="20"/>
  <c r="CV33" i="20"/>
  <c r="CW33" i="20"/>
  <c r="CY33" i="20"/>
  <c r="CX33" i="20"/>
  <c r="CZ33" i="20"/>
  <c r="DA33" i="20"/>
  <c r="DB33" i="20"/>
  <c r="DC33" i="20"/>
  <c r="AI29" i="12"/>
  <c r="CJ33" i="20"/>
  <c r="CK33" i="20"/>
  <c r="CL33" i="20"/>
  <c r="CM33" i="20"/>
  <c r="CN33" i="20"/>
  <c r="CO33" i="20"/>
  <c r="CP33" i="20"/>
  <c r="CQ33" i="20"/>
  <c r="CR33" i="20"/>
  <c r="CS33" i="20"/>
  <c r="B73" i="21"/>
  <c r="G53" i="19"/>
  <c r="E73" i="21"/>
  <c r="C73" i="21"/>
  <c r="I73" i="21"/>
  <c r="J73" i="21"/>
  <c r="F73" i="21"/>
  <c r="G73" i="21"/>
  <c r="D73" i="21"/>
  <c r="K73" i="21"/>
  <c r="G51" i="19"/>
  <c r="G25" i="18"/>
  <c r="H23" i="18"/>
  <c r="M25" i="18"/>
  <c r="K25" i="18"/>
  <c r="N25" i="18"/>
  <c r="BC72" i="19"/>
  <c r="BB90" i="19"/>
  <c r="L25" i="18"/>
  <c r="O23" i="18"/>
  <c r="Q16" i="18"/>
  <c r="R16" i="18" s="1"/>
  <c r="I25" i="18"/>
  <c r="J25" i="18"/>
  <c r="G90" i="19"/>
  <c r="E25" i="15"/>
  <c r="H25" i="15"/>
  <c r="L25" i="15"/>
  <c r="F24" i="15"/>
  <c r="M24" i="15"/>
  <c r="G24" i="15"/>
  <c r="K25" i="15"/>
  <c r="N24" i="15"/>
  <c r="H24" i="15"/>
  <c r="K24" i="15"/>
  <c r="E24" i="15"/>
  <c r="I24" i="15"/>
  <c r="L24" i="15"/>
  <c r="F25" i="15"/>
  <c r="J25" i="15"/>
  <c r="I25" i="15"/>
  <c r="M25" i="15"/>
  <c r="G25" i="15"/>
  <c r="J24" i="15"/>
  <c r="N25" i="15"/>
  <c r="O25" i="15" s="1"/>
  <c r="P25" i="15" s="1"/>
  <c r="Q25" i="15" s="1"/>
  <c r="R25" i="15" s="1"/>
  <c r="S25" i="15" s="1"/>
  <c r="T25" i="15" s="1"/>
  <c r="U25" i="15" s="1"/>
  <c r="V25" i="15" s="1"/>
  <c r="W25" i="15" s="1"/>
  <c r="X25" i="15" s="1"/>
  <c r="Y25" i="15" s="1"/>
  <c r="Z25" i="15" s="1"/>
  <c r="AA25" i="15" s="1"/>
  <c r="AB25" i="15" s="1"/>
  <c r="AC25" i="15" s="1"/>
  <c r="AD25" i="15" s="1"/>
  <c r="AE25" i="15" s="1"/>
  <c r="AF25" i="15" s="1"/>
  <c r="AG25" i="15" s="1"/>
  <c r="AH25" i="15" s="1"/>
  <c r="AI25" i="15" s="1"/>
  <c r="AJ25" i="15" s="1"/>
  <c r="AK25" i="15" s="1"/>
  <c r="AL25" i="15" s="1"/>
  <c r="AM25" i="15" s="1"/>
  <c r="AN25" i="15" s="1"/>
  <c r="AO25" i="15" s="1"/>
  <c r="AP25" i="15" s="1"/>
  <c r="AQ25" i="15" s="1"/>
  <c r="AR25" i="15" s="1"/>
  <c r="AS25" i="15" s="1"/>
  <c r="AT25" i="15" s="1"/>
  <c r="AU25" i="15" s="1"/>
  <c r="AV25" i="15" s="1"/>
  <c r="AW25" i="15" s="1"/>
  <c r="AX25" i="15" s="1"/>
  <c r="AY25" i="15" s="1"/>
  <c r="AZ25" i="15" s="1"/>
  <c r="BA25" i="15" s="1"/>
  <c r="BB25" i="15" s="1"/>
  <c r="BC25" i="15" s="1"/>
  <c r="BD25" i="15" s="1"/>
  <c r="BE25" i="15" s="1"/>
  <c r="BF25" i="15" s="1"/>
  <c r="BG25" i="15" s="1"/>
  <c r="BH25" i="15" s="1"/>
  <c r="I15" i="42"/>
  <c r="J15" i="42"/>
  <c r="K5" i="42"/>
  <c r="K14" i="42"/>
  <c r="AB25" i="12"/>
  <c r="K8" i="42"/>
  <c r="K9" i="42"/>
  <c r="L9" i="42" s="1"/>
  <c r="K13" i="42"/>
  <c r="K10" i="42"/>
  <c r="K7" i="42"/>
  <c r="K11" i="42"/>
  <c r="L11" i="42" s="1"/>
  <c r="K6" i="42"/>
  <c r="L6" i="42" s="1"/>
  <c r="O25" i="18"/>
  <c r="P23" i="18"/>
  <c r="P25" i="18"/>
  <c r="N49" i="18"/>
  <c r="I23" i="18"/>
  <c r="L23" i="18"/>
  <c r="G23" i="18"/>
  <c r="Q42" i="18"/>
  <c r="R42" i="18" s="1"/>
  <c r="P49" i="18"/>
  <c r="I49" i="18"/>
  <c r="M49" i="18"/>
  <c r="J49" i="18"/>
  <c r="H25" i="18"/>
  <c r="K23" i="18"/>
  <c r="N23" i="18"/>
  <c r="K15" i="15"/>
  <c r="J23" i="18"/>
  <c r="L51" i="18"/>
  <c r="G5" i="15"/>
  <c r="K49" i="18"/>
  <c r="H5" i="15"/>
  <c r="K14" i="15"/>
  <c r="H49" i="18"/>
  <c r="I6" i="15"/>
  <c r="F6" i="15"/>
  <c r="I5" i="15"/>
  <c r="M5" i="15"/>
  <c r="M23" i="18"/>
  <c r="J14" i="15"/>
  <c r="L5" i="15"/>
  <c r="H15" i="15"/>
  <c r="K6" i="15"/>
  <c r="M14" i="15"/>
  <c r="F5" i="15"/>
  <c r="G14" i="15"/>
  <c r="E5" i="15"/>
  <c r="O49" i="18"/>
  <c r="G51" i="18"/>
  <c r="J15" i="15"/>
  <c r="H14" i="15"/>
  <c r="G15" i="15"/>
  <c r="G6" i="15"/>
  <c r="K5" i="15"/>
  <c r="N5" i="15"/>
  <c r="L15" i="15"/>
  <c r="H6" i="15"/>
  <c r="N15" i="15"/>
  <c r="O15" i="15" s="1"/>
  <c r="P15" i="15" s="1"/>
  <c r="Q15" i="15" s="1"/>
  <c r="R15" i="15" s="1"/>
  <c r="S15" i="15" s="1"/>
  <c r="T15" i="15" s="1"/>
  <c r="U15" i="15" s="1"/>
  <c r="V15" i="15" s="1"/>
  <c r="W15" i="15" s="1"/>
  <c r="X15" i="15" s="1"/>
  <c r="Y15" i="15" s="1"/>
  <c r="Z15" i="15" s="1"/>
  <c r="AA15" i="15" s="1"/>
  <c r="AB15" i="15" s="1"/>
  <c r="AC15" i="15" s="1"/>
  <c r="AD15" i="15" s="1"/>
  <c r="AE15" i="15" s="1"/>
  <c r="AF15" i="15" s="1"/>
  <c r="AG15" i="15" s="1"/>
  <c r="AH15" i="15" s="1"/>
  <c r="AI15" i="15" s="1"/>
  <c r="AJ15" i="15" s="1"/>
  <c r="AK15" i="15" s="1"/>
  <c r="AL15" i="15" s="1"/>
  <c r="AM15" i="15" s="1"/>
  <c r="AN15" i="15" s="1"/>
  <c r="AO15" i="15" s="1"/>
  <c r="AP15" i="15" s="1"/>
  <c r="AQ15" i="15" s="1"/>
  <c r="AR15" i="15" s="1"/>
  <c r="AS15" i="15" s="1"/>
  <c r="AT15" i="15" s="1"/>
  <c r="AU15" i="15" s="1"/>
  <c r="AV15" i="15" s="1"/>
  <c r="AW15" i="15" s="1"/>
  <c r="AX15" i="15" s="1"/>
  <c r="AY15" i="15" s="1"/>
  <c r="E14" i="15"/>
  <c r="I15" i="15"/>
  <c r="M15" i="15"/>
  <c r="F14" i="15"/>
  <c r="G79" i="19"/>
  <c r="G81" i="19"/>
  <c r="B66" i="21"/>
  <c r="G69" i="18"/>
  <c r="G87" i="18" s="1"/>
  <c r="H66" i="21"/>
  <c r="M69" i="18"/>
  <c r="M87" i="18" s="1"/>
  <c r="F66" i="21"/>
  <c r="K69" i="18"/>
  <c r="K87" i="18" s="1"/>
  <c r="I66" i="21"/>
  <c r="N69" i="18"/>
  <c r="N87" i="18" s="1"/>
  <c r="C66" i="21"/>
  <c r="H69" i="18"/>
  <c r="H87" i="18" s="1"/>
  <c r="J66" i="21"/>
  <c r="O69" i="18"/>
  <c r="O87" i="18" s="1"/>
  <c r="D66" i="21"/>
  <c r="I69" i="18"/>
  <c r="I87" i="18" s="1"/>
  <c r="G66" i="21"/>
  <c r="L69" i="18"/>
  <c r="L87" i="18" s="1"/>
  <c r="K66" i="21"/>
  <c r="P69" i="18"/>
  <c r="P87" i="18" s="1"/>
  <c r="E66" i="21"/>
  <c r="J69" i="18"/>
  <c r="J87" i="18" s="1"/>
  <c r="BF43" i="20"/>
  <c r="BK16" i="20"/>
  <c r="BJ43" i="20"/>
  <c r="BI29" i="20"/>
  <c r="BJ29" i="20"/>
  <c r="BK29" i="20"/>
  <c r="BN39" i="20"/>
  <c r="BK24" i="20"/>
  <c r="BM38" i="20"/>
  <c r="BJ39" i="20"/>
  <c r="BH16" i="20"/>
  <c r="BF16" i="20"/>
  <c r="BL38" i="20"/>
  <c r="BG16" i="20"/>
  <c r="BN16" i="20"/>
  <c r="BG24" i="20"/>
  <c r="BE16" i="20"/>
  <c r="BL16" i="20"/>
  <c r="BK39" i="20"/>
  <c r="BL43" i="20"/>
  <c r="BH39" i="20"/>
  <c r="BH38" i="20"/>
  <c r="BI16" i="20"/>
  <c r="BM16" i="20"/>
  <c r="BF45" i="20"/>
  <c r="BI39" i="20"/>
  <c r="BJ24" i="20"/>
  <c r="BG38" i="20"/>
  <c r="BH45" i="20"/>
  <c r="BG39" i="20"/>
  <c r="BJ16" i="20"/>
  <c r="BG45" i="20"/>
  <c r="BH29" i="20"/>
  <c r="BI45" i="20"/>
  <c r="AJ25" i="8"/>
  <c r="AB25" i="8"/>
  <c r="O25" i="8"/>
  <c r="BE25" i="8"/>
  <c r="N25" i="8"/>
  <c r="AI25" i="8"/>
  <c r="AY25" i="8"/>
  <c r="AQ25" i="8"/>
  <c r="BD25" i="8"/>
  <c r="M25" i="8"/>
  <c r="S25" i="8"/>
  <c r="AH25" i="8"/>
  <c r="AK25" i="8"/>
  <c r="E25" i="8"/>
  <c r="AA25" i="8"/>
  <c r="AU25" i="8"/>
  <c r="AC25" i="8"/>
  <c r="R25" i="8"/>
  <c r="L25" i="8"/>
  <c r="BH25" i="8"/>
  <c r="G25" i="8"/>
  <c r="AF25" i="8"/>
  <c r="AP25" i="8"/>
  <c r="AO25" i="8"/>
  <c r="AG25" i="8"/>
  <c r="AD25" i="8"/>
  <c r="AE25" i="8"/>
  <c r="BA25" i="8"/>
  <c r="W25" i="8"/>
  <c r="AX25" i="8"/>
  <c r="Y25" i="8"/>
  <c r="AN25" i="8"/>
  <c r="AL25" i="8"/>
  <c r="Q25" i="8"/>
  <c r="V25" i="8"/>
  <c r="AM25" i="8"/>
  <c r="AR25" i="8"/>
  <c r="BB25" i="8"/>
  <c r="K25" i="8"/>
  <c r="F25" i="8"/>
  <c r="P25" i="8"/>
  <c r="BF25" i="8"/>
  <c r="J25" i="8"/>
  <c r="H25" i="8"/>
  <c r="AT25" i="8"/>
  <c r="AS25" i="8"/>
  <c r="AW25" i="8"/>
  <c r="AZ25" i="8"/>
  <c r="AV25" i="8"/>
  <c r="T25" i="8"/>
  <c r="BC25" i="8"/>
  <c r="BG25" i="8"/>
  <c r="U25" i="8"/>
  <c r="Z25" i="8"/>
  <c r="I25" i="8"/>
  <c r="X25" i="8"/>
  <c r="BC24" i="8"/>
  <c r="AN24" i="8"/>
  <c r="AV24" i="8"/>
  <c r="E24" i="8"/>
  <c r="P24" i="8"/>
  <c r="AY24" i="8"/>
  <c r="AI24" i="8"/>
  <c r="Q24" i="8"/>
  <c r="AT24" i="8"/>
  <c r="BB24" i="8"/>
  <c r="AE24" i="8"/>
  <c r="AD24" i="8"/>
  <c r="L24" i="8"/>
  <c r="O24" i="8"/>
  <c r="R24" i="8"/>
  <c r="BE24" i="8"/>
  <c r="J24" i="8"/>
  <c r="W24" i="8"/>
  <c r="AC24" i="8"/>
  <c r="AL24" i="8"/>
  <c r="BH24" i="8"/>
  <c r="AQ24" i="8"/>
  <c r="F24" i="8"/>
  <c r="AO24" i="8"/>
  <c r="T24" i="8"/>
  <c r="N24" i="8"/>
  <c r="AJ24" i="8"/>
  <c r="Y24" i="8"/>
  <c r="K24" i="8"/>
  <c r="BG24" i="8"/>
  <c r="AR24" i="8"/>
  <c r="U24" i="8"/>
  <c r="AB24" i="8"/>
  <c r="AP24" i="8"/>
  <c r="AZ24" i="8"/>
  <c r="I24" i="8"/>
  <c r="BF24" i="8"/>
  <c r="AF24" i="8"/>
  <c r="H24" i="8"/>
  <c r="M24" i="8"/>
  <c r="AH24" i="8"/>
  <c r="BA24" i="8"/>
  <c r="AS24" i="8"/>
  <c r="G24" i="8"/>
  <c r="AW24" i="8"/>
  <c r="AA24" i="8"/>
  <c r="V24" i="8"/>
  <c r="AK24" i="8"/>
  <c r="X24" i="8"/>
  <c r="S24" i="8"/>
  <c r="Z24" i="8"/>
  <c r="AM24" i="8"/>
  <c r="AG24" i="8"/>
  <c r="AU24" i="8"/>
  <c r="AX24" i="8"/>
  <c r="BD24" i="8"/>
  <c r="AG45" i="12" l="1"/>
  <c r="AG18" i="12"/>
  <c r="AG8" i="12"/>
  <c r="F10" i="3"/>
  <c r="AH18" i="12"/>
  <c r="AH45" i="12"/>
  <c r="AH8" i="12"/>
  <c r="H51" i="19"/>
  <c r="H53" i="19"/>
  <c r="H90" i="19"/>
  <c r="I17" i="19"/>
  <c r="I26" i="19" s="1"/>
  <c r="H24" i="19"/>
  <c r="O24" i="15"/>
  <c r="O5" i="15"/>
  <c r="Q23" i="18"/>
  <c r="Q25" i="18"/>
  <c r="BD72" i="19"/>
  <c r="BC90" i="19"/>
  <c r="K15" i="42"/>
  <c r="Q51" i="18"/>
  <c r="Q49" i="18"/>
  <c r="K19" i="3"/>
  <c r="K18" i="3"/>
  <c r="H79" i="19"/>
  <c r="H81" i="19"/>
  <c r="I53" i="19"/>
  <c r="I51" i="19"/>
  <c r="G78" i="18"/>
  <c r="G76" i="18"/>
  <c r="H76" i="18"/>
  <c r="H78" i="18"/>
  <c r="N78" i="18"/>
  <c r="N76" i="18"/>
  <c r="S16" i="18"/>
  <c r="R25" i="18"/>
  <c r="R23" i="18"/>
  <c r="O76" i="18"/>
  <c r="O78" i="18"/>
  <c r="J76" i="18"/>
  <c r="J78" i="18"/>
  <c r="Q69" i="18"/>
  <c r="Q87" i="18" s="1"/>
  <c r="P78" i="18"/>
  <c r="P76" i="18"/>
  <c r="K76" i="18"/>
  <c r="K78" i="18"/>
  <c r="L78" i="18"/>
  <c r="L76" i="18"/>
  <c r="M76" i="18"/>
  <c r="M78" i="18"/>
  <c r="S42" i="18"/>
  <c r="R51" i="18"/>
  <c r="R49" i="18"/>
  <c r="I76" i="18"/>
  <c r="I78" i="18"/>
  <c r="L13" i="3"/>
  <c r="P14" i="15"/>
  <c r="CJ45" i="20" l="1"/>
  <c r="CK45" i="20"/>
  <c r="CL45" i="20"/>
  <c r="CM45" i="20"/>
  <c r="CN45" i="20"/>
  <c r="CO45" i="20"/>
  <c r="CP45" i="20"/>
  <c r="CQ45" i="20"/>
  <c r="CR45" i="20"/>
  <c r="CS45" i="20"/>
  <c r="CT8" i="20"/>
  <c r="CU8" i="20"/>
  <c r="CV8" i="20"/>
  <c r="CW8" i="20"/>
  <c r="CX8" i="20"/>
  <c r="CY8" i="20"/>
  <c r="CZ8" i="20"/>
  <c r="DA8" i="20"/>
  <c r="DB8" i="20"/>
  <c r="DC8" i="20"/>
  <c r="CT45" i="20"/>
  <c r="CU45" i="20"/>
  <c r="CV45" i="20"/>
  <c r="CW45" i="20"/>
  <c r="CX45" i="20"/>
  <c r="CY45" i="20"/>
  <c r="CZ45" i="20"/>
  <c r="DA45" i="20"/>
  <c r="DB45" i="20"/>
  <c r="DC45" i="20"/>
  <c r="CT18" i="20"/>
  <c r="CU18" i="20"/>
  <c r="CV18" i="20"/>
  <c r="CW18" i="20"/>
  <c r="CX18" i="20"/>
  <c r="CY18" i="20"/>
  <c r="CZ18" i="20"/>
  <c r="DA18" i="20"/>
  <c r="DB18" i="20"/>
  <c r="DC18" i="20"/>
  <c r="CJ18" i="20"/>
  <c r="CK18" i="20"/>
  <c r="CL18" i="20"/>
  <c r="CM18" i="20"/>
  <c r="CN18" i="20"/>
  <c r="CO18" i="20"/>
  <c r="CP18" i="20"/>
  <c r="CQ18" i="20"/>
  <c r="CR18" i="20"/>
  <c r="CS18" i="20"/>
  <c r="CJ8" i="20"/>
  <c r="CK8" i="20"/>
  <c r="CL8" i="20"/>
  <c r="CM8" i="20"/>
  <c r="CN8" i="20"/>
  <c r="CO8" i="20"/>
  <c r="CP8" i="20"/>
  <c r="CQ8" i="20"/>
  <c r="CR8" i="20"/>
  <c r="CS8" i="20"/>
  <c r="K13" i="3"/>
  <c r="I90" i="19"/>
  <c r="J17" i="19"/>
  <c r="K17" i="19" s="1"/>
  <c r="I24" i="19"/>
  <c r="P24" i="15"/>
  <c r="P5" i="15"/>
  <c r="AI45" i="12"/>
  <c r="CJ24" i="20"/>
  <c r="CK24" i="20"/>
  <c r="CL24" i="20"/>
  <c r="CM24" i="20"/>
  <c r="CO24" i="20"/>
  <c r="CN24" i="20"/>
  <c r="CP24" i="20"/>
  <c r="CQ24" i="20"/>
  <c r="CR24" i="20"/>
  <c r="CS24" i="20"/>
  <c r="CT24" i="20"/>
  <c r="CU24" i="20"/>
  <c r="CV24" i="20"/>
  <c r="CW24" i="20"/>
  <c r="CX24" i="20"/>
  <c r="CY24" i="20"/>
  <c r="CZ24" i="20"/>
  <c r="DA24" i="20"/>
  <c r="DB24" i="20"/>
  <c r="DC24" i="20"/>
  <c r="AI18" i="12"/>
  <c r="AI8" i="12"/>
  <c r="CJ15" i="20"/>
  <c r="CK15" i="20"/>
  <c r="CL15" i="20"/>
  <c r="CM15" i="20"/>
  <c r="CN15" i="20"/>
  <c r="CO15" i="20"/>
  <c r="CP15" i="20"/>
  <c r="CQ15" i="20"/>
  <c r="CR15" i="20"/>
  <c r="CS15" i="20"/>
  <c r="CJ36" i="20"/>
  <c r="CK36" i="20"/>
  <c r="CL36" i="20"/>
  <c r="CM36" i="20"/>
  <c r="CN36" i="20"/>
  <c r="CO36" i="20"/>
  <c r="CP36" i="20"/>
  <c r="CQ36" i="20"/>
  <c r="CR36" i="20"/>
  <c r="CS36" i="20"/>
  <c r="CT36" i="20"/>
  <c r="CU36" i="20"/>
  <c r="CV36" i="20"/>
  <c r="CW36" i="20"/>
  <c r="CY36" i="20"/>
  <c r="CX36" i="20"/>
  <c r="CZ36" i="20"/>
  <c r="DA36" i="20"/>
  <c r="DB36" i="20"/>
  <c r="DC36" i="20"/>
  <c r="CT15" i="20"/>
  <c r="CU15" i="20"/>
  <c r="CV15" i="20"/>
  <c r="CW15" i="20"/>
  <c r="CX15" i="20"/>
  <c r="CY15" i="20"/>
  <c r="CZ15" i="20"/>
  <c r="DA15" i="20"/>
  <c r="DB15" i="20"/>
  <c r="DC15" i="20"/>
  <c r="Z27" i="8"/>
  <c r="AL27" i="8"/>
  <c r="S27" i="8"/>
  <c r="BH27" i="8"/>
  <c r="AW27" i="8"/>
  <c r="AD27" i="8"/>
  <c r="AZ27" i="8"/>
  <c r="AE27" i="8"/>
  <c r="F27" i="8"/>
  <c r="AF27" i="8"/>
  <c r="AG27" i="8"/>
  <c r="BC27" i="8"/>
  <c r="AO27" i="8"/>
  <c r="J27" i="8"/>
  <c r="BD27" i="8"/>
  <c r="X27" i="8"/>
  <c r="R27" i="8"/>
  <c r="AJ27" i="8"/>
  <c r="AA27" i="8"/>
  <c r="BB27" i="8"/>
  <c r="BA27" i="8"/>
  <c r="BE27" i="8"/>
  <c r="M27" i="8"/>
  <c r="AM27" i="8"/>
  <c r="AQ27" i="8"/>
  <c r="Y27" i="8"/>
  <c r="AC27" i="8"/>
  <c r="AN27" i="8"/>
  <c r="AR27" i="8"/>
  <c r="K27" i="8"/>
  <c r="O27" i="8"/>
  <c r="L27" i="8"/>
  <c r="AT27" i="8"/>
  <c r="BG27" i="8"/>
  <c r="BF27" i="8"/>
  <c r="E27" i="8"/>
  <c r="AX27" i="8"/>
  <c r="Q27" i="8"/>
  <c r="AY27" i="8"/>
  <c r="AP27" i="8"/>
  <c r="AK27" i="8"/>
  <c r="V27" i="8"/>
  <c r="AI27" i="8"/>
  <c r="AV27" i="8"/>
  <c r="P27" i="8"/>
  <c r="AB27" i="8"/>
  <c r="W27" i="8"/>
  <c r="H27" i="8"/>
  <c r="U27" i="8"/>
  <c r="AH27" i="8"/>
  <c r="N27" i="8"/>
  <c r="I27" i="8"/>
  <c r="AS27" i="8"/>
  <c r="G27" i="8"/>
  <c r="T27" i="8"/>
  <c r="AU27" i="8"/>
  <c r="CO11" i="20"/>
  <c r="BE72" i="19"/>
  <c r="BD90" i="19"/>
  <c r="AX17" i="8"/>
  <c r="AJ17" i="8"/>
  <c r="V17" i="8"/>
  <c r="H17" i="8"/>
  <c r="M17" i="8"/>
  <c r="AW17" i="8"/>
  <c r="AI17" i="8"/>
  <c r="U17" i="8"/>
  <c r="G17" i="8"/>
  <c r="E17" i="8"/>
  <c r="AV17" i="8"/>
  <c r="AH17" i="8"/>
  <c r="T17" i="8"/>
  <c r="F17" i="8"/>
  <c r="AU17" i="8"/>
  <c r="AG17" i="8"/>
  <c r="S17" i="8"/>
  <c r="AT17" i="8"/>
  <c r="AF17" i="8"/>
  <c r="R17" i="8"/>
  <c r="AL17" i="8"/>
  <c r="AS17" i="8"/>
  <c r="AE17" i="8"/>
  <c r="Q17" i="8"/>
  <c r="AR17" i="8"/>
  <c r="AD17" i="8"/>
  <c r="P17" i="8"/>
  <c r="J17" i="8"/>
  <c r="AQ17" i="8"/>
  <c r="AC17" i="8"/>
  <c r="O17" i="8"/>
  <c r="AP17" i="8"/>
  <c r="AB17" i="8"/>
  <c r="N17" i="8"/>
  <c r="AA17" i="8"/>
  <c r="AN17" i="8"/>
  <c r="Z17" i="8"/>
  <c r="L17" i="8"/>
  <c r="AM17" i="8"/>
  <c r="Y17" i="8"/>
  <c r="K17" i="8"/>
  <c r="X17" i="8"/>
  <c r="AY17" i="8"/>
  <c r="AK17" i="8"/>
  <c r="W17" i="8"/>
  <c r="I17" i="8"/>
  <c r="AO17" i="8"/>
  <c r="CT4" i="20"/>
  <c r="CU4" i="20"/>
  <c r="CV4" i="20"/>
  <c r="CW4" i="20"/>
  <c r="CX4" i="20"/>
  <c r="CY4" i="20"/>
  <c r="CZ4" i="20"/>
  <c r="DA4" i="20"/>
  <c r="DB4" i="20"/>
  <c r="DC4" i="20"/>
  <c r="CT11" i="20"/>
  <c r="CU11" i="20"/>
  <c r="CV11" i="20"/>
  <c r="CW11" i="20"/>
  <c r="CY11" i="20"/>
  <c r="CX11" i="20"/>
  <c r="CZ11" i="20"/>
  <c r="DA11" i="20"/>
  <c r="DB11" i="20"/>
  <c r="DC11" i="20"/>
  <c r="N16" i="8"/>
  <c r="AO16" i="8"/>
  <c r="AA16" i="8"/>
  <c r="M16" i="8"/>
  <c r="AN16" i="8"/>
  <c r="Z16" i="8"/>
  <c r="L16" i="8"/>
  <c r="AM16" i="8"/>
  <c r="AL16" i="8"/>
  <c r="X16" i="8"/>
  <c r="AD16" i="8"/>
  <c r="AY16" i="8"/>
  <c r="AK16" i="8"/>
  <c r="W16" i="8"/>
  <c r="I16" i="8"/>
  <c r="AX16" i="8"/>
  <c r="AJ16" i="8"/>
  <c r="V16" i="8"/>
  <c r="P16" i="8"/>
  <c r="AW16" i="8"/>
  <c r="U16" i="8"/>
  <c r="G16" i="8"/>
  <c r="AV16" i="8"/>
  <c r="AH16" i="8"/>
  <c r="T16" i="8"/>
  <c r="F16" i="8"/>
  <c r="AT16" i="8"/>
  <c r="AF16" i="8"/>
  <c r="R16" i="8"/>
  <c r="AS16" i="8"/>
  <c r="AE16" i="8"/>
  <c r="Q16" i="8"/>
  <c r="AQ16" i="8"/>
  <c r="AC16" i="8"/>
  <c r="O16" i="8"/>
  <c r="AG16" i="8"/>
  <c r="CJ4" i="20"/>
  <c r="CK4" i="20"/>
  <c r="CL4" i="20"/>
  <c r="CM4" i="20"/>
  <c r="CO4" i="20"/>
  <c r="CN4" i="20"/>
  <c r="CP4" i="20"/>
  <c r="CQ4" i="20"/>
  <c r="CR4" i="20"/>
  <c r="CS4" i="20"/>
  <c r="CJ23" i="20"/>
  <c r="CK23" i="20"/>
  <c r="CL23" i="20"/>
  <c r="CM23" i="20"/>
  <c r="CN23" i="20"/>
  <c r="CO23" i="20"/>
  <c r="CP23" i="20"/>
  <c r="CQ23" i="20"/>
  <c r="CR23" i="20"/>
  <c r="CS23" i="20"/>
  <c r="CT23" i="20"/>
  <c r="CU23" i="20"/>
  <c r="CV23" i="20"/>
  <c r="CW23" i="20"/>
  <c r="CX23" i="20"/>
  <c r="CY23" i="20"/>
  <c r="CZ23" i="20"/>
  <c r="DA23" i="20"/>
  <c r="DB23" i="20"/>
  <c r="DC23" i="20"/>
  <c r="CK11" i="20"/>
  <c r="CL11" i="20"/>
  <c r="CM11" i="20"/>
  <c r="CN11" i="20"/>
  <c r="L6" i="3"/>
  <c r="J53" i="19"/>
  <c r="J51" i="19"/>
  <c r="J24" i="19"/>
  <c r="I79" i="19"/>
  <c r="I81" i="19"/>
  <c r="T42" i="18"/>
  <c r="S51" i="18"/>
  <c r="S49" i="18"/>
  <c r="T16" i="18"/>
  <c r="S25" i="18"/>
  <c r="S23" i="18"/>
  <c r="R69" i="18"/>
  <c r="R87" i="18" s="1"/>
  <c r="Q78" i="18"/>
  <c r="Q76" i="18"/>
  <c r="K20" i="3"/>
  <c r="Q14" i="15"/>
  <c r="J26" i="15" l="1"/>
  <c r="J7" i="15"/>
  <c r="H26" i="15"/>
  <c r="H7" i="15"/>
  <c r="I26" i="15"/>
  <c r="I7" i="15"/>
  <c r="G26" i="15"/>
  <c r="G7" i="15"/>
  <c r="M27" i="15"/>
  <c r="M8" i="15"/>
  <c r="L27" i="15"/>
  <c r="L8" i="15"/>
  <c r="N27" i="15"/>
  <c r="O27" i="15" s="1"/>
  <c r="P27" i="15" s="1"/>
  <c r="Q27" i="15" s="1"/>
  <c r="R27" i="15" s="1"/>
  <c r="S27" i="15" s="1"/>
  <c r="T27" i="15" s="1"/>
  <c r="U27" i="15" s="1"/>
  <c r="V27" i="15" s="1"/>
  <c r="W27" i="15" s="1"/>
  <c r="X27" i="15" s="1"/>
  <c r="Y27" i="15" s="1"/>
  <c r="Z27" i="15" s="1"/>
  <c r="AA27" i="15" s="1"/>
  <c r="AB27" i="15" s="1"/>
  <c r="AC27" i="15" s="1"/>
  <c r="AD27" i="15" s="1"/>
  <c r="AE27" i="15" s="1"/>
  <c r="AF27" i="15" s="1"/>
  <c r="AG27" i="15" s="1"/>
  <c r="AH27" i="15" s="1"/>
  <c r="AI27" i="15" s="1"/>
  <c r="AJ27" i="15" s="1"/>
  <c r="AK27" i="15" s="1"/>
  <c r="AL27" i="15" s="1"/>
  <c r="AM27" i="15" s="1"/>
  <c r="AN27" i="15" s="1"/>
  <c r="AO27" i="15" s="1"/>
  <c r="AP27" i="15" s="1"/>
  <c r="AQ27" i="15" s="1"/>
  <c r="AR27" i="15" s="1"/>
  <c r="AS27" i="15" s="1"/>
  <c r="AT27" i="15" s="1"/>
  <c r="AU27" i="15" s="1"/>
  <c r="AV27" i="15" s="1"/>
  <c r="AW27" i="15" s="1"/>
  <c r="AX27" i="15" s="1"/>
  <c r="AY27" i="15" s="1"/>
  <c r="N8" i="15"/>
  <c r="O8" i="15" s="1"/>
  <c r="P8" i="15" s="1"/>
  <c r="Q8" i="15" s="1"/>
  <c r="R8" i="15" s="1"/>
  <c r="S8" i="15" s="1"/>
  <c r="T8" i="15" s="1"/>
  <c r="U8" i="15" s="1"/>
  <c r="V8" i="15" s="1"/>
  <c r="W8" i="15" s="1"/>
  <c r="X8" i="15" s="1"/>
  <c r="Y8" i="15" s="1"/>
  <c r="Z8" i="15" s="1"/>
  <c r="AA8" i="15" s="1"/>
  <c r="AB8" i="15" s="1"/>
  <c r="AC8" i="15" s="1"/>
  <c r="AD8" i="15" s="1"/>
  <c r="AE8" i="15" s="1"/>
  <c r="AF8" i="15" s="1"/>
  <c r="AG8" i="15" s="1"/>
  <c r="AH8" i="15" s="1"/>
  <c r="AI8" i="15" s="1"/>
  <c r="AJ8" i="15" s="1"/>
  <c r="AK8" i="15" s="1"/>
  <c r="AL8" i="15" s="1"/>
  <c r="AM8" i="15" s="1"/>
  <c r="AN8" i="15" s="1"/>
  <c r="AO8" i="15" s="1"/>
  <c r="AP8" i="15" s="1"/>
  <c r="AQ8" i="15" s="1"/>
  <c r="AR8" i="15" s="1"/>
  <c r="AS8" i="15" s="1"/>
  <c r="AT8" i="15" s="1"/>
  <c r="AU8" i="15" s="1"/>
  <c r="AV8" i="15" s="1"/>
  <c r="AW8" i="15" s="1"/>
  <c r="AX8" i="15" s="1"/>
  <c r="AY8" i="15" s="1"/>
  <c r="K27" i="15"/>
  <c r="K8" i="15"/>
  <c r="F26" i="15"/>
  <c r="F7" i="15"/>
  <c r="J27" i="15"/>
  <c r="J29" i="15" s="1"/>
  <c r="J8" i="15"/>
  <c r="I27" i="15"/>
  <c r="I8" i="15"/>
  <c r="J26" i="19"/>
  <c r="J90" i="19"/>
  <c r="AC19" i="8"/>
  <c r="AF19" i="8"/>
  <c r="AQ19" i="8"/>
  <c r="R19" i="8"/>
  <c r="P19" i="8"/>
  <c r="M19" i="8"/>
  <c r="AN19" i="8"/>
  <c r="AW19" i="8"/>
  <c r="Z19" i="8"/>
  <c r="AO19" i="8"/>
  <c r="N19" i="8"/>
  <c r="AV19" i="8"/>
  <c r="U19" i="8"/>
  <c r="L19" i="8"/>
  <c r="Q19" i="8"/>
  <c r="AE19" i="8"/>
  <c r="AS19" i="8"/>
  <c r="G19" i="8"/>
  <c r="AL19" i="8"/>
  <c r="T19" i="8"/>
  <c r="AD19" i="8"/>
  <c r="AH19" i="8"/>
  <c r="O19" i="8"/>
  <c r="AX19" i="8"/>
  <c r="F19" i="8"/>
  <c r="AY19" i="8"/>
  <c r="X19" i="8"/>
  <c r="V19" i="8"/>
  <c r="AJ19" i="8"/>
  <c r="AA19" i="8"/>
  <c r="I19" i="8"/>
  <c r="W19" i="8"/>
  <c r="AT19" i="8"/>
  <c r="AK19" i="8"/>
  <c r="AG19" i="8"/>
  <c r="AM19" i="8"/>
  <c r="Q24" i="15"/>
  <c r="Q5" i="15"/>
  <c r="CP11" i="20"/>
  <c r="CQ11" i="20"/>
  <c r="CJ11" i="20"/>
  <c r="CS11" i="20"/>
  <c r="CR11" i="20"/>
  <c r="P12" i="3"/>
  <c r="AH26" i="8"/>
  <c r="AH29" i="8" s="1"/>
  <c r="AQ26" i="8"/>
  <c r="AQ29" i="8" s="1"/>
  <c r="AB26" i="8"/>
  <c r="AB29" i="8" s="1"/>
  <c r="AO26" i="8"/>
  <c r="AO29" i="8" s="1"/>
  <c r="I26" i="8"/>
  <c r="I29" i="8" s="1"/>
  <c r="BB26" i="8"/>
  <c r="BB29" i="8" s="1"/>
  <c r="J26" i="8"/>
  <c r="J29" i="8" s="1"/>
  <c r="H26" i="8"/>
  <c r="H29" i="8" s="1"/>
  <c r="AV26" i="8"/>
  <c r="AV29" i="8" s="1"/>
  <c r="BE26" i="8"/>
  <c r="BE29" i="8" s="1"/>
  <c r="AP26" i="8"/>
  <c r="AP29" i="8" s="1"/>
  <c r="W26" i="8"/>
  <c r="W29" i="8" s="1"/>
  <c r="BC26" i="8"/>
  <c r="BC29" i="8" s="1"/>
  <c r="V26" i="8"/>
  <c r="V29" i="8" s="1"/>
  <c r="AT26" i="8"/>
  <c r="AT29" i="8" s="1"/>
  <c r="AC26" i="8"/>
  <c r="AC29" i="8" s="1"/>
  <c r="AN26" i="8"/>
  <c r="AN29" i="8" s="1"/>
  <c r="F26" i="8"/>
  <c r="F29" i="8" s="1"/>
  <c r="E26" i="8"/>
  <c r="E29" i="8" s="1"/>
  <c r="O26" i="8"/>
  <c r="O29" i="8" s="1"/>
  <c r="M26" i="8"/>
  <c r="M29" i="8" s="1"/>
  <c r="Z26" i="8"/>
  <c r="Z29" i="8" s="1"/>
  <c r="AM26" i="8"/>
  <c r="AM29" i="8" s="1"/>
  <c r="AE26" i="8"/>
  <c r="AE29" i="8" s="1"/>
  <c r="U26" i="8"/>
  <c r="U29" i="8" s="1"/>
  <c r="T26" i="8"/>
  <c r="T29" i="8" s="1"/>
  <c r="N26" i="8"/>
  <c r="N29" i="8" s="1"/>
  <c r="AA26" i="8"/>
  <c r="AA29" i="8" s="1"/>
  <c r="BA26" i="8"/>
  <c r="BA29" i="8" s="1"/>
  <c r="BF26" i="8"/>
  <c r="BF29" i="8" s="1"/>
  <c r="L26" i="8"/>
  <c r="L29" i="8" s="1"/>
  <c r="Y26" i="8"/>
  <c r="Y29" i="8" s="1"/>
  <c r="BH26" i="8"/>
  <c r="BH29" i="8" s="1"/>
  <c r="AR26" i="8"/>
  <c r="AR29" i="8" s="1"/>
  <c r="K26" i="8"/>
  <c r="K29" i="8" s="1"/>
  <c r="AU26" i="8"/>
  <c r="AU29" i="8" s="1"/>
  <c r="AY26" i="8"/>
  <c r="AY29" i="8" s="1"/>
  <c r="AI26" i="8"/>
  <c r="AI29" i="8" s="1"/>
  <c r="AK26" i="8"/>
  <c r="AK29" i="8" s="1"/>
  <c r="R26" i="8"/>
  <c r="R29" i="8" s="1"/>
  <c r="AD26" i="8"/>
  <c r="AD29" i="8" s="1"/>
  <c r="AG26" i="8"/>
  <c r="AG29" i="8" s="1"/>
  <c r="P26" i="8"/>
  <c r="P29" i="8" s="1"/>
  <c r="S26" i="8"/>
  <c r="S29" i="8" s="1"/>
  <c r="BG26" i="8"/>
  <c r="BG29" i="8" s="1"/>
  <c r="AW26" i="8"/>
  <c r="AW29" i="8" s="1"/>
  <c r="AF26" i="8"/>
  <c r="AF29" i="8" s="1"/>
  <c r="AS26" i="8"/>
  <c r="AS29" i="8" s="1"/>
  <c r="Q26" i="8"/>
  <c r="Q29" i="8" s="1"/>
  <c r="X26" i="8"/>
  <c r="X29" i="8" s="1"/>
  <c r="G26" i="8"/>
  <c r="G29" i="8" s="1"/>
  <c r="AL26" i="8"/>
  <c r="AL29" i="8" s="1"/>
  <c r="AZ26" i="8"/>
  <c r="AZ29" i="8" s="1"/>
  <c r="AX26" i="8"/>
  <c r="AX29" i="8" s="1"/>
  <c r="BD26" i="8"/>
  <c r="BD29" i="8" s="1"/>
  <c r="AJ26" i="8"/>
  <c r="AJ29" i="8" s="1"/>
  <c r="S16" i="8"/>
  <c r="S19" i="8" s="1"/>
  <c r="AB16" i="8"/>
  <c r="AB19" i="8" s="1"/>
  <c r="AI16" i="8"/>
  <c r="AI19" i="8" s="1"/>
  <c r="J16" i="8"/>
  <c r="J19" i="8" s="1"/>
  <c r="AP16" i="8"/>
  <c r="AP19" i="8" s="1"/>
  <c r="AR16" i="8"/>
  <c r="AR19" i="8" s="1"/>
  <c r="AU16" i="8"/>
  <c r="AU19" i="8" s="1"/>
  <c r="K16" i="8"/>
  <c r="K19" i="8" s="1"/>
  <c r="E16" i="8"/>
  <c r="H16" i="8"/>
  <c r="H19" i="8" s="1"/>
  <c r="Y16" i="8"/>
  <c r="Y19" i="8" s="1"/>
  <c r="BF72" i="19"/>
  <c r="BE90" i="19"/>
  <c r="L17" i="19"/>
  <c r="K90" i="19"/>
  <c r="H16" i="15"/>
  <c r="N17" i="15"/>
  <c r="O17" i="15" s="1"/>
  <c r="P17" i="15" s="1"/>
  <c r="Q17" i="15" s="1"/>
  <c r="R17" i="15" s="1"/>
  <c r="S17" i="15" s="1"/>
  <c r="T17" i="15" s="1"/>
  <c r="U17" i="15" s="1"/>
  <c r="V17" i="15" s="1"/>
  <c r="W17" i="15" s="1"/>
  <c r="X17" i="15" s="1"/>
  <c r="Y17" i="15" s="1"/>
  <c r="Z17" i="15" s="1"/>
  <c r="AA17" i="15" s="1"/>
  <c r="AB17" i="15" s="1"/>
  <c r="AC17" i="15" s="1"/>
  <c r="AD17" i="15" s="1"/>
  <c r="AE17" i="15" s="1"/>
  <c r="AF17" i="15" s="1"/>
  <c r="AG17" i="15" s="1"/>
  <c r="AH17" i="15" s="1"/>
  <c r="AI17" i="15" s="1"/>
  <c r="AJ17" i="15" s="1"/>
  <c r="AK17" i="15" s="1"/>
  <c r="AL17" i="15" s="1"/>
  <c r="AM17" i="15" s="1"/>
  <c r="AN17" i="15" s="1"/>
  <c r="AO17" i="15" s="1"/>
  <c r="AP17" i="15" s="1"/>
  <c r="AQ17" i="15" s="1"/>
  <c r="AR17" i="15" s="1"/>
  <c r="AS17" i="15" s="1"/>
  <c r="AT17" i="15" s="1"/>
  <c r="AU17" i="15" s="1"/>
  <c r="AV17" i="15" s="1"/>
  <c r="AW17" i="15" s="1"/>
  <c r="AX17" i="15" s="1"/>
  <c r="AY17" i="15" s="1"/>
  <c r="G16" i="15"/>
  <c r="F16" i="15"/>
  <c r="L16" i="15"/>
  <c r="F17" i="15"/>
  <c r="M17" i="15"/>
  <c r="K16" i="15"/>
  <c r="E17" i="15"/>
  <c r="L17" i="15"/>
  <c r="M16" i="15"/>
  <c r="G17" i="15"/>
  <c r="I16" i="15"/>
  <c r="K17" i="15"/>
  <c r="J16" i="15"/>
  <c r="J17" i="15"/>
  <c r="N16" i="15"/>
  <c r="H17" i="15"/>
  <c r="I17" i="15"/>
  <c r="E16" i="15"/>
  <c r="K26" i="19"/>
  <c r="K24" i="19"/>
  <c r="K53" i="19"/>
  <c r="K51" i="19"/>
  <c r="J81" i="19"/>
  <c r="J79" i="19"/>
  <c r="K21" i="3"/>
  <c r="S69" i="18"/>
  <c r="S87" i="18" s="1"/>
  <c r="R76" i="18"/>
  <c r="R78" i="18"/>
  <c r="U16" i="18"/>
  <c r="T25" i="18"/>
  <c r="T23" i="18"/>
  <c r="U42" i="18"/>
  <c r="T49" i="18"/>
  <c r="T51" i="18"/>
  <c r="R14" i="15"/>
  <c r="I29" i="15" l="1"/>
  <c r="H27" i="15"/>
  <c r="H29" i="15" s="1"/>
  <c r="H8" i="15"/>
  <c r="N7" i="15"/>
  <c r="E26" i="15"/>
  <c r="E7" i="15"/>
  <c r="F27" i="15"/>
  <c r="F29" i="15" s="1"/>
  <c r="F8" i="15"/>
  <c r="F10" i="15" s="1"/>
  <c r="L7" i="15"/>
  <c r="L10" i="15" s="1"/>
  <c r="E27" i="15"/>
  <c r="E8" i="15"/>
  <c r="K7" i="15"/>
  <c r="K10" i="15" s="1"/>
  <c r="G10" i="15"/>
  <c r="I10" i="15"/>
  <c r="J10" i="15"/>
  <c r="M26" i="15"/>
  <c r="M29" i="15" s="1"/>
  <c r="M7" i="15"/>
  <c r="M10" i="15" s="1"/>
  <c r="G8" i="15"/>
  <c r="E19" i="8"/>
  <c r="F11" i="3"/>
  <c r="N26" i="15"/>
  <c r="N29" i="15" s="1"/>
  <c r="I19" i="15"/>
  <c r="E19" i="15"/>
  <c r="N19" i="15"/>
  <c r="G19" i="15"/>
  <c r="R24" i="15"/>
  <c r="L19" i="15"/>
  <c r="H19" i="15"/>
  <c r="J19" i="15"/>
  <c r="F19" i="15"/>
  <c r="M19" i="15"/>
  <c r="R5" i="15"/>
  <c r="K19" i="15"/>
  <c r="K26" i="15"/>
  <c r="K29" i="15" s="1"/>
  <c r="L26" i="15"/>
  <c r="L29" i="15" s="1"/>
  <c r="G27" i="15"/>
  <c r="G29" i="15" s="1"/>
  <c r="P13" i="3"/>
  <c r="O12" i="3"/>
  <c r="F12" i="3" s="1"/>
  <c r="M17" i="19"/>
  <c r="L90" i="19"/>
  <c r="BG72" i="19"/>
  <c r="BF90" i="19"/>
  <c r="O16" i="15"/>
  <c r="O19" i="15" s="1"/>
  <c r="K79" i="19"/>
  <c r="K81" i="19"/>
  <c r="L53" i="19"/>
  <c r="L51" i="19"/>
  <c r="L26" i="19"/>
  <c r="L24" i="19"/>
  <c r="V16" i="18"/>
  <c r="U25" i="18"/>
  <c r="U23" i="18"/>
  <c r="V42" i="18"/>
  <c r="U49" i="18"/>
  <c r="U51" i="18"/>
  <c r="T69" i="18"/>
  <c r="T87" i="18" s="1"/>
  <c r="S78" i="18"/>
  <c r="S76" i="18"/>
  <c r="S14" i="15"/>
  <c r="E29" i="15" l="1"/>
  <c r="E10" i="15"/>
  <c r="O7" i="15"/>
  <c r="N10" i="15"/>
  <c r="P3" i="3"/>
  <c r="O18" i="3" s="1"/>
  <c r="H10" i="15"/>
  <c r="O26" i="15"/>
  <c r="O29" i="15" s="1"/>
  <c r="S24" i="15"/>
  <c r="S5" i="15"/>
  <c r="P5" i="3"/>
  <c r="O20" i="3" s="1"/>
  <c r="O13" i="3"/>
  <c r="BH72" i="19"/>
  <c r="BG90" i="19"/>
  <c r="N17" i="19"/>
  <c r="M90" i="19"/>
  <c r="O19" i="3"/>
  <c r="P16" i="15"/>
  <c r="P19" i="15" s="1"/>
  <c r="M26" i="19"/>
  <c r="M24" i="19"/>
  <c r="L79" i="19"/>
  <c r="L81" i="19"/>
  <c r="M53" i="19"/>
  <c r="M51" i="19"/>
  <c r="U69" i="18"/>
  <c r="U87" i="18" s="1"/>
  <c r="T76" i="18"/>
  <c r="T78" i="18"/>
  <c r="W42" i="18"/>
  <c r="V51" i="18"/>
  <c r="V49" i="18"/>
  <c r="W16" i="18"/>
  <c r="V25" i="18"/>
  <c r="V23" i="18"/>
  <c r="T14" i="15"/>
  <c r="P7" i="15" l="1"/>
  <c r="O10" i="15"/>
  <c r="P26" i="15"/>
  <c r="P29" i="15" s="1"/>
  <c r="T24" i="15"/>
  <c r="T5" i="15"/>
  <c r="P6" i="3"/>
  <c r="O21" i="3"/>
  <c r="O17" i="19"/>
  <c r="N90" i="19"/>
  <c r="BI72" i="19"/>
  <c r="BH90" i="19"/>
  <c r="Q16" i="15"/>
  <c r="Q19" i="15" s="1"/>
  <c r="N53" i="19"/>
  <c r="N51" i="19"/>
  <c r="M79" i="19"/>
  <c r="M81" i="19"/>
  <c r="N26" i="19"/>
  <c r="N24" i="19"/>
  <c r="X16" i="18"/>
  <c r="W25" i="18"/>
  <c r="W23" i="18"/>
  <c r="X42" i="18"/>
  <c r="W51" i="18"/>
  <c r="W49" i="18"/>
  <c r="V69" i="18"/>
  <c r="V87" i="18" s="1"/>
  <c r="U78" i="18"/>
  <c r="U76" i="18"/>
  <c r="U14" i="15"/>
  <c r="Q7" i="15" l="1"/>
  <c r="P10" i="15"/>
  <c r="Q26" i="15"/>
  <c r="Q29" i="15" s="1"/>
  <c r="U24" i="15"/>
  <c r="U5" i="15"/>
  <c r="BJ72" i="19"/>
  <c r="BJ90" i="19" s="1"/>
  <c r="BI90" i="19"/>
  <c r="P17" i="19"/>
  <c r="O90" i="19"/>
  <c r="R16" i="15"/>
  <c r="O26" i="19"/>
  <c r="O24" i="19"/>
  <c r="N79" i="19"/>
  <c r="N81" i="19"/>
  <c r="O53" i="19"/>
  <c r="O51" i="19"/>
  <c r="W69" i="18"/>
  <c r="W87" i="18" s="1"/>
  <c r="V76" i="18"/>
  <c r="V78" i="18"/>
  <c r="Y42" i="18"/>
  <c r="X51" i="18"/>
  <c r="X49" i="18"/>
  <c r="Y16" i="18"/>
  <c r="X25" i="18"/>
  <c r="X23" i="18"/>
  <c r="V14" i="15"/>
  <c r="R26" i="15" l="1"/>
  <c r="R29" i="15" s="1"/>
  <c r="R7" i="15"/>
  <c r="Q10" i="15"/>
  <c r="R19" i="15"/>
  <c r="V24" i="15"/>
  <c r="V5" i="15"/>
  <c r="S26" i="15"/>
  <c r="S29" i="15" s="1"/>
  <c r="Q17" i="19"/>
  <c r="P90" i="19"/>
  <c r="S16" i="15"/>
  <c r="S19" i="15" s="1"/>
  <c r="P53" i="19"/>
  <c r="P51" i="19"/>
  <c r="O79" i="19"/>
  <c r="O81" i="19"/>
  <c r="P26" i="19"/>
  <c r="P24" i="19"/>
  <c r="Z16" i="18"/>
  <c r="Y25" i="18"/>
  <c r="Y23" i="18"/>
  <c r="Z42" i="18"/>
  <c r="Y51" i="18"/>
  <c r="Y49" i="18"/>
  <c r="X69" i="18"/>
  <c r="X87" i="18" s="1"/>
  <c r="W76" i="18"/>
  <c r="W78" i="18"/>
  <c r="W14" i="15"/>
  <c r="S7" i="15" l="1"/>
  <c r="R10" i="15"/>
  <c r="W24" i="15"/>
  <c r="W5" i="15"/>
  <c r="T26" i="15"/>
  <c r="T29" i="15" s="1"/>
  <c r="R17" i="19"/>
  <c r="Q90" i="19"/>
  <c r="T16" i="15"/>
  <c r="T19" i="15" s="1"/>
  <c r="Q26" i="19"/>
  <c r="Q24" i="19"/>
  <c r="P79" i="19"/>
  <c r="P81" i="19"/>
  <c r="Q53" i="19"/>
  <c r="Q51" i="19"/>
  <c r="Y69" i="18"/>
  <c r="Y87" i="18" s="1"/>
  <c r="X76" i="18"/>
  <c r="X78" i="18"/>
  <c r="AA42" i="18"/>
  <c r="Z51" i="18"/>
  <c r="Z49" i="18"/>
  <c r="AA16" i="18"/>
  <c r="Z25" i="18"/>
  <c r="Z23" i="18"/>
  <c r="X14" i="15"/>
  <c r="T7" i="15" l="1"/>
  <c r="S10" i="15"/>
  <c r="X24" i="15"/>
  <c r="X5" i="15"/>
  <c r="U26" i="15"/>
  <c r="U29" i="15" s="1"/>
  <c r="S17" i="19"/>
  <c r="R90" i="19"/>
  <c r="U16" i="15"/>
  <c r="U19" i="15" s="1"/>
  <c r="R53" i="19"/>
  <c r="R51" i="19"/>
  <c r="Q79" i="19"/>
  <c r="Q81" i="19"/>
  <c r="R26" i="19"/>
  <c r="R24" i="19"/>
  <c r="AB16" i="18"/>
  <c r="AA25" i="18"/>
  <c r="AA23" i="18"/>
  <c r="AB42" i="18"/>
  <c r="AA51" i="18"/>
  <c r="AA49" i="18"/>
  <c r="Z69" i="18"/>
  <c r="Z87" i="18" s="1"/>
  <c r="Y76" i="18"/>
  <c r="Y78" i="18"/>
  <c r="Y14" i="15"/>
  <c r="U7" i="15" l="1"/>
  <c r="T10" i="15"/>
  <c r="Y24" i="15"/>
  <c r="Y5" i="15"/>
  <c r="V26" i="15"/>
  <c r="V29" i="15" s="1"/>
  <c r="T17" i="19"/>
  <c r="S90" i="19"/>
  <c r="V16" i="15"/>
  <c r="V19" i="15" s="1"/>
  <c r="S26" i="19"/>
  <c r="S24" i="19"/>
  <c r="R79" i="19"/>
  <c r="R81" i="19"/>
  <c r="S53" i="19"/>
  <c r="S51" i="19"/>
  <c r="AA69" i="18"/>
  <c r="AA87" i="18" s="1"/>
  <c r="Z78" i="18"/>
  <c r="Z76" i="18"/>
  <c r="AC42" i="18"/>
  <c r="AB51" i="18"/>
  <c r="AB49" i="18"/>
  <c r="AC16" i="18"/>
  <c r="AB25" i="18"/>
  <c r="AB23" i="18"/>
  <c r="Z14" i="15"/>
  <c r="V7" i="15" l="1"/>
  <c r="U10" i="15"/>
  <c r="Z24" i="15"/>
  <c r="Z5" i="15"/>
  <c r="W26" i="15"/>
  <c r="W29" i="15" s="1"/>
  <c r="U17" i="19"/>
  <c r="T90" i="19"/>
  <c r="W16" i="15"/>
  <c r="W19" i="15" s="1"/>
  <c r="T53" i="19"/>
  <c r="T51" i="19"/>
  <c r="S81" i="19"/>
  <c r="S79" i="19"/>
  <c r="T26" i="19"/>
  <c r="T24" i="19"/>
  <c r="AD16" i="18"/>
  <c r="AC25" i="18"/>
  <c r="AC23" i="18"/>
  <c r="AD42" i="18"/>
  <c r="AC51" i="18"/>
  <c r="AC49" i="18"/>
  <c r="AB69" i="18"/>
  <c r="AB87" i="18" s="1"/>
  <c r="AA78" i="18"/>
  <c r="AA76" i="18"/>
  <c r="AA14" i="15"/>
  <c r="W7" i="15" l="1"/>
  <c r="V10" i="15"/>
  <c r="AA24" i="15"/>
  <c r="AA5" i="15"/>
  <c r="X26" i="15"/>
  <c r="X29" i="15" s="1"/>
  <c r="V17" i="19"/>
  <c r="U90" i="19"/>
  <c r="X16" i="15"/>
  <c r="X19" i="15" s="1"/>
  <c r="U26" i="19"/>
  <c r="U24" i="19"/>
  <c r="T79" i="19"/>
  <c r="T81" i="19"/>
  <c r="U53" i="19"/>
  <c r="U51" i="19"/>
  <c r="AC69" i="18"/>
  <c r="AC87" i="18" s="1"/>
  <c r="AB78" i="18"/>
  <c r="AB76" i="18"/>
  <c r="AE42" i="18"/>
  <c r="AD51" i="18"/>
  <c r="AD49" i="18"/>
  <c r="AE16" i="18"/>
  <c r="AD25" i="18"/>
  <c r="AD23" i="18"/>
  <c r="AB14" i="15"/>
  <c r="X7" i="15" l="1"/>
  <c r="W10" i="15"/>
  <c r="AB24" i="15"/>
  <c r="AB5" i="15"/>
  <c r="Y26" i="15"/>
  <c r="Y29" i="15" s="1"/>
  <c r="W17" i="19"/>
  <c r="V90" i="19"/>
  <c r="Y16" i="15"/>
  <c r="Y19" i="15" s="1"/>
  <c r="V53" i="19"/>
  <c r="V51" i="19"/>
  <c r="U79" i="19"/>
  <c r="U81" i="19"/>
  <c r="V26" i="19"/>
  <c r="V24" i="19"/>
  <c r="AF16" i="18"/>
  <c r="AE25" i="18"/>
  <c r="AE23" i="18"/>
  <c r="AF42" i="18"/>
  <c r="AE51" i="18"/>
  <c r="AE49" i="18"/>
  <c r="AD69" i="18"/>
  <c r="AD87" i="18" s="1"/>
  <c r="AC76" i="18"/>
  <c r="AC78" i="18"/>
  <c r="AC14" i="15"/>
  <c r="Y7" i="15" l="1"/>
  <c r="X10" i="15"/>
  <c r="AC24" i="15"/>
  <c r="AC5" i="15"/>
  <c r="Z26" i="15"/>
  <c r="Z29" i="15" s="1"/>
  <c r="X17" i="19"/>
  <c r="W90" i="19"/>
  <c r="Z16" i="15"/>
  <c r="Z19" i="15" s="1"/>
  <c r="W26" i="19"/>
  <c r="W24" i="19"/>
  <c r="V79" i="19"/>
  <c r="V81" i="19"/>
  <c r="W53" i="19"/>
  <c r="W51" i="19"/>
  <c r="AE69" i="18"/>
  <c r="AE87" i="18" s="1"/>
  <c r="AD76" i="18"/>
  <c r="AD78" i="18"/>
  <c r="AG42" i="18"/>
  <c r="AF49" i="18"/>
  <c r="AF51" i="18"/>
  <c r="AG16" i="18"/>
  <c r="AF25" i="18"/>
  <c r="AF23" i="18"/>
  <c r="AD14" i="15"/>
  <c r="Z7" i="15" l="1"/>
  <c r="Y10" i="15"/>
  <c r="AD24" i="15"/>
  <c r="AD5" i="15"/>
  <c r="AA26" i="15"/>
  <c r="AA29" i="15" s="1"/>
  <c r="Y17" i="19"/>
  <c r="X90" i="19"/>
  <c r="AA16" i="15"/>
  <c r="AA19" i="15" s="1"/>
  <c r="X53" i="19"/>
  <c r="X51" i="19"/>
  <c r="W79" i="19"/>
  <c r="W81" i="19"/>
  <c r="X26" i="19"/>
  <c r="X24" i="19"/>
  <c r="AH16" i="18"/>
  <c r="AG25" i="18"/>
  <c r="AG23" i="18"/>
  <c r="AH42" i="18"/>
  <c r="AG51" i="18"/>
  <c r="AG49" i="18"/>
  <c r="AF69" i="18"/>
  <c r="AF87" i="18" s="1"/>
  <c r="AE76" i="18"/>
  <c r="AE78" i="18"/>
  <c r="AE14" i="15"/>
  <c r="AA7" i="15" l="1"/>
  <c r="Z10" i="15"/>
  <c r="AE24" i="15"/>
  <c r="AE5" i="15"/>
  <c r="AB26" i="15"/>
  <c r="AB29" i="15" s="1"/>
  <c r="Z17" i="19"/>
  <c r="Y90" i="19"/>
  <c r="AB16" i="15"/>
  <c r="AB19" i="15" s="1"/>
  <c r="Y26" i="19"/>
  <c r="Y24" i="19"/>
  <c r="X79" i="19"/>
  <c r="X81" i="19"/>
  <c r="Y53" i="19"/>
  <c r="Y51" i="19"/>
  <c r="AG69" i="18"/>
  <c r="AG87" i="18" s="1"/>
  <c r="AF76" i="18"/>
  <c r="AF78" i="18"/>
  <c r="AI42" i="18"/>
  <c r="AH51" i="18"/>
  <c r="AH49" i="18"/>
  <c r="AI16" i="18"/>
  <c r="AH25" i="18"/>
  <c r="AH23" i="18"/>
  <c r="AF14" i="15"/>
  <c r="AB7" i="15" l="1"/>
  <c r="AA10" i="15"/>
  <c r="AF24" i="15"/>
  <c r="AF5" i="15"/>
  <c r="AC26" i="15"/>
  <c r="AC29" i="15" s="1"/>
  <c r="AA17" i="19"/>
  <c r="Z90" i="19"/>
  <c r="AC16" i="15"/>
  <c r="AC19" i="15" s="1"/>
  <c r="Z53" i="19"/>
  <c r="Z51" i="19"/>
  <c r="Y79" i="19"/>
  <c r="Y81" i="19"/>
  <c r="Z26" i="19"/>
  <c r="Z24" i="19"/>
  <c r="AJ16" i="18"/>
  <c r="AI25" i="18"/>
  <c r="AI23" i="18"/>
  <c r="AJ42" i="18"/>
  <c r="AI51" i="18"/>
  <c r="AI49" i="18"/>
  <c r="AH69" i="18"/>
  <c r="AH87" i="18" s="1"/>
  <c r="AG76" i="18"/>
  <c r="AG78" i="18"/>
  <c r="AG14" i="15"/>
  <c r="AC7" i="15" l="1"/>
  <c r="AB10" i="15"/>
  <c r="AG24" i="15"/>
  <c r="AG5" i="15"/>
  <c r="AD26" i="15"/>
  <c r="AD29" i="15" s="1"/>
  <c r="AB17" i="19"/>
  <c r="AA90" i="19"/>
  <c r="AD16" i="15"/>
  <c r="AD19" i="15" s="1"/>
  <c r="AA26" i="19"/>
  <c r="AA24" i="19"/>
  <c r="Z79" i="19"/>
  <c r="Z81" i="19"/>
  <c r="AA53" i="19"/>
  <c r="AA51" i="19"/>
  <c r="AI69" i="18"/>
  <c r="AI87" i="18" s="1"/>
  <c r="AH78" i="18"/>
  <c r="AH76" i="18"/>
  <c r="AK42" i="18"/>
  <c r="AJ51" i="18"/>
  <c r="AJ49" i="18"/>
  <c r="AK16" i="18"/>
  <c r="AJ25" i="18"/>
  <c r="AJ23" i="18"/>
  <c r="AH14" i="15"/>
  <c r="AD7" i="15" l="1"/>
  <c r="AC10" i="15"/>
  <c r="AH24" i="15"/>
  <c r="AH5" i="15"/>
  <c r="AE26" i="15"/>
  <c r="AE29" i="15" s="1"/>
  <c r="AC17" i="19"/>
  <c r="AB90" i="19"/>
  <c r="AE16" i="15"/>
  <c r="AE19" i="15" s="1"/>
  <c r="AB53" i="19"/>
  <c r="AB51" i="19"/>
  <c r="AA81" i="19"/>
  <c r="AA79" i="19"/>
  <c r="AB26" i="19"/>
  <c r="AB24" i="19"/>
  <c r="AL16" i="18"/>
  <c r="AK25" i="18"/>
  <c r="AK23" i="18"/>
  <c r="AL42" i="18"/>
  <c r="AK51" i="18"/>
  <c r="AK49" i="18"/>
  <c r="AJ69" i="18"/>
  <c r="AJ87" i="18" s="1"/>
  <c r="AI76" i="18"/>
  <c r="AI78" i="18"/>
  <c r="AI14" i="15"/>
  <c r="AE7" i="15" l="1"/>
  <c r="AD10" i="15"/>
  <c r="AI24" i="15"/>
  <c r="AI5" i="15"/>
  <c r="AF26" i="15"/>
  <c r="AF29" i="15" s="1"/>
  <c r="AD17" i="19"/>
  <c r="AC90" i="19"/>
  <c r="AF16" i="15"/>
  <c r="AF19" i="15" s="1"/>
  <c r="AC26" i="19"/>
  <c r="AC24" i="19"/>
  <c r="AB81" i="19"/>
  <c r="AB79" i="19"/>
  <c r="AC53" i="19"/>
  <c r="AC51" i="19"/>
  <c r="AK69" i="18"/>
  <c r="AK87" i="18" s="1"/>
  <c r="AJ78" i="18"/>
  <c r="AJ76" i="18"/>
  <c r="AM42" i="18"/>
  <c r="AL51" i="18"/>
  <c r="AL49" i="18"/>
  <c r="AM16" i="18"/>
  <c r="AL25" i="18"/>
  <c r="AL23" i="18"/>
  <c r="AJ14" i="15"/>
  <c r="AF7" i="15" l="1"/>
  <c r="AE10" i="15"/>
  <c r="AJ24" i="15"/>
  <c r="AJ5" i="15"/>
  <c r="AG26" i="15"/>
  <c r="AG29" i="15" s="1"/>
  <c r="AE17" i="19"/>
  <c r="AD90" i="19"/>
  <c r="AG16" i="15"/>
  <c r="AG19" i="15" s="1"/>
  <c r="AD53" i="19"/>
  <c r="AD51" i="19"/>
  <c r="AC81" i="19"/>
  <c r="AC79" i="19"/>
  <c r="AD26" i="19"/>
  <c r="AD24" i="19"/>
  <c r="AN16" i="18"/>
  <c r="AM25" i="18"/>
  <c r="AM23" i="18"/>
  <c r="AN42" i="18"/>
  <c r="AM51" i="18"/>
  <c r="AM49" i="18"/>
  <c r="AL69" i="18"/>
  <c r="AL87" i="18" s="1"/>
  <c r="AK78" i="18"/>
  <c r="AK76" i="18"/>
  <c r="AK14" i="15"/>
  <c r="AG7" i="15" l="1"/>
  <c r="AF10" i="15"/>
  <c r="AK24" i="15"/>
  <c r="AK5" i="15"/>
  <c r="AH26" i="15"/>
  <c r="AH29" i="15" s="1"/>
  <c r="AF17" i="19"/>
  <c r="AE90" i="19"/>
  <c r="AH16" i="15"/>
  <c r="AH19" i="15" s="1"/>
  <c r="AE26" i="19"/>
  <c r="AE24" i="19"/>
  <c r="AD81" i="19"/>
  <c r="AD79" i="19"/>
  <c r="AE53" i="19"/>
  <c r="AE51" i="19"/>
  <c r="AM69" i="18"/>
  <c r="AM87" i="18" s="1"/>
  <c r="AL76" i="18"/>
  <c r="AL78" i="18"/>
  <c r="AO42" i="18"/>
  <c r="AN51" i="18"/>
  <c r="AN49" i="18"/>
  <c r="AO16" i="18"/>
  <c r="AN25" i="18"/>
  <c r="AN23" i="18"/>
  <c r="AL14" i="15"/>
  <c r="AH7" i="15" l="1"/>
  <c r="AG10" i="15"/>
  <c r="AL24" i="15"/>
  <c r="AL5" i="15"/>
  <c r="AI26" i="15"/>
  <c r="AI29" i="15" s="1"/>
  <c r="AG17" i="19"/>
  <c r="AF90" i="19"/>
  <c r="AI16" i="15"/>
  <c r="AI19" i="15" s="1"/>
  <c r="AF53" i="19"/>
  <c r="AF51" i="19"/>
  <c r="AE79" i="19"/>
  <c r="AE81" i="19"/>
  <c r="AF26" i="19"/>
  <c r="AF24" i="19"/>
  <c r="AP16" i="18"/>
  <c r="AO25" i="18"/>
  <c r="AO23" i="18"/>
  <c r="AP42" i="18"/>
  <c r="AO51" i="18"/>
  <c r="AO49" i="18"/>
  <c r="AN69" i="18"/>
  <c r="AN87" i="18" s="1"/>
  <c r="AM76" i="18"/>
  <c r="AM78" i="18"/>
  <c r="AM14" i="15"/>
  <c r="AI7" i="15" l="1"/>
  <c r="AH10" i="15"/>
  <c r="AM24" i="15"/>
  <c r="AM5" i="15"/>
  <c r="AJ26" i="15"/>
  <c r="AJ29" i="15" s="1"/>
  <c r="AH17" i="19"/>
  <c r="AG90" i="19"/>
  <c r="AJ16" i="15"/>
  <c r="AJ19" i="15" s="1"/>
  <c r="AG26" i="19"/>
  <c r="AG24" i="19"/>
  <c r="AF81" i="19"/>
  <c r="AF79" i="19"/>
  <c r="AG53" i="19"/>
  <c r="AG51" i="19"/>
  <c r="AO69" i="18"/>
  <c r="AO87" i="18" s="1"/>
  <c r="AN78" i="18"/>
  <c r="AN76" i="18"/>
  <c r="AQ42" i="18"/>
  <c r="AP51" i="18"/>
  <c r="AP49" i="18"/>
  <c r="AQ16" i="18"/>
  <c r="AP25" i="18"/>
  <c r="AP23" i="18"/>
  <c r="AN14" i="15"/>
  <c r="AJ7" i="15" l="1"/>
  <c r="AI10" i="15"/>
  <c r="AN24" i="15"/>
  <c r="AN5" i="15"/>
  <c r="AK26" i="15"/>
  <c r="AK29" i="15" s="1"/>
  <c r="AI17" i="19"/>
  <c r="AH90" i="19"/>
  <c r="AK16" i="15"/>
  <c r="AK19" i="15" s="1"/>
  <c r="AH53" i="19"/>
  <c r="AH51" i="19"/>
  <c r="AG79" i="19"/>
  <c r="AG81" i="19"/>
  <c r="AH26" i="19"/>
  <c r="AH24" i="19"/>
  <c r="AR16" i="18"/>
  <c r="AQ25" i="18"/>
  <c r="AQ23" i="18"/>
  <c r="AR42" i="18"/>
  <c r="AQ51" i="18"/>
  <c r="AQ49" i="18"/>
  <c r="AP69" i="18"/>
  <c r="AP87" i="18" s="1"/>
  <c r="AO76" i="18"/>
  <c r="AO78" i="18"/>
  <c r="AO14" i="15"/>
  <c r="AK7" i="15" l="1"/>
  <c r="AJ10" i="15"/>
  <c r="AO24" i="15"/>
  <c r="AO5" i="15"/>
  <c r="AL26" i="15"/>
  <c r="AL29" i="15" s="1"/>
  <c r="AJ17" i="19"/>
  <c r="AI90" i="19"/>
  <c r="AL16" i="15"/>
  <c r="AL19" i="15" s="1"/>
  <c r="AI26" i="19"/>
  <c r="AI24" i="19"/>
  <c r="AH79" i="19"/>
  <c r="AH81" i="19"/>
  <c r="AI53" i="19"/>
  <c r="AI51" i="19"/>
  <c r="AQ69" i="18"/>
  <c r="AQ87" i="18" s="1"/>
  <c r="AP78" i="18"/>
  <c r="AP76" i="18"/>
  <c r="AS42" i="18"/>
  <c r="AR51" i="18"/>
  <c r="AR49" i="18"/>
  <c r="AS16" i="18"/>
  <c r="AR25" i="18"/>
  <c r="AR23" i="18"/>
  <c r="AP14" i="15"/>
  <c r="AL7" i="15" l="1"/>
  <c r="AK10" i="15"/>
  <c r="AP24" i="15"/>
  <c r="AP5" i="15"/>
  <c r="AM26" i="15"/>
  <c r="AM29" i="15" s="1"/>
  <c r="AK17" i="19"/>
  <c r="AJ90" i="19"/>
  <c r="AM16" i="15"/>
  <c r="AM19" i="15" s="1"/>
  <c r="AJ53" i="19"/>
  <c r="AJ51" i="19"/>
  <c r="AI81" i="19"/>
  <c r="AI79" i="19"/>
  <c r="AJ26" i="19"/>
  <c r="AJ24" i="19"/>
  <c r="AT16" i="18"/>
  <c r="AS25" i="18"/>
  <c r="AS23" i="18"/>
  <c r="AT42" i="18"/>
  <c r="AS51" i="18"/>
  <c r="AS49" i="18"/>
  <c r="AR69" i="18"/>
  <c r="AR87" i="18" s="1"/>
  <c r="AQ76" i="18"/>
  <c r="AQ78" i="18"/>
  <c r="AQ14" i="15"/>
  <c r="AM7" i="15" l="1"/>
  <c r="AL10" i="15"/>
  <c r="AQ24" i="15"/>
  <c r="AQ5" i="15"/>
  <c r="AN26" i="15"/>
  <c r="AN29" i="15" s="1"/>
  <c r="AL17" i="19"/>
  <c r="AK90" i="19"/>
  <c r="AN16" i="15"/>
  <c r="AN19" i="15" s="1"/>
  <c r="AK26" i="19"/>
  <c r="AK24" i="19"/>
  <c r="AJ81" i="19"/>
  <c r="AJ79" i="19"/>
  <c r="AK53" i="19"/>
  <c r="AK51" i="19"/>
  <c r="AS69" i="18"/>
  <c r="AS87" i="18" s="1"/>
  <c r="AR78" i="18"/>
  <c r="AR76" i="18"/>
  <c r="AU42" i="18"/>
  <c r="AT51" i="18"/>
  <c r="AT49" i="18"/>
  <c r="AU16" i="18"/>
  <c r="AT25" i="18"/>
  <c r="AT23" i="18"/>
  <c r="AR14" i="15"/>
  <c r="AN7" i="15" l="1"/>
  <c r="AM10" i="15"/>
  <c r="AR24" i="15"/>
  <c r="AR5" i="15"/>
  <c r="AO26" i="15"/>
  <c r="AO29" i="15" s="1"/>
  <c r="AM17" i="19"/>
  <c r="AL90" i="19"/>
  <c r="AO16" i="15"/>
  <c r="AO19" i="15" s="1"/>
  <c r="AL53" i="19"/>
  <c r="AL51" i="19"/>
  <c r="AK81" i="19"/>
  <c r="AK79" i="19"/>
  <c r="AL26" i="19"/>
  <c r="AL24" i="19"/>
  <c r="AV16" i="18"/>
  <c r="AU25" i="18"/>
  <c r="AU23" i="18"/>
  <c r="AV42" i="18"/>
  <c r="AU49" i="18"/>
  <c r="AU51" i="18"/>
  <c r="AT69" i="18"/>
  <c r="AT87" i="18" s="1"/>
  <c r="AS78" i="18"/>
  <c r="AS76" i="18"/>
  <c r="AS14" i="15"/>
  <c r="AO7" i="15" l="1"/>
  <c r="AN10" i="15"/>
  <c r="AS24" i="15"/>
  <c r="AS5" i="15"/>
  <c r="AP26" i="15"/>
  <c r="AP29" i="15" s="1"/>
  <c r="AN17" i="19"/>
  <c r="AM90" i="19"/>
  <c r="AP16" i="15"/>
  <c r="AP19" i="15" s="1"/>
  <c r="AM26" i="19"/>
  <c r="AM24" i="19"/>
  <c r="AL81" i="19"/>
  <c r="AL79" i="19"/>
  <c r="AM53" i="19"/>
  <c r="AM51" i="19"/>
  <c r="AU69" i="18"/>
  <c r="AU87" i="18" s="1"/>
  <c r="AT76" i="18"/>
  <c r="AT78" i="18"/>
  <c r="AW42" i="18"/>
  <c r="AV49" i="18"/>
  <c r="AV51" i="18"/>
  <c r="AW16" i="18"/>
  <c r="AV25" i="18"/>
  <c r="AV23" i="18"/>
  <c r="AT14" i="15"/>
  <c r="AP7" i="15" l="1"/>
  <c r="AO10" i="15"/>
  <c r="AT24" i="15"/>
  <c r="AT5" i="15"/>
  <c r="AQ26" i="15"/>
  <c r="AQ29" i="15" s="1"/>
  <c r="AO17" i="19"/>
  <c r="AN90" i="19"/>
  <c r="AQ16" i="15"/>
  <c r="AQ19" i="15" s="1"/>
  <c r="AN53" i="19"/>
  <c r="AN51" i="19"/>
  <c r="AM81" i="19"/>
  <c r="AM79" i="19"/>
  <c r="AN26" i="19"/>
  <c r="AN24" i="19"/>
  <c r="AX16" i="18"/>
  <c r="AW25" i="18"/>
  <c r="AW23" i="18"/>
  <c r="AX42" i="18"/>
  <c r="AW49" i="18"/>
  <c r="AW51" i="18"/>
  <c r="AV69" i="18"/>
  <c r="AV87" i="18" s="1"/>
  <c r="AU76" i="18"/>
  <c r="AU78" i="18"/>
  <c r="AU14" i="15"/>
  <c r="AQ7" i="15" l="1"/>
  <c r="AP10" i="15"/>
  <c r="AU24" i="15"/>
  <c r="AU5" i="15"/>
  <c r="AR26" i="15"/>
  <c r="AR29" i="15" s="1"/>
  <c r="AP17" i="19"/>
  <c r="AO90" i="19"/>
  <c r="AR16" i="15"/>
  <c r="AR19" i="15" s="1"/>
  <c r="AO26" i="19"/>
  <c r="AO24" i="19"/>
  <c r="AN79" i="19"/>
  <c r="AN81" i="19"/>
  <c r="AO53" i="19"/>
  <c r="AO51" i="19"/>
  <c r="AW69" i="18"/>
  <c r="AW87" i="18" s="1"/>
  <c r="AV78" i="18"/>
  <c r="AV76" i="18"/>
  <c r="AY42" i="18"/>
  <c r="AX51" i="18"/>
  <c r="AX49" i="18"/>
  <c r="AY16" i="18"/>
  <c r="AX25" i="18"/>
  <c r="AX23" i="18"/>
  <c r="AV14" i="15"/>
  <c r="AR7" i="15" l="1"/>
  <c r="AQ10" i="15"/>
  <c r="AV24" i="15"/>
  <c r="AV5" i="15"/>
  <c r="AS26" i="15"/>
  <c r="AS29" i="15" s="1"/>
  <c r="AQ17" i="19"/>
  <c r="AP90" i="19"/>
  <c r="AS16" i="15"/>
  <c r="AS19" i="15" s="1"/>
  <c r="AP53" i="19"/>
  <c r="AP51" i="19"/>
  <c r="AO79" i="19"/>
  <c r="AO81" i="19"/>
  <c r="AP26" i="19"/>
  <c r="AP24" i="19"/>
  <c r="AZ16" i="18"/>
  <c r="AY25" i="18"/>
  <c r="AY23" i="18"/>
  <c r="AZ42" i="18"/>
  <c r="AY51" i="18"/>
  <c r="AY49" i="18"/>
  <c r="AX69" i="18"/>
  <c r="AX87" i="18" s="1"/>
  <c r="AW78" i="18"/>
  <c r="AW76" i="18"/>
  <c r="AW14" i="15"/>
  <c r="AS7" i="15" l="1"/>
  <c r="AR10" i="15"/>
  <c r="AW24" i="15"/>
  <c r="AW5" i="15"/>
  <c r="AT26" i="15"/>
  <c r="AT29" i="15" s="1"/>
  <c r="AR17" i="19"/>
  <c r="AQ90" i="19"/>
  <c r="AT16" i="15"/>
  <c r="AT19" i="15" s="1"/>
  <c r="AQ26" i="19"/>
  <c r="AQ24" i="19"/>
  <c r="AP81" i="19"/>
  <c r="AP79" i="19"/>
  <c r="AQ53" i="19"/>
  <c r="AQ51" i="19"/>
  <c r="AY69" i="18"/>
  <c r="AY87" i="18" s="1"/>
  <c r="AX78" i="18"/>
  <c r="AX76" i="18"/>
  <c r="BA42" i="18"/>
  <c r="AZ51" i="18"/>
  <c r="AZ49" i="18"/>
  <c r="BA16" i="18"/>
  <c r="AZ25" i="18"/>
  <c r="AZ23" i="18"/>
  <c r="AX14" i="15"/>
  <c r="AT7" i="15" l="1"/>
  <c r="AS10" i="15"/>
  <c r="AX24" i="15"/>
  <c r="AX5" i="15"/>
  <c r="AU26" i="15"/>
  <c r="AU29" i="15" s="1"/>
  <c r="AS17" i="19"/>
  <c r="AR90" i="19"/>
  <c r="AU16" i="15"/>
  <c r="AU19" i="15" s="1"/>
  <c r="AR53" i="19"/>
  <c r="AR51" i="19"/>
  <c r="AQ79" i="19"/>
  <c r="AQ81" i="19"/>
  <c r="AR26" i="19"/>
  <c r="AR24" i="19"/>
  <c r="BB16" i="18"/>
  <c r="BA25" i="18"/>
  <c r="BA23" i="18"/>
  <c r="BB42" i="18"/>
  <c r="BA51" i="18"/>
  <c r="BA49" i="18"/>
  <c r="AZ69" i="18"/>
  <c r="AZ87" i="18" s="1"/>
  <c r="AY76" i="18"/>
  <c r="AY78" i="18"/>
  <c r="AY14" i="15"/>
  <c r="AU7" i="15" l="1"/>
  <c r="AT10" i="15"/>
  <c r="AY24" i="15"/>
  <c r="AY5" i="15"/>
  <c r="AV26" i="15"/>
  <c r="AV29" i="15" s="1"/>
  <c r="AT17" i="19"/>
  <c r="AS90" i="19"/>
  <c r="AV16" i="15"/>
  <c r="AV19" i="15" s="1"/>
  <c r="AS26" i="19"/>
  <c r="AS24" i="19"/>
  <c r="AR79" i="19"/>
  <c r="AR81" i="19"/>
  <c r="AS53" i="19"/>
  <c r="AS51" i="19"/>
  <c r="BA69" i="18"/>
  <c r="BA87" i="18" s="1"/>
  <c r="AZ76" i="18"/>
  <c r="AZ78" i="18"/>
  <c r="BC42" i="18"/>
  <c r="BB51" i="18"/>
  <c r="BB49" i="18"/>
  <c r="BC16" i="18"/>
  <c r="BB25" i="18"/>
  <c r="BB23" i="18"/>
  <c r="AV7" i="15" l="1"/>
  <c r="AU10" i="15"/>
  <c r="AZ24" i="15"/>
  <c r="AW26" i="15"/>
  <c r="AW29" i="15" s="1"/>
  <c r="AU17" i="19"/>
  <c r="AT90" i="19"/>
  <c r="AW16" i="15"/>
  <c r="AW19" i="15" s="1"/>
  <c r="AT53" i="19"/>
  <c r="AT51" i="19"/>
  <c r="AS79" i="19"/>
  <c r="AS81" i="19"/>
  <c r="AT26" i="19"/>
  <c r="AT24" i="19"/>
  <c r="BD16" i="18"/>
  <c r="BC25" i="18"/>
  <c r="BC23" i="18"/>
  <c r="BD42" i="18"/>
  <c r="BC51" i="18"/>
  <c r="BC49" i="18"/>
  <c r="BB69" i="18"/>
  <c r="BB87" i="18" s="1"/>
  <c r="BA76" i="18"/>
  <c r="BA78" i="18"/>
  <c r="J19" i="3"/>
  <c r="F29" i="45" s="1"/>
  <c r="AW7" i="15" l="1"/>
  <c r="AV10" i="15"/>
  <c r="AZ29" i="15"/>
  <c r="BA24" i="15"/>
  <c r="J18" i="3"/>
  <c r="F28" i="45" s="1"/>
  <c r="AX26" i="15"/>
  <c r="AX29" i="15" s="1"/>
  <c r="AV17" i="19"/>
  <c r="AU90" i="19"/>
  <c r="AX16" i="15"/>
  <c r="AX19" i="15" s="1"/>
  <c r="AT79" i="19"/>
  <c r="AT81" i="19"/>
  <c r="AU26" i="19"/>
  <c r="AU24" i="19"/>
  <c r="AU53" i="19"/>
  <c r="AU51" i="19"/>
  <c r="BC69" i="18"/>
  <c r="BC87" i="18" s="1"/>
  <c r="BB78" i="18"/>
  <c r="BB76" i="18"/>
  <c r="BE42" i="18"/>
  <c r="BD51" i="18"/>
  <c r="BD49" i="18"/>
  <c r="BE16" i="18"/>
  <c r="BD25" i="18"/>
  <c r="BD23" i="18"/>
  <c r="AX7" i="15" l="1"/>
  <c r="AW10" i="15"/>
  <c r="BA29" i="15"/>
  <c r="BB24" i="15"/>
  <c r="AY26" i="15"/>
  <c r="AY29" i="15" s="1"/>
  <c r="AW17" i="19"/>
  <c r="AV90" i="19"/>
  <c r="AY16" i="15"/>
  <c r="AV53" i="19"/>
  <c r="AV51" i="19"/>
  <c r="AV26" i="19"/>
  <c r="AV24" i="19"/>
  <c r="AU79" i="19"/>
  <c r="AU81" i="19"/>
  <c r="BF16" i="18"/>
  <c r="BE25" i="18"/>
  <c r="BE23" i="18"/>
  <c r="BF42" i="18"/>
  <c r="BE51" i="18"/>
  <c r="BE49" i="18"/>
  <c r="BD69" i="18"/>
  <c r="BD87" i="18" s="1"/>
  <c r="BC78" i="18"/>
  <c r="BC76" i="18"/>
  <c r="AY7" i="15" l="1"/>
  <c r="AX10" i="15"/>
  <c r="AY19" i="15"/>
  <c r="F4" i="3"/>
  <c r="BB29" i="15"/>
  <c r="BC24" i="15"/>
  <c r="O5" i="3"/>
  <c r="N20" i="3" s="1"/>
  <c r="G30" i="45" s="1"/>
  <c r="AX17" i="19"/>
  <c r="AW90" i="19"/>
  <c r="AV79" i="19"/>
  <c r="AV81" i="19"/>
  <c r="AW26" i="19"/>
  <c r="AW24" i="19"/>
  <c r="AW53" i="19"/>
  <c r="AW51" i="19"/>
  <c r="BE69" i="18"/>
  <c r="BE87" i="18" s="1"/>
  <c r="BD76" i="18"/>
  <c r="BD78" i="18"/>
  <c r="BG42" i="18"/>
  <c r="BF51" i="18"/>
  <c r="BF49" i="18"/>
  <c r="BG16" i="18"/>
  <c r="BF25" i="18"/>
  <c r="BF23" i="18"/>
  <c r="O3" i="3" l="1"/>
  <c r="AY10" i="15"/>
  <c r="BC29" i="15"/>
  <c r="BD24" i="15"/>
  <c r="AY17" i="19"/>
  <c r="AX90" i="19"/>
  <c r="O6" i="3"/>
  <c r="N19" i="3"/>
  <c r="G29" i="45" s="1"/>
  <c r="AX53" i="19"/>
  <c r="AX51" i="19"/>
  <c r="AX26" i="19"/>
  <c r="AX24" i="19"/>
  <c r="AW79" i="19"/>
  <c r="AW81" i="19"/>
  <c r="BH16" i="18"/>
  <c r="BG25" i="18"/>
  <c r="BG23" i="18"/>
  <c r="BH42" i="18"/>
  <c r="BG51" i="18"/>
  <c r="BG49" i="18"/>
  <c r="BF69" i="18"/>
  <c r="BF87" i="18" s="1"/>
  <c r="BE76" i="18"/>
  <c r="BE78" i="18"/>
  <c r="N18" i="3" l="1"/>
  <c r="G28" i="45" s="1"/>
  <c r="F3" i="3"/>
  <c r="BD29" i="15"/>
  <c r="BE24" i="15"/>
  <c r="AZ17" i="19"/>
  <c r="AY90" i="19"/>
  <c r="AX81" i="19"/>
  <c r="AX79" i="19"/>
  <c r="AY26" i="19"/>
  <c r="AY24" i="19"/>
  <c r="AY53" i="19"/>
  <c r="AY51" i="19"/>
  <c r="BG69" i="18"/>
  <c r="BG87" i="18" s="1"/>
  <c r="BF76" i="18"/>
  <c r="BF78" i="18"/>
  <c r="BI42" i="18"/>
  <c r="BH51" i="18"/>
  <c r="BH49" i="18"/>
  <c r="BI16" i="18"/>
  <c r="BH25" i="18"/>
  <c r="BH23" i="18"/>
  <c r="N21" i="3" l="1"/>
  <c r="G31" i="45" s="1"/>
  <c r="BE29" i="15"/>
  <c r="BF24" i="15"/>
  <c r="BA17" i="19"/>
  <c r="AZ90" i="19"/>
  <c r="AZ53" i="19"/>
  <c r="AZ51" i="19"/>
  <c r="AZ26" i="19"/>
  <c r="AZ24" i="19"/>
  <c r="AY81" i="19"/>
  <c r="AY79" i="19"/>
  <c r="BJ16" i="18"/>
  <c r="BI25" i="18"/>
  <c r="BI23" i="18"/>
  <c r="BJ42" i="18"/>
  <c r="M4" i="3" s="1"/>
  <c r="BI51" i="18"/>
  <c r="BI49" i="18"/>
  <c r="BH69" i="18"/>
  <c r="BH87" i="18" s="1"/>
  <c r="BG76" i="18"/>
  <c r="BG78" i="18"/>
  <c r="E4" i="3" l="1"/>
  <c r="D4" i="45" s="1"/>
  <c r="H4" i="45"/>
  <c r="BF29" i="15"/>
  <c r="BG24" i="15"/>
  <c r="BA90" i="19"/>
  <c r="AZ81" i="19"/>
  <c r="AZ79" i="19"/>
  <c r="BA26" i="19"/>
  <c r="BA24" i="19"/>
  <c r="M10" i="3"/>
  <c r="BA53" i="19"/>
  <c r="BA51" i="19"/>
  <c r="M11" i="3"/>
  <c r="H11" i="45" s="1"/>
  <c r="BI69" i="18"/>
  <c r="BI87" i="18" s="1"/>
  <c r="BH78" i="18"/>
  <c r="BH76" i="18"/>
  <c r="BJ51" i="18"/>
  <c r="BJ49" i="18"/>
  <c r="BL16" i="18"/>
  <c r="BJ25" i="18"/>
  <c r="BJ23" i="18"/>
  <c r="E10" i="3" l="1"/>
  <c r="D10" i="45" s="1"/>
  <c r="H10" i="45"/>
  <c r="BG29" i="15"/>
  <c r="BH24" i="15"/>
  <c r="BH29" i="15" s="1"/>
  <c r="E11" i="3"/>
  <c r="D11" i="45" s="1"/>
  <c r="BA79" i="19"/>
  <c r="BA81" i="19"/>
  <c r="BM16" i="18"/>
  <c r="BL25" i="18"/>
  <c r="BL23" i="18"/>
  <c r="M19" i="3"/>
  <c r="D29" i="45" s="1"/>
  <c r="BJ69" i="18"/>
  <c r="BJ87" i="18" s="1"/>
  <c r="BI78" i="18"/>
  <c r="BI76" i="18"/>
  <c r="J20" i="3" l="1"/>
  <c r="G19" i="3"/>
  <c r="C18" i="45" s="1"/>
  <c r="E18" i="45" s="1"/>
  <c r="BN16" i="18"/>
  <c r="BN87" i="18" s="1"/>
  <c r="BM25" i="18"/>
  <c r="BM23" i="18"/>
  <c r="BB79" i="19"/>
  <c r="BB81" i="19"/>
  <c r="BK69" i="18"/>
  <c r="BK87" i="18" s="1"/>
  <c r="BJ76" i="18"/>
  <c r="BJ78" i="18"/>
  <c r="J21" i="3" l="1"/>
  <c r="F31" i="45" s="1"/>
  <c r="F30" i="45"/>
  <c r="F5" i="3"/>
  <c r="F6" i="3" s="1"/>
  <c r="K6" i="3"/>
  <c r="P19" i="3"/>
  <c r="BC79" i="19"/>
  <c r="BC81" i="19"/>
  <c r="BO16" i="18"/>
  <c r="BO87" i="18" s="1"/>
  <c r="BN25" i="18"/>
  <c r="BN23" i="18"/>
  <c r="BL69" i="18"/>
  <c r="BL87" i="18" s="1"/>
  <c r="BK76" i="18"/>
  <c r="BK78" i="18"/>
  <c r="BP16" i="18" l="1"/>
  <c r="BP87" i="18" s="1"/>
  <c r="BO25" i="18"/>
  <c r="BO23" i="18"/>
  <c r="BD79" i="19"/>
  <c r="BD81" i="19"/>
  <c r="BM69" i="18"/>
  <c r="BL76" i="18"/>
  <c r="BL78" i="18"/>
  <c r="M5" i="3" l="1"/>
  <c r="BM87" i="18"/>
  <c r="BE81" i="19"/>
  <c r="BE79" i="19"/>
  <c r="BQ16" i="18"/>
  <c r="BQ87" i="18" s="1"/>
  <c r="BP25" i="18"/>
  <c r="BP23" i="18"/>
  <c r="BM78" i="18"/>
  <c r="BM76" i="18"/>
  <c r="E5" i="3" l="1"/>
  <c r="D5" i="45" s="1"/>
  <c r="H5" i="45"/>
  <c r="BQ25" i="18"/>
  <c r="BQ23" i="18"/>
  <c r="M3" i="3"/>
  <c r="BF79" i="19"/>
  <c r="BF81" i="19"/>
  <c r="E3" i="3" l="1"/>
  <c r="H3" i="45"/>
  <c r="BG79" i="19"/>
  <c r="BG81" i="19"/>
  <c r="M18" i="3"/>
  <c r="D28" i="45" s="1"/>
  <c r="M6" i="3"/>
  <c r="H6" i="45" s="1"/>
  <c r="E6" i="3" l="1"/>
  <c r="D6" i="45" s="1"/>
  <c r="D3" i="45"/>
  <c r="G18" i="3"/>
  <c r="C17" i="45" s="1"/>
  <c r="E17" i="45" s="1"/>
  <c r="BH79" i="19"/>
  <c r="BH81" i="19"/>
  <c r="BI81" i="19" l="1"/>
  <c r="BI79" i="19"/>
  <c r="P18" i="3"/>
  <c r="BK81" i="19" l="1"/>
  <c r="BK79" i="19"/>
  <c r="BJ81" i="19"/>
  <c r="BJ79" i="19"/>
  <c r="M12" i="3"/>
  <c r="H12" i="45" s="1"/>
  <c r="M13" i="3" l="1"/>
  <c r="H13" i="45" s="1"/>
  <c r="E12" i="3"/>
  <c r="BL81" i="19"/>
  <c r="BL79" i="19"/>
  <c r="F13" i="3"/>
  <c r="M20" i="3"/>
  <c r="D30" i="45" s="1"/>
  <c r="E13" i="3" l="1"/>
  <c r="D13" i="45" s="1"/>
  <c r="D12" i="45"/>
  <c r="G20" i="3"/>
  <c r="C19" i="45" s="1"/>
  <c r="E19" i="45" s="1"/>
  <c r="BM81" i="19"/>
  <c r="BM79" i="19"/>
  <c r="M21" i="3"/>
  <c r="D31" i="45" s="1"/>
  <c r="BN81" i="19" l="1"/>
  <c r="BN79" i="19"/>
  <c r="P20" i="3"/>
  <c r="G21" i="3"/>
  <c r="C20" i="45" s="1"/>
  <c r="E20" i="45" s="1"/>
  <c r="BO81" i="19" l="1"/>
  <c r="BO79" i="19"/>
  <c r="P21" i="3"/>
  <c r="BP81" i="19" l="1"/>
  <c r="BP79" i="19"/>
  <c r="BQ81" i="19" l="1"/>
  <c r="BQ79" i="19"/>
  <c r="E55" i="8" l="1"/>
  <c r="D55" i="8" l="1"/>
  <c r="F55" i="8"/>
  <c r="G54" i="8"/>
  <c r="H54" i="8" l="1"/>
  <c r="G55" i="8"/>
  <c r="I54" i="8" l="1"/>
  <c r="H55" i="8"/>
  <c r="J54" i="8" l="1"/>
  <c r="I55" i="8"/>
  <c r="K54" i="8" l="1"/>
  <c r="J55" i="8"/>
  <c r="L54" i="8" l="1"/>
  <c r="K55" i="8"/>
  <c r="M54" i="8" l="1"/>
  <c r="L55" i="8"/>
  <c r="N54" i="8" l="1"/>
  <c r="M55" i="8"/>
  <c r="O54" i="8" l="1"/>
  <c r="N55" i="8"/>
  <c r="P54" i="8" l="1"/>
  <c r="O55" i="8"/>
  <c r="Q54" i="8" l="1"/>
  <c r="P55" i="8"/>
  <c r="Q55" i="8" l="1"/>
  <c r="R54" i="8"/>
  <c r="S54" i="8" l="1"/>
  <c r="R55" i="8"/>
  <c r="T54" i="8" l="1"/>
  <c r="S55" i="8"/>
  <c r="U54" i="8" l="1"/>
  <c r="T55" i="8"/>
  <c r="V54" i="8" l="1"/>
  <c r="U55" i="8"/>
  <c r="W54" i="8" l="1"/>
  <c r="V55" i="8"/>
  <c r="X54" i="8" l="1"/>
  <c r="W55" i="8"/>
  <c r="X55" i="8" l="1"/>
  <c r="Y55" i="8" l="1"/>
  <c r="D27" i="3"/>
  <c r="G27" i="3" l="1"/>
  <c r="B24" i="45"/>
  <c r="D24" i="4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Andy Eiden</author>
  </authors>
  <commentList>
    <comment ref="CJ1" authorId="0" shapeId="0" xr:uid="{43C4A7A4-2B33-4391-8B2A-B56B772DD243}">
      <text>
        <r>
          <rPr>
            <b/>
            <sz val="9"/>
            <color indexed="81"/>
            <rFont val="Tahoma"/>
            <family val="2"/>
          </rPr>
          <t>Andy Eiden:</t>
        </r>
        <r>
          <rPr>
            <sz val="9"/>
            <color indexed="81"/>
            <rFont val="Tahoma"/>
            <family val="2"/>
          </rPr>
          <t xml:space="preserve">
Taking Mitigation Scenario and scaling benefit by the % mitigated</t>
        </r>
      </text>
    </comment>
    <comment ref="CT1" authorId="0" shapeId="0" xr:uid="{0DF05509-8FBD-4C17-A29E-2C19BA2F4B04}">
      <text>
        <r>
          <rPr>
            <b/>
            <sz val="9"/>
            <color indexed="81"/>
            <rFont val="Tahoma"/>
            <family val="2"/>
          </rPr>
          <t>Andy Eiden:</t>
        </r>
        <r>
          <rPr>
            <sz val="9"/>
            <color indexed="81"/>
            <rFont val="Tahoma"/>
            <family val="2"/>
          </rPr>
          <t xml:space="preserve">
Taking Mitigation Scenario and scaling benefit by the % mitigated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Andy Eiden</author>
  </authors>
  <commentList>
    <comment ref="P3" authorId="0" shapeId="0" xr:uid="{D878B786-007A-481C-AADD-147451D0EA86}">
      <text>
        <r>
          <rPr>
            <b/>
            <sz val="9"/>
            <color indexed="81"/>
            <rFont val="Tahoma"/>
            <family val="2"/>
          </rPr>
          <t>Andy Eiden:</t>
        </r>
        <r>
          <rPr>
            <sz val="9"/>
            <color indexed="81"/>
            <rFont val="Tahoma"/>
            <family val="2"/>
          </rPr>
          <t xml:space="preserve">
Only count one feeder backup value per feeder</t>
        </r>
      </text>
    </comment>
    <comment ref="AG16" authorId="0" shapeId="0" xr:uid="{05697A21-EEB1-48F8-B528-8B5C7281FD92}">
      <text>
        <r>
          <rPr>
            <b/>
            <sz val="9"/>
            <color indexed="81"/>
            <rFont val="Tahoma"/>
            <family val="2"/>
          </rPr>
          <t>Andy Eiden:</t>
        </r>
        <r>
          <rPr>
            <sz val="9"/>
            <color indexed="81"/>
            <rFont val="Tahoma"/>
            <family val="2"/>
          </rPr>
          <t xml:space="preserve">
De-rated by 50% because of substation size limitations. </t>
        </r>
      </text>
    </comment>
    <comment ref="AH16" authorId="0" shapeId="0" xr:uid="{84BD2FD6-2E0A-417D-87A9-F814F1B75DB0}">
      <text>
        <r>
          <rPr>
            <b/>
            <sz val="9"/>
            <color indexed="81"/>
            <rFont val="Tahoma"/>
            <family val="2"/>
          </rPr>
          <t>Andy Eiden:</t>
        </r>
        <r>
          <rPr>
            <sz val="9"/>
            <color indexed="81"/>
            <rFont val="Tahoma"/>
            <family val="2"/>
          </rPr>
          <t xml:space="preserve">
De-rated by 50% because of substation size limitations.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Andy Eiden</author>
  </authors>
  <commentList>
    <comment ref="K17" authorId="0" shapeId="0" xr:uid="{71CA8E1A-32AA-4602-941E-65EEFEFF38FC}">
      <text>
        <r>
          <rPr>
            <b/>
            <sz val="9"/>
            <color indexed="81"/>
            <rFont val="Tahoma"/>
            <family val="2"/>
          </rPr>
          <t>Andy Eiden:</t>
        </r>
        <r>
          <rPr>
            <sz val="9"/>
            <color indexed="81"/>
            <rFont val="Tahoma"/>
            <family val="2"/>
          </rPr>
          <t xml:space="preserve">
Adjusting the EJ-G7 remaining outages for feeder backup by ratio of estimated post FY26 projects to baseline outage data.</t>
        </r>
      </text>
    </comment>
    <comment ref="L17" authorId="0" shapeId="0" xr:uid="{499EC3DB-3211-455F-BFB2-E27AB9A831D4}">
      <text>
        <r>
          <rPr>
            <b/>
            <sz val="9"/>
            <color indexed="81"/>
            <rFont val="Tahoma"/>
            <family val="2"/>
          </rPr>
          <t>Andy Eiden:</t>
        </r>
        <r>
          <rPr>
            <sz val="9"/>
            <color indexed="81"/>
            <rFont val="Tahoma"/>
            <family val="2"/>
          </rPr>
          <t xml:space="preserve">
For EJ-G7 we are only capturing the remaining the post-mitigation expected annual outages. 
</t>
        </r>
      </text>
    </comment>
    <comment ref="G24" authorId="0" shapeId="0" xr:uid="{F55F3ABB-DB4A-413F-BA75-ADE518D12F3B}">
      <text>
        <r>
          <rPr>
            <b/>
            <sz val="9"/>
            <color indexed="81"/>
            <rFont val="Tahoma"/>
            <family val="2"/>
          </rPr>
          <t>Andy Eiden:</t>
        </r>
        <r>
          <rPr>
            <sz val="9"/>
            <color indexed="81"/>
            <rFont val="Tahoma"/>
            <family val="2"/>
          </rPr>
          <t xml:space="preserve">
Note this table is 5-yr total outages. Only used for % of outages at feeder breaker in Zone 1.</t>
        </r>
      </text>
    </comment>
  </commentList>
</comments>
</file>

<file path=xl/sharedStrings.xml><?xml version="1.0" encoding="utf-8"?>
<sst xmlns="http://schemas.openxmlformats.org/spreadsheetml/2006/main" count="2656" uniqueCount="616">
  <si>
    <t>Input metric</t>
  </si>
  <si>
    <t>Value</t>
  </si>
  <si>
    <t>Source</t>
  </si>
  <si>
    <t>Financial inputs</t>
  </si>
  <si>
    <t>Average Pre-Tax Cost of Capital</t>
  </si>
  <si>
    <t>Average Post-Tax Cost of Capital</t>
  </si>
  <si>
    <t>Societal Discount rate</t>
  </si>
  <si>
    <t>Capitalized A&amp;G</t>
  </si>
  <si>
    <t>MACRS Depreciation Rate</t>
  </si>
  <si>
    <t>Income Tax rate</t>
  </si>
  <si>
    <t>Inflation rate</t>
  </si>
  <si>
    <t>Property Tax Rate</t>
  </si>
  <si>
    <t>Benefits / Asset lifetime</t>
  </si>
  <si>
    <t>Expected Useful Life</t>
  </si>
  <si>
    <t>Years</t>
  </si>
  <si>
    <t>OH</t>
  </si>
  <si>
    <t>UG</t>
  </si>
  <si>
    <t>BESS</t>
  </si>
  <si>
    <t>MACRS Depreciation Period</t>
  </si>
  <si>
    <t>Book Depreciation Period</t>
  </si>
  <si>
    <t>Outage Risk Reduction inputs</t>
  </si>
  <si>
    <t xml:space="preserve">Mitigation Effectiveness Score </t>
  </si>
  <si>
    <t>Applicability Score</t>
  </si>
  <si>
    <t>Other inputs</t>
  </si>
  <si>
    <t>Reduced Pole attachment revenue ($/mi)</t>
  </si>
  <si>
    <t>Inspections - UG ($/mi; every 10 years)</t>
  </si>
  <si>
    <t>2026$</t>
  </si>
  <si>
    <t>Inspections - OH ($/mi; every 10 years)</t>
  </si>
  <si>
    <t>Unaccelerated timeline for ZOI improvements</t>
  </si>
  <si>
    <t>years</t>
  </si>
  <si>
    <t>What pace would these projects be otherwise undertaken at? For the counterfactual baseline analysis</t>
  </si>
  <si>
    <t>Percent of UG lines vulnerable to vegetation and storms</t>
  </si>
  <si>
    <t>GMP assumption from email extended from tree trimming to storms</t>
  </si>
  <si>
    <t>&lt;&lt;follow-up on this…I think just for O&amp;M tree trimming. Should not apply to major storm outages since they are just customer poles.</t>
  </si>
  <si>
    <t>Net install for property tax purposes</t>
  </si>
  <si>
    <t>Total Miles / Customers in FY27 budget</t>
  </si>
  <si>
    <t>OH - 1PH</t>
  </si>
  <si>
    <t>1PH</t>
  </si>
  <si>
    <t>OH - 3PH</t>
  </si>
  <si>
    <t>3PH</t>
  </si>
  <si>
    <t>UG - 1PH</t>
  </si>
  <si>
    <t>Downstream outage factors</t>
  </si>
  <si>
    <t>Zone 1</t>
  </si>
  <si>
    <t>Zone 2</t>
  </si>
  <si>
    <t>Zone 3</t>
  </si>
  <si>
    <t>Danger Tree and Tickets cost per mile</t>
  </si>
  <si>
    <t>Tickets - Baseline cost per mile</t>
  </si>
  <si>
    <t>Tickets - UG cost per mile</t>
  </si>
  <si>
    <t>Danger Tree - Baseline cost per mile</t>
  </si>
  <si>
    <t>Danger Tree - UG cost per mile</t>
  </si>
  <si>
    <t>Average Storm Outage Cost per FY, 2015-2024</t>
  </si>
  <si>
    <t>Annual increase (linear)</t>
  </si>
  <si>
    <t>Avg storm cost per mile OH</t>
  </si>
  <si>
    <t>Avg annual storm cost increase per mile OH</t>
  </si>
  <si>
    <t>Total system miles OH</t>
  </si>
  <si>
    <t>Average Restoration cost per incident</t>
  </si>
  <si>
    <t>2025$</t>
  </si>
  <si>
    <t>MACRS table, half-year convention</t>
  </si>
  <si>
    <t>Year</t>
  </si>
  <si>
    <t>20-year</t>
  </si>
  <si>
    <t>Baseline Scenario Costs and Benefits Summary and BCR</t>
  </si>
  <si>
    <t>Program</t>
  </si>
  <si>
    <t>Project Type</t>
  </si>
  <si>
    <t>Total FY2027 Costs</t>
  </si>
  <si>
    <t>NPV Total Costs</t>
  </si>
  <si>
    <t>NPV Total Benefits</t>
  </si>
  <si>
    <t>NPV Utility CAPEX</t>
  </si>
  <si>
    <t>NPV Utility Storm Damage Restoration Costs</t>
  </si>
  <si>
    <t>NPV Net New Property Tax</t>
  </si>
  <si>
    <t>NPV Utility O&amp;M Costs</t>
  </si>
  <si>
    <t>Phase</t>
  </si>
  <si>
    <t>Cost Estimate</t>
  </si>
  <si>
    <t>1-Phase</t>
  </si>
  <si>
    <t>3-Phase</t>
  </si>
  <si>
    <t>Total</t>
  </si>
  <si>
    <t>Mitigation Scenario Costs and Benefits Summary and BCR</t>
  </si>
  <si>
    <t>Value of Decreased Line Losses - Line Capacity Improvements</t>
  </si>
  <si>
    <t>Cost Categories</t>
  </si>
  <si>
    <t>Benefit Categories</t>
  </si>
  <si>
    <t>(A)
Program</t>
  </si>
  <si>
    <t xml:space="preserve">
(B)
Project Type</t>
  </si>
  <si>
    <t>(C)
NPV total Net Incremental Cost</t>
  </si>
  <si>
    <t>NPV Total Net Incremental CAPEX</t>
  </si>
  <si>
    <t>NPV Total Net Property Taxes</t>
  </si>
  <si>
    <t>(D)
NPV total Net Benefits</t>
  </si>
  <si>
    <t>(E)
Reduced Storm Damages</t>
  </si>
  <si>
    <t>(F)
Lower O&amp;M Expenditures</t>
  </si>
  <si>
    <t>(G)
Customer Resilience Value - Res</t>
  </si>
  <si>
    <t>(H)
Customer Resilience Value - Nonres</t>
  </si>
  <si>
    <t>Line Losses Reduction Value</t>
  </si>
  <si>
    <r>
      <t xml:space="preserve">(I)
</t>
    </r>
    <r>
      <rPr>
        <sz val="11"/>
        <color theme="0"/>
        <rFont val="Nunito Sans"/>
        <scheme val="minor"/>
      </rPr>
      <t xml:space="preserve">(D </t>
    </r>
    <r>
      <rPr>
        <sz val="11"/>
        <color theme="0"/>
        <rFont val="Nunito Sans"/>
      </rPr>
      <t>⁒ C)</t>
    </r>
    <r>
      <rPr>
        <sz val="11"/>
        <color theme="0"/>
        <rFont val="Nunito Sans"/>
        <family val="2"/>
        <scheme val="minor"/>
      </rPr>
      <t xml:space="preserve">
Benefit Cost Ratio (including all resilience value)</t>
    </r>
  </si>
  <si>
    <t xml:space="preserve">(E)
Utility System Avoided Costs </t>
  </si>
  <si>
    <t>(F)
Customer Resilience Value</t>
  </si>
  <si>
    <r>
      <t xml:space="preserve">(G)
</t>
    </r>
    <r>
      <rPr>
        <sz val="11"/>
        <color theme="0"/>
        <rFont val="Nunito Sans"/>
        <scheme val="minor"/>
      </rPr>
      <t xml:space="preserve">(D </t>
    </r>
    <r>
      <rPr>
        <sz val="11"/>
        <color theme="0"/>
        <rFont val="Nunito Sans"/>
      </rPr>
      <t>⁒ C)</t>
    </r>
    <r>
      <rPr>
        <sz val="11"/>
        <color theme="0"/>
        <rFont val="Nunito Sans"/>
        <family val="2"/>
        <scheme val="minor"/>
      </rPr>
      <t xml:space="preserve">
Benefit Cost Ratio </t>
    </r>
  </si>
  <si>
    <t>BCR Without Customer Resilience Value</t>
  </si>
  <si>
    <t>Baseline Scenario</t>
  </si>
  <si>
    <t>Mitigation Type</t>
  </si>
  <si>
    <t>Feeder ID</t>
  </si>
  <si>
    <t>District</t>
  </si>
  <si>
    <t>Project Number</t>
  </si>
  <si>
    <t>Project Name</t>
  </si>
  <si>
    <t>1Ph or 3PH</t>
  </si>
  <si>
    <t>OH/UG</t>
  </si>
  <si>
    <t>Distance</t>
  </si>
  <si>
    <t>Overhead Spacer Cable</t>
  </si>
  <si>
    <t>Three Phase</t>
  </si>
  <si>
    <t>BV-G43</t>
  </si>
  <si>
    <t>Springfield</t>
  </si>
  <si>
    <t>BV-G44</t>
  </si>
  <si>
    <t>CS-G34</t>
  </si>
  <si>
    <t>Royalton</t>
  </si>
  <si>
    <t>CV-G65</t>
  </si>
  <si>
    <t>DM-G6</t>
  </si>
  <si>
    <t>Brattleboro</t>
  </si>
  <si>
    <t>Mitigation Scenario</t>
  </si>
  <si>
    <t>EL-G40</t>
  </si>
  <si>
    <t>White River Jct</t>
  </si>
  <si>
    <t>SB-G91</t>
  </si>
  <si>
    <t>Rutland</t>
  </si>
  <si>
    <t>TH-G16</t>
  </si>
  <si>
    <t>Subtotal - Overhead Spacer Cable - Three Phase</t>
  </si>
  <si>
    <t>Single Phase</t>
  </si>
  <si>
    <t>CH-G11</t>
  </si>
  <si>
    <t>Subtotal - Overhead Spacer Cable - Single Phase</t>
  </si>
  <si>
    <t>SH-G35</t>
  </si>
  <si>
    <t>Subtotal - Strategic Undergrounding - Single Phase</t>
  </si>
  <si>
    <t xml:space="preserve">Total Overall Portfolio - T&amp;D OH and UG </t>
  </si>
  <si>
    <t>CAPEX</t>
  </si>
  <si>
    <t>Pre-tax Return on Rate Base</t>
  </si>
  <si>
    <t>Depreciation Expense</t>
  </si>
  <si>
    <t>Pole Inspections</t>
  </si>
  <si>
    <t>Veg Mng - Tree Trimming</t>
  </si>
  <si>
    <t>Veg Mng - Tickets</t>
  </si>
  <si>
    <t>Veg Mng - Danger Trees</t>
  </si>
  <si>
    <t>Property Taxes</t>
  </si>
  <si>
    <t>Reduced pole attachment revenue</t>
  </si>
  <si>
    <t>O&amp;M</t>
  </si>
  <si>
    <t>Row Labels</t>
  </si>
  <si>
    <t>Circuit</t>
  </si>
  <si>
    <t xml:space="preserve">Project </t>
  </si>
  <si>
    <t>Name</t>
  </si>
  <si>
    <t>Start Tag</t>
  </si>
  <si>
    <t>Protective device</t>
  </si>
  <si>
    <t xml:space="preserve">Zone </t>
  </si>
  <si>
    <t>Sub Breaker</t>
  </si>
  <si>
    <t>476994, 618154</t>
  </si>
  <si>
    <t>Sub breaker</t>
  </si>
  <si>
    <t>Sub</t>
  </si>
  <si>
    <t xml:space="preserve">Outage Restoration - Major/Minor Storm </t>
  </si>
  <si>
    <t>Type</t>
  </si>
  <si>
    <t>Cost Bucket</t>
  </si>
  <si>
    <t>Cost Category</t>
  </si>
  <si>
    <t>Notes</t>
  </si>
  <si>
    <t>NPV</t>
  </si>
  <si>
    <t>Plant in Service</t>
  </si>
  <si>
    <t>Cumulative Depreciation</t>
  </si>
  <si>
    <t>ADIT</t>
  </si>
  <si>
    <t>Net Plant in Service</t>
  </si>
  <si>
    <t>Net Rate Base</t>
  </si>
  <si>
    <t>Average Rate Base</t>
  </si>
  <si>
    <t>Routine (non-storm) Restoration costs</t>
  </si>
  <si>
    <t>Total Costs impacting revenue requirement</t>
  </si>
  <si>
    <t>Subtotal</t>
  </si>
  <si>
    <t>O&amp;M Total</t>
  </si>
  <si>
    <t>O&amp;M - Cost Savings (minus property tax)</t>
  </si>
  <si>
    <t>O&amp;M - Storm Damage Reductions</t>
  </si>
  <si>
    <t>Depreciation</t>
  </si>
  <si>
    <t>Net Plant (b.o.y.)</t>
  </si>
  <si>
    <t>Net Plant (e.o.y.)</t>
  </si>
  <si>
    <t>MACRS depreciation</t>
  </si>
  <si>
    <t>ADIT (b.o.y.)</t>
  </si>
  <si>
    <t>ADIT (e.o.y.)</t>
  </si>
  <si>
    <t>Benefit Category</t>
  </si>
  <si>
    <t>Customer Costs of Outages - Res</t>
  </si>
  <si>
    <t>Customer Costs of Outages - Nonres</t>
  </si>
  <si>
    <t>Value of avoided line losses</t>
  </si>
  <si>
    <t xml:space="preserve">Total Benefits </t>
  </si>
  <si>
    <t>Rate 1</t>
  </si>
  <si>
    <t>RNS</t>
  </si>
  <si>
    <t>Benefit / Cost Category</t>
  </si>
  <si>
    <t>Utility Costs</t>
  </si>
  <si>
    <t>Total Equipment &amp; Installation Costs</t>
  </si>
  <si>
    <t>End of life Removal</t>
  </si>
  <si>
    <t>Software Fees</t>
  </si>
  <si>
    <t>RTE Credit</t>
  </si>
  <si>
    <t>Total Costs</t>
  </si>
  <si>
    <t>QAQC check</t>
  </si>
  <si>
    <t>Energy</t>
  </si>
  <si>
    <t>DASI</t>
  </si>
  <si>
    <t>Frequency</t>
  </si>
  <si>
    <t>T&amp;D Deferral</t>
  </si>
  <si>
    <t>Power Factor/VAR support</t>
  </si>
  <si>
    <t>Capacity</t>
  </si>
  <si>
    <t>Total Avoided System Costs</t>
  </si>
  <si>
    <t>Tier 3 value</t>
  </si>
  <si>
    <t>Total Revenue</t>
  </si>
  <si>
    <t>Assumptions</t>
  </si>
  <si>
    <t>Equipment Life flag</t>
  </si>
  <si>
    <t>Book life flag</t>
  </si>
  <si>
    <t>MACRS flag</t>
  </si>
  <si>
    <t>Baseline T&amp;D Capital spent on target circuits</t>
  </si>
  <si>
    <t>Miles unescalated</t>
  </si>
  <si>
    <t>Cost per mile unescalated</t>
  </si>
  <si>
    <t>CPI</t>
  </si>
  <si>
    <t>Escalated with CPI</t>
  </si>
  <si>
    <t>Cost per mile escalated</t>
  </si>
  <si>
    <t>Investment year in service</t>
  </si>
  <si>
    <t>Book depreciation</t>
  </si>
  <si>
    <t>Accumulated Depreciation</t>
  </si>
  <si>
    <t>Pre-Tax return on rate base</t>
  </si>
  <si>
    <t>Totals</t>
  </si>
  <si>
    <t>Total storm restoration cost (OH remaining at risk*avg storm per mile escalated)+((Mitigation at baseline pace*avg storm cost per mile escalated*(1-effectiveness))</t>
  </si>
  <si>
    <t>Escalate the costs per mile with Handy-Whitman 10-yr average for North Atlantic Distribution Plant costs. This reduces the amount of miles treated with the baseline spending</t>
  </si>
  <si>
    <t>OH-1PH</t>
  </si>
  <si>
    <t>OH-3PH</t>
  </si>
  <si>
    <t>UG-1PH</t>
  </si>
  <si>
    <t>QAQC sumcheck</t>
  </si>
  <si>
    <t>Total Annual Inc. Miles</t>
  </si>
  <si>
    <t>&lt;&lt;should equal zero because this totals the baseline treated cumulative miles and left at risk, compared to the accelerated case treated miles</t>
  </si>
  <si>
    <t>Baseline Mitigated percent</t>
  </si>
  <si>
    <t>Baseline Remaining At Risk percent</t>
  </si>
  <si>
    <t>RES CUSTOMER CONSEQUENCES (#Outage Events) - BASELINE - RAMPED</t>
  </si>
  <si>
    <t>NONRES CUSTOMER CONSEQUENCES (#Outage Events) - BASELINE - RAMPED</t>
  </si>
  <si>
    <t>RES RISK VALUE - MONETIZED - TOTAL $ USING ICE CALCULATOR WEIGHTED AVERAGE $/event</t>
  </si>
  <si>
    <t>NONRES RISK VALUE - MONETIZED - TOTAL $ USING ICE CALCULATOR WEIGHTED AVERAGE $/event</t>
  </si>
  <si>
    <t>TOTAL CIRCUIT CUSTOMER RISK VALUE - MONETIZED - TOTAL $ USING ICE CALCULATOR WEIGHTED AVERAGE $/event</t>
  </si>
  <si>
    <t>Baseline Reliability calculations - Rolling Baseline Improvements</t>
  </si>
  <si>
    <t>Effectiveness Score</t>
  </si>
  <si>
    <t>RES</t>
  </si>
  <si>
    <t>NONRES</t>
  </si>
  <si>
    <t>FY2027 Projects - Cost Estimate Worksheet (Source: Provided by GMP)</t>
  </si>
  <si>
    <t>Outages PRE mitigation</t>
  </si>
  <si>
    <t>Outages Post Mitigation</t>
  </si>
  <si>
    <t>Post Mitigation Consequences</t>
  </si>
  <si>
    <t>Customers on project</t>
  </si>
  <si>
    <t>Feeder Backup?</t>
  </si>
  <si>
    <t>Customers on feeder backup</t>
  </si>
  <si>
    <t>QC sumcheck</t>
  </si>
  <si>
    <t>RES %</t>
  </si>
  <si>
    <t>NONRES %</t>
  </si>
  <si>
    <t xml:space="preserve">RES </t>
  </si>
  <si>
    <t>Restoration Cost - Pre</t>
  </si>
  <si>
    <t>Main line feed backs up BV-G44</t>
  </si>
  <si>
    <t>Main line feed that backs up to CV-G65</t>
  </si>
  <si>
    <t>Main line backs up EL-G40</t>
  </si>
  <si>
    <t>Maineline Feeder backup to  BE-G29</t>
  </si>
  <si>
    <t>Feeder</t>
  </si>
  <si>
    <t>Zone 4</t>
  </si>
  <si>
    <t>BE-G29</t>
  </si>
  <si>
    <t>EJ-G7</t>
  </si>
  <si>
    <t>EL-G41</t>
  </si>
  <si>
    <t>Res</t>
  </si>
  <si>
    <t>Nonres</t>
  </si>
  <si>
    <t>%</t>
  </si>
  <si>
    <t>FEEDER_ID</t>
  </si>
  <si>
    <t>AVG 2020-2024</t>
  </si>
  <si>
    <t>SAIFI</t>
  </si>
  <si>
    <t>C&amp;I</t>
  </si>
  <si>
    <t xml:space="preserve">STEP 1: </t>
  </si>
  <si>
    <t>Avg</t>
  </si>
  <si>
    <t>3-Phase OH</t>
  </si>
  <si>
    <t>1-Phase URD</t>
  </si>
  <si>
    <t>1-Phase OH</t>
  </si>
  <si>
    <t>On-peak</t>
  </si>
  <si>
    <t>Off-Peak</t>
  </si>
  <si>
    <t>Average</t>
  </si>
  <si>
    <t>STEP 3: Apply to each project based on line miles</t>
  </si>
  <si>
    <t>Vermont Specific Outputs - Generated 12/12/25 with specific inputs for the target area</t>
  </si>
  <si>
    <t>Website:</t>
  </si>
  <si>
    <t>https://icecalculator.com/interruption-cost/results</t>
  </si>
  <si>
    <t>Model Input</t>
  </si>
  <si>
    <t>Version</t>
  </si>
  <si>
    <t>Date</t>
  </si>
  <si>
    <t># Residential</t>
  </si>
  <si>
    <t># Non-Residential</t>
  </si>
  <si>
    <t>States</t>
  </si>
  <si>
    <t>SAIDI</t>
  </si>
  <si>
    <t>CAIDI</t>
  </si>
  <si>
    <t>interruption.2.1.0</t>
  </si>
  <si>
    <t>Vermont</t>
  </si>
  <si>
    <t>Sector</t>
  </si>
  <si>
    <t># of Customers</t>
  </si>
  <si>
    <t>Cost Per Customer (2023 $) Per...</t>
  </si>
  <si>
    <t>Total Cost</t>
  </si>
  <si>
    <t>Event</t>
  </si>
  <si>
    <t>Average kW</t>
  </si>
  <si>
    <t>Unserved kWh</t>
  </si>
  <si>
    <t>Interrupted Minutes</t>
  </si>
  <si>
    <t>Annual Cost</t>
  </si>
  <si>
    <t>Residential</t>
  </si>
  <si>
    <t>Non-Residential</t>
  </si>
  <si>
    <t>All</t>
  </si>
  <si>
    <t>Residential Cost/Event Relative To (%):</t>
  </si>
  <si>
    <t>Daily Household Income</t>
  </si>
  <si>
    <t>Annual Household Income</t>
  </si>
  <si>
    <t>Non-Residential Cost/Event Relative To (%):</t>
  </si>
  <si>
    <t>Daily GDP</t>
  </si>
  <si>
    <t>Annual GDP</t>
  </si>
  <si>
    <t>Total NPV Benefits</t>
  </si>
  <si>
    <t>Average Non-storm incident percentage</t>
  </si>
  <si>
    <t>Number of non-storm Incidents (pre-mitigation) (per Zone)</t>
  </si>
  <si>
    <t>Restoration Cost - Post Mitigation</t>
  </si>
  <si>
    <t>Total non-storm costs</t>
  </si>
  <si>
    <t>Times the Downstream applicability factor and multi-project weighting</t>
  </si>
  <si>
    <t>Feeder Backed Up</t>
  </si>
  <si>
    <t>Baseline  non-storm related costs</t>
  </si>
  <si>
    <t>Mitigation Case non-storm related costs</t>
  </si>
  <si>
    <t>Customers Backed Up on Other Feeder</t>
  </si>
  <si>
    <t>Reduced Non-Storm Damages</t>
  </si>
  <si>
    <t>NPV Utility Non-Storm Damage Restoration Costs</t>
  </si>
  <si>
    <t>Customers</t>
  </si>
  <si>
    <t>Outages</t>
  </si>
  <si>
    <t>Mitigation ("Accelerated") Scenario</t>
  </si>
  <si>
    <t>As-is results based on historical 
5-yr average (2020-2024)</t>
  </si>
  <si>
    <t>Post-Mitigation Applicable Outages</t>
  </si>
  <si>
    <t>Pre-Mitigation Applicable Outages</t>
  </si>
  <si>
    <t>Feeder back-up outages reduced</t>
  </si>
  <si>
    <t>Combined post-mitigation score</t>
  </si>
  <si>
    <t>Weighted average EJ-G7 ratio by line mile treated</t>
  </si>
  <si>
    <t>Weighted Average</t>
  </si>
  <si>
    <t>Feeder Backup - Customer Costs of Outages - Res</t>
  </si>
  <si>
    <t>Feeder Backup - Customer Costs of Outages - Nonres</t>
  </si>
  <si>
    <t>Feeder backup value - Res</t>
  </si>
  <si>
    <t>Feeder backup value - NonRes</t>
  </si>
  <si>
    <t>NPV Feeder Backup Value - Baseline - Res</t>
  </si>
  <si>
    <t>NPV Feeder Backup Value - Baseline - NonRes</t>
  </si>
  <si>
    <t>NPV Feeder Backup Value - Mitigation - Res</t>
  </si>
  <si>
    <t>NPV Feeder Backup Value - MItigation - NonRes</t>
  </si>
  <si>
    <t>Feeder Backup Customer Resilience Value - Res</t>
  </si>
  <si>
    <t>Feeder Backup Customer Resilience Value - Nonres</t>
  </si>
  <si>
    <t>197817: ELY-129 G40 Zone 1 LC</t>
  </si>
  <si>
    <t>199297: L66 P15-1 to L62 P140</t>
  </si>
  <si>
    <t>199309: Fay Brook Rd.</t>
  </si>
  <si>
    <t>199373: FAY BROOK RD P.44 -P.75</t>
  </si>
  <si>
    <t>199498: Brk Rd. P.75-L.81P.76</t>
  </si>
  <si>
    <t>199616: Newfane L66 P1-105</t>
  </si>
  <si>
    <t>199621: Brookline L62 P140-195</t>
  </si>
  <si>
    <t>199623: BV Sub to L4 P126</t>
  </si>
  <si>
    <t>199973: L41 VT Route 106 - Spacer</t>
  </si>
  <si>
    <t>201142: L208 HIGH ST. - CIC</t>
  </si>
  <si>
    <t>201143: L61 DOVER RD. - CIC</t>
  </si>
  <si>
    <t>201149: L6 VT RT 30 - CIC</t>
  </si>
  <si>
    <t>201153: L438 BROWNSVILLE - CIC</t>
  </si>
  <si>
    <t>202178: CV-G65 L2P206</t>
  </si>
  <si>
    <t>203031: L43 P57 BV-G43 Mainline</t>
  </si>
  <si>
    <t>203325: Chelsea L6 Zone 2 L6 P327</t>
  </si>
  <si>
    <t>203716: RTE 5 L1 P.137 (tag: 4902</t>
  </si>
  <si>
    <t>203723: RTE 113 L1 Start at P.156</t>
  </si>
  <si>
    <t>203724: RTE 113 L1 P.217</t>
  </si>
  <si>
    <t>203725: Tucker Hill L1 294–333</t>
  </si>
  <si>
    <t>203953: L.9-P.61 Quarry Rd</t>
  </si>
  <si>
    <t>203954: L633-Timson Hl Rd/Baker B</t>
  </si>
  <si>
    <t>204106: RTE 113 L3 P.141 to P192</t>
  </si>
  <si>
    <t>204107: Beanville Rd L37 P.X2 P21</t>
  </si>
  <si>
    <t>204108: S.Vershire Rd L37 21 - 53</t>
  </si>
  <si>
    <t>204888: Rt 30-Main Line feeder</t>
  </si>
  <si>
    <t>204889: L6-Dover Rd-L61 P1-P121</t>
  </si>
  <si>
    <t>204891: WO212564 - L8 P298 thru P215</t>
  </si>
  <si>
    <t>204892: L4-L43 poles 1 through 36</t>
  </si>
  <si>
    <t>204893: L44 P65 thru P93</t>
  </si>
  <si>
    <t>204894: L209 P1-P53 Tarbel Rd-Kna</t>
  </si>
  <si>
    <t>204895: L65-South Wardsboro Rd</t>
  </si>
  <si>
    <t>204896: L94-Leonard Rd-Stickney B</t>
  </si>
  <si>
    <t>204897: L911-P16 to End Hague Rd</t>
  </si>
  <si>
    <t>204898: L61 P1 - P47 Russell Rd W</t>
  </si>
  <si>
    <t>204899: L43 Brook Rd</t>
  </si>
  <si>
    <t>204900: L3135 Stage Rd</t>
  </si>
  <si>
    <t>204901: L434 P3</t>
  </si>
  <si>
    <t>204902: L88 Rt100A, Spacer and CI</t>
  </si>
  <si>
    <t>205188: L.6 P .251X - P166</t>
  </si>
  <si>
    <t>Underground</t>
  </si>
  <si>
    <t>Total FY2027 CAPEX (Fully Loaded)</t>
  </si>
  <si>
    <t>NPV Total Costs (Sum of a-e)</t>
  </si>
  <si>
    <t>(e) 
NPV O&amp;M Costs (Veg Mng and Inspections)</t>
  </si>
  <si>
    <t>(a)
NPV Utility CAPEX</t>
  </si>
  <si>
    <t>(C)
(A ⁒ B)
Benefit Cost Ratio</t>
  </si>
  <si>
    <t>Levelized</t>
  </si>
  <si>
    <t>OH Spacer</t>
  </si>
  <si>
    <t>UG CIC</t>
  </si>
  <si>
    <t>(A)
NPV Total Incremental Benefits</t>
  </si>
  <si>
    <t>(B)
NPV Total Incremental 
Costs</t>
  </si>
  <si>
    <t>(C)
(A ⁒ B)
Benefit Cost 
Ratio</t>
  </si>
  <si>
    <t xml:space="preserve">
Program</t>
  </si>
  <si>
    <t>Circuit Miles Treated</t>
  </si>
  <si>
    <t>Capital Cost Estimate</t>
  </si>
  <si>
    <t>(b)
NPV Property Tax from New CAPEX</t>
  </si>
  <si>
    <t>(c)
NPV Storm Restoration Costs</t>
  </si>
  <si>
    <t>(d) 
NPV Non-Storm Restoration Costs</t>
  </si>
  <si>
    <t>NPV Reduced Storm Damages</t>
  </si>
  <si>
    <t>NPV Reduced Non-Storm Damages</t>
  </si>
  <si>
    <t>NPV 
Lower O&amp;M Expenditures</t>
  </si>
  <si>
    <t>NPV Customer Resilience Value - Circuit Hardening</t>
  </si>
  <si>
    <t>NPV Customer Resilience Value - Feeder-Back Up</t>
  </si>
  <si>
    <t xml:space="preserve">NPV Line Loss Reduction </t>
  </si>
  <si>
    <t>Costs</t>
  </si>
  <si>
    <t xml:space="preserve">
NPV Total Incremental Cost</t>
  </si>
  <si>
    <t xml:space="preserve">
NPV Total Incremental Benefit</t>
  </si>
  <si>
    <t>NPV Capital Carrying Costs</t>
  </si>
  <si>
    <t>NPV End of Life Removal</t>
  </si>
  <si>
    <t>NPV O&amp;M</t>
  </si>
  <si>
    <t>NPV Software Fees</t>
  </si>
  <si>
    <t>NPV RTE Losses (Credit)</t>
  </si>
  <si>
    <t>NPV RTE Losses (Revenue under Rate 1)</t>
  </si>
  <si>
    <t xml:space="preserve">NPV Avoided Wholesale Energy </t>
  </si>
  <si>
    <t>NPV T&amp;D Deferral Value</t>
  </si>
  <si>
    <t>NPV RNS Transmission Charge Reduction</t>
  </si>
  <si>
    <t>NPV ISO-NE FCM Capacity Reductions</t>
  </si>
  <si>
    <t>NPV Frequency Regulation Revenue</t>
  </si>
  <si>
    <t>NPV DASI</t>
  </si>
  <si>
    <t>Tier 3 RES Value</t>
  </si>
  <si>
    <t>Post FY26 SAIFI</t>
  </si>
  <si>
    <t>Final ICE Model Run</t>
  </si>
  <si>
    <t>Integrated Energy Storage Pilot</t>
  </si>
  <si>
    <t>201152:  L342 TOWNSHEND RD</t>
  </si>
  <si>
    <t xml:space="preserve">175351: Cavendish line 2 </t>
  </si>
  <si>
    <t>199494: L3P52</t>
  </si>
  <si>
    <t>205534: L6 P126 to P66</t>
  </si>
  <si>
    <t>199569: Brook Rd. P.76 to 50X</t>
  </si>
  <si>
    <t/>
  </si>
  <si>
    <t>Line Phases</t>
  </si>
  <si>
    <t>Not included as no change</t>
  </si>
  <si>
    <t>Integrated Energy Storage Pilot - Program Detailed Annual Benefit Calcs</t>
  </si>
  <si>
    <t>Customer Resilience Benefits</t>
  </si>
  <si>
    <t>T&amp;D Resilience Program - Overhead Spacer Cable (OH) - Project Type Detailed Annual Benefit Calcs</t>
  </si>
  <si>
    <t>T&amp;D Resilience Program - Underground (UG) - Project Type Detailed Annual Benefit Calcs</t>
  </si>
  <si>
    <t xml:space="preserve">Final BCR Table -- T&amp;D Resilience Projects </t>
  </si>
  <si>
    <t>Final BCR Table -- Integrated Energy Storage Pilot</t>
  </si>
  <si>
    <t>Rollup costs</t>
  </si>
  <si>
    <t>T&amp;D Resilience Projects - Overhead (OH) Spacer Cable - Detailed Annual Cost Calcs</t>
  </si>
  <si>
    <t>T&amp;D Resilience Projects - Underground (UG) - Detailed Annual Cost Calcs</t>
  </si>
  <si>
    <t>T&amp;D Resilience Projects - Overhead Spacer Cable (OH) - Detailed Annual Cost Calcs</t>
  </si>
  <si>
    <t>Handled in Rev Req't Baseline tab</t>
  </si>
  <si>
    <t>T&amp;D Resilience Projects - Overhead Spacer (OH) Cable - Detailed Annual Benefit Calcs</t>
  </si>
  <si>
    <t>T&amp;D Resilience Projects - Underground (UG) - Detailed Annual Benefit Calcs</t>
  </si>
  <si>
    <t>CAPEX Cost element</t>
  </si>
  <si>
    <t>Total CAPEX cost rollup</t>
  </si>
  <si>
    <t>Unescalated Baseline Costs (from Construction, with Overheads)</t>
  </si>
  <si>
    <t>Construction Cost Estimate (fully loaded)</t>
  </si>
  <si>
    <t>Percent of Customers Impacted by Mitigation</t>
  </si>
  <si>
    <t>Percent of customers by class</t>
  </si>
  <si>
    <t>Non-storm restoration costs</t>
  </si>
  <si>
    <t>Feeder Backup Value</t>
  </si>
  <si>
    <t>Times the Customers Impacted by Mitigation factor and multi-project weighting</t>
  </si>
  <si>
    <t>Handy-Whitman escalator</t>
  </si>
  <si>
    <t>Calculated based on data provided by GMP, avg. 10-yr (2015-2025) for North Atlantic Region, Total Distribution Plant</t>
  </si>
  <si>
    <t>Summary of miles in FY 27 Resilience Projects list provided by GMP</t>
  </si>
  <si>
    <t>Ratio of baseline capital spend</t>
  </si>
  <si>
    <t>CEG assumption, based on input from GMP</t>
  </si>
  <si>
    <t>CEG assumption, based on engineering input from GMP</t>
  </si>
  <si>
    <t>Data provided by GMP</t>
  </si>
  <si>
    <t>2021$</t>
  </si>
  <si>
    <t>O&amp;M Cost Input Assumptions per mile</t>
  </si>
  <si>
    <t>GMP engineering assumption</t>
  </si>
  <si>
    <t>Manufacturer Claim, input provided by GMP</t>
  </si>
  <si>
    <t>Dollar Year (if applicable)</t>
  </si>
  <si>
    <t>See table below.</t>
  </si>
  <si>
    <t>CEG assumption</t>
  </si>
  <si>
    <t>Baseline annual CAPEX investment adjusted for inflation</t>
  </si>
  <si>
    <t>Determine the number of cumulative line miles treated in each baseline year, assuming a fixed CAPEX budget</t>
  </si>
  <si>
    <t>Remaining at Risk (defined as the number of line miles left untreated in the baseline scenario by year compared to the mitigation case.)</t>
  </si>
  <si>
    <t>Project Type - Phase</t>
  </si>
  <si>
    <t>Reliability ramping factors - defined as the percentage of the miles either mitigated or left at risk in the Baseline Scenario</t>
  </si>
  <si>
    <t>Mitigation Scenario - line miles UG/OH</t>
  </si>
  <si>
    <t>Average MWh/yr/mile loss reduction by project type to apply to rest of projects (source: Provided by GMP based on power flow modeling)</t>
  </si>
  <si>
    <t>Avg MWh/yr/mile</t>
  </si>
  <si>
    <t>STEP 2: Develop average $/MWh for avoided energy losses from upgraded line capacity</t>
  </si>
  <si>
    <t>&lt;&lt;happens in Mitigation Projects and Baseline Projects tab calcs&gt;&gt;</t>
  </si>
  <si>
    <t>Final ICE value inputs for customer resilience value</t>
  </si>
  <si>
    <t>Value ($/event)</t>
  </si>
  <si>
    <t>Nonresidential</t>
  </si>
  <si>
    <t>Model Outputs</t>
  </si>
  <si>
    <t>Total Average Number of Incidents by Zone - Used for Avg Non-storm restoration cost per incident</t>
  </si>
  <si>
    <t>Total Customer Outages - Counts By Zone - 2020 to 2024 (Source: GMP Data)</t>
  </si>
  <si>
    <t xml:space="preserve">Percent Total Customer Outages by Zone </t>
  </si>
  <si>
    <t>FY2015</t>
  </si>
  <si>
    <t>FY2016</t>
  </si>
  <si>
    <t>FY2017</t>
  </si>
  <si>
    <t>FY2018</t>
  </si>
  <si>
    <t>FY2019</t>
  </si>
  <si>
    <t>FY2020</t>
  </si>
  <si>
    <t>FY2021</t>
  </si>
  <si>
    <t>FY2022</t>
  </si>
  <si>
    <t>FY2023</t>
  </si>
  <si>
    <t>FY2024</t>
  </si>
  <si>
    <t>Slope</t>
  </si>
  <si>
    <t>CEG analysis of Data provided by GMP</t>
  </si>
  <si>
    <t>Sum of Total Storm Costs</t>
  </si>
  <si>
    <t>Count of INCIDENT_ID by Year (Source: Provided by GMP)</t>
  </si>
  <si>
    <t>Total Universe of Historical Average Annual Outages (pre-mitigation) By Zone</t>
  </si>
  <si>
    <t>Zonal-level percent of incidents by zone (provided by GMP) (average 2020-2024)</t>
  </si>
  <si>
    <t>Incident-level data for non-storm restoration cost input</t>
  </si>
  <si>
    <t>Single Phase Count</t>
  </si>
  <si>
    <t>Multi Phase Count (2 &amp; 3 Phase)</t>
  </si>
  <si>
    <t>% C&amp;I</t>
  </si>
  <si>
    <t>% Res</t>
  </si>
  <si>
    <t>Current Customers (2025)</t>
  </si>
  <si>
    <t>Customer adjustment factor (2025 / Avg baseline)</t>
  </si>
  <si>
    <t>% of line miles treated in prior years</t>
  </si>
  <si>
    <t>Pre FY26 SAIFI (source, GMP 2025 R.4900 Report 40-worst Circuit list)</t>
  </si>
  <si>
    <t>&gt;&gt; below are the feeders supplied by feeder backup that are not in the FY27 T&amp;D Resilience Project list but are impacted</t>
  </si>
  <si>
    <t>Customers over time</t>
  </si>
  <si>
    <t>5-yr average</t>
  </si>
  <si>
    <t>Total Customers Out</t>
  </si>
  <si>
    <t>Source: Data provided by GMP</t>
  </si>
  <si>
    <t>Total annual storm restoration costs - Major and Minor Storms - (2025$) by FY</t>
  </si>
  <si>
    <t>Line Phase</t>
  </si>
  <si>
    <t>Budget - Mitigation Projects in T&amp;D Resilience Initiatives</t>
  </si>
  <si>
    <t>All in Total $/mi</t>
  </si>
  <si>
    <t>Total Circuit Miles</t>
  </si>
  <si>
    <t>Monthly Customers Year 1</t>
  </si>
  <si>
    <t>Monthly Customers Year 2</t>
  </si>
  <si>
    <t>Monthly Customers Year 3</t>
  </si>
  <si>
    <t>Lifetime NPV</t>
  </si>
  <si>
    <t>per system</t>
  </si>
  <si>
    <t>Equipment &amp; Installation Costs Year 1</t>
  </si>
  <si>
    <t>Equipment &amp; Installation Costs Year 2</t>
  </si>
  <si>
    <t>Equipment &amp; Installation Costs Year 3</t>
  </si>
  <si>
    <t>Total Equipment &amp; Installation Costs*</t>
  </si>
  <si>
    <t>O&amp;M Cost Year 1</t>
  </si>
  <si>
    <t>O&amp;M Cost Year 2</t>
  </si>
  <si>
    <t>O&amp;M Cost Year 3</t>
  </si>
  <si>
    <t>Total O&amp;M Costs</t>
  </si>
  <si>
    <t>Software fees Year 1</t>
  </si>
  <si>
    <t>Software fees Year 2</t>
  </si>
  <si>
    <t>Software fees Year 3</t>
  </si>
  <si>
    <t>FR Participation Credit Year 1</t>
  </si>
  <si>
    <t>FR Participation Credit Year 2</t>
  </si>
  <si>
    <t>FR Participation Credit Year 3</t>
  </si>
  <si>
    <t>FR Participation Credit</t>
  </si>
  <si>
    <t>RTE Credit Year 1</t>
  </si>
  <si>
    <t>RTE Credit Year 2</t>
  </si>
  <si>
    <t>RTE Credit Year 3</t>
  </si>
  <si>
    <t>Revenues</t>
  </si>
  <si>
    <t>Battery Value Year 1</t>
  </si>
  <si>
    <t>Battery Value Year 2</t>
  </si>
  <si>
    <t>Battery Value Year 3</t>
  </si>
  <si>
    <t>Total Battery Value</t>
  </si>
  <si>
    <t>Tier 3 Value</t>
  </si>
  <si>
    <t>End of life removal</t>
  </si>
  <si>
    <t>Customer Payment (Upfront)</t>
  </si>
  <si>
    <t>Customer/ZOI Battery Payment (monthly year 1)</t>
  </si>
  <si>
    <t>Customer/ZOI Battery Payment (monthly year 2)</t>
  </si>
  <si>
    <t>Customer/ZOI Battery Payment (monthly year 3)</t>
  </si>
  <si>
    <t>Customer Payment (Monthly)</t>
  </si>
  <si>
    <t>Net Benefit</t>
  </si>
  <si>
    <t>kW per system</t>
  </si>
  <si>
    <t>Project Year</t>
  </si>
  <si>
    <t>Month</t>
  </si>
  <si>
    <t>Peak</t>
  </si>
  <si>
    <t>Frequency Flag</t>
  </si>
  <si>
    <t>T&amp;D Flag</t>
  </si>
  <si>
    <t>Nominal Site Capacity - kW (0)</t>
  </si>
  <si>
    <t>Capacity Volume (1)</t>
  </si>
  <si>
    <t>RNS Volume (1)</t>
  </si>
  <si>
    <t>Reserve Margin</t>
  </si>
  <si>
    <t>Marginal Losses</t>
  </si>
  <si>
    <t>Beginning</t>
  </si>
  <si>
    <t>Ending</t>
  </si>
  <si>
    <t>Volume</t>
  </si>
  <si>
    <t>Adjusted Capacity Volume (2)</t>
  </si>
  <si>
    <t>Adjusted RNS Volume (2)</t>
  </si>
  <si>
    <t>RNS Price - $/kW-month</t>
  </si>
  <si>
    <t>Capacity Price - $/kW-month</t>
  </si>
  <si>
    <t xml:space="preserve">T&amp;D Deferral </t>
  </si>
  <si>
    <t>Total Revenues</t>
  </si>
  <si>
    <t>Year 1 installs</t>
  </si>
  <si>
    <t>(0) Adjusted for failure rate</t>
  </si>
  <si>
    <t>(1) Adjusted for degradation and availability</t>
  </si>
  <si>
    <t>(2) Adjusted for losses, reserve margin (for FCM), and forecast error.</t>
  </si>
  <si>
    <t>All Year Installs (for single system calc)</t>
  </si>
  <si>
    <t>NPV (2025 dollars)</t>
  </si>
  <si>
    <t>Source: Provided by GMP</t>
  </si>
  <si>
    <t>Utility Avoided System Costs / revenues</t>
  </si>
  <si>
    <t>Customer resilience value from reduced outages</t>
  </si>
  <si>
    <t>On-Peak (adjusted for inflation)</t>
  </si>
  <si>
    <t>Off-Peak (Adjusted for inflation)</t>
  </si>
  <si>
    <t>Energy price forecast (LMP) $/MWh, Source: Provided by GMP</t>
  </si>
  <si>
    <t>CEG analysis of GMP data</t>
  </si>
  <si>
    <t>Row 60 divided by row 64 (total system miles OH)</t>
  </si>
  <si>
    <t>Row 61 divided by row 64 (total system miles OH)</t>
  </si>
  <si>
    <t xml:space="preserve">NPV Customer Cost of Outages - Res </t>
  </si>
  <si>
    <t xml:space="preserve">NPV Customer Cost of Outages - Nonres </t>
  </si>
  <si>
    <t>Integrated Energy Storage Pilot - NPV cost and benefit summary</t>
  </si>
  <si>
    <t>Cost category</t>
  </si>
  <si>
    <t xml:space="preserve">NPV Cost </t>
  </si>
  <si>
    <t>WACC</t>
  </si>
  <si>
    <t>Total NPV Costs</t>
  </si>
  <si>
    <t>NPV Benefits</t>
  </si>
  <si>
    <t>Final FY27 Resilience Projects List - With Subtotals by Project Type and Line Phase</t>
  </si>
  <si>
    <t>339 Customers on CV-G65 and  792 on BV-G44</t>
  </si>
  <si>
    <t>1877 customers on the BE-G29 would be backed up and 871 on the CS-G34</t>
  </si>
  <si>
    <t>1005 Customers  on the EL-G40 and 1010 on the TH-G16</t>
  </si>
  <si>
    <t>1005 Customers on the EL-G40 and 1010 on the TH-G16</t>
  </si>
  <si>
    <t>Mainline feed that backs up to EJ-G7</t>
  </si>
  <si>
    <t>2571 Customers  on the EJ-G7 and 1907 on the DM-G6</t>
  </si>
  <si>
    <t>339 Customers on CV-G65 and  792   on BV-G44</t>
  </si>
  <si>
    <t>Tree trimming costs, annualized</t>
  </si>
  <si>
    <t>7-yr Cycle, Annualized costs, Baseline cost per mile</t>
  </si>
  <si>
    <t>7-yr Cycle, Annualized costs, Mitigation cost per mile</t>
  </si>
  <si>
    <t>&lt;&lt; Conservative, circuit wide applied to feeder backup</t>
  </si>
  <si>
    <t>Total Customer Outages on feeder</t>
  </si>
  <si>
    <t xml:space="preserve">Data provided by GMP. Calculating the % of outages that occur at the feeder breaker protective device for feeder backups. </t>
  </si>
  <si>
    <t xml:space="preserve">Total Customer Outages on feeder, filtered for outages at the feeder breaker protective device </t>
  </si>
  <si>
    <t xml:space="preserve">Figure 9. Overall Net Benefits of the Mitigation Scenario (net over the Baseline Scenario) </t>
  </si>
  <si>
    <t>Figure 15. Total Costs for Baseline Scenario</t>
  </si>
  <si>
    <t>Figure 16. Total Costs for Mitigation Scenario</t>
  </si>
  <si>
    <t>Figure 23. Integrated Energy Storage Pilot NPV Incremental Costs</t>
  </si>
  <si>
    <t>Figure 24. Integrated Energy Storage Pilot Net Incremental Benefits (utility system benefits only)</t>
  </si>
  <si>
    <t>Figure 1/Figure 8. Overall resilience BCA for FY27 ZOI Resilience Projects</t>
  </si>
  <si>
    <t>Figure 2/Figure21. Overall BCR for Integrated Energy Storage Pilot</t>
  </si>
  <si>
    <t>Figure 6. FY27 T&amp;D Resilience Projects Capital Cost Estimate ($2026)</t>
  </si>
  <si>
    <t>Figure 12. Escalated Construction Costs (Fully Loaded) in Baseline Scenario, by Project Type</t>
  </si>
  <si>
    <t>Figure 13. Circuit Line Miles Hardened in the Mitigation Scenario and Baseline Scenario</t>
  </si>
  <si>
    <t>sum by circuit</t>
  </si>
  <si>
    <t>$/customer</t>
  </si>
  <si>
    <t>Exhibit DPS-WP-SE-5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</si>
</sst>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&quot;$&quot;#,##0.00"/>
    <numFmt numFmtId="167" formatCode="0.0%"/>
    <numFmt numFmtId="168" formatCode="0.0"/>
    <numFmt numFmtId="169" formatCode="&quot;$&quot;#,##0.000"/>
    <numFmt numFmtId="170" formatCode="&quot;$&quot;#,##0.00000"/>
    <numFmt numFmtId="171" formatCode="0.000%"/>
    <numFmt numFmtId="172" formatCode="_(&quot;$&quot;* #,##0.000000_);_(&quot;$&quot;* \(#,##0.000000\);_(&quot;$&quot;* &quot;-&quot;??_);_(@_)"/>
    <numFmt numFmtId="173" formatCode="_(&quot;$&quot;* #,##0.000000000_);_(&quot;$&quot;* \(#,##0.000000000\);_(&quot;$&quot;* &quot;-&quot;??_);_(@_)"/>
    <numFmt numFmtId="174" formatCode="_(* #,##0_);_(* \(#,##0\);_(* &quot;-&quot;??_);_(@_)"/>
    <numFmt numFmtId="175" formatCode="m/d/yy;@"/>
    <numFmt numFmtId="176" formatCode="0.00_);\(0.00\)"/>
  </numFmts>
  <fonts count="39" x14ac:knownFonts="1">
    <font>
      <sz val="11"/>
      <color theme="1"/>
      <name val="Nunito Sans"/>
      <family val="2"/>
      <scheme val="minor"/>
    </font>
    <font>
      <sz val="11"/>
      <color theme="1"/>
      <name val="Nunito Sans"/>
      <family val="2"/>
      <scheme val="minor"/>
    </font>
    <font>
      <b/>
      <sz val="11"/>
      <color theme="1"/>
      <name val="Nunito Sans"/>
      <family val="2"/>
      <scheme val="minor"/>
    </font>
    <font>
      <sz val="11"/>
      <color theme="0"/>
      <name val="Nunito Sans"/>
      <family val="2"/>
      <scheme val="minor"/>
    </font>
    <font>
      <i/>
      <sz val="11"/>
      <color theme="1"/>
      <name val="Nunito Sans"/>
      <family val="2"/>
      <scheme val="minor"/>
    </font>
    <font>
      <u/>
      <sz val="11"/>
      <color theme="10"/>
      <name val="Nunito Sans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FFFF"/>
      <name val="Nunito Sans"/>
      <family val="2"/>
      <scheme val="minor"/>
    </font>
    <font>
      <sz val="11"/>
      <color rgb="FF0D0D0D"/>
      <name val="Nunito Sans"/>
      <family val="2"/>
      <scheme val="minor"/>
    </font>
    <font>
      <sz val="11"/>
      <color rgb="FF0D0D0D"/>
      <name val="Calibri"/>
      <family val="2"/>
    </font>
    <font>
      <sz val="11"/>
      <color theme="1"/>
      <name val="Nunito Sans"/>
      <scheme val="minor"/>
    </font>
    <font>
      <sz val="11"/>
      <color rgb="FF0D0D0D"/>
      <name val="Nunito Sans"/>
      <scheme val="minor"/>
    </font>
    <font>
      <sz val="11"/>
      <color rgb="FF000000"/>
      <name val="Nunito Sans"/>
      <scheme val="minor"/>
    </font>
    <font>
      <sz val="11"/>
      <color rgb="FF242424"/>
      <name val="Nunito Sans"/>
      <scheme val="minor"/>
    </font>
    <font>
      <sz val="11"/>
      <color rgb="FFFF0000"/>
      <name val="Nunito Sans"/>
      <family val="2"/>
      <scheme val="minor"/>
    </font>
    <font>
      <b/>
      <sz val="11"/>
      <color theme="1"/>
      <name val="Nunito Sans"/>
      <scheme val="minor"/>
    </font>
    <font>
      <sz val="11"/>
      <color theme="0"/>
      <name val="Nunito Sans"/>
      <scheme val="minor"/>
    </font>
    <font>
      <b/>
      <sz val="11"/>
      <color rgb="FF0D0D0D"/>
      <name val="Nunito Sans"/>
      <scheme val="minor"/>
    </font>
    <font>
      <b/>
      <sz val="14"/>
      <color theme="1"/>
      <name val="Nunito Sans"/>
      <scheme val="minor"/>
    </font>
    <font>
      <b/>
      <sz val="11"/>
      <color theme="0"/>
      <name val="Nunito Sans"/>
      <scheme val="minor"/>
    </font>
    <font>
      <sz val="11"/>
      <color theme="0"/>
      <name val="Nunito Sans"/>
    </font>
    <font>
      <sz val="11"/>
      <name val="Nunito Sans"/>
      <family val="2"/>
      <scheme val="minor"/>
    </font>
    <font>
      <b/>
      <sz val="11"/>
      <color rgb="FFFF0000"/>
      <name val="Nunito Sans"/>
      <scheme val="minor"/>
    </font>
    <font>
      <i/>
      <sz val="11"/>
      <color theme="1"/>
      <name val="Nunito Sans"/>
      <scheme val="minor"/>
    </font>
    <font>
      <sz val="12"/>
      <name val="Nunito Sans"/>
      <family val="2"/>
      <scheme val="minor"/>
    </font>
    <font>
      <sz val="12"/>
      <color theme="0"/>
      <name val="Nunito Sans"/>
      <family val="2"/>
      <scheme val="minor"/>
    </font>
    <font>
      <sz val="12"/>
      <color theme="0"/>
      <name val="Nunito Sans"/>
      <scheme val="minor"/>
    </font>
    <font>
      <sz val="12"/>
      <color theme="1"/>
      <name val="Nunito Sans"/>
      <scheme val="minor"/>
    </font>
    <font>
      <b/>
      <sz val="12"/>
      <color theme="1"/>
      <name val="Nunito Sans"/>
      <scheme val="minor"/>
    </font>
    <font>
      <b/>
      <sz val="14"/>
      <color rgb="FFFF0000"/>
      <name val="Nunito Sans"/>
      <family val="2"/>
      <scheme val="minor"/>
    </font>
    <font>
      <sz val="11"/>
      <color theme="1"/>
      <name val="Arial"/>
      <family val="2"/>
    </font>
    <font>
      <sz val="11"/>
      <color rgb="FF000000"/>
      <name val="Nunito Sans"/>
      <family val="2"/>
      <scheme val="minor"/>
    </font>
    <font>
      <sz val="11"/>
      <color rgb="FFC00000"/>
      <name val="Nunito Sans"/>
      <family val="2"/>
      <scheme val="minor"/>
    </font>
    <font>
      <b/>
      <i/>
      <sz val="11"/>
      <color rgb="FFFF0000"/>
      <name val="Nunito Sans"/>
      <family val="2"/>
      <scheme val="minor"/>
    </font>
    <font>
      <b/>
      <u/>
      <sz val="11"/>
      <color theme="1"/>
      <name val="Nunito Sans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theme="1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E97132"/>
        <bgColor rgb="FFE9713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25">
    <xf numFmtId="0" fontId="0" fillId="0" borderId="0" xfId="0"/>
    <xf numFmtId="164" fontId="0" fillId="0" borderId="0" xfId="0" applyNumberFormat="1"/>
    <xf numFmtId="0" fontId="4" fillId="0" borderId="0" xfId="0" applyFont="1" applyAlignment="1">
      <alignment horizontal="left" indent="2"/>
    </xf>
    <xf numFmtId="10" fontId="0" fillId="0" borderId="0" xfId="0" applyNumberFormat="1"/>
    <xf numFmtId="10" fontId="0" fillId="0" borderId="0" xfId="2" applyNumberFormat="1" applyFont="1"/>
    <xf numFmtId="0" fontId="3" fillId="2" borderId="0" xfId="0" applyFont="1" applyFill="1"/>
    <xf numFmtId="0" fontId="0" fillId="3" borderId="0" xfId="0" applyFill="1"/>
    <xf numFmtId="0" fontId="3" fillId="4" borderId="0" xfId="0" applyFont="1" applyFill="1"/>
    <xf numFmtId="165" fontId="0" fillId="0" borderId="0" xfId="0" applyNumberFormat="1"/>
    <xf numFmtId="0" fontId="0" fillId="6" borderId="0" xfId="0" applyFill="1"/>
    <xf numFmtId="0" fontId="5" fillId="0" borderId="0" xfId="3"/>
    <xf numFmtId="0" fontId="2" fillId="0" borderId="0" xfId="0" applyFont="1"/>
    <xf numFmtId="166" fontId="0" fillId="0" borderId="0" xfId="0" applyNumberFormat="1"/>
    <xf numFmtId="8" fontId="0" fillId="0" borderId="0" xfId="0" applyNumberFormat="1"/>
    <xf numFmtId="0" fontId="2" fillId="5" borderId="0" xfId="0" applyFont="1" applyFill="1"/>
    <xf numFmtId="165" fontId="2" fillId="5" borderId="0" xfId="0" applyNumberFormat="1" applyFont="1" applyFill="1"/>
    <xf numFmtId="0" fontId="0" fillId="0" borderId="1" xfId="0" applyBorder="1"/>
    <xf numFmtId="165" fontId="0" fillId="0" borderId="1" xfId="0" applyNumberFormat="1" applyBorder="1"/>
    <xf numFmtId="0" fontId="3" fillId="2" borderId="2" xfId="0" applyFont="1" applyFill="1" applyBorder="1"/>
    <xf numFmtId="0" fontId="0" fillId="0" borderId="2" xfId="0" applyBorder="1"/>
    <xf numFmtId="165" fontId="0" fillId="0" borderId="2" xfId="0" applyNumberFormat="1" applyBorder="1"/>
    <xf numFmtId="2" fontId="0" fillId="0" borderId="2" xfId="0" applyNumberFormat="1" applyBorder="1"/>
    <xf numFmtId="164" fontId="0" fillId="0" borderId="2" xfId="0" applyNumberFormat="1" applyBorder="1"/>
    <xf numFmtId="0" fontId="2" fillId="0" borderId="2" xfId="0" applyFont="1" applyBorder="1"/>
    <xf numFmtId="6" fontId="0" fillId="0" borderId="0" xfId="0" applyNumberFormat="1"/>
    <xf numFmtId="2" fontId="0" fillId="0" borderId="0" xfId="0" applyNumberFormat="1"/>
    <xf numFmtId="9" fontId="0" fillId="0" borderId="0" xfId="2" applyFont="1"/>
    <xf numFmtId="0" fontId="0" fillId="0" borderId="0" xfId="0" applyAlignment="1">
      <alignment wrapText="1"/>
    </xf>
    <xf numFmtId="167" fontId="0" fillId="0" borderId="0" xfId="2" applyNumberFormat="1" applyFont="1"/>
    <xf numFmtId="0" fontId="8" fillId="8" borderId="0" xfId="0" applyFont="1" applyFill="1" applyAlignment="1">
      <alignment horizontal="center"/>
    </xf>
    <xf numFmtId="0" fontId="8" fillId="8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6" fontId="9" fillId="0" borderId="0" xfId="0" applyNumberFormat="1" applyFont="1"/>
    <xf numFmtId="2" fontId="0" fillId="0" borderId="0" xfId="2" applyNumberFormat="1" applyFont="1"/>
    <xf numFmtId="2" fontId="0" fillId="6" borderId="0" xfId="0" applyNumberFormat="1" applyFill="1"/>
    <xf numFmtId="167" fontId="0" fillId="6" borderId="0" xfId="2" applyNumberFormat="1" applyFont="1" applyFill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/>
    <xf numFmtId="164" fontId="12" fillId="0" borderId="0" xfId="0" applyNumberFormat="1" applyFont="1"/>
    <xf numFmtId="0" fontId="12" fillId="0" borderId="0" xfId="0" applyFont="1" applyAlignment="1">
      <alignment horizontal="left"/>
    </xf>
    <xf numFmtId="165" fontId="0" fillId="10" borderId="1" xfId="0" applyNumberFormat="1" applyFill="1" applyBorder="1"/>
    <xf numFmtId="3" fontId="0" fillId="0" borderId="0" xfId="0" applyNumberFormat="1"/>
    <xf numFmtId="165" fontId="0" fillId="10" borderId="0" xfId="0" applyNumberFormat="1" applyFill="1"/>
    <xf numFmtId="165" fontId="15" fillId="0" borderId="0" xfId="0" applyNumberFormat="1" applyFont="1"/>
    <xf numFmtId="0" fontId="3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wrapText="1"/>
    </xf>
    <xf numFmtId="0" fontId="2" fillId="0" borderId="3" xfId="0" applyFont="1" applyBorder="1"/>
    <xf numFmtId="165" fontId="2" fillId="0" borderId="3" xfId="0" applyNumberFormat="1" applyFont="1" applyBorder="1"/>
    <xf numFmtId="165" fontId="2" fillId="0" borderId="0" xfId="0" applyNumberFormat="1" applyFont="1"/>
    <xf numFmtId="168" fontId="0" fillId="0" borderId="0" xfId="0" applyNumberFormat="1"/>
    <xf numFmtId="0" fontId="3" fillId="11" borderId="0" xfId="0" applyFont="1" applyFill="1"/>
    <xf numFmtId="14" fontId="0" fillId="0" borderId="0" xfId="0" applyNumberFormat="1"/>
    <xf numFmtId="0" fontId="15" fillId="0" borderId="0" xfId="0" applyFont="1"/>
    <xf numFmtId="0" fontId="0" fillId="0" borderId="0" xfId="2" applyNumberFormat="1" applyFont="1"/>
    <xf numFmtId="10" fontId="0" fillId="0" borderId="0" xfId="2" applyNumberFormat="1" applyFont="1" applyFill="1"/>
    <xf numFmtId="169" fontId="0" fillId="0" borderId="0" xfId="0" applyNumberFormat="1"/>
    <xf numFmtId="0" fontId="16" fillId="0" borderId="0" xfId="0" applyFont="1"/>
    <xf numFmtId="165" fontId="16" fillId="0" borderId="0" xfId="0" applyNumberFormat="1" applyFont="1"/>
    <xf numFmtId="170" fontId="0" fillId="0" borderId="0" xfId="0" applyNumberFormat="1"/>
    <xf numFmtId="164" fontId="16" fillId="0" borderId="0" xfId="0" applyNumberFormat="1" applyFont="1"/>
    <xf numFmtId="164" fontId="11" fillId="0" borderId="0" xfId="0" applyNumberFormat="1" applyFont="1"/>
    <xf numFmtId="165" fontId="11" fillId="0" borderId="0" xfId="0" applyNumberFormat="1" applyFont="1"/>
    <xf numFmtId="2" fontId="16" fillId="0" borderId="3" xfId="0" applyNumberFormat="1" applyFont="1" applyBorder="1"/>
    <xf numFmtId="164" fontId="2" fillId="0" borderId="3" xfId="0" applyNumberFormat="1" applyFont="1" applyBorder="1"/>
    <xf numFmtId="2" fontId="16" fillId="0" borderId="2" xfId="0" applyNumberFormat="1" applyFont="1" applyBorder="1"/>
    <xf numFmtId="6" fontId="12" fillId="0" borderId="0" xfId="0" applyNumberFormat="1" applyFont="1"/>
    <xf numFmtId="0" fontId="14" fillId="0" borderId="0" xfId="0" applyFont="1"/>
    <xf numFmtId="0" fontId="13" fillId="0" borderId="0" xfId="0" applyFont="1"/>
    <xf numFmtId="0" fontId="18" fillId="3" borderId="0" xfId="0" applyFont="1" applyFill="1" applyAlignment="1">
      <alignment horizontal="center"/>
    </xf>
    <xf numFmtId="0" fontId="18" fillId="3" borderId="0" xfId="0" applyFont="1" applyFill="1"/>
    <xf numFmtId="6" fontId="18" fillId="3" borderId="0" xfId="0" applyNumberFormat="1" applyFont="1" applyFill="1"/>
    <xf numFmtId="0" fontId="18" fillId="12" borderId="0" xfId="0" applyFont="1" applyFill="1" applyAlignment="1">
      <alignment horizontal="center"/>
    </xf>
    <xf numFmtId="0" fontId="18" fillId="12" borderId="0" xfId="0" applyFont="1" applyFill="1"/>
    <xf numFmtId="6" fontId="18" fillId="12" borderId="0" xfId="0" applyNumberFormat="1" applyFont="1" applyFill="1"/>
    <xf numFmtId="0" fontId="11" fillId="3" borderId="0" xfId="0" applyFont="1" applyFill="1"/>
    <xf numFmtId="0" fontId="0" fillId="12" borderId="0" xfId="0" applyFill="1"/>
    <xf numFmtId="0" fontId="20" fillId="2" borderId="2" xfId="0" applyFont="1" applyFill="1" applyBorder="1" applyAlignment="1">
      <alignment wrapText="1"/>
    </xf>
    <xf numFmtId="0" fontId="20" fillId="2" borderId="2" xfId="0" applyFont="1" applyFill="1" applyBorder="1"/>
    <xf numFmtId="171" fontId="0" fillId="0" borderId="0" xfId="2" applyNumberFormat="1" applyFont="1"/>
    <xf numFmtId="0" fontId="0" fillId="10" borderId="0" xfId="0" applyFill="1"/>
    <xf numFmtId="10" fontId="15" fillId="0" borderId="0" xfId="2" applyNumberFormat="1" applyFont="1"/>
    <xf numFmtId="165" fontId="15" fillId="0" borderId="0" xfId="2" applyNumberFormat="1" applyFont="1"/>
    <xf numFmtId="172" fontId="0" fillId="0" borderId="0" xfId="0" applyNumberFormat="1"/>
    <xf numFmtId="173" fontId="0" fillId="0" borderId="0" xfId="0" applyNumberFormat="1"/>
    <xf numFmtId="0" fontId="0" fillId="12" borderId="2" xfId="0" applyFill="1" applyBorder="1" applyAlignment="1">
      <alignment horizontal="center" wrapText="1"/>
    </xf>
    <xf numFmtId="0" fontId="3" fillId="2" borderId="5" xfId="0" applyFont="1" applyFill="1" applyBorder="1"/>
    <xf numFmtId="165" fontId="16" fillId="0" borderId="3" xfId="0" applyNumberFormat="1" applyFont="1" applyBorder="1"/>
    <xf numFmtId="2" fontId="15" fillId="0" borderId="0" xfId="0" applyNumberFormat="1" applyFont="1"/>
    <xf numFmtId="10" fontId="15" fillId="0" borderId="0" xfId="0" applyNumberFormat="1" applyFont="1"/>
    <xf numFmtId="44" fontId="0" fillId="0" borderId="0" xfId="1" applyFont="1"/>
    <xf numFmtId="44" fontId="0" fillId="0" borderId="0" xfId="0" applyNumberFormat="1"/>
    <xf numFmtId="0" fontId="22" fillId="12" borderId="2" xfId="0" applyFont="1" applyFill="1" applyBorder="1" applyAlignment="1">
      <alignment horizontal="center" wrapText="1"/>
    </xf>
    <xf numFmtId="0" fontId="10" fillId="0" borderId="0" xfId="0" applyFont="1"/>
    <xf numFmtId="165" fontId="2" fillId="0" borderId="2" xfId="0" applyNumberFormat="1" applyFont="1" applyBorder="1"/>
    <xf numFmtId="0" fontId="23" fillId="0" borderId="0" xfId="0" applyFont="1"/>
    <xf numFmtId="9" fontId="0" fillId="0" borderId="0" xfId="0" applyNumberFormat="1"/>
    <xf numFmtId="9" fontId="0" fillId="0" borderId="0" xfId="2" applyFont="1" applyFill="1"/>
    <xf numFmtId="167" fontId="0" fillId="0" borderId="0" xfId="0" applyNumberFormat="1"/>
    <xf numFmtId="174" fontId="0" fillId="0" borderId="0" xfId="0" applyNumberFormat="1"/>
    <xf numFmtId="0" fontId="22" fillId="0" borderId="0" xfId="0" applyFont="1"/>
    <xf numFmtId="9" fontId="15" fillId="0" borderId="0" xfId="2" applyFont="1"/>
    <xf numFmtId="167" fontId="0" fillId="0" borderId="0" xfId="2" applyNumberFormat="1" applyFont="1" applyFill="1"/>
    <xf numFmtId="0" fontId="24" fillId="0" borderId="0" xfId="0" applyFont="1" applyAlignment="1">
      <alignment horizontal="left" indent="2"/>
    </xf>
    <xf numFmtId="0" fontId="0" fillId="2" borderId="0" xfId="0" applyFill="1" applyAlignment="1">
      <alignment wrapText="1"/>
    </xf>
    <xf numFmtId="0" fontId="8" fillId="8" borderId="0" xfId="0" applyFont="1" applyFill="1" applyAlignment="1">
      <alignment wrapText="1"/>
    </xf>
    <xf numFmtId="0" fontId="0" fillId="3" borderId="0" xfId="0" applyFill="1" applyAlignment="1">
      <alignment wrapText="1"/>
    </xf>
    <xf numFmtId="44" fontId="9" fillId="0" borderId="0" xfId="0" applyNumberFormat="1" applyFont="1"/>
    <xf numFmtId="0" fontId="8" fillId="8" borderId="0" xfId="0" applyFont="1" applyFill="1" applyAlignment="1">
      <alignment horizontal="center" wrapText="1"/>
    </xf>
    <xf numFmtId="164" fontId="8" fillId="8" borderId="0" xfId="0" applyNumberFormat="1" applyFont="1" applyFill="1" applyAlignment="1">
      <alignment wrapText="1"/>
    </xf>
    <xf numFmtId="0" fontId="25" fillId="11" borderId="0" xfId="0" applyFont="1" applyFill="1" applyAlignment="1">
      <alignment horizontal="center" wrapText="1"/>
    </xf>
    <xf numFmtId="2" fontId="22" fillId="0" borderId="0" xfId="2" applyNumberFormat="1" applyFont="1"/>
    <xf numFmtId="9" fontId="0" fillId="10" borderId="0" xfId="2" applyFont="1" applyFill="1"/>
    <xf numFmtId="1" fontId="0" fillId="0" borderId="0" xfId="2" applyNumberFormat="1" applyFont="1"/>
    <xf numFmtId="166" fontId="22" fillId="0" borderId="0" xfId="0" applyNumberFormat="1" applyFont="1"/>
    <xf numFmtId="3" fontId="22" fillId="0" borderId="0" xfId="0" applyNumberFormat="1" applyFont="1"/>
    <xf numFmtId="9" fontId="22" fillId="0" borderId="0" xfId="2" applyFont="1"/>
    <xf numFmtId="0" fontId="22" fillId="14" borderId="2" xfId="0" applyFont="1" applyFill="1" applyBorder="1" applyAlignment="1">
      <alignment horizontal="center" wrapText="1"/>
    </xf>
    <xf numFmtId="3" fontId="0" fillId="0" borderId="2" xfId="0" applyNumberFormat="1" applyBorder="1"/>
    <xf numFmtId="2" fontId="2" fillId="0" borderId="0" xfId="0" applyNumberFormat="1" applyFont="1"/>
    <xf numFmtId="0" fontId="27" fillId="2" borderId="2" xfId="0" applyFont="1" applyFill="1" applyBorder="1" applyAlignment="1">
      <alignment wrapText="1"/>
    </xf>
    <xf numFmtId="0" fontId="27" fillId="2" borderId="2" xfId="0" applyFont="1" applyFill="1" applyBorder="1" applyAlignment="1">
      <alignment horizontal="center" wrapText="1"/>
    </xf>
    <xf numFmtId="0" fontId="28" fillId="0" borderId="2" xfId="0" applyFont="1" applyBorder="1"/>
    <xf numFmtId="165" fontId="28" fillId="0" borderId="2" xfId="0" applyNumberFormat="1" applyFont="1" applyBorder="1"/>
    <xf numFmtId="2" fontId="28" fillId="0" borderId="2" xfId="0" applyNumberFormat="1" applyFont="1" applyBorder="1"/>
    <xf numFmtId="0" fontId="29" fillId="0" borderId="3" xfId="0" applyFont="1" applyBorder="1"/>
    <xf numFmtId="165" fontId="29" fillId="0" borderId="3" xfId="0" applyNumberFormat="1" applyFont="1" applyBorder="1"/>
    <xf numFmtId="2" fontId="29" fillId="0" borderId="3" xfId="0" applyNumberFormat="1" applyFont="1" applyBorder="1"/>
    <xf numFmtId="0" fontId="0" fillId="7" borderId="2" xfId="0" applyFill="1" applyBorder="1"/>
    <xf numFmtId="1" fontId="9" fillId="0" borderId="0" xfId="0" applyNumberFormat="1" applyFont="1"/>
    <xf numFmtId="1" fontId="10" fillId="0" borderId="0" xfId="0" applyNumberFormat="1" applyFont="1" applyAlignment="1">
      <alignment horizontal="right"/>
    </xf>
    <xf numFmtId="0" fontId="29" fillId="0" borderId="0" xfId="0" applyFont="1"/>
    <xf numFmtId="165" fontId="29" fillId="0" borderId="0" xfId="0" applyNumberFormat="1" applyFont="1"/>
    <xf numFmtId="2" fontId="29" fillId="0" borderId="0" xfId="0" applyNumberFormat="1" applyFont="1"/>
    <xf numFmtId="0" fontId="0" fillId="7" borderId="0" xfId="0" applyFill="1"/>
    <xf numFmtId="2" fontId="15" fillId="0" borderId="0" xfId="2" applyNumberFormat="1" applyFont="1"/>
    <xf numFmtId="0" fontId="16" fillId="0" borderId="0" xfId="0" applyFont="1" applyAlignment="1">
      <alignment horizontal="left"/>
    </xf>
    <xf numFmtId="1" fontId="12" fillId="0" borderId="0" xfId="0" applyNumberFormat="1" applyFont="1" applyAlignment="1">
      <alignment horizontal="right"/>
    </xf>
    <xf numFmtId="1" fontId="0" fillId="0" borderId="0" xfId="0" applyNumberFormat="1"/>
    <xf numFmtId="0" fontId="0" fillId="0" borderId="0" xfId="0" applyAlignment="1">
      <alignment horizontal="center"/>
    </xf>
    <xf numFmtId="3" fontId="9" fillId="0" borderId="0" xfId="0" applyNumberFormat="1" applyFont="1"/>
    <xf numFmtId="0" fontId="3" fillId="4" borderId="0" xfId="0" applyFont="1" applyFill="1" applyAlignment="1">
      <alignment wrapText="1"/>
    </xf>
    <xf numFmtId="2" fontId="22" fillId="0" borderId="0" xfId="0" applyNumberFormat="1" applyFont="1"/>
    <xf numFmtId="0" fontId="30" fillId="0" borderId="0" xfId="0" applyFont="1"/>
    <xf numFmtId="0" fontId="11" fillId="0" borderId="0" xfId="0" applyFont="1"/>
    <xf numFmtId="174" fontId="11" fillId="0" borderId="0" xfId="4" applyNumberFormat="1" applyFont="1" applyBorder="1"/>
    <xf numFmtId="174" fontId="11" fillId="0" borderId="0" xfId="4" applyNumberFormat="1" applyFont="1" applyFill="1" applyBorder="1"/>
    <xf numFmtId="0" fontId="2" fillId="13" borderId="0" xfId="0" applyFont="1" applyFill="1" applyAlignment="1">
      <alignment horizontal="centerContinuous"/>
    </xf>
    <xf numFmtId="0" fontId="2" fillId="15" borderId="0" xfId="0" applyFont="1" applyFill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6" xfId="0" applyFont="1" applyBorder="1" applyAlignment="1">
      <alignment horizontal="center"/>
    </xf>
    <xf numFmtId="0" fontId="2" fillId="10" borderId="6" xfId="0" applyFont="1" applyFill="1" applyBorder="1" applyAlignment="1">
      <alignment horizontal="center"/>
    </xf>
    <xf numFmtId="38" fontId="0" fillId="0" borderId="0" xfId="0" applyNumberFormat="1"/>
    <xf numFmtId="38" fontId="0" fillId="10" borderId="0" xfId="0" applyNumberFormat="1" applyFill="1"/>
    <xf numFmtId="38" fontId="0" fillId="0" borderId="1" xfId="0" applyNumberFormat="1" applyBorder="1"/>
    <xf numFmtId="38" fontId="0" fillId="10" borderId="1" xfId="0" applyNumberFormat="1" applyFill="1" applyBorder="1"/>
    <xf numFmtId="0" fontId="2" fillId="0" borderId="0" xfId="0" applyFont="1" applyAlignment="1">
      <alignment horizontal="center"/>
    </xf>
    <xf numFmtId="1" fontId="22" fillId="0" borderId="0" xfId="2" applyNumberFormat="1" applyFont="1"/>
    <xf numFmtId="0" fontId="22" fillId="10" borderId="0" xfId="0" applyFont="1" applyFill="1"/>
    <xf numFmtId="0" fontId="22" fillId="0" borderId="0" xfId="0" applyFont="1" applyAlignment="1">
      <alignment wrapText="1"/>
    </xf>
    <xf numFmtId="174" fontId="31" fillId="0" borderId="0" xfId="4" applyNumberFormat="1" applyFont="1"/>
    <xf numFmtId="174" fontId="31" fillId="0" borderId="0" xfId="4" applyNumberFormat="1" applyFont="1" applyFill="1"/>
    <xf numFmtId="2" fontId="2" fillId="0" borderId="2" xfId="0" applyNumberFormat="1" applyFont="1" applyBorder="1"/>
    <xf numFmtId="0" fontId="32" fillId="0" borderId="0" xfId="0" applyFont="1" applyAlignment="1">
      <alignment horizontal="left"/>
    </xf>
    <xf numFmtId="39" fontId="33" fillId="0" borderId="0" xfId="0" applyNumberFormat="1" applyFont="1" applyAlignment="1">
      <alignment horizontal="left"/>
    </xf>
    <xf numFmtId="0" fontId="32" fillId="0" borderId="0" xfId="0" applyFont="1"/>
    <xf numFmtId="0" fontId="33" fillId="0" borderId="0" xfId="0" applyFont="1" applyAlignment="1">
      <alignment horizontal="left"/>
    </xf>
    <xf numFmtId="0" fontId="34" fillId="0" borderId="0" xfId="0" applyFont="1"/>
    <xf numFmtId="0" fontId="2" fillId="0" borderId="0" xfId="0" applyFont="1" applyAlignment="1">
      <alignment horizontal="right"/>
    </xf>
    <xf numFmtId="0" fontId="35" fillId="0" borderId="0" xfId="0" applyFont="1" applyAlignment="1">
      <alignment horizontal="center"/>
    </xf>
    <xf numFmtId="1" fontId="22" fillId="6" borderId="0" xfId="0" applyNumberFormat="1" applyFont="1" applyFill="1" applyAlignment="1">
      <alignment horizontal="center"/>
    </xf>
    <xf numFmtId="1" fontId="22" fillId="0" borderId="0" xfId="0" applyNumberFormat="1" applyFont="1" applyAlignment="1">
      <alignment horizontal="center"/>
    </xf>
    <xf numFmtId="0" fontId="0" fillId="0" borderId="0" xfId="0" applyAlignment="1">
      <alignment horizontal="left" indent="2"/>
    </xf>
    <xf numFmtId="6" fontId="0" fillId="0" borderId="0" xfId="0" applyNumberFormat="1" applyAlignment="1">
      <alignment horizontal="center"/>
    </xf>
    <xf numFmtId="6" fontId="2" fillId="0" borderId="0" xfId="0" applyNumberFormat="1" applyFont="1" applyAlignment="1">
      <alignment horizontal="center"/>
    </xf>
    <xf numFmtId="6" fontId="0" fillId="16" borderId="0" xfId="0" applyNumberFormat="1" applyFill="1" applyAlignment="1">
      <alignment horizontal="center"/>
    </xf>
    <xf numFmtId="6" fontId="0" fillId="16" borderId="5" xfId="0" applyNumberFormat="1" applyFill="1" applyBorder="1" applyAlignment="1">
      <alignment horizontal="center"/>
    </xf>
    <xf numFmtId="6" fontId="0" fillId="0" borderId="5" xfId="0" applyNumberFormat="1" applyBorder="1" applyAlignment="1">
      <alignment horizontal="center"/>
    </xf>
    <xf numFmtId="6" fontId="0" fillId="0" borderId="4" xfId="0" applyNumberFormat="1" applyBorder="1" applyAlignment="1">
      <alignment horizontal="center"/>
    </xf>
    <xf numFmtId="6" fontId="2" fillId="0" borderId="10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39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39" fontId="0" fillId="0" borderId="0" xfId="0" applyNumberFormat="1"/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centerContinuous"/>
    </xf>
    <xf numFmtId="0" fontId="0" fillId="0" borderId="0" xfId="0" quotePrefix="1" applyAlignment="1">
      <alignment horizontal="center"/>
    </xf>
    <xf numFmtId="175" fontId="0" fillId="0" borderId="0" xfId="0" applyNumberFormat="1"/>
    <xf numFmtId="176" fontId="0" fillId="0" borderId="0" xfId="0" applyNumberFormat="1"/>
    <xf numFmtId="0" fontId="35" fillId="0" borderId="0" xfId="0" applyFont="1"/>
    <xf numFmtId="2" fontId="36" fillId="0" borderId="0" xfId="0" applyNumberFormat="1" applyFont="1"/>
    <xf numFmtId="39" fontId="0" fillId="0" borderId="10" xfId="0" applyNumberFormat="1" applyBorder="1"/>
    <xf numFmtId="37" fontId="0" fillId="0" borderId="0" xfId="0" applyNumberFormat="1"/>
    <xf numFmtId="37" fontId="0" fillId="0" borderId="10" xfId="0" applyNumberFormat="1" applyBorder="1"/>
    <xf numFmtId="37" fontId="2" fillId="0" borderId="0" xfId="0" applyNumberFormat="1" applyFont="1"/>
    <xf numFmtId="175" fontId="2" fillId="0" borderId="0" xfId="0" applyNumberFormat="1" applyFont="1"/>
    <xf numFmtId="0" fontId="36" fillId="0" borderId="0" xfId="0" applyFont="1"/>
    <xf numFmtId="0" fontId="37" fillId="0" borderId="5" xfId="0" applyFont="1" applyBorder="1" applyAlignment="1">
      <alignment wrapText="1"/>
    </xf>
    <xf numFmtId="166" fontId="22" fillId="9" borderId="0" xfId="0" applyNumberFormat="1" applyFont="1" applyFill="1"/>
    <xf numFmtId="166" fontId="4" fillId="0" borderId="0" xfId="0" applyNumberFormat="1" applyFont="1"/>
    <xf numFmtId="0" fontId="0" fillId="11" borderId="2" xfId="0" applyFill="1" applyBorder="1"/>
    <xf numFmtId="0" fontId="25" fillId="11" borderId="2" xfId="0" applyFont="1" applyFill="1" applyBorder="1" applyAlignment="1">
      <alignment wrapText="1"/>
    </xf>
    <xf numFmtId="165" fontId="0" fillId="17" borderId="2" xfId="0" applyNumberFormat="1" applyFill="1" applyBorder="1"/>
    <xf numFmtId="0" fontId="0" fillId="17" borderId="0" xfId="0" applyFill="1"/>
    <xf numFmtId="0" fontId="12" fillId="17" borderId="0" xfId="0" applyFont="1" applyFill="1" applyAlignment="1">
      <alignment horizontal="center"/>
    </xf>
    <xf numFmtId="165" fontId="0" fillId="17" borderId="0" xfId="1" applyNumberFormat="1" applyFont="1" applyFill="1"/>
    <xf numFmtId="165" fontId="0" fillId="0" borderId="0" xfId="1" applyNumberFormat="1" applyFont="1" applyFill="1"/>
    <xf numFmtId="44" fontId="9" fillId="17" borderId="0" xfId="0" applyNumberFormat="1" applyFont="1" applyFill="1"/>
    <xf numFmtId="164" fontId="9" fillId="0" borderId="0" xfId="1" applyNumberFormat="1" applyFont="1" applyAlignment="1">
      <alignment horizontal="center"/>
    </xf>
    <xf numFmtId="0" fontId="38" fillId="0" borderId="0" xfId="0" applyFont="1"/>
    <xf numFmtId="0" fontId="19" fillId="0" borderId="0" xfId="0" applyFont="1" applyAlignment="1">
      <alignment horizontal="center" vertical="center" textRotation="90" wrapText="1"/>
    </xf>
    <xf numFmtId="0" fontId="19" fillId="0" borderId="4" xfId="0" applyFont="1" applyBorder="1" applyAlignment="1">
      <alignment horizontal="center" vertical="center" textRotation="90" wrapText="1"/>
    </xf>
    <xf numFmtId="0" fontId="16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0" fillId="7" borderId="0" xfId="0" applyFill="1" applyAlignment="1">
      <alignment horizontal="left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5" fillId="11" borderId="2" xfId="0" applyFont="1" applyFill="1" applyBorder="1" applyAlignment="1">
      <alignment horizontal="center" wrapText="1"/>
    </xf>
    <xf numFmtId="0" fontId="0" fillId="7" borderId="7" xfId="0" applyFill="1" applyBorder="1" applyAlignment="1">
      <alignment horizontal="center" wrapText="1"/>
    </xf>
    <xf numFmtId="0" fontId="0" fillId="7" borderId="8" xfId="0" applyFill="1" applyBorder="1" applyAlignment="1">
      <alignment horizontal="center" wrapText="1"/>
    </xf>
    <xf numFmtId="0" fontId="0" fillId="7" borderId="9" xfId="0" applyFill="1" applyBorder="1" applyAlignment="1">
      <alignment horizontal="center" wrapText="1"/>
    </xf>
    <xf numFmtId="0" fontId="26" fillId="2" borderId="0" xfId="0" applyFont="1" applyFill="1" applyAlignment="1">
      <alignment horizontal="center" wrapText="1"/>
    </xf>
  </cellXfs>
  <cellStyles count="5">
    <cellStyle name="Comma" xfId="4" builtinId="3"/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54857359141977"/>
          <c:y val="4.7708319681355721E-2"/>
          <c:w val="0.8718264757207036"/>
          <c:h val="0.7187753392575793"/>
        </c:manualLayout>
      </c:layout>
      <c:barChart>
        <c:barDir val="col"/>
        <c:grouping val="clustered"/>
        <c:varyColors val="0"/>
        <c:ser>
          <c:idx val="0"/>
          <c:order val="0"/>
          <c:tx>
            <c:v>Mitigation Scenario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'Baseline scaling factors'!$B$6:$K$6</c:f>
              <c:numCache>
                <c:formatCode>0.00</c:formatCode>
                <c:ptCount val="10"/>
                <c:pt idx="0">
                  <c:v>120.87</c:v>
                </c:pt>
                <c:pt idx="1">
                  <c:v>120.87</c:v>
                </c:pt>
                <c:pt idx="2">
                  <c:v>120.87</c:v>
                </c:pt>
                <c:pt idx="3">
                  <c:v>120.87</c:v>
                </c:pt>
                <c:pt idx="4">
                  <c:v>120.87</c:v>
                </c:pt>
                <c:pt idx="5">
                  <c:v>120.87</c:v>
                </c:pt>
                <c:pt idx="6">
                  <c:v>120.87</c:v>
                </c:pt>
                <c:pt idx="7">
                  <c:v>120.87</c:v>
                </c:pt>
                <c:pt idx="8">
                  <c:v>120.87</c:v>
                </c:pt>
                <c:pt idx="9">
                  <c:v>120.87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99-4414-8897-0993585E79D3}"/>
            </c:ext>
          </c:extLst>
        </c:ser>
        <c:ser>
          <c:idx val="1"/>
          <c:order val="1"/>
          <c:tx>
            <c:v>Baseline Scenario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'Baseline scaling factors'!$B$37:$K$37</c:f>
              <c:numCache>
                <c:formatCode>0.00</c:formatCode>
                <c:ptCount val="10"/>
                <c:pt idx="0">
                  <c:v>12.087</c:v>
                </c:pt>
                <c:pt idx="1">
                  <c:v>23.641419812470666</c:v>
                </c:pt>
                <c:pt idx="2">
                  <c:v>34.686726108724052</c:v>
                </c:pt>
                <c:pt idx="3">
                  <c:v>45.245351566177277</c:v>
                </c:pt>
                <c:pt idx="4">
                  <c:v>55.338740428430498</c:v>
                </c:pt>
                <c:pt idx="5">
                  <c:v>64.987392057866202</c:v>
                </c:pt>
                <c:pt idx="6">
                  <c:v>74.210902569223805</c:v>
                </c:pt>
                <c:pt idx="7">
                  <c:v>83.028004628706029</c:v>
                </c:pt>
                <c:pt idx="8">
                  <c:v>91.456605499447932</c:v>
                </c:pt>
                <c:pt idx="9">
                  <c:v>99.51382341061759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99-4414-8897-0993585E7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8354768"/>
        <c:axId val="1378352848"/>
      </c:barChart>
      <c:catAx>
        <c:axId val="13783547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Year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8352848"/>
        <c:crosses val="autoZero"/>
        <c:auto val="1"/>
        <c:lblAlgn val="ctr"/>
        <c:lblOffset val="100"/>
        <c:noMultiLvlLbl val="0"/>
      </c:catAx>
      <c:valAx>
        <c:axId val="1378352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Circuit Miles Mitigated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835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206190336330346"/>
          <c:y val="0.91964916079512915"/>
          <c:w val="0.4636031533628035"/>
          <c:h val="8.0350839204870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54200962997831"/>
          <c:y val="4.7444005601536228E-2"/>
          <c:w val="0.77791320400982733"/>
          <c:h val="0.74963612534144097"/>
        </c:manualLayout>
      </c:layout>
      <c:lineChart>
        <c:grouping val="standard"/>
        <c:varyColors val="0"/>
        <c:ser>
          <c:idx val="0"/>
          <c:order val="0"/>
          <c:tx>
            <c:v>OH-1PH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'Baseline scaling factors'!$B$22:$K$22</c:f>
              <c:numCache>
                <c:formatCode>"$"#,##0</c:formatCode>
                <c:ptCount val="10"/>
                <c:pt idx="0">
                  <c:v>502821.6040100251</c:v>
                </c:pt>
                <c:pt idx="1">
                  <c:v>537570.22269296786</c:v>
                </c:pt>
                <c:pt idx="2">
                  <c:v>574720.22288128536</c:v>
                </c:pt>
                <c:pt idx="3">
                  <c:v>614437.55744887376</c:v>
                </c:pt>
                <c:pt idx="4">
                  <c:v>656899.64781650226</c:v>
                </c:pt>
                <c:pt idx="5">
                  <c:v>702296.17651155789</c:v>
                </c:pt>
                <c:pt idx="6">
                  <c:v>750829.9344994151</c:v>
                </c:pt>
                <c:pt idx="7">
                  <c:v>802717.72707154742</c:v>
                </c:pt>
                <c:pt idx="8">
                  <c:v>858191.34233707516</c:v>
                </c:pt>
                <c:pt idx="9">
                  <c:v>917498.58664410224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0D-407A-8EB5-FF4C27656C2F}"/>
            </c:ext>
          </c:extLst>
        </c:ser>
        <c:ser>
          <c:idx val="1"/>
          <c:order val="1"/>
          <c:tx>
            <c:v>OH-3PH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'Baseline scaling factors'!$B$23:$K$23</c:f>
              <c:numCache>
                <c:formatCode>"$"#,##0</c:formatCode>
                <c:ptCount val="10"/>
                <c:pt idx="0">
                  <c:v>703872.23304754496</c:v>
                </c:pt>
                <c:pt idx="1">
                  <c:v>752514.90796966874</c:v>
                </c:pt>
                <c:pt idx="2">
                  <c:v>804519.14442595746</c:v>
                </c:pt>
                <c:pt idx="3">
                  <c:v>860117.2506923452</c:v>
                </c:pt>
                <c:pt idx="4">
                  <c:v>919557.58923104778</c:v>
                </c:pt>
                <c:pt idx="5">
                  <c:v>983105.68615124025</c:v>
                </c:pt>
                <c:pt idx="6">
                  <c:v>1051045.4173415117</c:v>
                </c:pt>
                <c:pt idx="7">
                  <c:v>1123680.2765726724</c:v>
                </c:pt>
                <c:pt idx="8">
                  <c:v>1201334.7312356604</c:v>
                </c:pt>
                <c:pt idx="9">
                  <c:v>1284355.6717707673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0D-407A-8EB5-FF4C27656C2F}"/>
            </c:ext>
          </c:extLst>
        </c:ser>
        <c:ser>
          <c:idx val="2"/>
          <c:order val="2"/>
          <c:tx>
            <c:v>UG-1PH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'Baseline scaling factors'!$B$24:$K$24</c:f>
              <c:numCache>
                <c:formatCode>"$"#,##0</c:formatCode>
                <c:ptCount val="10"/>
                <c:pt idx="0">
                  <c:v>601670.60483870958</c:v>
                </c:pt>
                <c:pt idx="1">
                  <c:v>643250.40621068678</c:v>
                </c:pt>
                <c:pt idx="2">
                  <c:v>687703.67334321339</c:v>
                </c:pt>
                <c:pt idx="3">
                  <c:v>735228.98355519434</c:v>
                </c:pt>
                <c:pt idx="4">
                  <c:v>786038.63729811029</c:v>
                </c:pt>
                <c:pt idx="5">
                  <c:v>840359.60652398178</c:v>
                </c:pt>
                <c:pt idx="6">
                  <c:v>898434.54859243636</c:v>
                </c:pt>
                <c:pt idx="7">
                  <c:v>960522.89024610538</c:v>
                </c:pt>
                <c:pt idx="8">
                  <c:v>1026901.9864965809</c:v>
                </c:pt>
                <c:pt idx="9">
                  <c:v>1097868.3595977945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0D-407A-8EB5-FF4C27656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7629824"/>
        <c:axId val="1517628864"/>
      </c:lineChart>
      <c:catAx>
        <c:axId val="1517629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7628864"/>
        <c:crosses val="autoZero"/>
        <c:auto val="1"/>
        <c:lblAlgn val="ctr"/>
        <c:lblOffset val="100"/>
        <c:noMultiLvlLbl val="0"/>
      </c:catAx>
      <c:valAx>
        <c:axId val="151762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Cost per mile (fully loaded)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762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46986300673439"/>
          <c:y val="0.93452206407305116"/>
          <c:w val="0.42350265334750398"/>
          <c:h val="6.5477935926948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'Rev Req''t_Baseline_OH1PH'!$F$22:$BC$22</c:f>
              <c:numCache>
                <c:formatCode>_("$"* #,##0_);_("$"* \(#,##0\);_("$"* "-"??_);_(@_)</c:formatCode>
                <c:ptCount val="50"/>
                <c:pt idx="0">
                  <c:v>0</c:v>
                </c:pt>
                <c:pt idx="1">
                  <c:v>-4865.3015261375012</c:v>
                </c:pt>
                <c:pt idx="2">
                  <c:v>-19375.020763229855</c:v>
                </c:pt>
                <c:pt idx="3">
                  <c:v>-32377.886613369905</c:v>
                </c:pt>
                <c:pt idx="4">
                  <c:v>-43990.666313184956</c:v>
                </c:pt>
                <c:pt idx="5">
                  <c:v>-54313.446065498407</c:v>
                </c:pt>
                <c:pt idx="6">
                  <c:v>-63446.31207313366</c:v>
                </c:pt>
                <c:pt idx="7">
                  <c:v>-71475.449677410856</c:v>
                </c:pt>
                <c:pt idx="8">
                  <c:v>-78487.044219650154</c:v>
                </c:pt>
                <c:pt idx="9">
                  <c:v>-85331.828423850457</c:v>
                </c:pt>
                <c:pt idx="10">
                  <c:v>-92173.832455750104</c:v>
                </c:pt>
                <c:pt idx="11">
                  <c:v>-99018.616659950407</c:v>
                </c:pt>
                <c:pt idx="12">
                  <c:v>-105860.62069185005</c:v>
                </c:pt>
                <c:pt idx="13">
                  <c:v>-112705.40489605036</c:v>
                </c:pt>
                <c:pt idx="14">
                  <c:v>-119547.40892795</c:v>
                </c:pt>
                <c:pt idx="15">
                  <c:v>-126392.19313215031</c:v>
                </c:pt>
                <c:pt idx="16">
                  <c:v>-133234.19716404995</c:v>
                </c:pt>
                <c:pt idx="17">
                  <c:v>-140078.98136825024</c:v>
                </c:pt>
                <c:pt idx="18">
                  <c:v>-146920.98540014989</c:v>
                </c:pt>
                <c:pt idx="19">
                  <c:v>-153765.76960435018</c:v>
                </c:pt>
                <c:pt idx="20">
                  <c:v>-160607.77363624983</c:v>
                </c:pt>
                <c:pt idx="21">
                  <c:v>-161249.99343769997</c:v>
                </c:pt>
                <c:pt idx="22">
                  <c:v>-155689.64883639998</c:v>
                </c:pt>
                <c:pt idx="23">
                  <c:v>-150129.30423509999</c:v>
                </c:pt>
                <c:pt idx="24">
                  <c:v>-144568.9596338</c:v>
                </c:pt>
                <c:pt idx="25">
                  <c:v>-139008.61503250001</c:v>
                </c:pt>
                <c:pt idx="26">
                  <c:v>-133448.27043120001</c:v>
                </c:pt>
                <c:pt idx="27">
                  <c:v>-127887.92582990001</c:v>
                </c:pt>
                <c:pt idx="28">
                  <c:v>-122327.5812286</c:v>
                </c:pt>
                <c:pt idx="29">
                  <c:v>-116767.23662729999</c:v>
                </c:pt>
                <c:pt idx="30">
                  <c:v>-111206.89202599999</c:v>
                </c:pt>
                <c:pt idx="31">
                  <c:v>-105646.54742469998</c:v>
                </c:pt>
                <c:pt idx="32">
                  <c:v>-100086.20282339997</c:v>
                </c:pt>
                <c:pt idx="33">
                  <c:v>-94525.858222099967</c:v>
                </c:pt>
                <c:pt idx="34">
                  <c:v>-88965.51362079996</c:v>
                </c:pt>
                <c:pt idx="35">
                  <c:v>-83405.169019499954</c:v>
                </c:pt>
                <c:pt idx="36">
                  <c:v>-77844.824418199947</c:v>
                </c:pt>
                <c:pt idx="37">
                  <c:v>-72284.47981689994</c:v>
                </c:pt>
                <c:pt idx="38">
                  <c:v>-66724.135215599934</c:v>
                </c:pt>
                <c:pt idx="39">
                  <c:v>-61163.790614299935</c:v>
                </c:pt>
                <c:pt idx="40">
                  <c:v>-55603.446012999935</c:v>
                </c:pt>
                <c:pt idx="41">
                  <c:v>-50043.101411699936</c:v>
                </c:pt>
                <c:pt idx="42">
                  <c:v>-44482.756810399937</c:v>
                </c:pt>
                <c:pt idx="43">
                  <c:v>-38922.412209099937</c:v>
                </c:pt>
                <c:pt idx="44">
                  <c:v>-33362.067607799938</c:v>
                </c:pt>
                <c:pt idx="45">
                  <c:v>-27801.723006499938</c:v>
                </c:pt>
                <c:pt idx="46">
                  <c:v>-22241.378405199939</c:v>
                </c:pt>
                <c:pt idx="47">
                  <c:v>-16681.03380389994</c:v>
                </c:pt>
                <c:pt idx="48">
                  <c:v>-11120.689202599939</c:v>
                </c:pt>
                <c:pt idx="49">
                  <c:v>-5560.3446012999375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E-4B2F-8A97-9BDDD986DB7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'Rev Req''t_Baseline_OH1PH'!$F$23:$BC$23</c:f>
              <c:numCache>
                <c:formatCode>_("$"* #,##0_);_("$"* \(#,##0\);_("$"* "-"??_);_(@_)</c:formatCode>
                <c:ptCount val="50"/>
                <c:pt idx="0">
                  <c:v>-4865.3015261375012</c:v>
                </c:pt>
                <c:pt idx="1">
                  <c:v>-19375.020763229855</c:v>
                </c:pt>
                <c:pt idx="2">
                  <c:v>-32377.886613369905</c:v>
                </c:pt>
                <c:pt idx="3">
                  <c:v>-43990.666313184956</c:v>
                </c:pt>
                <c:pt idx="4">
                  <c:v>-54313.446065498407</c:v>
                </c:pt>
                <c:pt idx="5">
                  <c:v>-63446.31207313366</c:v>
                </c:pt>
                <c:pt idx="6">
                  <c:v>-71475.449677410856</c:v>
                </c:pt>
                <c:pt idx="7">
                  <c:v>-78487.044219650154</c:v>
                </c:pt>
                <c:pt idx="8">
                  <c:v>-85331.828423850457</c:v>
                </c:pt>
                <c:pt idx="9">
                  <c:v>-92173.832455750104</c:v>
                </c:pt>
                <c:pt idx="10">
                  <c:v>-99018.616659950407</c:v>
                </c:pt>
                <c:pt idx="11">
                  <c:v>-105860.62069185005</c:v>
                </c:pt>
                <c:pt idx="12">
                  <c:v>-112705.40489605036</c:v>
                </c:pt>
                <c:pt idx="13">
                  <c:v>-119547.40892795</c:v>
                </c:pt>
                <c:pt idx="14">
                  <c:v>-126392.19313215031</c:v>
                </c:pt>
                <c:pt idx="15">
                  <c:v>-133234.19716404995</c:v>
                </c:pt>
                <c:pt idx="16">
                  <c:v>-140078.98136825024</c:v>
                </c:pt>
                <c:pt idx="17">
                  <c:v>-146920.98540014989</c:v>
                </c:pt>
                <c:pt idx="18">
                  <c:v>-153765.76960435018</c:v>
                </c:pt>
                <c:pt idx="19">
                  <c:v>-160607.77363624983</c:v>
                </c:pt>
                <c:pt idx="20">
                  <c:v>-161249.99343769997</c:v>
                </c:pt>
                <c:pt idx="21">
                  <c:v>-155689.64883639998</c:v>
                </c:pt>
                <c:pt idx="22">
                  <c:v>-150129.30423509999</c:v>
                </c:pt>
                <c:pt idx="23">
                  <c:v>-144568.9596338</c:v>
                </c:pt>
                <c:pt idx="24">
                  <c:v>-139008.61503250001</c:v>
                </c:pt>
                <c:pt idx="25">
                  <c:v>-133448.27043120001</c:v>
                </c:pt>
                <c:pt idx="26">
                  <c:v>-127887.92582990001</c:v>
                </c:pt>
                <c:pt idx="27">
                  <c:v>-122327.5812286</c:v>
                </c:pt>
                <c:pt idx="28">
                  <c:v>-116767.23662729999</c:v>
                </c:pt>
                <c:pt idx="29">
                  <c:v>-111206.89202599999</c:v>
                </c:pt>
                <c:pt idx="30">
                  <c:v>-105646.54742469998</c:v>
                </c:pt>
                <c:pt idx="31">
                  <c:v>-100086.20282339997</c:v>
                </c:pt>
                <c:pt idx="32">
                  <c:v>-94525.858222099967</c:v>
                </c:pt>
                <c:pt idx="33">
                  <c:v>-88965.51362079996</c:v>
                </c:pt>
                <c:pt idx="34">
                  <c:v>-83405.169019499954</c:v>
                </c:pt>
                <c:pt idx="35">
                  <c:v>-77844.824418199947</c:v>
                </c:pt>
                <c:pt idx="36">
                  <c:v>-72284.47981689994</c:v>
                </c:pt>
                <c:pt idx="37">
                  <c:v>-66724.135215599934</c:v>
                </c:pt>
                <c:pt idx="38">
                  <c:v>-61163.790614299935</c:v>
                </c:pt>
                <c:pt idx="39">
                  <c:v>-55603.446012999935</c:v>
                </c:pt>
                <c:pt idx="40">
                  <c:v>-50043.101411699936</c:v>
                </c:pt>
                <c:pt idx="41">
                  <c:v>-44482.756810399937</c:v>
                </c:pt>
                <c:pt idx="42">
                  <c:v>-38922.412209099937</c:v>
                </c:pt>
                <c:pt idx="43">
                  <c:v>-33362.067607799938</c:v>
                </c:pt>
                <c:pt idx="44">
                  <c:v>-27801.723006499938</c:v>
                </c:pt>
                <c:pt idx="45">
                  <c:v>-22241.378405199939</c:v>
                </c:pt>
                <c:pt idx="46">
                  <c:v>-16681.03380389994</c:v>
                </c:pt>
                <c:pt idx="47">
                  <c:v>-11120.689202599939</c:v>
                </c:pt>
                <c:pt idx="48">
                  <c:v>-5560.3446012999375</c:v>
                </c:pt>
                <c:pt idx="49">
                  <c:v>6.3664629124104977E-11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E-4B2F-8A97-9BDDD986D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9412960"/>
        <c:axId val="1109411520"/>
      </c:lineChart>
      <c:catAx>
        <c:axId val="11094129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9411520"/>
        <c:crosses val="autoZero"/>
        <c:auto val="1"/>
        <c:lblAlgn val="ctr"/>
        <c:lblOffset val="100"/>
        <c:noMultiLvlLbl val="0"/>
      </c:catAx>
      <c:valAx>
        <c:axId val="1109411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9412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Comparison of 10-yr total customer resilience monetized</a:t>
            </a:r>
            <a:r>
              <a:rPr lang="en-US" baseline="0"/>
              <a:t> value ($) by customer class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Residential Customer Resilience Value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'Mitigation Projects'!#REF!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'Mitigation Projects'!#REF!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868-4288-90E6-5DFD406CE2F7}"/>
            </c:ext>
          </c:extLst>
        </c:ser>
        <c:ser>
          <c:idx val="1"/>
          <c:order val="1"/>
          <c:tx>
            <c:v>C&amp;I Customer Resilience Value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'Mitigation Projects'!#REF!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'Mitigation Projects'!#REF!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0868-4288-90E6-5DFD406CE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6994143"/>
        <c:axId val="646988383"/>
      </c:barChart>
      <c:catAx>
        <c:axId val="64699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6988383"/>
        <c:crosses val="autoZero"/>
        <c:auto val="1"/>
        <c:lblAlgn val="ctr"/>
        <c:lblOffset val="100"/>
        <c:noMultiLvlLbl val="0"/>
      </c:catAx>
      <c:valAx>
        <c:axId val="646988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6994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09C8E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'Storm restoration costs'!$B$4:$B$13</c:f>
              <c:strCache>
                <c:ptCount val="10"/>
                <c:pt idx="0">
                  <c:v>FY2015</c:v>
                </c:pt>
                <c:pt idx="1">
                  <c:v>FY2016</c:v>
                </c:pt>
                <c:pt idx="2">
                  <c:v>FY2017</c:v>
                </c:pt>
                <c:pt idx="3">
                  <c:v>FY2018</c:v>
                </c:pt>
                <c:pt idx="4">
                  <c:v>FY2019</c:v>
                </c:pt>
                <c:pt idx="5">
                  <c:v>FY2020</c:v>
                </c:pt>
                <c:pt idx="6">
                  <c:v>FY2021</c:v>
                </c:pt>
                <c:pt idx="7">
                  <c:v>FY2022</c:v>
                </c:pt>
                <c:pt idx="8">
                  <c:v>FY2023</c:v>
                </c:pt>
                <c:pt idx="9">
                  <c:v>FY2024</c:v>
                </c:pt>
              </c:strCache>
            </c:strRef>
          </c:cat>
          <c:val>
            <c:numRef>
              <c:f>'Storm restoration costs'!$C$4:$C$13</c:f>
              <c:numCache>
                <c:formatCode>"$"#,##0</c:formatCode>
                <c:ptCount val="10"/>
                <c:pt idx="0">
                  <c:v>27537114.861039199</c:v>
                </c:pt>
                <c:pt idx="1">
                  <c:v>11697637.960648742</c:v>
                </c:pt>
                <c:pt idx="2">
                  <c:v>12386807.802710999</c:v>
                </c:pt>
                <c:pt idx="3">
                  <c:v>26496658.973437775</c:v>
                </c:pt>
                <c:pt idx="4">
                  <c:v>21906251.861921772</c:v>
                </c:pt>
                <c:pt idx="5">
                  <c:v>18304389.059480436</c:v>
                </c:pt>
                <c:pt idx="6">
                  <c:v>8040813.4070189381</c:v>
                </c:pt>
                <c:pt idx="7">
                  <c:v>10879927.124674492</c:v>
                </c:pt>
                <c:pt idx="8">
                  <c:v>57052868.684597</c:v>
                </c:pt>
                <c:pt idx="9">
                  <c:v>48476310.323518001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EF-4C69-A2EE-C8A6CC438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886751"/>
        <c:axId val="246874271"/>
      </c:barChart>
      <c:catAx>
        <c:axId val="246886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6874271"/>
        <c:crosses val="autoZero"/>
        <c:auto val="1"/>
        <c:lblAlgn val="ctr"/>
        <c:lblOffset val="100"/>
        <c:noMultiLvlLbl val="0"/>
      </c:catAx>
      <c:valAx>
        <c:axId val="246874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68867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900214</xdr:colOff>
      <xdr:row>52</xdr:row>
      <xdr:rowOff>103482</xdr:rowOff>
    </xdr:from>
    <xdr:to>
      <xdr:col>7</xdr:col>
      <xdr:colOff>53595</xdr:colOff>
      <xdr:row>53</xdr:row>
      <xdr:rowOff>203590</xdr:rowOff>
    </xdr:to>
    <xdr:sp macro="" textlink="">
      <xdr:nvSpPr>
        <xdr:cNvPr id="13" name="Multiplication Sign 12">
          <a:extLst>
            <a:ext uri="{FF2B5EF4-FFF2-40B4-BE49-F238E27FC236}">
              <a16:creationId xmlns:a16="http://schemas.microsoft.com/office/drawing/2014/main" id="{C2E4529C-CD2A-C592-7707-A3CA4D695008}"/>
            </a:ext>
          </a:extLst>
        </xdr:cNvPr>
        <xdr:cNvSpPr/>
      </xdr:nvSpPr>
      <xdr:spPr>
        <a:xfrm>
          <a:off x="8231578" y="18830209"/>
          <a:ext cx="319472" cy="319472"/>
        </a:xfrm>
        <a:prstGeom prst="mathMultiply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6</xdr:col>
      <xdr:colOff>891831</xdr:colOff>
      <xdr:row>56</xdr:row>
      <xdr:rowOff>169634</xdr:rowOff>
    </xdr:from>
    <xdr:to>
      <xdr:col>7</xdr:col>
      <xdr:colOff>45212</xdr:colOff>
      <xdr:row>58</xdr:row>
      <xdr:rowOff>50379</xdr:rowOff>
    </xdr:to>
    <xdr:sp macro="" textlink="">
      <xdr:nvSpPr>
        <xdr:cNvPr id="14" name="Multiplication Sign 13">
          <a:extLst>
            <a:ext uri="{FF2B5EF4-FFF2-40B4-BE49-F238E27FC236}">
              <a16:creationId xmlns:a16="http://schemas.microsoft.com/office/drawing/2014/main" id="{951A8D50-D944-C3EE-80AA-E11B566176DD}"/>
            </a:ext>
          </a:extLst>
        </xdr:cNvPr>
        <xdr:cNvSpPr/>
      </xdr:nvSpPr>
      <xdr:spPr>
        <a:xfrm>
          <a:off x="8223195" y="19773816"/>
          <a:ext cx="319472" cy="319472"/>
        </a:xfrm>
        <a:prstGeom prst="mathMultiply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10</xdr:col>
      <xdr:colOff>541064</xdr:colOff>
      <xdr:row>48</xdr:row>
      <xdr:rowOff>96624</xdr:rowOff>
    </xdr:from>
    <xdr:to>
      <xdr:col>10</xdr:col>
      <xdr:colOff>860536</xdr:colOff>
      <xdr:row>49</xdr:row>
      <xdr:rowOff>196733</xdr:rowOff>
    </xdr:to>
    <xdr:sp macro="" textlink="">
      <xdr:nvSpPr>
        <xdr:cNvPr id="20" name="Multiplication Sign 19">
          <a:extLst>
            <a:ext uri="{FF2B5EF4-FFF2-40B4-BE49-F238E27FC236}">
              <a16:creationId xmlns:a16="http://schemas.microsoft.com/office/drawing/2014/main" id="{CC0C3654-FC65-40BE-6D1F-5BDAD5857448}"/>
            </a:ext>
          </a:extLst>
        </xdr:cNvPr>
        <xdr:cNvSpPr/>
      </xdr:nvSpPr>
      <xdr:spPr>
        <a:xfrm>
          <a:off x="12606064" y="17945897"/>
          <a:ext cx="319472" cy="319472"/>
        </a:xfrm>
        <a:prstGeom prst="mathMultiply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10</xdr:col>
      <xdr:colOff>530280</xdr:colOff>
      <xdr:row>52</xdr:row>
      <xdr:rowOff>70222</xdr:rowOff>
    </xdr:from>
    <xdr:to>
      <xdr:col>10</xdr:col>
      <xdr:colOff>849752</xdr:colOff>
      <xdr:row>53</xdr:row>
      <xdr:rowOff>170330</xdr:rowOff>
    </xdr:to>
    <xdr:sp macro="" textlink="">
      <xdr:nvSpPr>
        <xdr:cNvPr id="21" name="Multiplication Sign 20">
          <a:extLst>
            <a:ext uri="{FF2B5EF4-FFF2-40B4-BE49-F238E27FC236}">
              <a16:creationId xmlns:a16="http://schemas.microsoft.com/office/drawing/2014/main" id="{3F788228-6C2B-6D72-E548-2948A104FD8E}"/>
            </a:ext>
          </a:extLst>
        </xdr:cNvPr>
        <xdr:cNvSpPr/>
      </xdr:nvSpPr>
      <xdr:spPr>
        <a:xfrm>
          <a:off x="12595280" y="18796949"/>
          <a:ext cx="319472" cy="319472"/>
        </a:xfrm>
        <a:prstGeom prst="mathMultiply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9</xdr:col>
      <xdr:colOff>106090</xdr:colOff>
      <xdr:row>56</xdr:row>
      <xdr:rowOff>150240</xdr:rowOff>
    </xdr:from>
    <xdr:to>
      <xdr:col>9</xdr:col>
      <xdr:colOff>425562</xdr:colOff>
      <xdr:row>58</xdr:row>
      <xdr:rowOff>30985</xdr:rowOff>
    </xdr:to>
    <xdr:sp macro="" textlink="">
      <xdr:nvSpPr>
        <xdr:cNvPr id="24" name="Multiplication Sign 23">
          <a:extLst>
            <a:ext uri="{FF2B5EF4-FFF2-40B4-BE49-F238E27FC236}">
              <a16:creationId xmlns:a16="http://schemas.microsoft.com/office/drawing/2014/main" id="{977A1FD7-B5C1-0019-9F52-860FE072694E}"/>
            </a:ext>
          </a:extLst>
        </xdr:cNvPr>
        <xdr:cNvSpPr/>
      </xdr:nvSpPr>
      <xdr:spPr>
        <a:xfrm>
          <a:off x="10935726" y="19754422"/>
          <a:ext cx="319472" cy="319472"/>
        </a:xfrm>
        <a:prstGeom prst="mathMultiply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10</xdr:col>
      <xdr:colOff>539207</xdr:colOff>
      <xdr:row>56</xdr:row>
      <xdr:rowOff>188708</xdr:rowOff>
    </xdr:from>
    <xdr:to>
      <xdr:col>10</xdr:col>
      <xdr:colOff>858679</xdr:colOff>
      <xdr:row>58</xdr:row>
      <xdr:rowOff>69453</xdr:rowOff>
    </xdr:to>
    <xdr:sp macro="" textlink="">
      <xdr:nvSpPr>
        <xdr:cNvPr id="25" name="Multiplication Sign 24">
          <a:extLst>
            <a:ext uri="{FF2B5EF4-FFF2-40B4-BE49-F238E27FC236}">
              <a16:creationId xmlns:a16="http://schemas.microsoft.com/office/drawing/2014/main" id="{CD34F508-6B5F-41AA-97C3-6521FE07CA3F}"/>
            </a:ext>
          </a:extLst>
        </xdr:cNvPr>
        <xdr:cNvSpPr/>
      </xdr:nvSpPr>
      <xdr:spPr>
        <a:xfrm>
          <a:off x="12604207" y="19792890"/>
          <a:ext cx="319472" cy="319472"/>
        </a:xfrm>
        <a:prstGeom prst="mathMultiply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10</xdr:col>
      <xdr:colOff>873415</xdr:colOff>
      <xdr:row>47</xdr:row>
      <xdr:rowOff>20589</xdr:rowOff>
    </xdr:from>
    <xdr:to>
      <xdr:col>10</xdr:col>
      <xdr:colOff>956225</xdr:colOff>
      <xdr:row>51</xdr:row>
      <xdr:rowOff>26308</xdr:rowOff>
    </xdr:to>
    <xdr:sp macro="" textlink="">
      <xdr:nvSpPr>
        <xdr:cNvPr id="31" name="Left Bracket 30">
          <a:extLst>
            <a:ext uri="{FF2B5EF4-FFF2-40B4-BE49-F238E27FC236}">
              <a16:creationId xmlns:a16="http://schemas.microsoft.com/office/drawing/2014/main" id="{61A19686-D194-38DA-0CB1-7E7294C4EB71}"/>
            </a:ext>
          </a:extLst>
        </xdr:cNvPr>
        <xdr:cNvSpPr/>
      </xdr:nvSpPr>
      <xdr:spPr>
        <a:xfrm>
          <a:off x="12938415" y="17650498"/>
          <a:ext cx="82810" cy="883174"/>
        </a:xfrm>
        <a:prstGeom prst="leftBracket">
          <a:avLst/>
        </a:prstGeom>
        <a:noFill/>
        <a:ln w="38100">
          <a:solidFill>
            <a:schemeClr val="bg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11</xdr:col>
      <xdr:colOff>106441</xdr:colOff>
      <xdr:row>51</xdr:row>
      <xdr:rowOff>40994</xdr:rowOff>
    </xdr:from>
    <xdr:to>
      <xdr:col>11</xdr:col>
      <xdr:colOff>189251</xdr:colOff>
      <xdr:row>55</xdr:row>
      <xdr:rowOff>46714</xdr:rowOff>
    </xdr:to>
    <xdr:sp macro="" textlink="">
      <xdr:nvSpPr>
        <xdr:cNvPr id="32" name="Left Bracket 31">
          <a:extLst>
            <a:ext uri="{FF2B5EF4-FFF2-40B4-BE49-F238E27FC236}">
              <a16:creationId xmlns:a16="http://schemas.microsoft.com/office/drawing/2014/main" id="{7EFDA809-B0F4-C6B3-9456-46CD4580247A}"/>
            </a:ext>
          </a:extLst>
        </xdr:cNvPr>
        <xdr:cNvSpPr/>
      </xdr:nvSpPr>
      <xdr:spPr>
        <a:xfrm rot="10800000">
          <a:off x="14214986" y="18548358"/>
          <a:ext cx="82810" cy="883174"/>
        </a:xfrm>
        <a:prstGeom prst="leftBracket">
          <a:avLst/>
        </a:prstGeom>
        <a:noFill/>
        <a:ln w="38100">
          <a:solidFill>
            <a:schemeClr val="bg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10</xdr:col>
      <xdr:colOff>1576919</xdr:colOff>
      <xdr:row>48</xdr:row>
      <xdr:rowOff>64271</xdr:rowOff>
    </xdr:from>
    <xdr:to>
      <xdr:col>10</xdr:col>
      <xdr:colOff>1898580</xdr:colOff>
      <xdr:row>49</xdr:row>
      <xdr:rowOff>166569</xdr:rowOff>
    </xdr:to>
    <xdr:sp macro="" textlink="">
      <xdr:nvSpPr>
        <xdr:cNvPr id="33" name="Minus Sign 32">
          <a:extLst>
            <a:ext uri="{FF2B5EF4-FFF2-40B4-BE49-F238E27FC236}">
              <a16:creationId xmlns:a16="http://schemas.microsoft.com/office/drawing/2014/main" id="{273F9E2E-0FC5-D100-A7AC-F081C80AFB43}"/>
            </a:ext>
          </a:extLst>
        </xdr:cNvPr>
        <xdr:cNvSpPr/>
      </xdr:nvSpPr>
      <xdr:spPr>
        <a:xfrm>
          <a:off x="13641919" y="17913544"/>
          <a:ext cx="321661" cy="321661"/>
        </a:xfrm>
        <a:prstGeom prst="mathMinus">
          <a:avLst/>
        </a:prstGeom>
        <a:solidFill>
          <a:srgbClr val="F6F8F8"/>
        </a:solidFill>
        <a:ln>
          <a:solidFill>
            <a:srgbClr val="F6F8F8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10</xdr:col>
      <xdr:colOff>1135745</xdr:colOff>
      <xdr:row>47</xdr:row>
      <xdr:rowOff>164749</xdr:rowOff>
    </xdr:from>
    <xdr:to>
      <xdr:col>10</xdr:col>
      <xdr:colOff>1567273</xdr:colOff>
      <xdr:row>50</xdr:row>
      <xdr:rowOff>91433</xdr:rowOff>
    </xdr:to>
    <xdr:sp macro="" textlink="">
      <xdr:nvSpPr>
        <xdr:cNvPr id="34" name="TextBox 100">
          <a:extLst>
            <a:ext uri="{FF2B5EF4-FFF2-40B4-BE49-F238E27FC236}">
              <a16:creationId xmlns:a16="http://schemas.microsoft.com/office/drawing/2014/main" id="{96D6E109-10FA-65EA-723A-BA1311A42009}"/>
            </a:ext>
          </a:extLst>
        </xdr:cNvPr>
        <xdr:cNvSpPr txBox="1"/>
      </xdr:nvSpPr>
      <xdr:spPr>
        <a:xfrm>
          <a:off x="13200745" y="17794658"/>
          <a:ext cx="431528" cy="58477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3200">
              <a:solidFill>
                <a:srgbClr val="F6F8F8"/>
              </a:solidFill>
            </a:rPr>
            <a:t>1</a:t>
          </a:r>
          <a:endParaRPr lang="en-US">
            <a:solidFill>
              <a:srgbClr val="F6F8F8"/>
            </a:solidFill>
          </a:endParaRPr>
        </a:p>
      </xdr:txBody>
    </xdr:sp>
    <xdr:clientData/>
  </xdr:twoCellAnchor>
  <xdr:twoCellAnchor>
    <xdr:from>
      <xdr:col>11</xdr:col>
      <xdr:colOff>12420</xdr:colOff>
      <xdr:row>1</xdr:row>
      <xdr:rowOff>27214</xdr:rowOff>
    </xdr:from>
    <xdr:to>
      <xdr:col>17</xdr:col>
      <xdr:colOff>808316</xdr:colOff>
      <xdr:row>12</xdr:row>
      <xdr:rowOff>60749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96F0D9-4CF2-4299-A41D-4CDDED266E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</xdr:colOff>
      <xdr:row>15</xdr:row>
      <xdr:rowOff>19755</xdr:rowOff>
    </xdr:from>
    <xdr:to>
      <xdr:col>17</xdr:col>
      <xdr:colOff>908558</xdr:colOff>
      <xdr:row>26</xdr:row>
      <xdr:rowOff>311963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BBE87DA-F199-415C-9422-4A11E07F4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479136</xdr:colOff>
      <xdr:row>4</xdr:row>
      <xdr:rowOff>48491</xdr:rowOff>
    </xdr:from>
    <xdr:to>
      <xdr:col>51</xdr:col>
      <xdr:colOff>479136</xdr:colOff>
      <xdr:row>16</xdr:row>
      <xdr:rowOff>159327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6E8D8B4-4D0F-0C0A-3FC8-544736873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87</xdr:col>
      <xdr:colOff>0</xdr:colOff>
      <xdr:row>0</xdr:row>
      <xdr:rowOff>0</xdr:rowOff>
    </xdr:from>
    <xdr:to>
      <xdr:col>87</xdr:col>
      <xdr:colOff>63500</xdr:colOff>
      <xdr:row>0</xdr:row>
      <xdr:rowOff>102592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BCCFF49-B742-170E-73FD-1250CC4AF7F8}"/>
            </a:ext>
          </a:extLst>
        </xdr:cNvPr>
        <xdr:cNvSpPr txBox="1"/>
      </xdr:nvSpPr>
      <xdr:spPr>
        <a:xfrm>
          <a:off x="85677375" y="0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X12A0C</a:t>
          </a:r>
        </a:p>
      </xdr:txBody>
    </xdr:sp>
    <xdr:clientData/>
  </xdr:twoCellAnchor>
  <xdr:twoCellAnchor>
    <xdr:from>
      <xdr:col>97</xdr:col>
      <xdr:colOff>0</xdr:colOff>
      <xdr:row>0</xdr:row>
      <xdr:rowOff>0</xdr:rowOff>
    </xdr:from>
    <xdr:to>
      <xdr:col>97</xdr:col>
      <xdr:colOff>63500</xdr:colOff>
      <xdr:row>0</xdr:row>
      <xdr:rowOff>102592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4FE1B53-FAA9-B629-8A80-9D56C0D62DD4}"/>
            </a:ext>
          </a:extLst>
        </xdr:cNvPr>
        <xdr:cNvSpPr txBox="1"/>
      </xdr:nvSpPr>
      <xdr:spPr>
        <a:xfrm>
          <a:off x="94916625" y="0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X12A1C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121</xdr:col>
      <xdr:colOff>551329</xdr:colOff>
      <xdr:row>65</xdr:row>
      <xdr:rowOff>67608</xdr:rowOff>
    </xdr:from>
    <xdr:to>
      <xdr:col>140</xdr:col>
      <xdr:colOff>350184</xdr:colOff>
      <xdr:row>83</xdr:row>
      <xdr:rowOff>35299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24FF4A48-9331-94FE-9701-E70A1EECBD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2</xdr:row>
      <xdr:rowOff>0</xdr:rowOff>
    </xdr:from>
    <xdr:to>
      <xdr:col>15</xdr:col>
      <xdr:colOff>63500</xdr:colOff>
      <xdr:row>2</xdr:row>
      <xdr:rowOff>102592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927D56E-7942-447D-9517-2C4AE8A56071}"/>
            </a:ext>
          </a:extLst>
        </xdr:cNvPr>
        <xdr:cNvSpPr txBox="1"/>
      </xdr:nvSpPr>
      <xdr:spPr>
        <a:xfrm>
          <a:off x="24450675" y="476250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X13A0C</a:t>
          </a:r>
        </a:p>
      </xdr:txBody>
    </xdr:sp>
    <xdr:clientData/>
  </xdr:twoCellAnchor>
  <xdr:twoCellAnchor>
    <xdr:from>
      <xdr:col>32</xdr:col>
      <xdr:colOff>0</xdr:colOff>
      <xdr:row>15</xdr:row>
      <xdr:rowOff>0</xdr:rowOff>
    </xdr:from>
    <xdr:to>
      <xdr:col>32</xdr:col>
      <xdr:colOff>63500</xdr:colOff>
      <xdr:row>15</xdr:row>
      <xdr:rowOff>102592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E126D23-F089-B42E-6247-3AE4A6CCFB9B}"/>
            </a:ext>
          </a:extLst>
        </xdr:cNvPr>
        <xdr:cNvSpPr txBox="1"/>
      </xdr:nvSpPr>
      <xdr:spPr>
        <a:xfrm>
          <a:off x="41128950" y="4762500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X13A1C</a:t>
          </a:r>
        </a:p>
      </xdr:txBody>
    </xdr:sp>
    <xdr:clientData/>
  </xdr:twoCellAnchor>
  <xdr:twoCellAnchor>
    <xdr:from>
      <xdr:col>33</xdr:col>
      <xdr:colOff>0</xdr:colOff>
      <xdr:row>15</xdr:row>
      <xdr:rowOff>0</xdr:rowOff>
    </xdr:from>
    <xdr:to>
      <xdr:col>33</xdr:col>
      <xdr:colOff>63500</xdr:colOff>
      <xdr:row>15</xdr:row>
      <xdr:rowOff>102592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AB3F138-0D20-461C-B48A-40618869C6C5}"/>
            </a:ext>
          </a:extLst>
        </xdr:cNvPr>
        <xdr:cNvSpPr txBox="1"/>
      </xdr:nvSpPr>
      <xdr:spPr>
        <a:xfrm>
          <a:off x="42052875" y="4762500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X13A2C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16</xdr:row>
      <xdr:rowOff>0</xdr:rowOff>
    </xdr:from>
    <xdr:to>
      <xdr:col>10</xdr:col>
      <xdr:colOff>63500</xdr:colOff>
      <xdr:row>16</xdr:row>
      <xdr:rowOff>102592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7890BBF-A014-923C-7925-A2D329BDCACF}"/>
            </a:ext>
          </a:extLst>
        </xdr:cNvPr>
        <xdr:cNvSpPr txBox="1"/>
      </xdr:nvSpPr>
      <xdr:spPr>
        <a:xfrm>
          <a:off x="8715375" y="500062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X16A0C</a:t>
          </a:r>
        </a:p>
      </xdr:txBody>
    </xdr:sp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63500</xdr:colOff>
      <xdr:row>16</xdr:row>
      <xdr:rowOff>102592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C5A7AEE-E5D5-9DF6-3E8A-8ECE715CADE6}"/>
            </a:ext>
          </a:extLst>
        </xdr:cNvPr>
        <xdr:cNvSpPr txBox="1"/>
      </xdr:nvSpPr>
      <xdr:spPr>
        <a:xfrm>
          <a:off x="9601200" y="500062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X16A1C</a:t>
          </a:r>
        </a:p>
      </xdr:txBody>
    </xdr: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63500</xdr:colOff>
      <xdr:row>23</xdr:row>
      <xdr:rowOff>102592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74B888E-6AE6-D369-AC30-BF5E41EE6373}"/>
            </a:ext>
          </a:extLst>
        </xdr:cNvPr>
        <xdr:cNvSpPr txBox="1"/>
      </xdr:nvSpPr>
      <xdr:spPr>
        <a:xfrm>
          <a:off x="5172075" y="6667500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X16A2C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458857</xdr:colOff>
      <xdr:row>3</xdr:row>
      <xdr:rowOff>206791</xdr:rowOff>
    </xdr:from>
    <xdr:to>
      <xdr:col>10</xdr:col>
      <xdr:colOff>179319</xdr:colOff>
      <xdr:row>19</xdr:row>
      <xdr:rowOff>8571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FB28DE-C796-4120-BCC7-0BAEC4F13A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EG_Excel_Theme">
  <a:themeElements>
    <a:clrScheme name="CEG">
      <a:dk1>
        <a:srgbClr val="212529"/>
      </a:dk1>
      <a:lt1>
        <a:sysClr val="window" lastClr="FFFFFF"/>
      </a:lt1>
      <a:dk2>
        <a:srgbClr val="002F35"/>
      </a:dk2>
      <a:lt2>
        <a:srgbClr val="F6F8F8"/>
      </a:lt2>
      <a:accent1>
        <a:srgbClr val="309C8E"/>
      </a:accent1>
      <a:accent2>
        <a:srgbClr val="4EDEBD"/>
      </a:accent2>
      <a:accent3>
        <a:srgbClr val="70E4A3"/>
      </a:accent3>
      <a:accent4>
        <a:srgbClr val="446C6B"/>
      </a:accent4>
      <a:accent5>
        <a:srgbClr val="189ED8"/>
      </a:accent5>
      <a:accent6>
        <a:srgbClr val="4EA72E"/>
      </a:accent6>
      <a:hlink>
        <a:srgbClr val="189ED8"/>
      </a:hlink>
      <a:folHlink>
        <a:srgbClr val="7F7F7F"/>
      </a:folHlink>
    </a:clrScheme>
    <a:fontScheme name="CEG Font Family">
      <a:majorFont>
        <a:latin typeface="IBM Plex Serif Light"/>
        <a:ea typeface=""/>
        <a:cs typeface=""/>
      </a:majorFont>
      <a:minorFont>
        <a:latin typeface="Nunito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s://icecalculator.com/interruption-cost/results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3BEE0-9337-45EB-B2F7-CE42E64E76BB}">
  <dimension ref="A1:E90"/>
  <sheetViews>
    <sheetView view="pageBreakPreview" zoomScale="60" zoomScaleNormal="85" workbookViewId="0">
      <selection activeCell="E4" sqref="E4"/>
    </sheetView>
  </sheetViews>
  <sheetFormatPr defaultRowHeight="18.75" x14ac:dyDescent="0.4"/>
  <cols>
    <col min="1" max="1" width="39.6640625" customWidth="1"/>
    <col min="2" max="3" width="11.77734375" customWidth="1"/>
    <col min="4" max="4" width="93.21875" bestFit="1" customWidth="1"/>
    <col min="7" max="7" width="10.21875" bestFit="1" customWidth="1"/>
    <col min="8" max="8" width="11.44140625" customWidth="1"/>
    <col min="9" max="9" width="10.5546875" customWidth="1"/>
    <col min="10" max="10" width="12.5546875" bestFit="1" customWidth="1"/>
  </cols>
  <sheetData>
    <row r="1" spans="1:5" ht="37.5" x14ac:dyDescent="0.4">
      <c r="A1" s="7" t="s">
        <v>0</v>
      </c>
      <c r="B1" s="7" t="s">
        <v>1</v>
      </c>
      <c r="C1" s="142" t="s">
        <v>454</v>
      </c>
      <c r="D1" s="7" t="s">
        <v>2</v>
      </c>
      <c r="E1" s="210" t="s">
        <v>615</v>
      </c>
    </row>
    <row r="2" spans="1:5" x14ac:dyDescent="0.4">
      <c r="A2" s="6" t="s">
        <v>3</v>
      </c>
      <c r="B2" s="6"/>
      <c r="C2" s="6"/>
      <c r="D2" s="6"/>
    </row>
    <row r="3" spans="1:5" x14ac:dyDescent="0.4">
      <c r="A3" t="s">
        <v>4</v>
      </c>
      <c r="B3" s="4">
        <v>8.9300000000000004E-2</v>
      </c>
      <c r="C3" s="55"/>
      <c r="D3" t="s">
        <v>449</v>
      </c>
    </row>
    <row r="4" spans="1:5" x14ac:dyDescent="0.4">
      <c r="A4" t="s">
        <v>5</v>
      </c>
      <c r="B4" s="4">
        <v>6.4600000000000005E-2</v>
      </c>
      <c r="C4" s="55"/>
      <c r="D4" t="s">
        <v>449</v>
      </c>
    </row>
    <row r="5" spans="1:5" x14ac:dyDescent="0.4">
      <c r="A5" t="s">
        <v>6</v>
      </c>
      <c r="B5" s="4">
        <v>0.02</v>
      </c>
      <c r="C5" s="4"/>
      <c r="D5" t="s">
        <v>456</v>
      </c>
    </row>
    <row r="6" spans="1:5" x14ac:dyDescent="0.4">
      <c r="A6" t="s">
        <v>7</v>
      </c>
      <c r="B6" s="4">
        <v>5.1400000000000001E-2</v>
      </c>
      <c r="C6" s="55"/>
      <c r="D6" t="s">
        <v>449</v>
      </c>
    </row>
    <row r="7" spans="1:5" x14ac:dyDescent="0.4">
      <c r="A7" t="s">
        <v>8</v>
      </c>
      <c r="B7" s="56"/>
      <c r="C7" s="56"/>
      <c r="D7" t="s">
        <v>455</v>
      </c>
    </row>
    <row r="8" spans="1:5" x14ac:dyDescent="0.4">
      <c r="A8" t="s">
        <v>9</v>
      </c>
      <c r="B8" s="4">
        <v>0.27715000000000001</v>
      </c>
      <c r="C8" s="4"/>
      <c r="D8" t="s">
        <v>449</v>
      </c>
    </row>
    <row r="9" spans="1:5" x14ac:dyDescent="0.4">
      <c r="A9" t="s">
        <v>10</v>
      </c>
      <c r="B9" s="3">
        <v>2.1999999999999999E-2</v>
      </c>
      <c r="C9" s="3"/>
      <c r="D9" t="s">
        <v>449</v>
      </c>
    </row>
    <row r="10" spans="1:5" x14ac:dyDescent="0.4">
      <c r="A10" t="s">
        <v>11</v>
      </c>
      <c r="B10" s="3">
        <v>1.7000000000000001E-2</v>
      </c>
      <c r="C10" s="3"/>
      <c r="D10" t="s">
        <v>449</v>
      </c>
    </row>
    <row r="11" spans="1:5" x14ac:dyDescent="0.4">
      <c r="A11" t="s">
        <v>443</v>
      </c>
      <c r="B11" s="4">
        <v>6.9107250774073467E-2</v>
      </c>
      <c r="C11" s="3"/>
      <c r="D11" t="s">
        <v>444</v>
      </c>
    </row>
    <row r="12" spans="1:5" x14ac:dyDescent="0.4">
      <c r="A12" s="6" t="s">
        <v>12</v>
      </c>
      <c r="B12" s="6"/>
      <c r="C12" s="6"/>
      <c r="D12" s="6"/>
    </row>
    <row r="13" spans="1:5" x14ac:dyDescent="0.4">
      <c r="A13" t="s">
        <v>13</v>
      </c>
      <c r="B13" t="s">
        <v>14</v>
      </c>
    </row>
    <row r="14" spans="1:5" x14ac:dyDescent="0.4">
      <c r="A14" s="2" t="s">
        <v>15</v>
      </c>
      <c r="B14">
        <v>47</v>
      </c>
      <c r="D14" t="s">
        <v>449</v>
      </c>
    </row>
    <row r="15" spans="1:5" x14ac:dyDescent="0.4">
      <c r="A15" s="2" t="s">
        <v>16</v>
      </c>
      <c r="B15">
        <v>56</v>
      </c>
      <c r="D15" t="s">
        <v>449</v>
      </c>
    </row>
    <row r="16" spans="1:5" x14ac:dyDescent="0.4">
      <c r="A16" s="2" t="s">
        <v>17</v>
      </c>
      <c r="B16">
        <v>20</v>
      </c>
      <c r="D16" t="s">
        <v>449</v>
      </c>
    </row>
    <row r="17" spans="1:4" x14ac:dyDescent="0.4">
      <c r="A17" t="s">
        <v>18</v>
      </c>
    </row>
    <row r="18" spans="1:4" x14ac:dyDescent="0.4">
      <c r="A18" s="2" t="s">
        <v>15</v>
      </c>
      <c r="B18">
        <v>20</v>
      </c>
      <c r="D18" t="s">
        <v>449</v>
      </c>
    </row>
    <row r="19" spans="1:4" x14ac:dyDescent="0.4">
      <c r="A19" s="2" t="s">
        <v>16</v>
      </c>
      <c r="B19">
        <v>20</v>
      </c>
      <c r="D19" t="s">
        <v>449</v>
      </c>
    </row>
    <row r="20" spans="1:4" x14ac:dyDescent="0.4">
      <c r="A20" s="2" t="s">
        <v>17</v>
      </c>
      <c r="B20">
        <v>5</v>
      </c>
      <c r="D20" t="s">
        <v>449</v>
      </c>
    </row>
    <row r="21" spans="1:4" x14ac:dyDescent="0.4">
      <c r="A21" t="s">
        <v>19</v>
      </c>
    </row>
    <row r="22" spans="1:4" x14ac:dyDescent="0.4">
      <c r="A22" s="2" t="s">
        <v>15</v>
      </c>
      <c r="B22">
        <v>50</v>
      </c>
      <c r="D22" t="s">
        <v>449</v>
      </c>
    </row>
    <row r="23" spans="1:4" x14ac:dyDescent="0.4">
      <c r="A23" s="2" t="s">
        <v>16</v>
      </c>
      <c r="B23">
        <v>50</v>
      </c>
      <c r="D23" t="s">
        <v>449</v>
      </c>
    </row>
    <row r="24" spans="1:4" x14ac:dyDescent="0.4">
      <c r="A24" s="2" t="s">
        <v>17</v>
      </c>
      <c r="B24">
        <v>16</v>
      </c>
      <c r="D24" t="s">
        <v>449</v>
      </c>
    </row>
    <row r="25" spans="1:4" x14ac:dyDescent="0.4">
      <c r="A25" s="6" t="s">
        <v>20</v>
      </c>
      <c r="B25" s="6"/>
      <c r="C25" s="6"/>
      <c r="D25" s="6"/>
    </row>
    <row r="26" spans="1:4" x14ac:dyDescent="0.4">
      <c r="A26" t="s">
        <v>21</v>
      </c>
    </row>
    <row r="27" spans="1:4" x14ac:dyDescent="0.4">
      <c r="A27" s="2" t="s">
        <v>15</v>
      </c>
      <c r="B27" s="26">
        <v>0.9</v>
      </c>
      <c r="C27" s="26"/>
      <c r="D27" t="s">
        <v>453</v>
      </c>
    </row>
    <row r="28" spans="1:4" x14ac:dyDescent="0.4">
      <c r="A28" s="2" t="s">
        <v>16</v>
      </c>
      <c r="B28" s="26">
        <v>0.98</v>
      </c>
      <c r="C28" s="26"/>
      <c r="D28" t="s">
        <v>452</v>
      </c>
    </row>
    <row r="29" spans="1:4" x14ac:dyDescent="0.4">
      <c r="A29" t="s">
        <v>22</v>
      </c>
      <c r="B29" s="26"/>
      <c r="C29" s="26"/>
    </row>
    <row r="30" spans="1:4" x14ac:dyDescent="0.4">
      <c r="A30" s="2" t="s">
        <v>15</v>
      </c>
      <c r="B30" s="26">
        <v>0.80330442615766917</v>
      </c>
      <c r="C30" s="26"/>
      <c r="D30" t="s">
        <v>577</v>
      </c>
    </row>
    <row r="31" spans="1:4" x14ac:dyDescent="0.4">
      <c r="A31" s="2" t="s">
        <v>16</v>
      </c>
      <c r="B31" s="26">
        <v>0.83359200333362127</v>
      </c>
      <c r="C31" s="26"/>
      <c r="D31" t="s">
        <v>577</v>
      </c>
    </row>
    <row r="32" spans="1:4" x14ac:dyDescent="0.4">
      <c r="A32" s="6" t="s">
        <v>23</v>
      </c>
      <c r="B32" s="6"/>
      <c r="C32" s="6"/>
      <c r="D32" s="6"/>
    </row>
    <row r="33" spans="1:5" x14ac:dyDescent="0.4">
      <c r="A33" t="s">
        <v>24</v>
      </c>
      <c r="B33" s="12">
        <v>154.66666666666666</v>
      </c>
      <c r="C33" s="12" t="s">
        <v>450</v>
      </c>
      <c r="D33" t="s">
        <v>449</v>
      </c>
    </row>
    <row r="34" spans="1:5" x14ac:dyDescent="0.4">
      <c r="A34" t="s">
        <v>25</v>
      </c>
      <c r="B34" s="13">
        <v>323.33</v>
      </c>
      <c r="C34" t="s">
        <v>26</v>
      </c>
      <c r="D34" t="s">
        <v>449</v>
      </c>
    </row>
    <row r="35" spans="1:5" x14ac:dyDescent="0.4">
      <c r="A35" t="s">
        <v>27</v>
      </c>
      <c r="B35" s="13">
        <v>476.4</v>
      </c>
      <c r="C35" t="s">
        <v>26</v>
      </c>
      <c r="D35" t="s">
        <v>449</v>
      </c>
    </row>
    <row r="36" spans="1:5" hidden="1" x14ac:dyDescent="0.4">
      <c r="A36" s="9" t="s">
        <v>28</v>
      </c>
      <c r="B36" s="35">
        <v>10</v>
      </c>
      <c r="C36" s="35"/>
      <c r="D36" s="9" t="s">
        <v>29</v>
      </c>
      <c r="E36" s="9" t="s">
        <v>30</v>
      </c>
    </row>
    <row r="37" spans="1:5" hidden="1" x14ac:dyDescent="0.4">
      <c r="A37" s="9" t="s">
        <v>31</v>
      </c>
      <c r="B37" s="36">
        <v>6.9000000000000006E-2</v>
      </c>
      <c r="C37" s="36"/>
      <c r="D37" s="9" t="s">
        <v>32</v>
      </c>
      <c r="E37" s="9" t="s">
        <v>33</v>
      </c>
    </row>
    <row r="38" spans="1:5" x14ac:dyDescent="0.4">
      <c r="A38" t="s">
        <v>34</v>
      </c>
      <c r="B38" s="103">
        <v>0.95</v>
      </c>
      <c r="C38" s="103"/>
    </row>
    <row r="39" spans="1:5" x14ac:dyDescent="0.4">
      <c r="A39" s="6" t="s">
        <v>35</v>
      </c>
      <c r="B39" s="6"/>
      <c r="C39" s="6"/>
      <c r="D39" s="6"/>
    </row>
    <row r="40" spans="1:5" x14ac:dyDescent="0.4">
      <c r="A40" s="2" t="s">
        <v>36</v>
      </c>
      <c r="B40">
        <f>SUMIFS('Mitigation Projects'!$I:$I,'Mitigation Projects'!$G:$G,"1PH",'Mitigation Projects'!$H:$H,"OH")</f>
        <v>19.95</v>
      </c>
      <c r="D40" t="s">
        <v>445</v>
      </c>
    </row>
    <row r="41" spans="1:5" x14ac:dyDescent="0.4">
      <c r="A41" s="2" t="s">
        <v>38</v>
      </c>
      <c r="B41">
        <f>SUMIFS('Mitigation Projects'!$I:$I,'Mitigation Projects'!$G:$G,"3PH",'Mitigation Projects'!$H:$H,"OH")</f>
        <v>51.319999999999993</v>
      </c>
      <c r="D41" t="s">
        <v>445</v>
      </c>
    </row>
    <row r="42" spans="1:5" x14ac:dyDescent="0.4">
      <c r="A42" s="2" t="s">
        <v>40</v>
      </c>
      <c r="B42">
        <f>SUMIFS('Mitigation Projects'!$I:$I,'Mitigation Projects'!$G:$G,"1PH",'Mitigation Projects'!$H:$H,"UG")</f>
        <v>49.600000000000009</v>
      </c>
      <c r="D42" t="s">
        <v>445</v>
      </c>
    </row>
    <row r="44" spans="1:5" x14ac:dyDescent="0.4">
      <c r="A44" s="37" t="s">
        <v>446</v>
      </c>
      <c r="B44" s="26">
        <v>0.1</v>
      </c>
      <c r="C44" s="26"/>
      <c r="D44" t="s">
        <v>447</v>
      </c>
    </row>
    <row r="45" spans="1:5" x14ac:dyDescent="0.4">
      <c r="A45" s="37" t="s">
        <v>41</v>
      </c>
      <c r="B45" s="26"/>
      <c r="C45" s="26"/>
    </row>
    <row r="46" spans="1:5" x14ac:dyDescent="0.4">
      <c r="A46" s="104" t="s">
        <v>42</v>
      </c>
      <c r="B46" s="26">
        <v>1</v>
      </c>
      <c r="C46" s="26"/>
      <c r="D46" t="s">
        <v>448</v>
      </c>
    </row>
    <row r="47" spans="1:5" x14ac:dyDescent="0.4">
      <c r="A47" s="104" t="s">
        <v>43</v>
      </c>
      <c r="B47" s="26">
        <v>1</v>
      </c>
      <c r="C47" s="26"/>
      <c r="D47" t="s">
        <v>448</v>
      </c>
    </row>
    <row r="48" spans="1:5" x14ac:dyDescent="0.4">
      <c r="A48" s="104" t="s">
        <v>44</v>
      </c>
      <c r="B48" s="26">
        <v>0.5</v>
      </c>
      <c r="C48" s="26"/>
      <c r="D48" t="s">
        <v>448</v>
      </c>
    </row>
    <row r="49" spans="1:4" x14ac:dyDescent="0.4">
      <c r="A49" s="6" t="s">
        <v>451</v>
      </c>
      <c r="B49" s="6"/>
      <c r="C49" s="6"/>
      <c r="D49" s="6"/>
    </row>
    <row r="50" spans="1:4" x14ac:dyDescent="0.4">
      <c r="A50" t="s">
        <v>596</v>
      </c>
    </row>
    <row r="51" spans="1:4" x14ac:dyDescent="0.4">
      <c r="A51" t="s">
        <v>597</v>
      </c>
      <c r="B51" s="12">
        <v>1869.6903105210918</v>
      </c>
      <c r="C51" s="12" t="s">
        <v>26</v>
      </c>
      <c r="D51" t="s">
        <v>449</v>
      </c>
    </row>
    <row r="52" spans="1:4" x14ac:dyDescent="0.4">
      <c r="A52" t="s">
        <v>598</v>
      </c>
      <c r="B52" s="12">
        <v>129.14912700942904</v>
      </c>
      <c r="C52" s="12" t="s">
        <v>26</v>
      </c>
      <c r="D52" t="s">
        <v>449</v>
      </c>
    </row>
    <row r="53" spans="1:4" x14ac:dyDescent="0.4">
      <c r="B53" s="12"/>
      <c r="C53" s="12"/>
    </row>
    <row r="54" spans="1:4" x14ac:dyDescent="0.4">
      <c r="A54" t="s">
        <v>45</v>
      </c>
    </row>
    <row r="55" spans="1:4" x14ac:dyDescent="0.4">
      <c r="A55" t="s">
        <v>46</v>
      </c>
      <c r="B55" s="12">
        <v>262.36592320217119</v>
      </c>
      <c r="C55" s="12" t="s">
        <v>56</v>
      </c>
      <c r="D55" t="s">
        <v>449</v>
      </c>
    </row>
    <row r="56" spans="1:4" x14ac:dyDescent="0.4">
      <c r="A56" t="s">
        <v>47</v>
      </c>
      <c r="B56" s="12">
        <v>65.591480800542797</v>
      </c>
      <c r="C56" s="12" t="s">
        <v>56</v>
      </c>
      <c r="D56" t="s">
        <v>449</v>
      </c>
    </row>
    <row r="57" spans="1:4" x14ac:dyDescent="0.4">
      <c r="A57" t="s">
        <v>48</v>
      </c>
      <c r="B57" s="12">
        <v>56.726956218905464</v>
      </c>
      <c r="C57" s="12" t="s">
        <v>56</v>
      </c>
      <c r="D57" t="s">
        <v>449</v>
      </c>
    </row>
    <row r="58" spans="1:4" x14ac:dyDescent="0.4">
      <c r="A58" t="s">
        <v>49</v>
      </c>
      <c r="B58" s="12">
        <v>5.6726956218905453</v>
      </c>
      <c r="C58" s="12" t="s">
        <v>56</v>
      </c>
      <c r="D58" t="s">
        <v>449</v>
      </c>
    </row>
    <row r="60" spans="1:4" x14ac:dyDescent="0.4">
      <c r="A60" t="s">
        <v>50</v>
      </c>
      <c r="B60" s="1">
        <f>'Storm restoration costs'!C15</f>
        <v>24277878.005904738</v>
      </c>
      <c r="C60" s="12" t="s">
        <v>56</v>
      </c>
      <c r="D60" t="s">
        <v>485</v>
      </c>
    </row>
    <row r="61" spans="1:4" x14ac:dyDescent="0.4">
      <c r="A61" t="s">
        <v>51</v>
      </c>
      <c r="B61" s="1">
        <f>'Storm restoration costs'!C16</f>
        <v>2663245.8868973739</v>
      </c>
      <c r="C61" s="12" t="s">
        <v>56</v>
      </c>
      <c r="D61" t="s">
        <v>485</v>
      </c>
    </row>
    <row r="62" spans="1:4" x14ac:dyDescent="0.4">
      <c r="A62" t="s">
        <v>52</v>
      </c>
      <c r="B62" s="12">
        <f>STORM_AVG_ANNUAL_COSTS/DISTANCE_TOTAL_SYSTEM_OH</f>
        <v>2415.7092543188792</v>
      </c>
      <c r="C62" s="12" t="s">
        <v>56</v>
      </c>
      <c r="D62" t="s">
        <v>578</v>
      </c>
    </row>
    <row r="63" spans="1:4" x14ac:dyDescent="0.4">
      <c r="A63" t="s">
        <v>53</v>
      </c>
      <c r="B63" s="12">
        <f>STORM_AVG_ANNUAL_INCREASE/DISTANCE_TOTAL_SYSTEM_OH</f>
        <v>264.99959073605709</v>
      </c>
      <c r="C63" s="12" t="s">
        <v>56</v>
      </c>
      <c r="D63" t="s">
        <v>579</v>
      </c>
    </row>
    <row r="64" spans="1:4" x14ac:dyDescent="0.4">
      <c r="A64" t="s">
        <v>54</v>
      </c>
      <c r="B64" s="43">
        <v>10050</v>
      </c>
      <c r="C64" s="43"/>
      <c r="D64" t="s">
        <v>449</v>
      </c>
    </row>
    <row r="65" spans="1:4" x14ac:dyDescent="0.4">
      <c r="A65" s="101" t="s">
        <v>55</v>
      </c>
      <c r="B65" s="115">
        <v>472</v>
      </c>
      <c r="C65" s="116" t="s">
        <v>56</v>
      </c>
      <c r="D65" t="s">
        <v>449</v>
      </c>
    </row>
    <row r="66" spans="1:4" x14ac:dyDescent="0.4">
      <c r="A66" s="101" t="s">
        <v>299</v>
      </c>
      <c r="B66" s="117">
        <v>0.54652441611749525</v>
      </c>
      <c r="C66" s="116"/>
      <c r="D66" t="s">
        <v>449</v>
      </c>
    </row>
    <row r="68" spans="1:4" x14ac:dyDescent="0.4">
      <c r="A68" t="s">
        <v>57</v>
      </c>
      <c r="D68" t="s">
        <v>449</v>
      </c>
    </row>
    <row r="69" spans="1:4" x14ac:dyDescent="0.4">
      <c r="A69" t="s">
        <v>58</v>
      </c>
      <c r="B69" t="s">
        <v>59</v>
      </c>
    </row>
    <row r="70" spans="1:4" x14ac:dyDescent="0.4">
      <c r="A70">
        <v>1</v>
      </c>
      <c r="B70" s="80">
        <v>3.7499999999999999E-2</v>
      </c>
    </row>
    <row r="71" spans="1:4" x14ac:dyDescent="0.4">
      <c r="A71">
        <v>2</v>
      </c>
      <c r="B71" s="80">
        <v>7.2190000000000004E-2</v>
      </c>
    </row>
    <row r="72" spans="1:4" x14ac:dyDescent="0.4">
      <c r="A72">
        <v>3</v>
      </c>
      <c r="B72" s="80">
        <v>6.6769999999999996E-2</v>
      </c>
    </row>
    <row r="73" spans="1:4" x14ac:dyDescent="0.4">
      <c r="A73">
        <v>4</v>
      </c>
      <c r="B73" s="80">
        <v>6.1769999999999999E-2</v>
      </c>
    </row>
    <row r="74" spans="1:4" x14ac:dyDescent="0.4">
      <c r="A74">
        <v>5</v>
      </c>
      <c r="B74" s="80">
        <v>5.713E-2</v>
      </c>
    </row>
    <row r="75" spans="1:4" x14ac:dyDescent="0.4">
      <c r="A75">
        <v>6</v>
      </c>
      <c r="B75" s="80">
        <v>5.2850000000000001E-2</v>
      </c>
    </row>
    <row r="76" spans="1:4" x14ac:dyDescent="0.4">
      <c r="A76">
        <v>7</v>
      </c>
      <c r="B76" s="80">
        <v>4.888E-2</v>
      </c>
    </row>
    <row r="77" spans="1:4" x14ac:dyDescent="0.4">
      <c r="A77">
        <v>8</v>
      </c>
      <c r="B77" s="80">
        <v>4.5220000000000003E-2</v>
      </c>
    </row>
    <row r="78" spans="1:4" x14ac:dyDescent="0.4">
      <c r="A78">
        <v>9</v>
      </c>
      <c r="B78" s="80">
        <v>4.462E-2</v>
      </c>
    </row>
    <row r="79" spans="1:4" x14ac:dyDescent="0.4">
      <c r="A79">
        <v>10</v>
      </c>
      <c r="B79" s="80">
        <v>4.4609999999999997E-2</v>
      </c>
    </row>
    <row r="80" spans="1:4" x14ac:dyDescent="0.4">
      <c r="A80">
        <v>11</v>
      </c>
      <c r="B80" s="80">
        <v>4.462E-2</v>
      </c>
    </row>
    <row r="81" spans="1:2" x14ac:dyDescent="0.4">
      <c r="A81">
        <v>12</v>
      </c>
      <c r="B81" s="80">
        <v>4.4609999999999997E-2</v>
      </c>
    </row>
    <row r="82" spans="1:2" x14ac:dyDescent="0.4">
      <c r="A82">
        <v>13</v>
      </c>
      <c r="B82" s="80">
        <v>4.462E-2</v>
      </c>
    </row>
    <row r="83" spans="1:2" x14ac:dyDescent="0.4">
      <c r="A83">
        <v>14</v>
      </c>
      <c r="B83" s="80">
        <v>4.4609999999999997E-2</v>
      </c>
    </row>
    <row r="84" spans="1:2" x14ac:dyDescent="0.4">
      <c r="A84">
        <v>15</v>
      </c>
      <c r="B84" s="80">
        <v>4.462E-2</v>
      </c>
    </row>
    <row r="85" spans="1:2" x14ac:dyDescent="0.4">
      <c r="A85">
        <v>16</v>
      </c>
      <c r="B85" s="80">
        <v>4.4609999999999997E-2</v>
      </c>
    </row>
    <row r="86" spans="1:2" x14ac:dyDescent="0.4">
      <c r="A86">
        <v>17</v>
      </c>
      <c r="B86" s="80">
        <v>4.462E-2</v>
      </c>
    </row>
    <row r="87" spans="1:2" x14ac:dyDescent="0.4">
      <c r="A87">
        <v>18</v>
      </c>
      <c r="B87" s="80">
        <v>4.4609999999999997E-2</v>
      </c>
    </row>
    <row r="88" spans="1:2" x14ac:dyDescent="0.4">
      <c r="A88">
        <v>19</v>
      </c>
      <c r="B88" s="80">
        <v>4.462E-2</v>
      </c>
    </row>
    <row r="89" spans="1:2" x14ac:dyDescent="0.4">
      <c r="A89">
        <v>20</v>
      </c>
      <c r="B89" s="80">
        <v>4.4609999999999997E-2</v>
      </c>
    </row>
    <row r="90" spans="1:2" x14ac:dyDescent="0.4">
      <c r="A90">
        <v>21</v>
      </c>
      <c r="B90" s="80">
        <v>2.231E-2</v>
      </c>
    </row>
  </sheetData>
  <pageMargins left="0.7" right="0.7" top="0.75" bottom="0.75" header="0.3" footer="0.3"/>
  <pageSetup scale="4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69E9C-42F7-4813-8C5E-CA7765C81C60}">
  <sheetPr>
    <tabColor rgb="FFFFC000"/>
  </sheetPr>
  <dimension ref="A1:DG196"/>
  <sheetViews>
    <sheetView view="pageBreakPreview" zoomScale="10" zoomScaleNormal="40" zoomScaleSheetLayoutView="10" workbookViewId="0">
      <selection activeCell="AF46" sqref="AF46"/>
    </sheetView>
  </sheetViews>
  <sheetFormatPr defaultRowHeight="18.75" x14ac:dyDescent="0.4"/>
  <cols>
    <col min="1" max="1" width="26.109375" bestFit="1" customWidth="1"/>
    <col min="2" max="3" width="10.77734375" customWidth="1"/>
    <col min="4" max="4" width="21.77734375" customWidth="1"/>
    <col min="5" max="67" width="13.77734375" customWidth="1"/>
    <col min="68" max="68" width="17.77734375" customWidth="1"/>
    <col min="69" max="105" width="13.77734375" customWidth="1"/>
  </cols>
  <sheetData>
    <row r="1" spans="1:105" x14ac:dyDescent="0.4">
      <c r="A1" t="s">
        <v>196</v>
      </c>
      <c r="B1" t="s">
        <v>1</v>
      </c>
    </row>
    <row r="2" spans="1:105" x14ac:dyDescent="0.4">
      <c r="A2" t="s">
        <v>197</v>
      </c>
      <c r="B2">
        <f>Lifetime_OH</f>
        <v>47</v>
      </c>
      <c r="E2">
        <v>0</v>
      </c>
      <c r="F2">
        <v>1</v>
      </c>
      <c r="G2">
        <v>2</v>
      </c>
      <c r="H2">
        <v>3</v>
      </c>
      <c r="I2">
        <v>4</v>
      </c>
      <c r="J2">
        <v>5</v>
      </c>
      <c r="K2">
        <v>6</v>
      </c>
      <c r="L2">
        <v>7</v>
      </c>
      <c r="M2">
        <v>8</v>
      </c>
      <c r="N2">
        <v>9</v>
      </c>
      <c r="O2">
        <v>10</v>
      </c>
      <c r="P2">
        <v>11</v>
      </c>
      <c r="Q2">
        <v>12</v>
      </c>
      <c r="R2">
        <v>13</v>
      </c>
      <c r="S2">
        <v>14</v>
      </c>
      <c r="T2">
        <v>15</v>
      </c>
      <c r="U2">
        <v>16</v>
      </c>
      <c r="V2">
        <v>17</v>
      </c>
      <c r="W2">
        <v>18</v>
      </c>
      <c r="X2">
        <v>19</v>
      </c>
      <c r="Y2">
        <v>20</v>
      </c>
      <c r="Z2">
        <v>21</v>
      </c>
      <c r="AA2">
        <v>22</v>
      </c>
      <c r="AB2">
        <v>23</v>
      </c>
      <c r="AC2">
        <v>24</v>
      </c>
      <c r="AD2">
        <v>25</v>
      </c>
      <c r="AE2">
        <v>26</v>
      </c>
      <c r="AF2">
        <v>27</v>
      </c>
      <c r="AG2">
        <v>28</v>
      </c>
      <c r="AH2">
        <v>29</v>
      </c>
      <c r="AI2">
        <v>30</v>
      </c>
      <c r="AJ2">
        <v>31</v>
      </c>
      <c r="AK2">
        <v>32</v>
      </c>
      <c r="AL2">
        <v>33</v>
      </c>
      <c r="AM2">
        <v>34</v>
      </c>
      <c r="AN2">
        <v>35</v>
      </c>
      <c r="AO2">
        <v>36</v>
      </c>
      <c r="AP2">
        <v>37</v>
      </c>
      <c r="AQ2">
        <v>38</v>
      </c>
      <c r="AR2">
        <v>39</v>
      </c>
      <c r="AS2">
        <v>40</v>
      </c>
      <c r="AT2">
        <v>41</v>
      </c>
      <c r="AU2">
        <v>42</v>
      </c>
      <c r="AV2">
        <v>43</v>
      </c>
      <c r="AW2">
        <v>44</v>
      </c>
      <c r="AX2">
        <v>45</v>
      </c>
      <c r="AY2">
        <v>46</v>
      </c>
      <c r="AZ2">
        <v>47</v>
      </c>
      <c r="BA2">
        <v>48</v>
      </c>
      <c r="BB2">
        <v>49</v>
      </c>
      <c r="BC2">
        <v>50</v>
      </c>
      <c r="BD2">
        <v>51</v>
      </c>
      <c r="BE2">
        <v>52</v>
      </c>
      <c r="BF2">
        <v>53</v>
      </c>
      <c r="BG2">
        <v>54</v>
      </c>
      <c r="BH2">
        <v>55</v>
      </c>
      <c r="BI2">
        <v>56</v>
      </c>
      <c r="BJ2">
        <v>57</v>
      </c>
      <c r="BK2">
        <v>58</v>
      </c>
      <c r="BL2">
        <v>59</v>
      </c>
      <c r="BM2">
        <v>60</v>
      </c>
      <c r="BN2">
        <v>61</v>
      </c>
      <c r="BO2">
        <v>62</v>
      </c>
      <c r="BP2">
        <v>63</v>
      </c>
      <c r="BQ2">
        <v>64</v>
      </c>
      <c r="BR2">
        <v>65</v>
      </c>
      <c r="BS2">
        <v>66</v>
      </c>
      <c r="BT2">
        <v>67</v>
      </c>
      <c r="BU2">
        <v>68</v>
      </c>
      <c r="BV2">
        <v>69</v>
      </c>
      <c r="BW2">
        <v>70</v>
      </c>
      <c r="BX2">
        <v>71</v>
      </c>
      <c r="BY2">
        <v>72</v>
      </c>
      <c r="BZ2">
        <v>73</v>
      </c>
      <c r="CA2">
        <v>74</v>
      </c>
      <c r="CB2">
        <v>75</v>
      </c>
      <c r="CC2">
        <v>76</v>
      </c>
      <c r="CD2">
        <v>77</v>
      </c>
      <c r="CE2">
        <v>78</v>
      </c>
      <c r="CF2">
        <v>79</v>
      </c>
      <c r="CG2">
        <v>80</v>
      </c>
      <c r="CH2">
        <v>81</v>
      </c>
      <c r="CI2">
        <v>82</v>
      </c>
      <c r="CJ2">
        <v>83</v>
      </c>
      <c r="CK2">
        <v>84</v>
      </c>
      <c r="CL2">
        <v>85</v>
      </c>
      <c r="CM2">
        <v>86</v>
      </c>
      <c r="CN2">
        <v>87</v>
      </c>
      <c r="CO2">
        <v>88</v>
      </c>
      <c r="CP2">
        <v>89</v>
      </c>
      <c r="CQ2">
        <v>90</v>
      </c>
      <c r="CR2">
        <v>91</v>
      </c>
      <c r="CS2">
        <v>92</v>
      </c>
      <c r="CT2">
        <v>93</v>
      </c>
      <c r="CU2">
        <v>94</v>
      </c>
      <c r="CV2">
        <v>95</v>
      </c>
      <c r="CW2">
        <v>96</v>
      </c>
      <c r="CX2">
        <v>97</v>
      </c>
      <c r="CY2">
        <v>98</v>
      </c>
      <c r="CZ2">
        <v>99</v>
      </c>
      <c r="DA2">
        <v>100</v>
      </c>
    </row>
    <row r="3" spans="1:105" x14ac:dyDescent="0.4">
      <c r="A3" t="s">
        <v>198</v>
      </c>
      <c r="B3">
        <f>BOOK_DEP_PERIOD_OH</f>
        <v>50</v>
      </c>
      <c r="D3" s="5"/>
      <c r="E3" s="5">
        <v>2027</v>
      </c>
      <c r="F3" s="5">
        <v>2028</v>
      </c>
      <c r="G3" s="5">
        <v>2029</v>
      </c>
      <c r="H3" s="5">
        <v>2030</v>
      </c>
      <c r="I3" s="5">
        <v>2031</v>
      </c>
      <c r="J3" s="5">
        <v>2032</v>
      </c>
      <c r="K3" s="5">
        <v>2033</v>
      </c>
      <c r="L3" s="5">
        <v>2034</v>
      </c>
      <c r="M3" s="5">
        <v>2035</v>
      </c>
      <c r="N3" s="5">
        <v>2036</v>
      </c>
      <c r="O3" s="5">
        <v>2037</v>
      </c>
      <c r="P3" s="5">
        <v>2038</v>
      </c>
      <c r="Q3" s="5">
        <v>2039</v>
      </c>
      <c r="R3" s="5">
        <v>2040</v>
      </c>
      <c r="S3" s="5">
        <v>2041</v>
      </c>
      <c r="T3" s="5">
        <v>2042</v>
      </c>
      <c r="U3" s="5">
        <v>2043</v>
      </c>
      <c r="V3" s="5">
        <v>2044</v>
      </c>
      <c r="W3" s="5">
        <v>2045</v>
      </c>
      <c r="X3" s="5">
        <v>2046</v>
      </c>
      <c r="Y3" s="5">
        <v>2047</v>
      </c>
      <c r="Z3" s="5">
        <v>2048</v>
      </c>
      <c r="AA3" s="5">
        <v>2049</v>
      </c>
      <c r="AB3" s="5">
        <v>2050</v>
      </c>
      <c r="AC3" s="5">
        <v>2051</v>
      </c>
      <c r="AD3" s="5">
        <v>2052</v>
      </c>
      <c r="AE3" s="5">
        <v>2053</v>
      </c>
      <c r="AF3" s="5">
        <v>2054</v>
      </c>
      <c r="AG3" s="5">
        <v>2055</v>
      </c>
      <c r="AH3" s="5">
        <v>2056</v>
      </c>
      <c r="AI3" s="5">
        <v>2057</v>
      </c>
      <c r="AJ3" s="5">
        <v>2058</v>
      </c>
      <c r="AK3" s="5">
        <v>2059</v>
      </c>
      <c r="AL3" s="5">
        <v>2060</v>
      </c>
      <c r="AM3" s="5">
        <v>2061</v>
      </c>
      <c r="AN3" s="5">
        <v>2062</v>
      </c>
      <c r="AO3" s="5">
        <v>2063</v>
      </c>
      <c r="AP3" s="5">
        <v>2064</v>
      </c>
      <c r="AQ3" s="5">
        <v>2065</v>
      </c>
      <c r="AR3" s="5">
        <v>2066</v>
      </c>
      <c r="AS3" s="5">
        <v>2067</v>
      </c>
      <c r="AT3" s="5">
        <v>2068</v>
      </c>
      <c r="AU3" s="5">
        <v>2069</v>
      </c>
      <c r="AV3" s="5">
        <v>2070</v>
      </c>
      <c r="AW3" s="5">
        <v>2071</v>
      </c>
      <c r="AX3" s="5">
        <v>2072</v>
      </c>
      <c r="AY3" s="5">
        <v>2073</v>
      </c>
      <c r="AZ3" s="5">
        <v>2074</v>
      </c>
      <c r="BA3" s="5">
        <v>2075</v>
      </c>
      <c r="BB3" s="5">
        <v>2076</v>
      </c>
      <c r="BC3" s="5">
        <v>2077</v>
      </c>
      <c r="BD3" s="5">
        <v>2078</v>
      </c>
      <c r="BE3" s="5">
        <v>2079</v>
      </c>
      <c r="BF3" s="5">
        <v>2080</v>
      </c>
      <c r="BG3" s="5">
        <v>2081</v>
      </c>
      <c r="BH3" s="5">
        <v>2082</v>
      </c>
      <c r="BI3" s="5">
        <v>2083</v>
      </c>
      <c r="BJ3" s="5">
        <v>2084</v>
      </c>
      <c r="BK3" s="5">
        <v>2085</v>
      </c>
      <c r="BL3" s="5">
        <v>2086</v>
      </c>
      <c r="BM3" s="5">
        <v>2087</v>
      </c>
      <c r="BN3" s="5">
        <v>2088</v>
      </c>
      <c r="BO3" s="5">
        <v>2089</v>
      </c>
      <c r="BP3" s="5">
        <v>2090</v>
      </c>
      <c r="BQ3" s="5">
        <v>2091</v>
      </c>
      <c r="BR3" s="5">
        <v>2092</v>
      </c>
      <c r="BS3" s="5">
        <v>2093</v>
      </c>
      <c r="BT3" s="5">
        <v>2094</v>
      </c>
      <c r="BU3" s="5">
        <v>2095</v>
      </c>
      <c r="BV3" s="5">
        <v>2096</v>
      </c>
      <c r="BW3" s="5">
        <v>2097</v>
      </c>
      <c r="BX3" s="5">
        <v>2098</v>
      </c>
      <c r="BY3" s="5">
        <v>2099</v>
      </c>
      <c r="BZ3" s="5">
        <v>2100</v>
      </c>
      <c r="CA3" s="5">
        <v>2101</v>
      </c>
      <c r="CB3" s="5">
        <v>2102</v>
      </c>
      <c r="CC3" s="5">
        <v>2103</v>
      </c>
      <c r="CD3" s="5">
        <v>2104</v>
      </c>
      <c r="CE3" s="5">
        <v>2105</v>
      </c>
      <c r="CF3" s="5">
        <v>2106</v>
      </c>
      <c r="CG3" s="5">
        <v>2107</v>
      </c>
      <c r="CH3" s="5">
        <v>2108</v>
      </c>
      <c r="CI3" s="5">
        <v>2109</v>
      </c>
      <c r="CJ3" s="5">
        <v>2110</v>
      </c>
      <c r="CK3" s="5">
        <v>2111</v>
      </c>
      <c r="CL3" s="5">
        <v>2112</v>
      </c>
      <c r="CM3" s="5">
        <v>2113</v>
      </c>
      <c r="CN3" s="5">
        <v>2114</v>
      </c>
      <c r="CO3" s="5">
        <v>2115</v>
      </c>
      <c r="CP3" s="5">
        <v>2116</v>
      </c>
      <c r="CQ3" s="5">
        <v>2117</v>
      </c>
      <c r="CR3" s="5">
        <v>2118</v>
      </c>
      <c r="CS3" s="5">
        <v>2119</v>
      </c>
      <c r="CT3" s="5">
        <v>2120</v>
      </c>
      <c r="CU3" s="5">
        <v>2121</v>
      </c>
      <c r="CV3" s="5">
        <v>2122</v>
      </c>
      <c r="CW3" s="5">
        <v>2123</v>
      </c>
      <c r="CX3" s="5">
        <v>2124</v>
      </c>
      <c r="CY3" s="5">
        <v>2125</v>
      </c>
      <c r="CZ3" s="5">
        <v>2126</v>
      </c>
      <c r="DA3" s="5">
        <v>2127</v>
      </c>
    </row>
    <row r="4" spans="1:105" ht="68.099999999999994" customHeight="1" x14ac:dyDescent="0.4">
      <c r="A4" t="s">
        <v>199</v>
      </c>
      <c r="B4">
        <f>MACRS_DEP_PERIOD_OH</f>
        <v>20</v>
      </c>
      <c r="D4" s="27" t="s">
        <v>436</v>
      </c>
      <c r="F4" s="8">
        <f>Costs_Mitigation!$G$32*BASELINE_CAP_SPEND</f>
        <v>3612272.3000000003</v>
      </c>
      <c r="G4" s="8">
        <f>F4</f>
        <v>3612272.3000000003</v>
      </c>
      <c r="H4" s="8">
        <f t="shared" ref="H4:O4" si="0">G4</f>
        <v>3612272.3000000003</v>
      </c>
      <c r="I4" s="8">
        <f t="shared" si="0"/>
        <v>3612272.3000000003</v>
      </c>
      <c r="J4" s="8">
        <f t="shared" si="0"/>
        <v>3612272.3000000003</v>
      </c>
      <c r="K4" s="8">
        <f t="shared" si="0"/>
        <v>3612272.3000000003</v>
      </c>
      <c r="L4" s="8">
        <f t="shared" si="0"/>
        <v>3612272.3000000003</v>
      </c>
      <c r="M4" s="8">
        <f t="shared" si="0"/>
        <v>3612272.3000000003</v>
      </c>
      <c r="N4" s="8">
        <f t="shared" si="0"/>
        <v>3612272.3000000003</v>
      </c>
      <c r="O4" s="8">
        <f t="shared" si="0"/>
        <v>3612272.3000000003</v>
      </c>
    </row>
    <row r="5" spans="1:105" x14ac:dyDescent="0.4">
      <c r="D5" s="27" t="s">
        <v>201</v>
      </c>
      <c r="F5" s="25">
        <f t="shared" ref="F5:N5" si="1">F4/F6</f>
        <v>5.1319999999999997</v>
      </c>
      <c r="G5" s="25">
        <f t="shared" si="1"/>
        <v>5.1319999999999997</v>
      </c>
      <c r="H5" s="25">
        <f t="shared" si="1"/>
        <v>5.1319999999999997</v>
      </c>
      <c r="I5" s="25">
        <f t="shared" si="1"/>
        <v>5.1319999999999997</v>
      </c>
      <c r="J5" s="25">
        <f t="shared" si="1"/>
        <v>5.1319999999999997</v>
      </c>
      <c r="K5" s="25">
        <f t="shared" si="1"/>
        <v>5.1319999999999997</v>
      </c>
      <c r="L5" s="25">
        <f t="shared" si="1"/>
        <v>5.1319999999999997</v>
      </c>
      <c r="M5" s="25">
        <f t="shared" si="1"/>
        <v>5.1319999999999997</v>
      </c>
      <c r="N5" s="25">
        <f t="shared" si="1"/>
        <v>5.1319999999999997</v>
      </c>
      <c r="O5" s="25">
        <f>O4/O6</f>
        <v>5.1319999999999997</v>
      </c>
    </row>
    <row r="6" spans="1:105" x14ac:dyDescent="0.4">
      <c r="D6" s="27" t="s">
        <v>202</v>
      </c>
      <c r="F6" s="8">
        <f>Total_All_In_Cost_Per_Mile_OH3PH</f>
        <v>703872.23304754496</v>
      </c>
      <c r="G6" s="8">
        <f>F6</f>
        <v>703872.23304754496</v>
      </c>
      <c r="H6" s="8">
        <f t="shared" ref="H6:O6" si="2">G6</f>
        <v>703872.23304754496</v>
      </c>
      <c r="I6" s="8">
        <f t="shared" si="2"/>
        <v>703872.23304754496</v>
      </c>
      <c r="J6" s="8">
        <f t="shared" si="2"/>
        <v>703872.23304754496</v>
      </c>
      <c r="K6" s="8">
        <f t="shared" si="2"/>
        <v>703872.23304754496</v>
      </c>
      <c r="L6" s="8">
        <f t="shared" si="2"/>
        <v>703872.23304754496</v>
      </c>
      <c r="M6" s="8">
        <f t="shared" si="2"/>
        <v>703872.23304754496</v>
      </c>
      <c r="N6" s="8">
        <f t="shared" si="2"/>
        <v>703872.23304754496</v>
      </c>
      <c r="O6" s="8">
        <f t="shared" si="2"/>
        <v>703872.23304754496</v>
      </c>
    </row>
    <row r="7" spans="1:105" x14ac:dyDescent="0.4">
      <c r="D7" s="107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05" x14ac:dyDescent="0.4">
      <c r="D8" s="27" t="s">
        <v>203</v>
      </c>
      <c r="F8" s="34">
        <v>1</v>
      </c>
      <c r="G8" s="34">
        <f t="shared" ref="G8:O8" si="3">F8*(1+Inflation)</f>
        <v>1.022</v>
      </c>
      <c r="H8" s="34">
        <f t="shared" si="3"/>
        <v>1.044484</v>
      </c>
      <c r="I8" s="34">
        <f t="shared" si="3"/>
        <v>1.067462648</v>
      </c>
      <c r="J8" s="34">
        <f t="shared" si="3"/>
        <v>1.090946826256</v>
      </c>
      <c r="K8" s="34">
        <f t="shared" si="3"/>
        <v>1.114947656433632</v>
      </c>
      <c r="L8" s="34">
        <f t="shared" si="3"/>
        <v>1.139476504875172</v>
      </c>
      <c r="M8" s="34">
        <f t="shared" si="3"/>
        <v>1.1645449879824259</v>
      </c>
      <c r="N8" s="34">
        <f t="shared" si="3"/>
        <v>1.1901649777180392</v>
      </c>
      <c r="O8" s="34">
        <f t="shared" si="3"/>
        <v>1.216348607227836</v>
      </c>
    </row>
    <row r="9" spans="1:105" x14ac:dyDescent="0.4">
      <c r="D9" s="27" t="s">
        <v>204</v>
      </c>
      <c r="F9" s="8">
        <f>F4*F8</f>
        <v>3612272.3000000003</v>
      </c>
      <c r="G9" s="8">
        <f t="shared" ref="G9:O9" si="4">G4*G8</f>
        <v>3691742.2906000004</v>
      </c>
      <c r="H9" s="8">
        <f t="shared" si="4"/>
        <v>3772960.6209932002</v>
      </c>
      <c r="I9" s="8">
        <f t="shared" si="4"/>
        <v>3855965.7546550506</v>
      </c>
      <c r="J9" s="8">
        <f t="shared" si="4"/>
        <v>3940797.001257462</v>
      </c>
      <c r="K9" s="8">
        <f t="shared" si="4"/>
        <v>4027494.535285126</v>
      </c>
      <c r="L9" s="8">
        <f t="shared" si="4"/>
        <v>4116099.4150613993</v>
      </c>
      <c r="M9" s="8">
        <f t="shared" si="4"/>
        <v>4206653.6021927502</v>
      </c>
      <c r="N9" s="8">
        <f t="shared" si="4"/>
        <v>4299199.9814409902</v>
      </c>
      <c r="O9" s="8">
        <f t="shared" si="4"/>
        <v>4393782.3810326923</v>
      </c>
    </row>
    <row r="10" spans="1:105" x14ac:dyDescent="0.4">
      <c r="D10" s="27" t="s">
        <v>205</v>
      </c>
      <c r="F10" s="8">
        <f>F9/F5</f>
        <v>703872.23304754496</v>
      </c>
      <c r="G10" s="8">
        <f t="shared" ref="G10:O10" si="5">G9/G5</f>
        <v>719357.42217459087</v>
      </c>
      <c r="H10" s="8">
        <f t="shared" si="5"/>
        <v>735183.28546243184</v>
      </c>
      <c r="I10" s="8">
        <f t="shared" si="5"/>
        <v>751357.31774260534</v>
      </c>
      <c r="J10" s="8">
        <f t="shared" si="5"/>
        <v>767887.17873294279</v>
      </c>
      <c r="K10" s="8">
        <f t="shared" si="5"/>
        <v>784780.69666506746</v>
      </c>
      <c r="L10" s="8">
        <f t="shared" si="5"/>
        <v>802045.8719916991</v>
      </c>
      <c r="M10" s="8">
        <f t="shared" si="5"/>
        <v>819690.88117551641</v>
      </c>
      <c r="N10" s="8">
        <f t="shared" si="5"/>
        <v>837724.08056137769</v>
      </c>
      <c r="O10" s="8">
        <f t="shared" si="5"/>
        <v>856154.01033372805</v>
      </c>
    </row>
    <row r="11" spans="1:105" x14ac:dyDescent="0.4">
      <c r="F11" s="8"/>
      <c r="G11" s="8"/>
      <c r="H11" s="8"/>
      <c r="I11" s="8"/>
      <c r="J11" s="8"/>
      <c r="K11" s="8"/>
      <c r="L11" s="8"/>
      <c r="M11" s="8"/>
      <c r="N11" s="8"/>
      <c r="O11" s="8"/>
    </row>
    <row r="13" spans="1:105" x14ac:dyDescent="0.4">
      <c r="C13" s="137" t="s">
        <v>206</v>
      </c>
      <c r="E13">
        <f>IF(E14&lt;$C14,"",E14-$C14)</f>
        <v>0</v>
      </c>
      <c r="F13">
        <f>IF(F14&lt;$C14,"",F14-$C14)</f>
        <v>1</v>
      </c>
      <c r="G13">
        <f t="shared" ref="G13:BR13" si="6">IF(G14&lt;$C14,"",G14-$C14)</f>
        <v>2</v>
      </c>
      <c r="H13">
        <f t="shared" si="6"/>
        <v>3</v>
      </c>
      <c r="I13">
        <f t="shared" si="6"/>
        <v>4</v>
      </c>
      <c r="J13">
        <f t="shared" si="6"/>
        <v>5</v>
      </c>
      <c r="K13">
        <f t="shared" si="6"/>
        <v>6</v>
      </c>
      <c r="L13">
        <f t="shared" si="6"/>
        <v>7</v>
      </c>
      <c r="M13">
        <f t="shared" si="6"/>
        <v>8</v>
      </c>
      <c r="N13">
        <f t="shared" si="6"/>
        <v>9</v>
      </c>
      <c r="O13">
        <f t="shared" si="6"/>
        <v>10</v>
      </c>
      <c r="P13">
        <f t="shared" si="6"/>
        <v>11</v>
      </c>
      <c r="Q13">
        <f t="shared" si="6"/>
        <v>12</v>
      </c>
      <c r="R13">
        <f t="shared" si="6"/>
        <v>13</v>
      </c>
      <c r="S13">
        <f t="shared" si="6"/>
        <v>14</v>
      </c>
      <c r="T13">
        <f t="shared" si="6"/>
        <v>15</v>
      </c>
      <c r="U13">
        <f t="shared" si="6"/>
        <v>16</v>
      </c>
      <c r="V13">
        <f t="shared" si="6"/>
        <v>17</v>
      </c>
      <c r="W13">
        <f t="shared" si="6"/>
        <v>18</v>
      </c>
      <c r="X13">
        <f t="shared" si="6"/>
        <v>19</v>
      </c>
      <c r="Y13">
        <f t="shared" si="6"/>
        <v>20</v>
      </c>
      <c r="Z13">
        <f t="shared" si="6"/>
        <v>21</v>
      </c>
      <c r="AA13">
        <f t="shared" si="6"/>
        <v>22</v>
      </c>
      <c r="AB13">
        <f t="shared" si="6"/>
        <v>23</v>
      </c>
      <c r="AC13">
        <f t="shared" si="6"/>
        <v>24</v>
      </c>
      <c r="AD13">
        <f t="shared" si="6"/>
        <v>25</v>
      </c>
      <c r="AE13">
        <f t="shared" si="6"/>
        <v>26</v>
      </c>
      <c r="AF13">
        <f t="shared" si="6"/>
        <v>27</v>
      </c>
      <c r="AG13">
        <f t="shared" si="6"/>
        <v>28</v>
      </c>
      <c r="AH13">
        <f t="shared" si="6"/>
        <v>29</v>
      </c>
      <c r="AI13">
        <f t="shared" si="6"/>
        <v>30</v>
      </c>
      <c r="AJ13">
        <f t="shared" si="6"/>
        <v>31</v>
      </c>
      <c r="AK13">
        <f t="shared" si="6"/>
        <v>32</v>
      </c>
      <c r="AL13">
        <f t="shared" si="6"/>
        <v>33</v>
      </c>
      <c r="AM13">
        <f t="shared" si="6"/>
        <v>34</v>
      </c>
      <c r="AN13">
        <f t="shared" si="6"/>
        <v>35</v>
      </c>
      <c r="AO13">
        <f t="shared" si="6"/>
        <v>36</v>
      </c>
      <c r="AP13">
        <f t="shared" si="6"/>
        <v>37</v>
      </c>
      <c r="AQ13">
        <f t="shared" si="6"/>
        <v>38</v>
      </c>
      <c r="AR13">
        <f t="shared" si="6"/>
        <v>39</v>
      </c>
      <c r="AS13">
        <f t="shared" si="6"/>
        <v>40</v>
      </c>
      <c r="AT13">
        <f t="shared" si="6"/>
        <v>41</v>
      </c>
      <c r="AU13">
        <f t="shared" si="6"/>
        <v>42</v>
      </c>
      <c r="AV13">
        <f t="shared" si="6"/>
        <v>43</v>
      </c>
      <c r="AW13">
        <f t="shared" si="6"/>
        <v>44</v>
      </c>
      <c r="AX13">
        <f t="shared" si="6"/>
        <v>45</v>
      </c>
      <c r="AY13">
        <f t="shared" si="6"/>
        <v>46</v>
      </c>
      <c r="AZ13">
        <f t="shared" si="6"/>
        <v>47</v>
      </c>
      <c r="BA13">
        <f t="shared" si="6"/>
        <v>48</v>
      </c>
      <c r="BB13">
        <f t="shared" si="6"/>
        <v>49</v>
      </c>
      <c r="BC13">
        <f t="shared" si="6"/>
        <v>50</v>
      </c>
      <c r="BD13">
        <f t="shared" si="6"/>
        <v>51</v>
      </c>
      <c r="BE13">
        <f t="shared" si="6"/>
        <v>52</v>
      </c>
      <c r="BF13">
        <f t="shared" si="6"/>
        <v>53</v>
      </c>
      <c r="BG13">
        <f t="shared" si="6"/>
        <v>54</v>
      </c>
      <c r="BH13">
        <f t="shared" si="6"/>
        <v>55</v>
      </c>
      <c r="BI13">
        <f t="shared" si="6"/>
        <v>56</v>
      </c>
      <c r="BJ13">
        <f t="shared" si="6"/>
        <v>57</v>
      </c>
      <c r="BK13">
        <f t="shared" si="6"/>
        <v>58</v>
      </c>
      <c r="BL13">
        <f t="shared" si="6"/>
        <v>59</v>
      </c>
      <c r="BM13">
        <f t="shared" si="6"/>
        <v>60</v>
      </c>
      <c r="BN13">
        <f t="shared" si="6"/>
        <v>61</v>
      </c>
      <c r="BO13">
        <f t="shared" si="6"/>
        <v>62</v>
      </c>
      <c r="BP13">
        <f t="shared" si="6"/>
        <v>63</v>
      </c>
      <c r="BQ13">
        <f t="shared" si="6"/>
        <v>64</v>
      </c>
      <c r="BR13">
        <f t="shared" si="6"/>
        <v>65</v>
      </c>
      <c r="BS13">
        <f t="shared" ref="BS13:DA13" si="7">IF(BS14&lt;$C14,"",BS14-$C14)</f>
        <v>66</v>
      </c>
      <c r="BT13">
        <f t="shared" si="7"/>
        <v>67</v>
      </c>
      <c r="BU13">
        <f t="shared" si="7"/>
        <v>68</v>
      </c>
      <c r="BV13">
        <f t="shared" si="7"/>
        <v>69</v>
      </c>
      <c r="BW13">
        <f t="shared" si="7"/>
        <v>70</v>
      </c>
      <c r="BX13">
        <f t="shared" si="7"/>
        <v>71</v>
      </c>
      <c r="BY13">
        <f t="shared" si="7"/>
        <v>72</v>
      </c>
      <c r="BZ13">
        <f t="shared" si="7"/>
        <v>73</v>
      </c>
      <c r="CA13">
        <f t="shared" si="7"/>
        <v>74</v>
      </c>
      <c r="CB13">
        <f t="shared" si="7"/>
        <v>75</v>
      </c>
      <c r="CC13">
        <f t="shared" si="7"/>
        <v>76</v>
      </c>
      <c r="CD13">
        <f t="shared" si="7"/>
        <v>77</v>
      </c>
      <c r="CE13">
        <f t="shared" si="7"/>
        <v>78</v>
      </c>
      <c r="CF13">
        <f t="shared" si="7"/>
        <v>79</v>
      </c>
      <c r="CG13">
        <f t="shared" si="7"/>
        <v>80</v>
      </c>
      <c r="CH13">
        <f t="shared" si="7"/>
        <v>81</v>
      </c>
      <c r="CI13">
        <f t="shared" si="7"/>
        <v>82</v>
      </c>
      <c r="CJ13">
        <f t="shared" si="7"/>
        <v>83</v>
      </c>
      <c r="CK13">
        <f t="shared" si="7"/>
        <v>84</v>
      </c>
      <c r="CL13">
        <f t="shared" si="7"/>
        <v>85</v>
      </c>
      <c r="CM13">
        <f t="shared" si="7"/>
        <v>86</v>
      </c>
      <c r="CN13">
        <f t="shared" si="7"/>
        <v>87</v>
      </c>
      <c r="CO13">
        <f t="shared" si="7"/>
        <v>88</v>
      </c>
      <c r="CP13">
        <f t="shared" si="7"/>
        <v>89</v>
      </c>
      <c r="CQ13">
        <f t="shared" si="7"/>
        <v>90</v>
      </c>
      <c r="CR13">
        <f t="shared" si="7"/>
        <v>91</v>
      </c>
      <c r="CS13">
        <f t="shared" si="7"/>
        <v>92</v>
      </c>
      <c r="CT13">
        <f t="shared" si="7"/>
        <v>93</v>
      </c>
      <c r="CU13">
        <f t="shared" si="7"/>
        <v>94</v>
      </c>
      <c r="CV13">
        <f t="shared" si="7"/>
        <v>95</v>
      </c>
      <c r="CW13">
        <f t="shared" si="7"/>
        <v>96</v>
      </c>
      <c r="CX13">
        <f t="shared" si="7"/>
        <v>97</v>
      </c>
      <c r="CY13">
        <f t="shared" si="7"/>
        <v>98</v>
      </c>
      <c r="CZ13">
        <f t="shared" si="7"/>
        <v>99</v>
      </c>
      <c r="DA13">
        <f t="shared" si="7"/>
        <v>100</v>
      </c>
    </row>
    <row r="14" spans="1:105" x14ac:dyDescent="0.4">
      <c r="A14" s="54" t="s">
        <v>186</v>
      </c>
      <c r="C14">
        <v>2027</v>
      </c>
      <c r="D14" s="5" t="s">
        <v>434</v>
      </c>
      <c r="E14" s="5">
        <v>2027</v>
      </c>
      <c r="F14" s="5">
        <v>2028</v>
      </c>
      <c r="G14" s="5">
        <v>2029</v>
      </c>
      <c r="H14" s="5">
        <v>2030</v>
      </c>
      <c r="I14" s="5">
        <v>2031</v>
      </c>
      <c r="J14" s="5">
        <v>2032</v>
      </c>
      <c r="K14" s="5">
        <v>2033</v>
      </c>
      <c r="L14" s="5">
        <v>2034</v>
      </c>
      <c r="M14" s="5">
        <v>2035</v>
      </c>
      <c r="N14" s="5">
        <v>2036</v>
      </c>
      <c r="O14" s="5">
        <v>2037</v>
      </c>
      <c r="P14" s="5">
        <v>2038</v>
      </c>
      <c r="Q14" s="5">
        <v>2039</v>
      </c>
      <c r="R14" s="5">
        <v>2040</v>
      </c>
      <c r="S14" s="5">
        <v>2041</v>
      </c>
      <c r="T14" s="5">
        <v>2042</v>
      </c>
      <c r="U14" s="5">
        <v>2043</v>
      </c>
      <c r="V14" s="5">
        <v>2044</v>
      </c>
      <c r="W14" s="5">
        <v>2045</v>
      </c>
      <c r="X14" s="5">
        <v>2046</v>
      </c>
      <c r="Y14" s="5">
        <v>2047</v>
      </c>
      <c r="Z14" s="5">
        <v>2048</v>
      </c>
      <c r="AA14" s="5">
        <v>2049</v>
      </c>
      <c r="AB14" s="5">
        <v>2050</v>
      </c>
      <c r="AC14" s="5">
        <v>2051</v>
      </c>
      <c r="AD14" s="5">
        <v>2052</v>
      </c>
      <c r="AE14" s="5">
        <v>2053</v>
      </c>
      <c r="AF14" s="5">
        <v>2054</v>
      </c>
      <c r="AG14" s="5">
        <v>2055</v>
      </c>
      <c r="AH14" s="5">
        <v>2056</v>
      </c>
      <c r="AI14" s="5">
        <v>2057</v>
      </c>
      <c r="AJ14" s="5">
        <v>2058</v>
      </c>
      <c r="AK14" s="5">
        <v>2059</v>
      </c>
      <c r="AL14" s="5">
        <v>2060</v>
      </c>
      <c r="AM14" s="5">
        <v>2061</v>
      </c>
      <c r="AN14" s="5">
        <v>2062</v>
      </c>
      <c r="AO14" s="5">
        <v>2063</v>
      </c>
      <c r="AP14" s="5">
        <v>2064</v>
      </c>
      <c r="AQ14" s="5">
        <v>2065</v>
      </c>
      <c r="AR14" s="5">
        <v>2066</v>
      </c>
      <c r="AS14" s="5">
        <v>2067</v>
      </c>
      <c r="AT14" s="5">
        <v>2068</v>
      </c>
      <c r="AU14" s="5">
        <v>2069</v>
      </c>
      <c r="AV14" s="5">
        <v>2070</v>
      </c>
      <c r="AW14" s="5">
        <v>2071</v>
      </c>
      <c r="AX14" s="5">
        <v>2072</v>
      </c>
      <c r="AY14" s="5">
        <v>2073</v>
      </c>
      <c r="AZ14" s="5">
        <v>2074</v>
      </c>
      <c r="BA14" s="5">
        <v>2075</v>
      </c>
      <c r="BB14" s="5">
        <v>2076</v>
      </c>
      <c r="BC14" s="5">
        <v>2077</v>
      </c>
      <c r="BD14" s="5">
        <v>2078</v>
      </c>
      <c r="BE14" s="5">
        <v>2079</v>
      </c>
      <c r="BF14" s="5">
        <v>2080</v>
      </c>
      <c r="BG14" s="5">
        <v>2081</v>
      </c>
      <c r="BH14" s="5">
        <v>2082</v>
      </c>
      <c r="BI14" s="5">
        <v>2083</v>
      </c>
      <c r="BJ14" s="5">
        <v>2084</v>
      </c>
      <c r="BK14" s="5">
        <v>2085</v>
      </c>
      <c r="BL14" s="5">
        <v>2086</v>
      </c>
      <c r="BM14" s="5">
        <v>2087</v>
      </c>
      <c r="BN14" s="5">
        <v>2088</v>
      </c>
      <c r="BO14" s="5">
        <v>2089</v>
      </c>
      <c r="BP14" s="5">
        <v>2090</v>
      </c>
      <c r="BQ14" s="5">
        <v>2091</v>
      </c>
      <c r="BR14" s="5">
        <v>2092</v>
      </c>
      <c r="BS14" s="5">
        <v>2093</v>
      </c>
      <c r="BT14" s="5">
        <v>2094</v>
      </c>
      <c r="BU14" s="5">
        <v>2095</v>
      </c>
      <c r="BV14" s="5">
        <v>2096</v>
      </c>
      <c r="BW14" s="5">
        <v>2097</v>
      </c>
      <c r="BX14" s="5">
        <v>2098</v>
      </c>
      <c r="BY14" s="5">
        <v>2099</v>
      </c>
      <c r="BZ14" s="5">
        <v>2100</v>
      </c>
      <c r="CA14" s="5">
        <v>2101</v>
      </c>
      <c r="CB14" s="5">
        <v>2102</v>
      </c>
      <c r="CC14" s="5">
        <v>2103</v>
      </c>
      <c r="CD14" s="5">
        <v>2104</v>
      </c>
      <c r="CE14" s="5">
        <v>2105</v>
      </c>
      <c r="CF14" s="5">
        <v>2106</v>
      </c>
      <c r="CG14" s="5">
        <v>2107</v>
      </c>
      <c r="CH14" s="5">
        <v>2108</v>
      </c>
      <c r="CI14" s="5">
        <v>2109</v>
      </c>
      <c r="CJ14" s="5">
        <v>2110</v>
      </c>
      <c r="CK14" s="5">
        <v>2111</v>
      </c>
      <c r="CL14" s="5">
        <v>2112</v>
      </c>
      <c r="CM14" s="5">
        <v>2113</v>
      </c>
      <c r="CN14" s="5">
        <v>2114</v>
      </c>
      <c r="CO14" s="5">
        <v>2115</v>
      </c>
      <c r="CP14" s="5">
        <v>2116</v>
      </c>
      <c r="CQ14" s="5">
        <v>2117</v>
      </c>
      <c r="CR14" s="5">
        <v>2118</v>
      </c>
      <c r="CS14" s="5">
        <v>2119</v>
      </c>
      <c r="CT14" s="5">
        <v>2120</v>
      </c>
      <c r="CU14" s="5">
        <v>2121</v>
      </c>
      <c r="CV14" s="5">
        <v>2122</v>
      </c>
      <c r="CW14" s="5">
        <v>2123</v>
      </c>
      <c r="CX14" s="5">
        <v>2124</v>
      </c>
      <c r="CY14" s="5">
        <v>2125</v>
      </c>
      <c r="CZ14" s="5">
        <v>2126</v>
      </c>
      <c r="DA14" s="5">
        <v>2127</v>
      </c>
    </row>
    <row r="15" spans="1:105" x14ac:dyDescent="0.4">
      <c r="A15" s="45">
        <f>SUM(F15:DA15)</f>
        <v>3612272.3000000003</v>
      </c>
      <c r="D15" t="s">
        <v>207</v>
      </c>
      <c r="E15" s="8"/>
      <c r="F15" s="8">
        <f>IF(F$13&lt;=$B$3,F16/$B$3,0)</f>
        <v>72245.446000000011</v>
      </c>
      <c r="G15" s="8">
        <f>IF(G13&lt;=$B$3,F15,0)</f>
        <v>72245.446000000011</v>
      </c>
      <c r="H15" s="8">
        <f t="shared" ref="H15:BS15" si="8">IF(H13&lt;=$B$3,G15,0)</f>
        <v>72245.446000000011</v>
      </c>
      <c r="I15" s="8">
        <f t="shared" si="8"/>
        <v>72245.446000000011</v>
      </c>
      <c r="J15" s="8">
        <f t="shared" si="8"/>
        <v>72245.446000000011</v>
      </c>
      <c r="K15" s="8">
        <f t="shared" si="8"/>
        <v>72245.446000000011</v>
      </c>
      <c r="L15" s="8">
        <f t="shared" si="8"/>
        <v>72245.446000000011</v>
      </c>
      <c r="M15" s="8">
        <f t="shared" si="8"/>
        <v>72245.446000000011</v>
      </c>
      <c r="N15" s="8">
        <f t="shared" si="8"/>
        <v>72245.446000000011</v>
      </c>
      <c r="O15" s="8">
        <f t="shared" si="8"/>
        <v>72245.446000000011</v>
      </c>
      <c r="P15" s="8">
        <f t="shared" si="8"/>
        <v>72245.446000000011</v>
      </c>
      <c r="Q15" s="8">
        <f t="shared" si="8"/>
        <v>72245.446000000011</v>
      </c>
      <c r="R15" s="8">
        <f t="shared" si="8"/>
        <v>72245.446000000011</v>
      </c>
      <c r="S15" s="8">
        <f t="shared" si="8"/>
        <v>72245.446000000011</v>
      </c>
      <c r="T15" s="8">
        <f t="shared" si="8"/>
        <v>72245.446000000011</v>
      </c>
      <c r="U15" s="8">
        <f t="shared" si="8"/>
        <v>72245.446000000011</v>
      </c>
      <c r="V15" s="8">
        <f t="shared" si="8"/>
        <v>72245.446000000011</v>
      </c>
      <c r="W15" s="8">
        <f t="shared" si="8"/>
        <v>72245.446000000011</v>
      </c>
      <c r="X15" s="8">
        <f t="shared" si="8"/>
        <v>72245.446000000011</v>
      </c>
      <c r="Y15" s="8">
        <f t="shared" si="8"/>
        <v>72245.446000000011</v>
      </c>
      <c r="Z15" s="8">
        <f t="shared" si="8"/>
        <v>72245.446000000011</v>
      </c>
      <c r="AA15" s="8">
        <f t="shared" si="8"/>
        <v>72245.446000000011</v>
      </c>
      <c r="AB15" s="8">
        <f t="shared" si="8"/>
        <v>72245.446000000011</v>
      </c>
      <c r="AC15" s="8">
        <f t="shared" si="8"/>
        <v>72245.446000000011</v>
      </c>
      <c r="AD15" s="8">
        <f t="shared" si="8"/>
        <v>72245.446000000011</v>
      </c>
      <c r="AE15" s="8">
        <f t="shared" si="8"/>
        <v>72245.446000000011</v>
      </c>
      <c r="AF15" s="8">
        <f t="shared" si="8"/>
        <v>72245.446000000011</v>
      </c>
      <c r="AG15" s="8">
        <f t="shared" si="8"/>
        <v>72245.446000000011</v>
      </c>
      <c r="AH15" s="8">
        <f t="shared" si="8"/>
        <v>72245.446000000011</v>
      </c>
      <c r="AI15" s="8">
        <f t="shared" si="8"/>
        <v>72245.446000000011</v>
      </c>
      <c r="AJ15" s="8">
        <f t="shared" si="8"/>
        <v>72245.446000000011</v>
      </c>
      <c r="AK15" s="8">
        <f t="shared" si="8"/>
        <v>72245.446000000011</v>
      </c>
      <c r="AL15" s="8">
        <f t="shared" si="8"/>
        <v>72245.446000000011</v>
      </c>
      <c r="AM15" s="8">
        <f t="shared" si="8"/>
        <v>72245.446000000011</v>
      </c>
      <c r="AN15" s="8">
        <f t="shared" si="8"/>
        <v>72245.446000000011</v>
      </c>
      <c r="AO15" s="8">
        <f t="shared" si="8"/>
        <v>72245.446000000011</v>
      </c>
      <c r="AP15" s="8">
        <f t="shared" si="8"/>
        <v>72245.446000000011</v>
      </c>
      <c r="AQ15" s="8">
        <f t="shared" si="8"/>
        <v>72245.446000000011</v>
      </c>
      <c r="AR15" s="8">
        <f t="shared" si="8"/>
        <v>72245.446000000011</v>
      </c>
      <c r="AS15" s="8">
        <f t="shared" si="8"/>
        <v>72245.446000000011</v>
      </c>
      <c r="AT15" s="8">
        <f t="shared" si="8"/>
        <v>72245.446000000011</v>
      </c>
      <c r="AU15" s="8">
        <f t="shared" si="8"/>
        <v>72245.446000000011</v>
      </c>
      <c r="AV15" s="8">
        <f t="shared" si="8"/>
        <v>72245.446000000011</v>
      </c>
      <c r="AW15" s="8">
        <f t="shared" si="8"/>
        <v>72245.446000000011</v>
      </c>
      <c r="AX15" s="8">
        <f t="shared" si="8"/>
        <v>72245.446000000011</v>
      </c>
      <c r="AY15" s="8">
        <f t="shared" si="8"/>
        <v>72245.446000000011</v>
      </c>
      <c r="AZ15" s="8">
        <f t="shared" si="8"/>
        <v>72245.446000000011</v>
      </c>
      <c r="BA15" s="8">
        <f t="shared" si="8"/>
        <v>72245.446000000011</v>
      </c>
      <c r="BB15" s="8">
        <f t="shared" si="8"/>
        <v>72245.446000000011</v>
      </c>
      <c r="BC15" s="8">
        <f t="shared" si="8"/>
        <v>72245.446000000011</v>
      </c>
      <c r="BD15" s="8">
        <f t="shared" si="8"/>
        <v>0</v>
      </c>
      <c r="BE15" s="8">
        <f t="shared" si="8"/>
        <v>0</v>
      </c>
      <c r="BF15" s="8">
        <f t="shared" si="8"/>
        <v>0</v>
      </c>
      <c r="BG15" s="8">
        <f t="shared" si="8"/>
        <v>0</v>
      </c>
      <c r="BH15" s="8">
        <f t="shared" si="8"/>
        <v>0</v>
      </c>
      <c r="BI15" s="8">
        <f t="shared" si="8"/>
        <v>0</v>
      </c>
      <c r="BJ15" s="8">
        <f t="shared" si="8"/>
        <v>0</v>
      </c>
      <c r="BK15" s="8">
        <f t="shared" si="8"/>
        <v>0</v>
      </c>
      <c r="BL15" s="8">
        <f t="shared" si="8"/>
        <v>0</v>
      </c>
      <c r="BM15" s="8">
        <f t="shared" si="8"/>
        <v>0</v>
      </c>
      <c r="BN15" s="8">
        <f t="shared" si="8"/>
        <v>0</v>
      </c>
      <c r="BO15" s="8">
        <f t="shared" si="8"/>
        <v>0</v>
      </c>
      <c r="BP15" s="8">
        <f t="shared" si="8"/>
        <v>0</v>
      </c>
      <c r="BQ15" s="8">
        <f t="shared" si="8"/>
        <v>0</v>
      </c>
      <c r="BR15" s="8">
        <f t="shared" si="8"/>
        <v>0</v>
      </c>
      <c r="BS15" s="8">
        <f t="shared" si="8"/>
        <v>0</v>
      </c>
      <c r="BT15" s="8">
        <f t="shared" ref="BT15:DA15" si="9">IF(BT13&lt;=$B$3,BS15,0)</f>
        <v>0</v>
      </c>
      <c r="BU15" s="8">
        <f t="shared" si="9"/>
        <v>0</v>
      </c>
      <c r="BV15" s="8">
        <f t="shared" si="9"/>
        <v>0</v>
      </c>
      <c r="BW15" s="8">
        <f t="shared" si="9"/>
        <v>0</v>
      </c>
      <c r="BX15" s="8">
        <f t="shared" si="9"/>
        <v>0</v>
      </c>
      <c r="BY15" s="8">
        <f t="shared" si="9"/>
        <v>0</v>
      </c>
      <c r="BZ15" s="8">
        <f t="shared" si="9"/>
        <v>0</v>
      </c>
      <c r="CA15" s="8">
        <f t="shared" si="9"/>
        <v>0</v>
      </c>
      <c r="CB15" s="8">
        <f t="shared" si="9"/>
        <v>0</v>
      </c>
      <c r="CC15" s="8">
        <f t="shared" si="9"/>
        <v>0</v>
      </c>
      <c r="CD15" s="8">
        <f t="shared" si="9"/>
        <v>0</v>
      </c>
      <c r="CE15" s="8">
        <f t="shared" si="9"/>
        <v>0</v>
      </c>
      <c r="CF15" s="8">
        <f t="shared" si="9"/>
        <v>0</v>
      </c>
      <c r="CG15" s="8">
        <f t="shared" si="9"/>
        <v>0</v>
      </c>
      <c r="CH15" s="8">
        <f t="shared" si="9"/>
        <v>0</v>
      </c>
      <c r="CI15" s="8">
        <f t="shared" si="9"/>
        <v>0</v>
      </c>
      <c r="CJ15" s="8">
        <f t="shared" si="9"/>
        <v>0</v>
      </c>
      <c r="CK15" s="8">
        <f t="shared" si="9"/>
        <v>0</v>
      </c>
      <c r="CL15" s="8">
        <f t="shared" si="9"/>
        <v>0</v>
      </c>
      <c r="CM15" s="8">
        <f t="shared" si="9"/>
        <v>0</v>
      </c>
      <c r="CN15" s="8">
        <f t="shared" si="9"/>
        <v>0</v>
      </c>
      <c r="CO15" s="8">
        <f t="shared" si="9"/>
        <v>0</v>
      </c>
      <c r="CP15" s="8">
        <f t="shared" si="9"/>
        <v>0</v>
      </c>
      <c r="CQ15" s="8">
        <f t="shared" si="9"/>
        <v>0</v>
      </c>
      <c r="CR15" s="8">
        <f t="shared" si="9"/>
        <v>0</v>
      </c>
      <c r="CS15" s="8">
        <f t="shared" si="9"/>
        <v>0</v>
      </c>
      <c r="CT15" s="8">
        <f t="shared" si="9"/>
        <v>0</v>
      </c>
      <c r="CU15" s="8">
        <f t="shared" si="9"/>
        <v>0</v>
      </c>
      <c r="CV15" s="8">
        <f t="shared" si="9"/>
        <v>0</v>
      </c>
      <c r="CW15" s="8">
        <f t="shared" si="9"/>
        <v>0</v>
      </c>
      <c r="CX15" s="8">
        <f t="shared" si="9"/>
        <v>0</v>
      </c>
      <c r="CY15" s="8">
        <f t="shared" si="9"/>
        <v>0</v>
      </c>
      <c r="CZ15" s="8">
        <f t="shared" si="9"/>
        <v>0</v>
      </c>
      <c r="DA15" s="8">
        <f t="shared" si="9"/>
        <v>0</v>
      </c>
    </row>
    <row r="16" spans="1:105" x14ac:dyDescent="0.4">
      <c r="A16" s="83"/>
      <c r="B16" s="54"/>
      <c r="C16" s="54"/>
      <c r="D16" t="s">
        <v>154</v>
      </c>
      <c r="E16" s="8">
        <f>HLOOKUP(F14,$F$3:$O$10,7,0)</f>
        <v>3612272.3000000003</v>
      </c>
      <c r="F16" s="8">
        <f>IF(ROUND(E17,4)=-ROUND(E16,4),0,E16)</f>
        <v>3612272.3000000003</v>
      </c>
      <c r="G16" s="8">
        <f t="shared" ref="G16:BR16" si="10">IF(ROUND(F17,4)=-ROUND(F16,4),0,F16)</f>
        <v>3612272.3000000003</v>
      </c>
      <c r="H16" s="8">
        <f t="shared" si="10"/>
        <v>3612272.3000000003</v>
      </c>
      <c r="I16" s="8">
        <f t="shared" si="10"/>
        <v>3612272.3000000003</v>
      </c>
      <c r="J16" s="8">
        <f t="shared" si="10"/>
        <v>3612272.3000000003</v>
      </c>
      <c r="K16" s="8">
        <f t="shared" si="10"/>
        <v>3612272.3000000003</v>
      </c>
      <c r="L16" s="8">
        <f t="shared" si="10"/>
        <v>3612272.3000000003</v>
      </c>
      <c r="M16" s="8">
        <f t="shared" si="10"/>
        <v>3612272.3000000003</v>
      </c>
      <c r="N16" s="8">
        <f t="shared" si="10"/>
        <v>3612272.3000000003</v>
      </c>
      <c r="O16" s="8">
        <f t="shared" si="10"/>
        <v>3612272.3000000003</v>
      </c>
      <c r="P16" s="8">
        <f t="shared" si="10"/>
        <v>3612272.3000000003</v>
      </c>
      <c r="Q16" s="8">
        <f t="shared" si="10"/>
        <v>3612272.3000000003</v>
      </c>
      <c r="R16" s="8">
        <f t="shared" si="10"/>
        <v>3612272.3000000003</v>
      </c>
      <c r="S16" s="8">
        <f t="shared" si="10"/>
        <v>3612272.3000000003</v>
      </c>
      <c r="T16" s="8">
        <f t="shared" si="10"/>
        <v>3612272.3000000003</v>
      </c>
      <c r="U16" s="8">
        <f t="shared" si="10"/>
        <v>3612272.3000000003</v>
      </c>
      <c r="V16" s="8">
        <f t="shared" si="10"/>
        <v>3612272.3000000003</v>
      </c>
      <c r="W16" s="8">
        <f t="shared" si="10"/>
        <v>3612272.3000000003</v>
      </c>
      <c r="X16" s="8">
        <f t="shared" si="10"/>
        <v>3612272.3000000003</v>
      </c>
      <c r="Y16" s="8">
        <f t="shared" si="10"/>
        <v>3612272.3000000003</v>
      </c>
      <c r="Z16" s="8">
        <f t="shared" si="10"/>
        <v>3612272.3000000003</v>
      </c>
      <c r="AA16" s="8">
        <f t="shared" si="10"/>
        <v>3612272.3000000003</v>
      </c>
      <c r="AB16" s="8">
        <f t="shared" si="10"/>
        <v>3612272.3000000003</v>
      </c>
      <c r="AC16" s="8">
        <f t="shared" si="10"/>
        <v>3612272.3000000003</v>
      </c>
      <c r="AD16" s="8">
        <f t="shared" si="10"/>
        <v>3612272.3000000003</v>
      </c>
      <c r="AE16" s="8">
        <f t="shared" si="10"/>
        <v>3612272.3000000003</v>
      </c>
      <c r="AF16" s="8">
        <f t="shared" si="10"/>
        <v>3612272.3000000003</v>
      </c>
      <c r="AG16" s="8">
        <f t="shared" si="10"/>
        <v>3612272.3000000003</v>
      </c>
      <c r="AH16" s="8">
        <f t="shared" si="10"/>
        <v>3612272.3000000003</v>
      </c>
      <c r="AI16" s="8">
        <f t="shared" si="10"/>
        <v>3612272.3000000003</v>
      </c>
      <c r="AJ16" s="8">
        <f t="shared" si="10"/>
        <v>3612272.3000000003</v>
      </c>
      <c r="AK16" s="8">
        <f t="shared" si="10"/>
        <v>3612272.3000000003</v>
      </c>
      <c r="AL16" s="8">
        <f t="shared" si="10"/>
        <v>3612272.3000000003</v>
      </c>
      <c r="AM16" s="8">
        <f t="shared" si="10"/>
        <v>3612272.3000000003</v>
      </c>
      <c r="AN16" s="8">
        <f t="shared" si="10"/>
        <v>3612272.3000000003</v>
      </c>
      <c r="AO16" s="8">
        <f t="shared" si="10"/>
        <v>3612272.3000000003</v>
      </c>
      <c r="AP16" s="8">
        <f t="shared" si="10"/>
        <v>3612272.3000000003</v>
      </c>
      <c r="AQ16" s="8">
        <f t="shared" si="10"/>
        <v>3612272.3000000003</v>
      </c>
      <c r="AR16" s="8">
        <f t="shared" si="10"/>
        <v>3612272.3000000003</v>
      </c>
      <c r="AS16" s="8">
        <f t="shared" si="10"/>
        <v>3612272.3000000003</v>
      </c>
      <c r="AT16" s="8">
        <f t="shared" si="10"/>
        <v>3612272.3000000003</v>
      </c>
      <c r="AU16" s="8">
        <f t="shared" si="10"/>
        <v>3612272.3000000003</v>
      </c>
      <c r="AV16" s="8">
        <f t="shared" si="10"/>
        <v>3612272.3000000003</v>
      </c>
      <c r="AW16" s="8">
        <f t="shared" si="10"/>
        <v>3612272.3000000003</v>
      </c>
      <c r="AX16" s="8">
        <f t="shared" si="10"/>
        <v>3612272.3000000003</v>
      </c>
      <c r="AY16" s="8">
        <f t="shared" si="10"/>
        <v>3612272.3000000003</v>
      </c>
      <c r="AZ16" s="8">
        <f t="shared" si="10"/>
        <v>3612272.3000000003</v>
      </c>
      <c r="BA16" s="8">
        <f t="shared" si="10"/>
        <v>3612272.3000000003</v>
      </c>
      <c r="BB16" s="8">
        <f t="shared" si="10"/>
        <v>3612272.3000000003</v>
      </c>
      <c r="BC16" s="8">
        <f t="shared" si="10"/>
        <v>3612272.3000000003</v>
      </c>
      <c r="BD16" s="8">
        <f t="shared" si="10"/>
        <v>0</v>
      </c>
      <c r="BE16" s="8">
        <f t="shared" si="10"/>
        <v>0</v>
      </c>
      <c r="BF16" s="8">
        <f t="shared" si="10"/>
        <v>0</v>
      </c>
      <c r="BG16" s="8">
        <f t="shared" si="10"/>
        <v>0</v>
      </c>
      <c r="BH16" s="8">
        <f t="shared" si="10"/>
        <v>0</v>
      </c>
      <c r="BI16" s="8">
        <f t="shared" si="10"/>
        <v>0</v>
      </c>
      <c r="BJ16" s="8">
        <f t="shared" si="10"/>
        <v>0</v>
      </c>
      <c r="BK16" s="8">
        <f t="shared" si="10"/>
        <v>0</v>
      </c>
      <c r="BL16" s="8">
        <f t="shared" si="10"/>
        <v>0</v>
      </c>
      <c r="BM16" s="8">
        <f t="shared" si="10"/>
        <v>0</v>
      </c>
      <c r="BN16" s="8">
        <f t="shared" si="10"/>
        <v>0</v>
      </c>
      <c r="BO16" s="8">
        <f t="shared" si="10"/>
        <v>0</v>
      </c>
      <c r="BP16" s="8">
        <f t="shared" si="10"/>
        <v>0</v>
      </c>
      <c r="BQ16" s="8">
        <f t="shared" si="10"/>
        <v>0</v>
      </c>
      <c r="BR16" s="8">
        <f t="shared" si="10"/>
        <v>0</v>
      </c>
      <c r="BS16" s="8">
        <f t="shared" ref="BS16:DA16" si="11">IF(ROUND(BR17,4)=-ROUND(BR16,4),0,BR16)</f>
        <v>0</v>
      </c>
      <c r="BT16" s="8">
        <f t="shared" si="11"/>
        <v>0</v>
      </c>
      <c r="BU16" s="8">
        <f t="shared" si="11"/>
        <v>0</v>
      </c>
      <c r="BV16" s="8">
        <f t="shared" si="11"/>
        <v>0</v>
      </c>
      <c r="BW16" s="8">
        <f t="shared" si="11"/>
        <v>0</v>
      </c>
      <c r="BX16" s="8">
        <f t="shared" si="11"/>
        <v>0</v>
      </c>
      <c r="BY16" s="8">
        <f t="shared" si="11"/>
        <v>0</v>
      </c>
      <c r="BZ16" s="8">
        <f t="shared" si="11"/>
        <v>0</v>
      </c>
      <c r="CA16" s="8">
        <f t="shared" si="11"/>
        <v>0</v>
      </c>
      <c r="CB16" s="8">
        <f t="shared" si="11"/>
        <v>0</v>
      </c>
      <c r="CC16" s="8">
        <f t="shared" si="11"/>
        <v>0</v>
      </c>
      <c r="CD16" s="8">
        <f t="shared" si="11"/>
        <v>0</v>
      </c>
      <c r="CE16" s="8">
        <f t="shared" si="11"/>
        <v>0</v>
      </c>
      <c r="CF16" s="8">
        <f t="shared" si="11"/>
        <v>0</v>
      </c>
      <c r="CG16" s="8">
        <f t="shared" si="11"/>
        <v>0</v>
      </c>
      <c r="CH16" s="8">
        <f t="shared" si="11"/>
        <v>0</v>
      </c>
      <c r="CI16" s="8">
        <f t="shared" si="11"/>
        <v>0</v>
      </c>
      <c r="CJ16" s="8">
        <f t="shared" si="11"/>
        <v>0</v>
      </c>
      <c r="CK16" s="8">
        <f t="shared" si="11"/>
        <v>0</v>
      </c>
      <c r="CL16" s="8">
        <f t="shared" si="11"/>
        <v>0</v>
      </c>
      <c r="CM16" s="8">
        <f t="shared" si="11"/>
        <v>0</v>
      </c>
      <c r="CN16" s="8">
        <f t="shared" si="11"/>
        <v>0</v>
      </c>
      <c r="CO16" s="8">
        <f t="shared" si="11"/>
        <v>0</v>
      </c>
      <c r="CP16" s="8">
        <f t="shared" si="11"/>
        <v>0</v>
      </c>
      <c r="CQ16" s="8">
        <f t="shared" si="11"/>
        <v>0</v>
      </c>
      <c r="CR16" s="8">
        <f t="shared" si="11"/>
        <v>0</v>
      </c>
      <c r="CS16" s="8">
        <f t="shared" si="11"/>
        <v>0</v>
      </c>
      <c r="CT16" s="8">
        <f t="shared" si="11"/>
        <v>0</v>
      </c>
      <c r="CU16" s="8">
        <f t="shared" si="11"/>
        <v>0</v>
      </c>
      <c r="CV16" s="8">
        <f t="shared" si="11"/>
        <v>0</v>
      </c>
      <c r="CW16" s="8">
        <f t="shared" si="11"/>
        <v>0</v>
      </c>
      <c r="CX16" s="8">
        <f t="shared" si="11"/>
        <v>0</v>
      </c>
      <c r="CY16" s="8">
        <f t="shared" si="11"/>
        <v>0</v>
      </c>
      <c r="CZ16" s="8">
        <f t="shared" si="11"/>
        <v>0</v>
      </c>
      <c r="DA16" s="8">
        <f t="shared" si="11"/>
        <v>0</v>
      </c>
    </row>
    <row r="17" spans="1:106" x14ac:dyDescent="0.4">
      <c r="D17" t="s">
        <v>208</v>
      </c>
      <c r="E17" s="8"/>
      <c r="F17" s="8">
        <f>IF(F13&lt;=$B$3,-SUM($E15:F15),0)</f>
        <v>-72245.446000000011</v>
      </c>
      <c r="G17" s="8">
        <f>IF(G13&lt;=$B$3,-SUM($E15:G15),0)</f>
        <v>-144490.89200000002</v>
      </c>
      <c r="H17" s="8">
        <f>IF(H13&lt;=$B$3,-SUM($E15:H15),0)</f>
        <v>-216736.33800000005</v>
      </c>
      <c r="I17" s="8">
        <f>IF(I13&lt;=$B$3,-SUM($E15:I15),0)</f>
        <v>-288981.78400000004</v>
      </c>
      <c r="J17" s="8">
        <f>IF(J13&lt;=$B$3,-SUM($E15:J15),0)</f>
        <v>-361227.23000000004</v>
      </c>
      <c r="K17" s="8">
        <f>IF(K13&lt;=$B$3,-SUM($E15:K15),0)</f>
        <v>-433472.67600000004</v>
      </c>
      <c r="L17" s="8">
        <f>IF(L13&lt;=$B$3,-SUM($E15:L15),0)</f>
        <v>-505718.12200000003</v>
      </c>
      <c r="M17" s="8">
        <f>IF(M13&lt;=$B$3,-SUM($E15:M15),0)</f>
        <v>-577963.56800000009</v>
      </c>
      <c r="N17" s="8">
        <f>IF(N13&lt;=$B$3,-SUM($E15:N15),0)</f>
        <v>-650209.01400000008</v>
      </c>
      <c r="O17" s="8">
        <f>IF(O13&lt;=$B$3,-SUM($E15:O15),0)</f>
        <v>-722454.46000000008</v>
      </c>
      <c r="P17" s="8">
        <f>IF(P13&lt;=$B$3,-SUM($E15:P15),0)</f>
        <v>-794699.90600000008</v>
      </c>
      <c r="Q17" s="8">
        <f>IF(Q13&lt;=$B$3,-SUM($E15:Q15),0)</f>
        <v>-866945.35200000007</v>
      </c>
      <c r="R17" s="8">
        <f>IF(R13&lt;=$B$3,-SUM($E15:R15),0)</f>
        <v>-939190.79800000007</v>
      </c>
      <c r="S17" s="8">
        <f>IF(S13&lt;=$B$3,-SUM($E15:S15),0)</f>
        <v>-1011436.2440000001</v>
      </c>
      <c r="T17" s="8">
        <f>IF(T13&lt;=$B$3,-SUM($E15:T15),0)</f>
        <v>-1083681.6900000002</v>
      </c>
      <c r="U17" s="8">
        <f>IF(U13&lt;=$B$3,-SUM($E15:U15),0)</f>
        <v>-1155927.1360000002</v>
      </c>
      <c r="V17" s="8">
        <f>IF(V13&lt;=$B$3,-SUM($E15:V15),0)</f>
        <v>-1228172.5820000002</v>
      </c>
      <c r="W17" s="8">
        <f>IF(W13&lt;=$B$3,-SUM($E15:W15),0)</f>
        <v>-1300418.0280000002</v>
      </c>
      <c r="X17" s="8">
        <f>IF(X13&lt;=$B$3,-SUM($E15:X15),0)</f>
        <v>-1372663.4740000002</v>
      </c>
      <c r="Y17" s="8">
        <f>IF(Y13&lt;=$B$3,-SUM($E15:Y15),0)</f>
        <v>-1444908.9200000002</v>
      </c>
      <c r="Z17" s="8">
        <f>IF(Z13&lt;=$B$3,-SUM($E15:Z15),0)</f>
        <v>-1517154.3660000002</v>
      </c>
      <c r="AA17" s="8">
        <f>IF(AA13&lt;=$B$3,-SUM($E15:AA15),0)</f>
        <v>-1589399.8120000002</v>
      </c>
      <c r="AB17" s="8">
        <f>IF(AB13&lt;=$B$3,-SUM($E15:AB15),0)</f>
        <v>-1661645.2580000001</v>
      </c>
      <c r="AC17" s="8">
        <f>IF(AC13&lt;=$B$3,-SUM($E15:AC15),0)</f>
        <v>-1733890.7040000001</v>
      </c>
      <c r="AD17" s="8">
        <f>IF(AD13&lt;=$B$3,-SUM($E15:AD15),0)</f>
        <v>-1806136.1500000001</v>
      </c>
      <c r="AE17" s="8">
        <f>IF(AE13&lt;=$B$3,-SUM($E15:AE15),0)</f>
        <v>-1878381.5960000001</v>
      </c>
      <c r="AF17" s="8">
        <f>IF(AF13&lt;=$B$3,-SUM($E15:AF15),0)</f>
        <v>-1950627.0420000001</v>
      </c>
      <c r="AG17" s="8">
        <f>IF(AG13&lt;=$B$3,-SUM($E15:AG15),0)</f>
        <v>-2022872.4880000001</v>
      </c>
      <c r="AH17" s="8">
        <f>IF(AH13&lt;=$B$3,-SUM($E15:AH15),0)</f>
        <v>-2095117.9340000001</v>
      </c>
      <c r="AI17" s="8">
        <f>IF(AI13&lt;=$B$3,-SUM($E15:AI15),0)</f>
        <v>-2167363.3800000004</v>
      </c>
      <c r="AJ17" s="8">
        <f>IF(AJ13&lt;=$B$3,-SUM($E15:AJ15),0)</f>
        <v>-2239608.8260000004</v>
      </c>
      <c r="AK17" s="8">
        <f>IF(AK13&lt;=$B$3,-SUM($E15:AK15),0)</f>
        <v>-2311854.2720000003</v>
      </c>
      <c r="AL17" s="8">
        <f>IF(AL13&lt;=$B$3,-SUM($E15:AL15),0)</f>
        <v>-2384099.7180000003</v>
      </c>
      <c r="AM17" s="8">
        <f>IF(AM13&lt;=$B$3,-SUM($E15:AM15),0)</f>
        <v>-2456345.1640000003</v>
      </c>
      <c r="AN17" s="8">
        <f>IF(AN13&lt;=$B$3,-SUM($E15:AN15),0)</f>
        <v>-2528590.6100000003</v>
      </c>
      <c r="AO17" s="8">
        <f>IF(AO13&lt;=$B$3,-SUM($E15:AO15),0)</f>
        <v>-2600836.0560000003</v>
      </c>
      <c r="AP17" s="8">
        <f>IF(AP13&lt;=$B$3,-SUM($E15:AP15),0)</f>
        <v>-2673081.5020000003</v>
      </c>
      <c r="AQ17" s="8">
        <f>IF(AQ13&lt;=$B$3,-SUM($E15:AQ15),0)</f>
        <v>-2745326.9480000003</v>
      </c>
      <c r="AR17" s="8">
        <f>IF(AR13&lt;=$B$3,-SUM($E15:AR15),0)</f>
        <v>-2817572.3940000003</v>
      </c>
      <c r="AS17" s="8">
        <f>IF(AS13&lt;=$B$3,-SUM($E15:AS15),0)</f>
        <v>-2889817.8400000003</v>
      </c>
      <c r="AT17" s="8">
        <f>IF(AT13&lt;=$B$3,-SUM($E15:AT15),0)</f>
        <v>-2962063.2860000003</v>
      </c>
      <c r="AU17" s="8">
        <f>IF(AU13&lt;=$B$3,-SUM($E15:AU15),0)</f>
        <v>-3034308.7320000003</v>
      </c>
      <c r="AV17" s="8">
        <f>IF(AV13&lt;=$B$3,-SUM($E15:AV15),0)</f>
        <v>-3106554.1780000003</v>
      </c>
      <c r="AW17" s="8">
        <f>IF(AW13&lt;=$B$3,-SUM($E15:AW15),0)</f>
        <v>-3178799.6240000003</v>
      </c>
      <c r="AX17" s="8">
        <f>IF(AX13&lt;=$B$3,-SUM($E15:AX15),0)</f>
        <v>-3251045.0700000003</v>
      </c>
      <c r="AY17" s="8">
        <f>IF(AY13&lt;=$B$3,-SUM($E15:AY15),0)</f>
        <v>-3323290.5160000003</v>
      </c>
      <c r="AZ17" s="8">
        <f>IF(AZ13&lt;=$B$3,-SUM($E15:AZ15),0)</f>
        <v>-3395535.9620000003</v>
      </c>
      <c r="BA17" s="8">
        <f>IF(BA13&lt;=$B$3,-SUM($E15:BA15),0)</f>
        <v>-3467781.4080000003</v>
      </c>
      <c r="BB17" s="8">
        <f>IF(BB13&lt;=$B$3,-SUM($E15:BB15),0)</f>
        <v>-3540026.8540000003</v>
      </c>
      <c r="BC17" s="8">
        <f>IF(BC13&lt;=$B$3,-SUM($E15:BC15),0)</f>
        <v>-3612272.3000000003</v>
      </c>
      <c r="BD17" s="8">
        <f>IF(BD13&lt;=$B$3,-SUM($E15:BD15),0)</f>
        <v>0</v>
      </c>
      <c r="BE17" s="8">
        <f>IF(BE13&lt;=$B$3,-SUM($E15:BE15),0)</f>
        <v>0</v>
      </c>
      <c r="BF17" s="8">
        <f>IF(BF13&lt;=$B$3,-SUM($E15:BF15),0)</f>
        <v>0</v>
      </c>
      <c r="BG17" s="8">
        <f>IF(BG13&lt;=$B$3,-SUM($E15:BG15),0)</f>
        <v>0</v>
      </c>
      <c r="BH17" s="8">
        <f>IF(BH13&lt;=$B$3,-SUM($E15:BH15),0)</f>
        <v>0</v>
      </c>
      <c r="BI17" s="8">
        <f>IF(BI13&lt;=$B$3,-SUM($E15:BI15),0)</f>
        <v>0</v>
      </c>
      <c r="BJ17" s="8">
        <f>IF(BJ13&lt;=$B$3,-SUM($E15:BJ15),0)</f>
        <v>0</v>
      </c>
      <c r="BK17" s="8">
        <f>IF(BK13&lt;=$B$3,-SUM($E15:BK15),0)</f>
        <v>0</v>
      </c>
      <c r="BL17" s="8">
        <f>IF(BL13&lt;=$B$3,-SUM($E15:BL15),0)</f>
        <v>0</v>
      </c>
      <c r="BM17" s="8">
        <f>IF(BM13&lt;=$B$3,-SUM($E15:BM15),0)</f>
        <v>0</v>
      </c>
      <c r="BN17" s="8">
        <f>IF(BN13&lt;=$B$3,-SUM($E15:BN15),0)</f>
        <v>0</v>
      </c>
      <c r="BO17" s="8">
        <f>IF(BO13&lt;=$B$3,-SUM($E15:BO15),0)</f>
        <v>0</v>
      </c>
      <c r="BP17" s="8">
        <f>IF(BP13&lt;=$B$3,-SUM($E15:BP15),0)</f>
        <v>0</v>
      </c>
      <c r="BQ17" s="8">
        <f>IF(BQ13&lt;=$B$3,-SUM($E15:BQ15),0)</f>
        <v>0</v>
      </c>
      <c r="BR17" s="8">
        <f>IF(BR13&lt;=$B$3,-SUM($E15:BR15),0)</f>
        <v>0</v>
      </c>
      <c r="BS17" s="8">
        <f>IF(BS13&lt;=$B$3,-SUM($E15:BS15),0)</f>
        <v>0</v>
      </c>
      <c r="BT17" s="8">
        <f>IF(BT13&lt;=$B$3,-SUM($E15:BT15),0)</f>
        <v>0</v>
      </c>
      <c r="BU17" s="8">
        <f>IF(BU13&lt;=$B$3,-SUM($E15:BU15),0)</f>
        <v>0</v>
      </c>
      <c r="BV17" s="8">
        <f>IF(BV13&lt;=$B$3,-SUM($E15:BV15),0)</f>
        <v>0</v>
      </c>
      <c r="BW17" s="8">
        <f>IF(BW13&lt;=$B$3,-SUM($E15:BW15),0)</f>
        <v>0</v>
      </c>
      <c r="BX17" s="8">
        <f>IF(BX13&lt;=$B$3,-SUM($E15:BX15),0)</f>
        <v>0</v>
      </c>
      <c r="BY17" s="8">
        <f>IF(BY13&lt;=$B$3,-SUM($E15:BY15),0)</f>
        <v>0</v>
      </c>
      <c r="BZ17" s="8">
        <f>IF(BZ13&lt;=$B$3,-SUM($E15:BZ15),0)</f>
        <v>0</v>
      </c>
      <c r="CA17" s="8">
        <f>IF(CA13&lt;=$B$3,-SUM($E15:CA15),0)</f>
        <v>0</v>
      </c>
      <c r="CB17" s="8">
        <f>IF(CB13&lt;=$B$3,-SUM($E15:CB15),0)</f>
        <v>0</v>
      </c>
      <c r="CC17" s="8">
        <f>IF(CC13&lt;=$B$3,-SUM($E15:CC15),0)</f>
        <v>0</v>
      </c>
      <c r="CD17" s="8">
        <f>IF(CD13&lt;=$B$3,-SUM($E15:CD15),0)</f>
        <v>0</v>
      </c>
      <c r="CE17" s="8">
        <f>IF(CE13&lt;=$B$3,-SUM($E15:CE15),0)</f>
        <v>0</v>
      </c>
      <c r="CF17" s="8">
        <f>IF(CF13&lt;=$B$3,-SUM($E15:CF15),0)</f>
        <v>0</v>
      </c>
      <c r="CG17" s="8">
        <f>IF(CG13&lt;=$B$3,-SUM($E15:CG15),0)</f>
        <v>0</v>
      </c>
      <c r="CH17" s="8">
        <f>IF(CH13&lt;=$B$3,-SUM($E15:CH15),0)</f>
        <v>0</v>
      </c>
      <c r="CI17" s="8">
        <f>IF(CI13&lt;=$B$3,-SUM($E15:CI15),0)</f>
        <v>0</v>
      </c>
      <c r="CJ17" s="8">
        <f>IF(CJ13&lt;=$B$3,-SUM($E15:CJ15),0)</f>
        <v>0</v>
      </c>
      <c r="CK17" s="8">
        <f>IF(CK13&lt;=$B$3,-SUM($E15:CK15),0)</f>
        <v>0</v>
      </c>
      <c r="CL17" s="8">
        <f>IF(CL13&lt;=$B$3,-SUM($E15:CL15),0)</f>
        <v>0</v>
      </c>
      <c r="CM17" s="8">
        <f>IF(CM13&lt;=$B$3,-SUM($E15:CM15),0)</f>
        <v>0</v>
      </c>
      <c r="CN17" s="8">
        <f>IF(CN13&lt;=$B$3,-SUM($E15:CN15),0)</f>
        <v>0</v>
      </c>
      <c r="CO17" s="8">
        <f>IF(CO13&lt;=$B$3,-SUM($E15:CO15),0)</f>
        <v>0</v>
      </c>
      <c r="CP17" s="8">
        <f>IF(CP13&lt;=$B$3,-SUM($E15:CP15),0)</f>
        <v>0</v>
      </c>
      <c r="CQ17" s="8">
        <f>IF(CQ13&lt;=$B$3,-SUM($E15:CQ15),0)</f>
        <v>0</v>
      </c>
      <c r="CR17" s="8">
        <f>IF(CR13&lt;=$B$3,-SUM($E15:CR15),0)</f>
        <v>0</v>
      </c>
      <c r="CS17" s="8">
        <f>IF(CS13&lt;=$B$3,-SUM($E15:CS15),0)</f>
        <v>0</v>
      </c>
      <c r="CT17" s="8">
        <f>IF(CT13&lt;=$B$3,-SUM($E15:CT15),0)</f>
        <v>0</v>
      </c>
      <c r="CU17" s="8">
        <f>IF(CU13&lt;=$B$3,-SUM($E15:CU15),0)</f>
        <v>0</v>
      </c>
      <c r="CV17" s="8">
        <f>IF(CV13&lt;=$B$3,-SUM($E15:CV15),0)</f>
        <v>0</v>
      </c>
      <c r="CW17" s="8">
        <f>IF(CW13&lt;=$B$3,-SUM($E15:CW15),0)</f>
        <v>0</v>
      </c>
      <c r="CX17" s="8">
        <f>IF(CX13&lt;=$B$3,-SUM($E15:CX15),0)</f>
        <v>0</v>
      </c>
      <c r="CY17" s="8">
        <f>IF(CY13&lt;=$B$3,-SUM($E15:CY15),0)</f>
        <v>0</v>
      </c>
      <c r="CZ17" s="8">
        <f>IF(CZ13&lt;=$B$3,-SUM($E15:CZ15),0)</f>
        <v>0</v>
      </c>
      <c r="DA17" s="8">
        <f>IF(DA13&lt;=$B$3,-SUM($E15:DA15),0)</f>
        <v>0</v>
      </c>
    </row>
    <row r="18" spans="1:106" x14ac:dyDescent="0.4">
      <c r="D18" t="s">
        <v>167</v>
      </c>
      <c r="E18" s="8"/>
      <c r="F18" s="8">
        <f>E19</f>
        <v>3612272.3000000003</v>
      </c>
      <c r="G18" s="8">
        <f t="shared" ref="G18:BR18" si="12">F19</f>
        <v>3540026.8540000003</v>
      </c>
      <c r="H18" s="8">
        <f t="shared" si="12"/>
        <v>3467781.4080000003</v>
      </c>
      <c r="I18" s="8">
        <f t="shared" si="12"/>
        <v>3395535.9620000003</v>
      </c>
      <c r="J18" s="8">
        <f t="shared" si="12"/>
        <v>3323290.5160000003</v>
      </c>
      <c r="K18" s="8">
        <f t="shared" si="12"/>
        <v>3251045.0700000003</v>
      </c>
      <c r="L18" s="8">
        <f t="shared" si="12"/>
        <v>3178799.6240000003</v>
      </c>
      <c r="M18" s="8">
        <f t="shared" si="12"/>
        <v>3106554.1780000003</v>
      </c>
      <c r="N18" s="8">
        <f t="shared" si="12"/>
        <v>3034308.7320000003</v>
      </c>
      <c r="O18" s="8">
        <f t="shared" si="12"/>
        <v>2962063.2860000003</v>
      </c>
      <c r="P18" s="8">
        <f t="shared" si="12"/>
        <v>2889817.8400000003</v>
      </c>
      <c r="Q18" s="8">
        <f t="shared" si="12"/>
        <v>2817572.3940000003</v>
      </c>
      <c r="R18" s="8">
        <f t="shared" si="12"/>
        <v>2745326.9480000003</v>
      </c>
      <c r="S18" s="8">
        <f t="shared" si="12"/>
        <v>2673081.5020000003</v>
      </c>
      <c r="T18" s="8">
        <f t="shared" si="12"/>
        <v>2600836.0560000003</v>
      </c>
      <c r="U18" s="8">
        <f t="shared" si="12"/>
        <v>2528590.6100000003</v>
      </c>
      <c r="V18" s="8">
        <f t="shared" si="12"/>
        <v>2456345.1639999999</v>
      </c>
      <c r="W18" s="8">
        <f t="shared" si="12"/>
        <v>2384099.7180000003</v>
      </c>
      <c r="X18" s="8">
        <f t="shared" si="12"/>
        <v>2311854.2719999999</v>
      </c>
      <c r="Y18" s="8">
        <f t="shared" si="12"/>
        <v>2239608.8260000004</v>
      </c>
      <c r="Z18" s="8">
        <f t="shared" si="12"/>
        <v>2167363.38</v>
      </c>
      <c r="AA18" s="8">
        <f t="shared" si="12"/>
        <v>2095117.9340000001</v>
      </c>
      <c r="AB18" s="8">
        <f t="shared" si="12"/>
        <v>2022872.4880000001</v>
      </c>
      <c r="AC18" s="8">
        <f t="shared" si="12"/>
        <v>1950627.0420000001</v>
      </c>
      <c r="AD18" s="8">
        <f t="shared" si="12"/>
        <v>1878381.5960000001</v>
      </c>
      <c r="AE18" s="8">
        <f t="shared" si="12"/>
        <v>1806136.1500000001</v>
      </c>
      <c r="AF18" s="8">
        <f t="shared" si="12"/>
        <v>1733890.7040000001</v>
      </c>
      <c r="AG18" s="8">
        <f t="shared" si="12"/>
        <v>1661645.2580000001</v>
      </c>
      <c r="AH18" s="8">
        <f t="shared" si="12"/>
        <v>1589399.8120000002</v>
      </c>
      <c r="AI18" s="8">
        <f t="shared" si="12"/>
        <v>1517154.3660000002</v>
      </c>
      <c r="AJ18" s="8">
        <f t="shared" si="12"/>
        <v>1444908.92</v>
      </c>
      <c r="AK18" s="8">
        <f t="shared" si="12"/>
        <v>1372663.4739999999</v>
      </c>
      <c r="AL18" s="8">
        <f t="shared" si="12"/>
        <v>1300418.0279999999</v>
      </c>
      <c r="AM18" s="8">
        <f t="shared" si="12"/>
        <v>1228172.5819999999</v>
      </c>
      <c r="AN18" s="8">
        <f t="shared" si="12"/>
        <v>1155927.1359999999</v>
      </c>
      <c r="AO18" s="8">
        <f t="shared" si="12"/>
        <v>1083681.69</v>
      </c>
      <c r="AP18" s="8">
        <f t="shared" si="12"/>
        <v>1011436.2439999999</v>
      </c>
      <c r="AQ18" s="8">
        <f t="shared" si="12"/>
        <v>939190.79799999995</v>
      </c>
      <c r="AR18" s="8">
        <f t="shared" si="12"/>
        <v>866945.35199999996</v>
      </c>
      <c r="AS18" s="8">
        <f t="shared" si="12"/>
        <v>794699.90599999996</v>
      </c>
      <c r="AT18" s="8">
        <f t="shared" si="12"/>
        <v>722454.46</v>
      </c>
      <c r="AU18" s="8">
        <f t="shared" si="12"/>
        <v>650209.01399999997</v>
      </c>
      <c r="AV18" s="8">
        <f t="shared" si="12"/>
        <v>577963.56799999997</v>
      </c>
      <c r="AW18" s="8">
        <f t="shared" si="12"/>
        <v>505718.12199999997</v>
      </c>
      <c r="AX18" s="8">
        <f t="shared" si="12"/>
        <v>433472.67599999998</v>
      </c>
      <c r="AY18" s="8">
        <f t="shared" si="12"/>
        <v>361227.23</v>
      </c>
      <c r="AZ18" s="8">
        <f t="shared" si="12"/>
        <v>288981.78399999999</v>
      </c>
      <c r="BA18" s="8">
        <f t="shared" si="12"/>
        <v>216736.33799999999</v>
      </c>
      <c r="BB18" s="8">
        <f t="shared" si="12"/>
        <v>144490.89199999999</v>
      </c>
      <c r="BC18" s="8">
        <f t="shared" si="12"/>
        <v>72245.445999999996</v>
      </c>
      <c r="BD18" s="8">
        <f t="shared" si="12"/>
        <v>0</v>
      </c>
      <c r="BE18" s="8">
        <f t="shared" si="12"/>
        <v>0</v>
      </c>
      <c r="BF18" s="8">
        <f t="shared" si="12"/>
        <v>0</v>
      </c>
      <c r="BG18" s="8">
        <f t="shared" si="12"/>
        <v>0</v>
      </c>
      <c r="BH18" s="8">
        <f t="shared" si="12"/>
        <v>0</v>
      </c>
      <c r="BI18" s="8">
        <f t="shared" si="12"/>
        <v>0</v>
      </c>
      <c r="BJ18" s="8">
        <f t="shared" si="12"/>
        <v>0</v>
      </c>
      <c r="BK18" s="8">
        <f t="shared" si="12"/>
        <v>0</v>
      </c>
      <c r="BL18" s="8">
        <f t="shared" si="12"/>
        <v>0</v>
      </c>
      <c r="BM18" s="8">
        <f t="shared" si="12"/>
        <v>0</v>
      </c>
      <c r="BN18" s="8">
        <f t="shared" si="12"/>
        <v>0</v>
      </c>
      <c r="BO18" s="8">
        <f t="shared" si="12"/>
        <v>0</v>
      </c>
      <c r="BP18" s="8">
        <f t="shared" si="12"/>
        <v>0</v>
      </c>
      <c r="BQ18" s="8">
        <f t="shared" si="12"/>
        <v>0</v>
      </c>
      <c r="BR18" s="8">
        <f t="shared" si="12"/>
        <v>0</v>
      </c>
      <c r="BS18" s="8">
        <f t="shared" ref="BS18:DA18" si="13">BR19</f>
        <v>0</v>
      </c>
      <c r="BT18" s="8">
        <f t="shared" si="13"/>
        <v>0</v>
      </c>
      <c r="BU18" s="8">
        <f t="shared" si="13"/>
        <v>0</v>
      </c>
      <c r="BV18" s="8">
        <f t="shared" si="13"/>
        <v>0</v>
      </c>
      <c r="BW18" s="8">
        <f t="shared" si="13"/>
        <v>0</v>
      </c>
      <c r="BX18" s="8">
        <f t="shared" si="13"/>
        <v>0</v>
      </c>
      <c r="BY18" s="8">
        <f t="shared" si="13"/>
        <v>0</v>
      </c>
      <c r="BZ18" s="8">
        <f t="shared" si="13"/>
        <v>0</v>
      </c>
      <c r="CA18" s="8">
        <f t="shared" si="13"/>
        <v>0</v>
      </c>
      <c r="CB18" s="8">
        <f t="shared" si="13"/>
        <v>0</v>
      </c>
      <c r="CC18" s="8">
        <f t="shared" si="13"/>
        <v>0</v>
      </c>
      <c r="CD18" s="8">
        <f t="shared" si="13"/>
        <v>0</v>
      </c>
      <c r="CE18" s="8">
        <f t="shared" si="13"/>
        <v>0</v>
      </c>
      <c r="CF18" s="8">
        <f t="shared" si="13"/>
        <v>0</v>
      </c>
      <c r="CG18" s="8">
        <f t="shared" si="13"/>
        <v>0</v>
      </c>
      <c r="CH18" s="8">
        <f t="shared" si="13"/>
        <v>0</v>
      </c>
      <c r="CI18" s="8">
        <f t="shared" si="13"/>
        <v>0</v>
      </c>
      <c r="CJ18" s="8">
        <f t="shared" si="13"/>
        <v>0</v>
      </c>
      <c r="CK18" s="8">
        <f t="shared" si="13"/>
        <v>0</v>
      </c>
      <c r="CL18" s="8">
        <f t="shared" si="13"/>
        <v>0</v>
      </c>
      <c r="CM18" s="8">
        <f t="shared" si="13"/>
        <v>0</v>
      </c>
      <c r="CN18" s="8">
        <f t="shared" si="13"/>
        <v>0</v>
      </c>
      <c r="CO18" s="8">
        <f t="shared" si="13"/>
        <v>0</v>
      </c>
      <c r="CP18" s="8">
        <f t="shared" si="13"/>
        <v>0</v>
      </c>
      <c r="CQ18" s="8">
        <f t="shared" si="13"/>
        <v>0</v>
      </c>
      <c r="CR18" s="8">
        <f t="shared" si="13"/>
        <v>0</v>
      </c>
      <c r="CS18" s="8">
        <f t="shared" si="13"/>
        <v>0</v>
      </c>
      <c r="CT18" s="8">
        <f t="shared" si="13"/>
        <v>0</v>
      </c>
      <c r="CU18" s="8">
        <f t="shared" si="13"/>
        <v>0</v>
      </c>
      <c r="CV18" s="8">
        <f t="shared" si="13"/>
        <v>0</v>
      </c>
      <c r="CW18" s="8">
        <f t="shared" si="13"/>
        <v>0</v>
      </c>
      <c r="CX18" s="8">
        <f t="shared" si="13"/>
        <v>0</v>
      </c>
      <c r="CY18" s="8">
        <f t="shared" si="13"/>
        <v>0</v>
      </c>
      <c r="CZ18" s="8">
        <f t="shared" si="13"/>
        <v>0</v>
      </c>
      <c r="DA18" s="8">
        <f t="shared" si="13"/>
        <v>0</v>
      </c>
    </row>
    <row r="19" spans="1:106" x14ac:dyDescent="0.4">
      <c r="D19" t="s">
        <v>168</v>
      </c>
      <c r="E19" s="8">
        <f>E16+E17</f>
        <v>3612272.3000000003</v>
      </c>
      <c r="F19" s="8">
        <f t="shared" ref="F19:BQ19" si="14">F16+F17</f>
        <v>3540026.8540000003</v>
      </c>
      <c r="G19" s="8">
        <f t="shared" si="14"/>
        <v>3467781.4080000003</v>
      </c>
      <c r="H19" s="8">
        <f t="shared" si="14"/>
        <v>3395535.9620000003</v>
      </c>
      <c r="I19" s="8">
        <f t="shared" si="14"/>
        <v>3323290.5160000003</v>
      </c>
      <c r="J19" s="8">
        <f t="shared" si="14"/>
        <v>3251045.0700000003</v>
      </c>
      <c r="K19" s="8">
        <f t="shared" si="14"/>
        <v>3178799.6240000003</v>
      </c>
      <c r="L19" s="8">
        <f t="shared" si="14"/>
        <v>3106554.1780000003</v>
      </c>
      <c r="M19" s="8">
        <f t="shared" si="14"/>
        <v>3034308.7320000003</v>
      </c>
      <c r="N19" s="8">
        <f t="shared" si="14"/>
        <v>2962063.2860000003</v>
      </c>
      <c r="O19" s="8">
        <f t="shared" si="14"/>
        <v>2889817.8400000003</v>
      </c>
      <c r="P19" s="8">
        <f t="shared" si="14"/>
        <v>2817572.3940000003</v>
      </c>
      <c r="Q19" s="8">
        <f t="shared" si="14"/>
        <v>2745326.9480000003</v>
      </c>
      <c r="R19" s="8">
        <f t="shared" si="14"/>
        <v>2673081.5020000003</v>
      </c>
      <c r="S19" s="8">
        <f t="shared" si="14"/>
        <v>2600836.0560000003</v>
      </c>
      <c r="T19" s="8">
        <f t="shared" si="14"/>
        <v>2528590.6100000003</v>
      </c>
      <c r="U19" s="8">
        <f t="shared" si="14"/>
        <v>2456345.1639999999</v>
      </c>
      <c r="V19" s="8">
        <f t="shared" si="14"/>
        <v>2384099.7180000003</v>
      </c>
      <c r="W19" s="8">
        <f t="shared" si="14"/>
        <v>2311854.2719999999</v>
      </c>
      <c r="X19" s="8">
        <f t="shared" si="14"/>
        <v>2239608.8260000004</v>
      </c>
      <c r="Y19" s="8">
        <f t="shared" si="14"/>
        <v>2167363.38</v>
      </c>
      <c r="Z19" s="8">
        <f t="shared" si="14"/>
        <v>2095117.9340000001</v>
      </c>
      <c r="AA19" s="8">
        <f t="shared" si="14"/>
        <v>2022872.4880000001</v>
      </c>
      <c r="AB19" s="8">
        <f t="shared" si="14"/>
        <v>1950627.0420000001</v>
      </c>
      <c r="AC19" s="8">
        <f t="shared" si="14"/>
        <v>1878381.5960000001</v>
      </c>
      <c r="AD19" s="8">
        <f t="shared" si="14"/>
        <v>1806136.1500000001</v>
      </c>
      <c r="AE19" s="8">
        <f t="shared" si="14"/>
        <v>1733890.7040000001</v>
      </c>
      <c r="AF19" s="8">
        <f t="shared" si="14"/>
        <v>1661645.2580000001</v>
      </c>
      <c r="AG19" s="8">
        <f t="shared" si="14"/>
        <v>1589399.8120000002</v>
      </c>
      <c r="AH19" s="8">
        <f t="shared" si="14"/>
        <v>1517154.3660000002</v>
      </c>
      <c r="AI19" s="8">
        <f t="shared" si="14"/>
        <v>1444908.92</v>
      </c>
      <c r="AJ19" s="8">
        <f t="shared" si="14"/>
        <v>1372663.4739999999</v>
      </c>
      <c r="AK19" s="8">
        <f t="shared" si="14"/>
        <v>1300418.0279999999</v>
      </c>
      <c r="AL19" s="8">
        <f t="shared" si="14"/>
        <v>1228172.5819999999</v>
      </c>
      <c r="AM19" s="8">
        <f t="shared" si="14"/>
        <v>1155927.1359999999</v>
      </c>
      <c r="AN19" s="8">
        <f t="shared" si="14"/>
        <v>1083681.69</v>
      </c>
      <c r="AO19" s="8">
        <f t="shared" si="14"/>
        <v>1011436.2439999999</v>
      </c>
      <c r="AP19" s="8">
        <f t="shared" si="14"/>
        <v>939190.79799999995</v>
      </c>
      <c r="AQ19" s="8">
        <f t="shared" si="14"/>
        <v>866945.35199999996</v>
      </c>
      <c r="AR19" s="8">
        <f t="shared" si="14"/>
        <v>794699.90599999996</v>
      </c>
      <c r="AS19" s="8">
        <f t="shared" si="14"/>
        <v>722454.46</v>
      </c>
      <c r="AT19" s="8">
        <f t="shared" si="14"/>
        <v>650209.01399999997</v>
      </c>
      <c r="AU19" s="8">
        <f t="shared" si="14"/>
        <v>577963.56799999997</v>
      </c>
      <c r="AV19" s="8">
        <f t="shared" si="14"/>
        <v>505718.12199999997</v>
      </c>
      <c r="AW19" s="8">
        <f t="shared" si="14"/>
        <v>433472.67599999998</v>
      </c>
      <c r="AX19" s="8">
        <f t="shared" si="14"/>
        <v>361227.23</v>
      </c>
      <c r="AY19" s="8">
        <f t="shared" si="14"/>
        <v>288981.78399999999</v>
      </c>
      <c r="AZ19" s="8">
        <f t="shared" si="14"/>
        <v>216736.33799999999</v>
      </c>
      <c r="BA19" s="8">
        <f t="shared" si="14"/>
        <v>144490.89199999999</v>
      </c>
      <c r="BB19" s="8">
        <f t="shared" si="14"/>
        <v>72245.445999999996</v>
      </c>
      <c r="BC19" s="8">
        <f t="shared" si="14"/>
        <v>0</v>
      </c>
      <c r="BD19" s="8">
        <f t="shared" si="14"/>
        <v>0</v>
      </c>
      <c r="BE19" s="8">
        <f t="shared" si="14"/>
        <v>0</v>
      </c>
      <c r="BF19" s="8">
        <f t="shared" si="14"/>
        <v>0</v>
      </c>
      <c r="BG19" s="8">
        <f t="shared" si="14"/>
        <v>0</v>
      </c>
      <c r="BH19" s="8">
        <f t="shared" si="14"/>
        <v>0</v>
      </c>
      <c r="BI19" s="8">
        <f t="shared" si="14"/>
        <v>0</v>
      </c>
      <c r="BJ19" s="8">
        <f t="shared" si="14"/>
        <v>0</v>
      </c>
      <c r="BK19" s="8">
        <f t="shared" si="14"/>
        <v>0</v>
      </c>
      <c r="BL19" s="8">
        <f t="shared" si="14"/>
        <v>0</v>
      </c>
      <c r="BM19" s="8">
        <f t="shared" si="14"/>
        <v>0</v>
      </c>
      <c r="BN19" s="8">
        <f t="shared" si="14"/>
        <v>0</v>
      </c>
      <c r="BO19" s="8">
        <f t="shared" si="14"/>
        <v>0</v>
      </c>
      <c r="BP19" s="8">
        <f t="shared" si="14"/>
        <v>0</v>
      </c>
      <c r="BQ19" s="8">
        <f t="shared" si="14"/>
        <v>0</v>
      </c>
      <c r="BR19" s="8">
        <f t="shared" ref="BR19:DA19" si="15">BR16+BR17</f>
        <v>0</v>
      </c>
      <c r="BS19" s="8">
        <f t="shared" si="15"/>
        <v>0</v>
      </c>
      <c r="BT19" s="8">
        <f t="shared" si="15"/>
        <v>0</v>
      </c>
      <c r="BU19" s="8">
        <f t="shared" si="15"/>
        <v>0</v>
      </c>
      <c r="BV19" s="8">
        <f t="shared" si="15"/>
        <v>0</v>
      </c>
      <c r="BW19" s="8">
        <f t="shared" si="15"/>
        <v>0</v>
      </c>
      <c r="BX19" s="8">
        <f t="shared" si="15"/>
        <v>0</v>
      </c>
      <c r="BY19" s="8">
        <f t="shared" si="15"/>
        <v>0</v>
      </c>
      <c r="BZ19" s="8">
        <f t="shared" si="15"/>
        <v>0</v>
      </c>
      <c r="CA19" s="8">
        <f t="shared" si="15"/>
        <v>0</v>
      </c>
      <c r="CB19" s="8">
        <f t="shared" si="15"/>
        <v>0</v>
      </c>
      <c r="CC19" s="8">
        <f t="shared" si="15"/>
        <v>0</v>
      </c>
      <c r="CD19" s="8">
        <f t="shared" si="15"/>
        <v>0</v>
      </c>
      <c r="CE19" s="8">
        <f t="shared" si="15"/>
        <v>0</v>
      </c>
      <c r="CF19" s="8">
        <f t="shared" si="15"/>
        <v>0</v>
      </c>
      <c r="CG19" s="8">
        <f t="shared" si="15"/>
        <v>0</v>
      </c>
      <c r="CH19" s="8">
        <f t="shared" si="15"/>
        <v>0</v>
      </c>
      <c r="CI19" s="8">
        <f t="shared" si="15"/>
        <v>0</v>
      </c>
      <c r="CJ19" s="8">
        <f t="shared" si="15"/>
        <v>0</v>
      </c>
      <c r="CK19" s="8">
        <f t="shared" si="15"/>
        <v>0</v>
      </c>
      <c r="CL19" s="8">
        <f t="shared" si="15"/>
        <v>0</v>
      </c>
      <c r="CM19" s="8">
        <f t="shared" si="15"/>
        <v>0</v>
      </c>
      <c r="CN19" s="8">
        <f t="shared" si="15"/>
        <v>0</v>
      </c>
      <c r="CO19" s="8">
        <f t="shared" si="15"/>
        <v>0</v>
      </c>
      <c r="CP19" s="8">
        <f t="shared" si="15"/>
        <v>0</v>
      </c>
      <c r="CQ19" s="8">
        <f t="shared" si="15"/>
        <v>0</v>
      </c>
      <c r="CR19" s="8">
        <f t="shared" si="15"/>
        <v>0</v>
      </c>
      <c r="CS19" s="8">
        <f t="shared" si="15"/>
        <v>0</v>
      </c>
      <c r="CT19" s="8">
        <f t="shared" si="15"/>
        <v>0</v>
      </c>
      <c r="CU19" s="8">
        <f t="shared" si="15"/>
        <v>0</v>
      </c>
      <c r="CV19" s="8">
        <f t="shared" si="15"/>
        <v>0</v>
      </c>
      <c r="CW19" s="8">
        <f t="shared" si="15"/>
        <v>0</v>
      </c>
      <c r="CX19" s="8">
        <f t="shared" si="15"/>
        <v>0</v>
      </c>
      <c r="CY19" s="8">
        <f t="shared" si="15"/>
        <v>0</v>
      </c>
      <c r="CZ19" s="8">
        <f t="shared" si="15"/>
        <v>0</v>
      </c>
      <c r="DA19" s="8">
        <f t="shared" si="15"/>
        <v>0</v>
      </c>
    </row>
    <row r="20" spans="1:106" x14ac:dyDescent="0.4"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</row>
    <row r="21" spans="1:106" x14ac:dyDescent="0.4">
      <c r="D21" t="s">
        <v>169</v>
      </c>
      <c r="E21" s="8"/>
      <c r="F21" s="8">
        <f>IF(F13&lt;=$B$4+1,F16*VLOOKUP(F13,Assumptions!$A$70:$B$90,2,0),0)</f>
        <v>135460.21124999999</v>
      </c>
      <c r="G21" s="8">
        <f>IF(G13&lt;=$B$4+1,G16*VLOOKUP(G13,Assumptions!$A$70:$B$90,2,0),0)</f>
        <v>260769.93733700004</v>
      </c>
      <c r="H21" s="8">
        <f>IF(H13&lt;=$B$4+1,H16*VLOOKUP(H13,Assumptions!$A$70:$B$90,2,0),0)</f>
        <v>241191.42147100001</v>
      </c>
      <c r="I21" s="8">
        <f>IF(I13&lt;=$B$4+1,I16*VLOOKUP(I13,Assumptions!$A$70:$B$90,2,0),0)</f>
        <v>223130.05997100001</v>
      </c>
      <c r="J21" s="8">
        <f>IF(J13&lt;=$B$4+1,J16*VLOOKUP(J13,Assumptions!$A$70:$B$90,2,0),0)</f>
        <v>206369.11649900003</v>
      </c>
      <c r="K21" s="8">
        <f>IF(K13&lt;=$B$4+1,K16*VLOOKUP(K13,Assumptions!$A$70:$B$90,2,0),0)</f>
        <v>190908.59105500003</v>
      </c>
      <c r="L21" s="8">
        <f>IF(L13&lt;=$B$4+1,L16*VLOOKUP(L13,Assumptions!$A$70:$B$90,2,0),0)</f>
        <v>176567.870024</v>
      </c>
      <c r="M21" s="8">
        <f>IF(M13&lt;=$B$4+1,M16*VLOOKUP(M13,Assumptions!$A$70:$B$90,2,0),0)</f>
        <v>163346.95340600002</v>
      </c>
      <c r="N21" s="8">
        <f>IF(N13&lt;=$B$4+1,N16*VLOOKUP(N13,Assumptions!$A$70:$B$90,2,0),0)</f>
        <v>161179.59002600002</v>
      </c>
      <c r="O21" s="8">
        <f>IF(O13&lt;=$B$4+1,O16*VLOOKUP(O13,Assumptions!$A$70:$B$90,2,0),0)</f>
        <v>161143.46730300001</v>
      </c>
      <c r="P21" s="8">
        <f>IF(P13&lt;=$B$4+1,P16*VLOOKUP(P13,Assumptions!$A$70:$B$90,2,0),0)</f>
        <v>161179.59002600002</v>
      </c>
      <c r="Q21" s="8">
        <f>IF(Q13&lt;=$B$4+1,Q16*VLOOKUP(Q13,Assumptions!$A$70:$B$90,2,0),0)</f>
        <v>161143.46730300001</v>
      </c>
      <c r="R21" s="8">
        <f>IF(R13&lt;=$B$4+1,R16*VLOOKUP(R13,Assumptions!$A$70:$B$90,2,0),0)</f>
        <v>161179.59002600002</v>
      </c>
      <c r="S21" s="8">
        <f>IF(S13&lt;=$B$4+1,S16*VLOOKUP(S13,Assumptions!$A$70:$B$90,2,0),0)</f>
        <v>161143.46730300001</v>
      </c>
      <c r="T21" s="8">
        <f>IF(T13&lt;=$B$4+1,T16*VLOOKUP(T13,Assumptions!$A$70:$B$90,2,0),0)</f>
        <v>161179.59002600002</v>
      </c>
      <c r="U21" s="8">
        <f>IF(U13&lt;=$B$4+1,U16*VLOOKUP(U13,Assumptions!$A$70:$B$90,2,0),0)</f>
        <v>161143.46730300001</v>
      </c>
      <c r="V21" s="8">
        <f>IF(V13&lt;=$B$4+1,V16*VLOOKUP(V13,Assumptions!$A$70:$B$90,2,0),0)</f>
        <v>161179.59002600002</v>
      </c>
      <c r="W21" s="8">
        <f>IF(W13&lt;=$B$4+1,W16*VLOOKUP(W13,Assumptions!$A$70:$B$90,2,0),0)</f>
        <v>161143.46730300001</v>
      </c>
      <c r="X21" s="8">
        <f>IF(X13&lt;=$B$4+1,X16*VLOOKUP(X13,Assumptions!$A$70:$B$90,2,0),0)</f>
        <v>161179.59002600002</v>
      </c>
      <c r="Y21" s="8">
        <f>IF(Y13&lt;=$B$4+1,Y16*VLOOKUP(Y13,Assumptions!$A$70:$B$90,2,0),0)</f>
        <v>161143.46730300001</v>
      </c>
      <c r="Z21" s="8">
        <f>IF(Z13&lt;=$B$4+1,Z16*VLOOKUP(Z13,Assumptions!$A$70:$B$90,2,0),0)</f>
        <v>80589.79501300001</v>
      </c>
      <c r="AA21" s="8">
        <f>IF(AA13&lt;=$B$4+1,AA16*VLOOKUP(AA13,Assumptions!$A$70:$B$90,2,0),0)</f>
        <v>0</v>
      </c>
      <c r="AB21" s="8">
        <f>IF(AB13&lt;=$B$4+1,AB16*VLOOKUP(AB13,Assumptions!$A$70:$B$90,2,0),0)</f>
        <v>0</v>
      </c>
      <c r="AC21" s="8">
        <f>IF(AC13&lt;=$B$4+1,AC16*VLOOKUP(AC13,Assumptions!$A$70:$B$90,2,0),0)</f>
        <v>0</v>
      </c>
      <c r="AD21" s="8">
        <f>IF(AD13&lt;=$B$4+1,AD16*VLOOKUP(AD13,Assumptions!$A$70:$B$90,2,0),0)</f>
        <v>0</v>
      </c>
      <c r="AE21" s="8">
        <f>IF(AE13&lt;=$B$4+1,AE16*VLOOKUP(AE13,Assumptions!$A$70:$B$90,2,0),0)</f>
        <v>0</v>
      </c>
      <c r="AF21" s="8">
        <f>IF(AF13&lt;=$B$4+1,AF16*VLOOKUP(AF13,Assumptions!$A$70:$B$90,2,0),0)</f>
        <v>0</v>
      </c>
      <c r="AG21" s="8">
        <f>IF(AG13&lt;=$B$4+1,AG16*VLOOKUP(AG13,Assumptions!$A$70:$B$90,2,0),0)</f>
        <v>0</v>
      </c>
      <c r="AH21" s="8">
        <f>IF(AH13&lt;=$B$4+1,AH16*VLOOKUP(AH13,Assumptions!$A$70:$B$90,2,0),0)</f>
        <v>0</v>
      </c>
      <c r="AI21" s="8">
        <f>IF(AI13&lt;=$B$4+1,AI16*VLOOKUP(AI13,Assumptions!$A$70:$B$90,2,0),0)</f>
        <v>0</v>
      </c>
      <c r="AJ21" s="8">
        <f>IF(AJ13&lt;=$B$4+1,AJ16*VLOOKUP(AJ13,Assumptions!$A$70:$B$90,2,0),0)</f>
        <v>0</v>
      </c>
      <c r="AK21" s="8">
        <f>IF(AK13&lt;=$B$4+1,AK16*VLOOKUP(AK13,Assumptions!$A$70:$B$90,2,0),0)</f>
        <v>0</v>
      </c>
      <c r="AL21" s="8">
        <f>IF(AL13&lt;=$B$4+1,AL16*VLOOKUP(AL13,Assumptions!$A$70:$B$90,2,0),0)</f>
        <v>0</v>
      </c>
      <c r="AM21" s="8">
        <f>IF(AM13&lt;=$B$4+1,AM16*VLOOKUP(AM13,Assumptions!$A$70:$B$90,2,0),0)</f>
        <v>0</v>
      </c>
      <c r="AN21" s="8">
        <f>IF(AN13&lt;=$B$4+1,AN16*VLOOKUP(AN13,Assumptions!$A$70:$B$90,2,0),0)</f>
        <v>0</v>
      </c>
      <c r="AO21" s="8">
        <f>IF(AO13&lt;=$B$4+1,AO16*VLOOKUP(AO13,Assumptions!$A$70:$B$90,2,0),0)</f>
        <v>0</v>
      </c>
      <c r="AP21" s="8">
        <f>IF(AP13&lt;=$B$4+1,AP16*VLOOKUP(AP13,Assumptions!$A$70:$B$90,2,0),0)</f>
        <v>0</v>
      </c>
      <c r="AQ21" s="8">
        <f>IF(AQ13&lt;=$B$4+1,AQ16*VLOOKUP(AQ13,Assumptions!$A$70:$B$90,2,0),0)</f>
        <v>0</v>
      </c>
      <c r="AR21" s="8">
        <f>IF(AR13&lt;=$B$4+1,AR16*VLOOKUP(AR13,Assumptions!$A$70:$B$90,2,0),0)</f>
        <v>0</v>
      </c>
      <c r="AS21" s="8">
        <f>IF(AS13&lt;=$B$4+1,AS16*VLOOKUP(AS13,Assumptions!$A$70:$B$90,2,0),0)</f>
        <v>0</v>
      </c>
      <c r="AT21" s="8">
        <f>IF(AT13&lt;=$B$4+1,AT16*VLOOKUP(AT13,Assumptions!$A$70:$B$90,2,0),0)</f>
        <v>0</v>
      </c>
      <c r="AU21" s="8">
        <f>IF(AU13&lt;=$B$4+1,AU16*VLOOKUP(AU13,Assumptions!$A$70:$B$90,2,0),0)</f>
        <v>0</v>
      </c>
      <c r="AV21" s="8">
        <f>IF(AV13&lt;=$B$4+1,AV16*VLOOKUP(AV13,Assumptions!$A$70:$B$90,2,0),0)</f>
        <v>0</v>
      </c>
      <c r="AW21" s="8">
        <f>IF(AW13&lt;=$B$4+1,AW16*VLOOKUP(AW13,Assumptions!$A$70:$B$90,2,0),0)</f>
        <v>0</v>
      </c>
      <c r="AX21" s="8">
        <f>IF(AX13&lt;=$B$4+1,AX16*VLOOKUP(AX13,Assumptions!$A$70:$B$90,2,0),0)</f>
        <v>0</v>
      </c>
      <c r="AY21" s="8">
        <f>IF(AY13&lt;=$B$4+1,AY16*VLOOKUP(AY13,Assumptions!$A$70:$B$90,2,0),0)</f>
        <v>0</v>
      </c>
      <c r="AZ21" s="8">
        <f>IF(AZ13&lt;=$B$4+1,AZ16*VLOOKUP(AZ13,Assumptions!$A$70:$B$90,2,0),0)</f>
        <v>0</v>
      </c>
      <c r="BA21" s="8">
        <f>IF(BA13&lt;=$B$4+1,BA16*VLOOKUP(BA13,Assumptions!$A$70:$B$90,2,0),0)</f>
        <v>0</v>
      </c>
      <c r="BB21" s="8">
        <f>IF(BB13&lt;=$B$4+1,BB16*VLOOKUP(BB13,Assumptions!$A$70:$B$90,2,0),0)</f>
        <v>0</v>
      </c>
      <c r="BC21" s="8">
        <f>IF(BC13&lt;=$B$4+1,BC16*VLOOKUP(BC13,Assumptions!$A$70:$B$90,2,0),0)</f>
        <v>0</v>
      </c>
      <c r="BD21" s="8">
        <f>IF(BD13&lt;=$B$4+1,BD16*VLOOKUP(BD13,Assumptions!$A$70:$B$90,2,0),0)</f>
        <v>0</v>
      </c>
      <c r="BE21" s="8">
        <f>IF(BE13&lt;=$B$4+1,BE16*VLOOKUP(BE13,Assumptions!$A$70:$B$90,2,0),0)</f>
        <v>0</v>
      </c>
      <c r="BF21" s="8">
        <f>IF(BF13&lt;=$B$4+1,BF16*VLOOKUP(BF13,Assumptions!$A$70:$B$90,2,0),0)</f>
        <v>0</v>
      </c>
      <c r="BG21" s="8">
        <f>IF(BG13&lt;=$B$4+1,BG16*VLOOKUP(BG13,Assumptions!$A$70:$B$90,2,0),0)</f>
        <v>0</v>
      </c>
      <c r="BH21" s="8">
        <f>IF(BH13&lt;=$B$4+1,BH16*VLOOKUP(BH13,Assumptions!$A$70:$B$90,2,0),0)</f>
        <v>0</v>
      </c>
      <c r="BI21" s="8">
        <f>IF(BI13&lt;=$B$4+1,BI16*VLOOKUP(BI13,Assumptions!$A$70:$B$90,2,0),0)</f>
        <v>0</v>
      </c>
      <c r="BJ21" s="8">
        <f>IF(BJ13&lt;=$B$4+1,BJ16*VLOOKUP(BJ13,Assumptions!$A$70:$B$90,2,0),0)</f>
        <v>0</v>
      </c>
      <c r="BK21" s="8">
        <f>IF(BK13&lt;=$B$4+1,BK16*VLOOKUP(BK13,Assumptions!$A$70:$B$90,2,0),0)</f>
        <v>0</v>
      </c>
      <c r="BL21" s="8">
        <f>IF(BL13&lt;=$B$4+1,BL16*VLOOKUP(BL13,Assumptions!$A$70:$B$90,2,0),0)</f>
        <v>0</v>
      </c>
      <c r="BM21" s="8">
        <f>IF(BM13&lt;=$B$4+1,BM16*VLOOKUP(BM13,Assumptions!$A$70:$B$90,2,0),0)</f>
        <v>0</v>
      </c>
      <c r="BN21" s="8">
        <f>IF(BN13&lt;=$B$4+1,BN16*VLOOKUP(BN13,Assumptions!$A$70:$B$90,2,0),0)</f>
        <v>0</v>
      </c>
      <c r="BO21" s="8">
        <f>IF(BO13&lt;=$B$4+1,BO16*VLOOKUP(BO13,Assumptions!$A$70:$B$90,2,0),0)</f>
        <v>0</v>
      </c>
      <c r="BP21" s="8">
        <f>IF(BP13&lt;=$B$4+1,BP16*VLOOKUP(BP13,Assumptions!$A$70:$B$90,2,0),0)</f>
        <v>0</v>
      </c>
      <c r="BQ21" s="8">
        <f>IF(BQ13&lt;=$B$4+1,BQ16*VLOOKUP(BQ13,Assumptions!$A$70:$B$90,2,0),0)</f>
        <v>0</v>
      </c>
      <c r="BR21" s="8">
        <f>IF(BR13&lt;=$B$4+1,BR16*VLOOKUP(BR13,Assumptions!$A$70:$B$90,2,0),0)</f>
        <v>0</v>
      </c>
      <c r="BS21" s="8">
        <f>IF(BS13&lt;=$B$4+1,BS16*VLOOKUP(BS13,Assumptions!$A$70:$B$90,2,0),0)</f>
        <v>0</v>
      </c>
      <c r="BT21" s="8">
        <f>IF(BT13&lt;=$B$4+1,BT16*VLOOKUP(BT13,Assumptions!$A$70:$B$90,2,0),0)</f>
        <v>0</v>
      </c>
      <c r="BU21" s="8">
        <f>IF(BU13&lt;=$B$4+1,BU16*VLOOKUP(BU13,Assumptions!$A$70:$B$90,2,0),0)</f>
        <v>0</v>
      </c>
      <c r="BV21" s="8">
        <f>IF(BV13&lt;=$B$4+1,BV16*VLOOKUP(BV13,Assumptions!$A$70:$B$90,2,0),0)</f>
        <v>0</v>
      </c>
      <c r="BW21" s="8">
        <f>IF(BW13&lt;=$B$4+1,BW16*VLOOKUP(BW13,Assumptions!$A$70:$B$90,2,0),0)</f>
        <v>0</v>
      </c>
      <c r="BX21" s="8">
        <f>IF(BX13&lt;=$B$4+1,BX16*VLOOKUP(BX13,Assumptions!$A$70:$B$90,2,0),0)</f>
        <v>0</v>
      </c>
      <c r="BY21" s="8">
        <f>IF(BY13&lt;=$B$4+1,BY16*VLOOKUP(BY13,Assumptions!$A$70:$B$90,2,0),0)</f>
        <v>0</v>
      </c>
      <c r="BZ21" s="8">
        <f>IF(BZ13&lt;=$B$4+1,BZ16*VLOOKUP(BZ13,Assumptions!$A$70:$B$90,2,0),0)</f>
        <v>0</v>
      </c>
      <c r="CA21" s="8">
        <f>IF(CA13&lt;=$B$4+1,CA16*VLOOKUP(CA13,Assumptions!$A$70:$B$90,2,0),0)</f>
        <v>0</v>
      </c>
      <c r="CB21" s="8">
        <f>IF(CB13&lt;=$B$4+1,CB16*VLOOKUP(CB13,Assumptions!$A$70:$B$90,2,0),0)</f>
        <v>0</v>
      </c>
      <c r="CC21" s="8">
        <f>IF(CC13&lt;=$B$4+1,CC16*VLOOKUP(CC13,Assumptions!$A$70:$B$90,2,0),0)</f>
        <v>0</v>
      </c>
      <c r="CD21" s="8">
        <f>IF(CD13&lt;=$B$4+1,CD16*VLOOKUP(CD13,Assumptions!$A$70:$B$90,2,0),0)</f>
        <v>0</v>
      </c>
      <c r="CE21" s="8">
        <f>IF(CE13&lt;=$B$4+1,CE16*VLOOKUP(CE13,Assumptions!$A$70:$B$90,2,0),0)</f>
        <v>0</v>
      </c>
      <c r="CF21" s="8">
        <f>IF(CF13&lt;=$B$4+1,CF16*VLOOKUP(CF13,Assumptions!$A$70:$B$90,2,0),0)</f>
        <v>0</v>
      </c>
      <c r="CG21" s="8">
        <f>IF(CG13&lt;=$B$4+1,CG16*VLOOKUP(CG13,Assumptions!$A$70:$B$90,2,0),0)</f>
        <v>0</v>
      </c>
      <c r="CH21" s="8">
        <f>IF(CH13&lt;=$B$4+1,CH16*VLOOKUP(CH13,Assumptions!$A$70:$B$90,2,0),0)</f>
        <v>0</v>
      </c>
      <c r="CI21" s="8">
        <f>IF(CI13&lt;=$B$4+1,CI16*VLOOKUP(CI13,Assumptions!$A$70:$B$90,2,0),0)</f>
        <v>0</v>
      </c>
      <c r="CJ21" s="8">
        <f>IF(CJ13&lt;=$B$4+1,CJ16*VLOOKUP(CJ13,Assumptions!$A$70:$B$90,2,0),0)</f>
        <v>0</v>
      </c>
      <c r="CK21" s="8">
        <f>IF(CK13&lt;=$B$4+1,CK16*VLOOKUP(CK13,Assumptions!$A$70:$B$90,2,0),0)</f>
        <v>0</v>
      </c>
      <c r="CL21" s="8">
        <f>IF(CL13&lt;=$B$4+1,CL16*VLOOKUP(CL13,Assumptions!$A$70:$B$90,2,0),0)</f>
        <v>0</v>
      </c>
      <c r="CM21" s="8">
        <f>IF(CM13&lt;=$B$4+1,CM16*VLOOKUP(CM13,Assumptions!$A$70:$B$90,2,0),0)</f>
        <v>0</v>
      </c>
      <c r="CN21" s="8">
        <f>IF(CN13&lt;=$B$4+1,CN16*VLOOKUP(CN13,Assumptions!$A$70:$B$90,2,0),0)</f>
        <v>0</v>
      </c>
      <c r="CO21" s="8">
        <f>IF(CO13&lt;=$B$4+1,CO16*VLOOKUP(CO13,Assumptions!$A$70:$B$90,2,0),0)</f>
        <v>0</v>
      </c>
      <c r="CP21" s="8">
        <f>IF(CP13&lt;=$B$4+1,CP16*VLOOKUP(CP13,Assumptions!$A$70:$B$90,2,0),0)</f>
        <v>0</v>
      </c>
      <c r="CQ21" s="8">
        <f>IF(CQ13&lt;=$B$4+1,CQ16*VLOOKUP(CQ13,Assumptions!$A$70:$B$90,2,0),0)</f>
        <v>0</v>
      </c>
      <c r="CR21" s="8">
        <f>IF(CR13&lt;=$B$4+1,CR16*VLOOKUP(CR13,Assumptions!$A$70:$B$90,2,0),0)</f>
        <v>0</v>
      </c>
      <c r="CS21" s="8">
        <f>IF(CS13&lt;=$B$4+1,CS16*VLOOKUP(CS13,Assumptions!$A$70:$B$90,2,0),0)</f>
        <v>0</v>
      </c>
      <c r="CT21" s="8">
        <f>IF(CT13&lt;=$B$4+1,CT16*VLOOKUP(CT13,Assumptions!$A$70:$B$90,2,0),0)</f>
        <v>0</v>
      </c>
      <c r="CU21" s="8">
        <f>IF(CU13&lt;=$B$4+1,CU16*VLOOKUP(CU13,Assumptions!$A$70:$B$90,2,0),0)</f>
        <v>0</v>
      </c>
      <c r="CV21" s="8">
        <f>IF(CV13&lt;=$B$4+1,CV16*VLOOKUP(CV13,Assumptions!$A$70:$B$90,2,0),0)</f>
        <v>0</v>
      </c>
      <c r="CW21" s="8">
        <f>IF(CW13&lt;=$B$4+1,CW16*VLOOKUP(CW13,Assumptions!$A$70:$B$90,2,0),0)</f>
        <v>0</v>
      </c>
      <c r="CX21" s="8">
        <f>IF(CX13&lt;=$B$4+1,CX16*VLOOKUP(CX13,Assumptions!$A$70:$B$90,2,0),0)</f>
        <v>0</v>
      </c>
      <c r="CY21" s="8">
        <f>IF(CY13&lt;=$B$4+1,CY16*VLOOKUP(CY13,Assumptions!$A$70:$B$90,2,0),0)</f>
        <v>0</v>
      </c>
      <c r="CZ21" s="8">
        <f>IF(CZ13&lt;=$B$4+1,CZ16*VLOOKUP(CZ13,Assumptions!$A$70:$B$90,2,0),0)</f>
        <v>0</v>
      </c>
      <c r="DA21" s="8">
        <f>IF(DA13&lt;=$B$4+1,DA16*VLOOKUP(DA13,Assumptions!$A$70:$B$90,2,0),0)</f>
        <v>0</v>
      </c>
    </row>
    <row r="22" spans="1:106" x14ac:dyDescent="0.4">
      <c r="D22" t="s">
        <v>170</v>
      </c>
      <c r="E22" s="8"/>
      <c r="F22" s="8">
        <f>E23</f>
        <v>0</v>
      </c>
      <c r="G22" s="8">
        <f t="shared" ref="G22:BR22" si="16">F23</f>
        <v>-17519.972189037497</v>
      </c>
      <c r="H22" s="8">
        <f t="shared" si="16"/>
        <v>-69769.534963087062</v>
      </c>
      <c r="I22" s="8">
        <f t="shared" si="16"/>
        <v>-116592.91206487472</v>
      </c>
      <c r="J22" s="8">
        <f t="shared" si="16"/>
        <v>-158410.58282693737</v>
      </c>
      <c r="K22" s="8">
        <f t="shared" si="16"/>
        <v>-195582.95810573522</v>
      </c>
      <c r="L22" s="8">
        <f t="shared" si="16"/>
        <v>-228470.44875772847</v>
      </c>
      <c r="M22" s="8">
        <f t="shared" si="16"/>
        <v>-257383.40857598008</v>
      </c>
      <c r="N22" s="8">
        <f t="shared" si="16"/>
        <v>-282632.19135355297</v>
      </c>
      <c r="O22" s="8">
        <f t="shared" si="16"/>
        <v>-307280.28937035886</v>
      </c>
      <c r="P22" s="8">
        <f t="shared" si="16"/>
        <v>-331918.3759744853</v>
      </c>
      <c r="Q22" s="8">
        <f t="shared" si="16"/>
        <v>-356566.47399129119</v>
      </c>
      <c r="R22" s="8">
        <f t="shared" si="16"/>
        <v>-381204.56059541763</v>
      </c>
      <c r="S22" s="8">
        <f t="shared" si="16"/>
        <v>-405852.65861222352</v>
      </c>
      <c r="T22" s="8">
        <f t="shared" si="16"/>
        <v>-430490.74521634995</v>
      </c>
      <c r="U22" s="8">
        <f t="shared" si="16"/>
        <v>-455138.84323315584</v>
      </c>
      <c r="V22" s="8">
        <f t="shared" si="16"/>
        <v>-479776.92983728228</v>
      </c>
      <c r="W22" s="8">
        <f t="shared" si="16"/>
        <v>-504425.02785408817</v>
      </c>
      <c r="X22" s="8">
        <f t="shared" si="16"/>
        <v>-529063.11445821461</v>
      </c>
      <c r="Y22" s="8">
        <f t="shared" si="16"/>
        <v>-553711.21247502055</v>
      </c>
      <c r="Z22" s="8">
        <f t="shared" si="16"/>
        <v>-578349.29907914705</v>
      </c>
      <c r="AA22" s="8">
        <f t="shared" si="16"/>
        <v>-580661.93540810002</v>
      </c>
      <c r="AB22" s="8">
        <f t="shared" si="16"/>
        <v>-560639.11004920001</v>
      </c>
      <c r="AC22" s="8">
        <f t="shared" si="16"/>
        <v>-540616.2846903</v>
      </c>
      <c r="AD22" s="8">
        <f t="shared" si="16"/>
        <v>-520593.45933139999</v>
      </c>
      <c r="AE22" s="8">
        <f t="shared" si="16"/>
        <v>-500570.63397249999</v>
      </c>
      <c r="AF22" s="8">
        <f t="shared" si="16"/>
        <v>-480547.80861359998</v>
      </c>
      <c r="AG22" s="8">
        <f t="shared" si="16"/>
        <v>-460524.98325469997</v>
      </c>
      <c r="AH22" s="8">
        <f t="shared" si="16"/>
        <v>-440502.15789579996</v>
      </c>
      <c r="AI22" s="8">
        <f t="shared" si="16"/>
        <v>-420479.33253689995</v>
      </c>
      <c r="AJ22" s="8">
        <f t="shared" si="16"/>
        <v>-400456.50717799994</v>
      </c>
      <c r="AK22" s="8">
        <f t="shared" si="16"/>
        <v>-380433.68181909993</v>
      </c>
      <c r="AL22" s="8">
        <f t="shared" si="16"/>
        <v>-360410.85646019992</v>
      </c>
      <c r="AM22" s="8">
        <f t="shared" si="16"/>
        <v>-340388.03110129992</v>
      </c>
      <c r="AN22" s="8">
        <f t="shared" si="16"/>
        <v>-320365.20574239991</v>
      </c>
      <c r="AO22" s="8">
        <f t="shared" si="16"/>
        <v>-300342.3803834999</v>
      </c>
      <c r="AP22" s="8">
        <f t="shared" si="16"/>
        <v>-280319.55502459989</v>
      </c>
      <c r="AQ22" s="8">
        <f t="shared" si="16"/>
        <v>-260296.72966569988</v>
      </c>
      <c r="AR22" s="8">
        <f t="shared" si="16"/>
        <v>-240273.90430679987</v>
      </c>
      <c r="AS22" s="8">
        <f t="shared" si="16"/>
        <v>-220251.07894789986</v>
      </c>
      <c r="AT22" s="8">
        <f t="shared" si="16"/>
        <v>-200228.25358899985</v>
      </c>
      <c r="AU22" s="8">
        <f t="shared" si="16"/>
        <v>-180205.42823009985</v>
      </c>
      <c r="AV22" s="8">
        <f t="shared" si="16"/>
        <v>-160182.60287119984</v>
      </c>
      <c r="AW22" s="8">
        <f t="shared" si="16"/>
        <v>-140159.77751229983</v>
      </c>
      <c r="AX22" s="8">
        <f t="shared" si="16"/>
        <v>-120136.95215339982</v>
      </c>
      <c r="AY22" s="8">
        <f t="shared" si="16"/>
        <v>-100114.12679449981</v>
      </c>
      <c r="AZ22" s="8">
        <f t="shared" si="16"/>
        <v>-80091.301435599802</v>
      </c>
      <c r="BA22" s="8">
        <f t="shared" si="16"/>
        <v>-60068.476076699793</v>
      </c>
      <c r="BB22" s="8">
        <f t="shared" si="16"/>
        <v>-40045.650717799785</v>
      </c>
      <c r="BC22" s="8">
        <f t="shared" si="16"/>
        <v>-20022.82535889978</v>
      </c>
      <c r="BD22" s="8">
        <f t="shared" si="16"/>
        <v>2.255546860396862E-10</v>
      </c>
      <c r="BE22" s="8">
        <f t="shared" si="16"/>
        <v>2.255546860396862E-10</v>
      </c>
      <c r="BF22" s="8">
        <f t="shared" si="16"/>
        <v>2.255546860396862E-10</v>
      </c>
      <c r="BG22" s="8">
        <f t="shared" si="16"/>
        <v>2.255546860396862E-10</v>
      </c>
      <c r="BH22" s="8">
        <f t="shared" si="16"/>
        <v>2.255546860396862E-10</v>
      </c>
      <c r="BI22" s="8">
        <f t="shared" si="16"/>
        <v>2.255546860396862E-10</v>
      </c>
      <c r="BJ22" s="8">
        <f t="shared" si="16"/>
        <v>2.255546860396862E-10</v>
      </c>
      <c r="BK22" s="8">
        <f t="shared" si="16"/>
        <v>2.255546860396862E-10</v>
      </c>
      <c r="BL22" s="8">
        <f t="shared" si="16"/>
        <v>2.255546860396862E-10</v>
      </c>
      <c r="BM22" s="8">
        <f t="shared" si="16"/>
        <v>2.255546860396862E-10</v>
      </c>
      <c r="BN22" s="8">
        <f t="shared" si="16"/>
        <v>2.255546860396862E-10</v>
      </c>
      <c r="BO22" s="8">
        <f t="shared" si="16"/>
        <v>2.255546860396862E-10</v>
      </c>
      <c r="BP22" s="8">
        <f t="shared" si="16"/>
        <v>2.255546860396862E-10</v>
      </c>
      <c r="BQ22" s="8">
        <f t="shared" si="16"/>
        <v>2.255546860396862E-10</v>
      </c>
      <c r="BR22" s="8">
        <f t="shared" si="16"/>
        <v>2.255546860396862E-10</v>
      </c>
      <c r="BS22" s="8">
        <f t="shared" ref="BS22:DA22" si="17">BR23</f>
        <v>2.255546860396862E-10</v>
      </c>
      <c r="BT22" s="8">
        <f t="shared" si="17"/>
        <v>2.255546860396862E-10</v>
      </c>
      <c r="BU22" s="8">
        <f t="shared" si="17"/>
        <v>2.255546860396862E-10</v>
      </c>
      <c r="BV22" s="8">
        <f t="shared" si="17"/>
        <v>2.255546860396862E-10</v>
      </c>
      <c r="BW22" s="8">
        <f t="shared" si="17"/>
        <v>2.255546860396862E-10</v>
      </c>
      <c r="BX22" s="8">
        <f t="shared" si="17"/>
        <v>2.255546860396862E-10</v>
      </c>
      <c r="BY22" s="8">
        <f t="shared" si="17"/>
        <v>2.255546860396862E-10</v>
      </c>
      <c r="BZ22" s="8">
        <f t="shared" si="17"/>
        <v>2.255546860396862E-10</v>
      </c>
      <c r="CA22" s="8">
        <f t="shared" si="17"/>
        <v>2.255546860396862E-10</v>
      </c>
      <c r="CB22" s="8">
        <f t="shared" si="17"/>
        <v>2.255546860396862E-10</v>
      </c>
      <c r="CC22" s="8">
        <f t="shared" si="17"/>
        <v>2.255546860396862E-10</v>
      </c>
      <c r="CD22" s="8">
        <f t="shared" si="17"/>
        <v>2.255546860396862E-10</v>
      </c>
      <c r="CE22" s="8">
        <f t="shared" si="17"/>
        <v>2.255546860396862E-10</v>
      </c>
      <c r="CF22" s="8">
        <f t="shared" si="17"/>
        <v>2.255546860396862E-10</v>
      </c>
      <c r="CG22" s="8">
        <f t="shared" si="17"/>
        <v>2.255546860396862E-10</v>
      </c>
      <c r="CH22" s="8">
        <f t="shared" si="17"/>
        <v>2.255546860396862E-10</v>
      </c>
      <c r="CI22" s="8">
        <f t="shared" si="17"/>
        <v>2.255546860396862E-10</v>
      </c>
      <c r="CJ22" s="8">
        <f t="shared" si="17"/>
        <v>2.255546860396862E-10</v>
      </c>
      <c r="CK22" s="8">
        <f t="shared" si="17"/>
        <v>2.255546860396862E-10</v>
      </c>
      <c r="CL22" s="8">
        <f t="shared" si="17"/>
        <v>2.255546860396862E-10</v>
      </c>
      <c r="CM22" s="8">
        <f t="shared" si="17"/>
        <v>2.255546860396862E-10</v>
      </c>
      <c r="CN22" s="8">
        <f t="shared" si="17"/>
        <v>2.255546860396862E-10</v>
      </c>
      <c r="CO22" s="8">
        <f t="shared" si="17"/>
        <v>2.255546860396862E-10</v>
      </c>
      <c r="CP22" s="8">
        <f t="shared" si="17"/>
        <v>2.255546860396862E-10</v>
      </c>
      <c r="CQ22" s="8">
        <f t="shared" si="17"/>
        <v>2.255546860396862E-10</v>
      </c>
      <c r="CR22" s="8">
        <f t="shared" si="17"/>
        <v>2.255546860396862E-10</v>
      </c>
      <c r="CS22" s="8">
        <f t="shared" si="17"/>
        <v>2.255546860396862E-10</v>
      </c>
      <c r="CT22" s="8">
        <f t="shared" si="17"/>
        <v>2.255546860396862E-10</v>
      </c>
      <c r="CU22" s="8">
        <f t="shared" si="17"/>
        <v>2.255546860396862E-10</v>
      </c>
      <c r="CV22" s="8">
        <f t="shared" si="17"/>
        <v>2.255546860396862E-10</v>
      </c>
      <c r="CW22" s="8">
        <f t="shared" si="17"/>
        <v>2.255546860396862E-10</v>
      </c>
      <c r="CX22" s="8">
        <f t="shared" si="17"/>
        <v>2.255546860396862E-10</v>
      </c>
      <c r="CY22" s="8">
        <f t="shared" si="17"/>
        <v>2.255546860396862E-10</v>
      </c>
      <c r="CZ22" s="8">
        <f t="shared" si="17"/>
        <v>2.255546860396862E-10</v>
      </c>
      <c r="DA22" s="8">
        <f t="shared" si="17"/>
        <v>2.255546860396862E-10</v>
      </c>
    </row>
    <row r="23" spans="1:106" x14ac:dyDescent="0.4">
      <c r="D23" t="s">
        <v>171</v>
      </c>
      <c r="E23" s="8"/>
      <c r="F23" s="8">
        <f t="shared" ref="F23:AK23" si="18">E23+((F15-F21)*INC_TAX_RATE)</f>
        <v>-17519.972189037497</v>
      </c>
      <c r="G23" s="8">
        <f t="shared" si="18"/>
        <v>-69769.534963087062</v>
      </c>
      <c r="H23" s="8">
        <f t="shared" si="18"/>
        <v>-116592.91206487472</v>
      </c>
      <c r="I23" s="8">
        <f t="shared" si="18"/>
        <v>-158410.58282693737</v>
      </c>
      <c r="J23" s="8">
        <f t="shared" si="18"/>
        <v>-195582.95810573522</v>
      </c>
      <c r="K23" s="8">
        <f t="shared" si="18"/>
        <v>-228470.44875772847</v>
      </c>
      <c r="L23" s="8">
        <f t="shared" si="18"/>
        <v>-257383.40857598008</v>
      </c>
      <c r="M23" s="8">
        <f t="shared" si="18"/>
        <v>-282632.19135355297</v>
      </c>
      <c r="N23" s="8">
        <f t="shared" si="18"/>
        <v>-307280.28937035886</v>
      </c>
      <c r="O23" s="8">
        <f t="shared" si="18"/>
        <v>-331918.3759744853</v>
      </c>
      <c r="P23" s="8">
        <f t="shared" si="18"/>
        <v>-356566.47399129119</v>
      </c>
      <c r="Q23" s="8">
        <f t="shared" si="18"/>
        <v>-381204.56059541763</v>
      </c>
      <c r="R23" s="8">
        <f t="shared" si="18"/>
        <v>-405852.65861222352</v>
      </c>
      <c r="S23" s="8">
        <f t="shared" si="18"/>
        <v>-430490.74521634995</v>
      </c>
      <c r="T23" s="8">
        <f t="shared" si="18"/>
        <v>-455138.84323315584</v>
      </c>
      <c r="U23" s="8">
        <f t="shared" si="18"/>
        <v>-479776.92983728228</v>
      </c>
      <c r="V23" s="8">
        <f t="shared" si="18"/>
        <v>-504425.02785408817</v>
      </c>
      <c r="W23" s="8">
        <f t="shared" si="18"/>
        <v>-529063.11445821461</v>
      </c>
      <c r="X23" s="8">
        <f t="shared" si="18"/>
        <v>-553711.21247502055</v>
      </c>
      <c r="Y23" s="8">
        <f t="shared" si="18"/>
        <v>-578349.29907914705</v>
      </c>
      <c r="Z23" s="8">
        <f t="shared" si="18"/>
        <v>-580661.93540810002</v>
      </c>
      <c r="AA23" s="8">
        <f t="shared" si="18"/>
        <v>-560639.11004920001</v>
      </c>
      <c r="AB23" s="8">
        <f t="shared" si="18"/>
        <v>-540616.2846903</v>
      </c>
      <c r="AC23" s="8">
        <f t="shared" si="18"/>
        <v>-520593.45933139999</v>
      </c>
      <c r="AD23" s="8">
        <f t="shared" si="18"/>
        <v>-500570.63397249999</v>
      </c>
      <c r="AE23" s="8">
        <f t="shared" si="18"/>
        <v>-480547.80861359998</v>
      </c>
      <c r="AF23" s="8">
        <f t="shared" si="18"/>
        <v>-460524.98325469997</v>
      </c>
      <c r="AG23" s="8">
        <f t="shared" si="18"/>
        <v>-440502.15789579996</v>
      </c>
      <c r="AH23" s="8">
        <f t="shared" si="18"/>
        <v>-420479.33253689995</v>
      </c>
      <c r="AI23" s="8">
        <f t="shared" si="18"/>
        <v>-400456.50717799994</v>
      </c>
      <c r="AJ23" s="8">
        <f t="shared" si="18"/>
        <v>-380433.68181909993</v>
      </c>
      <c r="AK23" s="8">
        <f t="shared" si="18"/>
        <v>-360410.85646019992</v>
      </c>
      <c r="AL23" s="8">
        <f t="shared" ref="AL23:BQ23" si="19">AK23+((AL15-AL21)*INC_TAX_RATE)</f>
        <v>-340388.03110129992</v>
      </c>
      <c r="AM23" s="8">
        <f t="shared" si="19"/>
        <v>-320365.20574239991</v>
      </c>
      <c r="AN23" s="8">
        <f t="shared" si="19"/>
        <v>-300342.3803834999</v>
      </c>
      <c r="AO23" s="8">
        <f t="shared" si="19"/>
        <v>-280319.55502459989</v>
      </c>
      <c r="AP23" s="8">
        <f t="shared" si="19"/>
        <v>-260296.72966569988</v>
      </c>
      <c r="AQ23" s="8">
        <f t="shared" si="19"/>
        <v>-240273.90430679987</v>
      </c>
      <c r="AR23" s="8">
        <f t="shared" si="19"/>
        <v>-220251.07894789986</v>
      </c>
      <c r="AS23" s="8">
        <f t="shared" si="19"/>
        <v>-200228.25358899985</v>
      </c>
      <c r="AT23" s="8">
        <f t="shared" si="19"/>
        <v>-180205.42823009985</v>
      </c>
      <c r="AU23" s="8">
        <f t="shared" si="19"/>
        <v>-160182.60287119984</v>
      </c>
      <c r="AV23" s="8">
        <f t="shared" si="19"/>
        <v>-140159.77751229983</v>
      </c>
      <c r="AW23" s="8">
        <f t="shared" si="19"/>
        <v>-120136.95215339982</v>
      </c>
      <c r="AX23" s="8">
        <f t="shared" si="19"/>
        <v>-100114.12679449981</v>
      </c>
      <c r="AY23" s="8">
        <f t="shared" si="19"/>
        <v>-80091.301435599802</v>
      </c>
      <c r="AZ23" s="8">
        <f t="shared" si="19"/>
        <v>-60068.476076699793</v>
      </c>
      <c r="BA23" s="8">
        <f t="shared" si="19"/>
        <v>-40045.650717799785</v>
      </c>
      <c r="BB23" s="8">
        <f t="shared" si="19"/>
        <v>-20022.82535889978</v>
      </c>
      <c r="BC23" s="8">
        <f t="shared" si="19"/>
        <v>2.255546860396862E-10</v>
      </c>
      <c r="BD23" s="8">
        <f t="shared" si="19"/>
        <v>2.255546860396862E-10</v>
      </c>
      <c r="BE23" s="8">
        <f t="shared" si="19"/>
        <v>2.255546860396862E-10</v>
      </c>
      <c r="BF23" s="8">
        <f t="shared" si="19"/>
        <v>2.255546860396862E-10</v>
      </c>
      <c r="BG23" s="8">
        <f t="shared" si="19"/>
        <v>2.255546860396862E-10</v>
      </c>
      <c r="BH23" s="8">
        <f t="shared" si="19"/>
        <v>2.255546860396862E-10</v>
      </c>
      <c r="BI23" s="8">
        <f t="shared" si="19"/>
        <v>2.255546860396862E-10</v>
      </c>
      <c r="BJ23" s="8">
        <f t="shared" si="19"/>
        <v>2.255546860396862E-10</v>
      </c>
      <c r="BK23" s="8">
        <f t="shared" si="19"/>
        <v>2.255546860396862E-10</v>
      </c>
      <c r="BL23" s="8">
        <f t="shared" si="19"/>
        <v>2.255546860396862E-10</v>
      </c>
      <c r="BM23" s="8">
        <f t="shared" si="19"/>
        <v>2.255546860396862E-10</v>
      </c>
      <c r="BN23" s="8">
        <f t="shared" si="19"/>
        <v>2.255546860396862E-10</v>
      </c>
      <c r="BO23" s="8">
        <f t="shared" si="19"/>
        <v>2.255546860396862E-10</v>
      </c>
      <c r="BP23" s="8">
        <f t="shared" si="19"/>
        <v>2.255546860396862E-10</v>
      </c>
      <c r="BQ23" s="8">
        <f t="shared" si="19"/>
        <v>2.255546860396862E-10</v>
      </c>
      <c r="BR23" s="8">
        <f t="shared" ref="BR23:DA23" si="20">BQ23+((BR15-BR21)*INC_TAX_RATE)</f>
        <v>2.255546860396862E-10</v>
      </c>
      <c r="BS23" s="8">
        <f t="shared" si="20"/>
        <v>2.255546860396862E-10</v>
      </c>
      <c r="BT23" s="8">
        <f t="shared" si="20"/>
        <v>2.255546860396862E-10</v>
      </c>
      <c r="BU23" s="8">
        <f t="shared" si="20"/>
        <v>2.255546860396862E-10</v>
      </c>
      <c r="BV23" s="8">
        <f t="shared" si="20"/>
        <v>2.255546860396862E-10</v>
      </c>
      <c r="BW23" s="8">
        <f t="shared" si="20"/>
        <v>2.255546860396862E-10</v>
      </c>
      <c r="BX23" s="8">
        <f t="shared" si="20"/>
        <v>2.255546860396862E-10</v>
      </c>
      <c r="BY23" s="8">
        <f t="shared" si="20"/>
        <v>2.255546860396862E-10</v>
      </c>
      <c r="BZ23" s="8">
        <f t="shared" si="20"/>
        <v>2.255546860396862E-10</v>
      </c>
      <c r="CA23" s="8">
        <f t="shared" si="20"/>
        <v>2.255546860396862E-10</v>
      </c>
      <c r="CB23" s="8">
        <f t="shared" si="20"/>
        <v>2.255546860396862E-10</v>
      </c>
      <c r="CC23" s="8">
        <f t="shared" si="20"/>
        <v>2.255546860396862E-10</v>
      </c>
      <c r="CD23" s="8">
        <f t="shared" si="20"/>
        <v>2.255546860396862E-10</v>
      </c>
      <c r="CE23" s="8">
        <f t="shared" si="20"/>
        <v>2.255546860396862E-10</v>
      </c>
      <c r="CF23" s="8">
        <f t="shared" si="20"/>
        <v>2.255546860396862E-10</v>
      </c>
      <c r="CG23" s="8">
        <f t="shared" si="20"/>
        <v>2.255546860396862E-10</v>
      </c>
      <c r="CH23" s="8">
        <f t="shared" si="20"/>
        <v>2.255546860396862E-10</v>
      </c>
      <c r="CI23" s="8">
        <f t="shared" si="20"/>
        <v>2.255546860396862E-10</v>
      </c>
      <c r="CJ23" s="8">
        <f t="shared" si="20"/>
        <v>2.255546860396862E-10</v>
      </c>
      <c r="CK23" s="8">
        <f t="shared" si="20"/>
        <v>2.255546860396862E-10</v>
      </c>
      <c r="CL23" s="8">
        <f t="shared" si="20"/>
        <v>2.255546860396862E-10</v>
      </c>
      <c r="CM23" s="8">
        <f t="shared" si="20"/>
        <v>2.255546860396862E-10</v>
      </c>
      <c r="CN23" s="8">
        <f t="shared" si="20"/>
        <v>2.255546860396862E-10</v>
      </c>
      <c r="CO23" s="8">
        <f t="shared" si="20"/>
        <v>2.255546860396862E-10</v>
      </c>
      <c r="CP23" s="8">
        <f t="shared" si="20"/>
        <v>2.255546860396862E-10</v>
      </c>
      <c r="CQ23" s="8">
        <f t="shared" si="20"/>
        <v>2.255546860396862E-10</v>
      </c>
      <c r="CR23" s="8">
        <f t="shared" si="20"/>
        <v>2.255546860396862E-10</v>
      </c>
      <c r="CS23" s="8">
        <f t="shared" si="20"/>
        <v>2.255546860396862E-10</v>
      </c>
      <c r="CT23" s="8">
        <f t="shared" si="20"/>
        <v>2.255546860396862E-10</v>
      </c>
      <c r="CU23" s="8">
        <f t="shared" si="20"/>
        <v>2.255546860396862E-10</v>
      </c>
      <c r="CV23" s="8">
        <f t="shared" si="20"/>
        <v>2.255546860396862E-10</v>
      </c>
      <c r="CW23" s="8">
        <f t="shared" si="20"/>
        <v>2.255546860396862E-10</v>
      </c>
      <c r="CX23" s="8">
        <f t="shared" si="20"/>
        <v>2.255546860396862E-10</v>
      </c>
      <c r="CY23" s="8">
        <f t="shared" si="20"/>
        <v>2.255546860396862E-10</v>
      </c>
      <c r="CZ23" s="8">
        <f t="shared" si="20"/>
        <v>2.255546860396862E-10</v>
      </c>
      <c r="DA23" s="8">
        <f t="shared" si="20"/>
        <v>2.255546860396862E-10</v>
      </c>
    </row>
    <row r="24" spans="1:106" x14ac:dyDescent="0.4"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</row>
    <row r="25" spans="1:106" x14ac:dyDescent="0.4">
      <c r="D25" t="s">
        <v>158</v>
      </c>
      <c r="E25" s="8"/>
      <c r="F25" s="8">
        <f>AVERAGE(F18:F19)+AVERAGE(F22:F23)</f>
        <v>3567389.5909054819</v>
      </c>
      <c r="G25" s="8">
        <f t="shared" ref="G25:BR25" si="21">AVERAGE(G18:G19)+AVERAGE(G22:G23)</f>
        <v>3460259.3774239379</v>
      </c>
      <c r="H25" s="8">
        <f t="shared" si="21"/>
        <v>3338477.4614860197</v>
      </c>
      <c r="I25" s="8">
        <f t="shared" si="21"/>
        <v>3221911.491554094</v>
      </c>
      <c r="J25" s="8">
        <f t="shared" si="21"/>
        <v>3110171.0225336645</v>
      </c>
      <c r="K25" s="8">
        <f t="shared" si="21"/>
        <v>3002895.643568268</v>
      </c>
      <c r="L25" s="8">
        <f t="shared" si="21"/>
        <v>2899749.9723331463</v>
      </c>
      <c r="M25" s="8">
        <f t="shared" si="21"/>
        <v>2800423.6550352336</v>
      </c>
      <c r="N25" s="8">
        <f t="shared" si="21"/>
        <v>2703229.7686380446</v>
      </c>
      <c r="O25" s="8">
        <f t="shared" si="21"/>
        <v>2606341.2303275783</v>
      </c>
      <c r="P25" s="8">
        <f t="shared" si="21"/>
        <v>2509452.6920171124</v>
      </c>
      <c r="Q25" s="8">
        <f t="shared" si="21"/>
        <v>2412564.1537066456</v>
      </c>
      <c r="R25" s="8">
        <f t="shared" si="21"/>
        <v>2315675.6153961802</v>
      </c>
      <c r="S25" s="8">
        <f t="shared" si="21"/>
        <v>2218787.0770857134</v>
      </c>
      <c r="T25" s="8">
        <f t="shared" si="21"/>
        <v>2121898.5387752475</v>
      </c>
      <c r="U25" s="8">
        <f t="shared" si="21"/>
        <v>2025010.0004647812</v>
      </c>
      <c r="V25" s="8">
        <f t="shared" si="21"/>
        <v>1928121.4621543149</v>
      </c>
      <c r="W25" s="8">
        <f t="shared" si="21"/>
        <v>1831232.9238438488</v>
      </c>
      <c r="X25" s="8">
        <f t="shared" si="21"/>
        <v>1734344.3855333827</v>
      </c>
      <c r="Y25" s="8">
        <f t="shared" si="21"/>
        <v>1637455.8472229163</v>
      </c>
      <c r="Z25" s="8">
        <f t="shared" si="21"/>
        <v>1551735.0397563765</v>
      </c>
      <c r="AA25" s="8">
        <f t="shared" si="21"/>
        <v>1488344.6882713502</v>
      </c>
      <c r="AB25" s="8">
        <f t="shared" si="21"/>
        <v>1436122.06763025</v>
      </c>
      <c r="AC25" s="8">
        <f t="shared" si="21"/>
        <v>1383899.4469891503</v>
      </c>
      <c r="AD25" s="8">
        <f t="shared" si="21"/>
        <v>1331676.82634805</v>
      </c>
      <c r="AE25" s="8">
        <f t="shared" si="21"/>
        <v>1279454.2057069503</v>
      </c>
      <c r="AF25" s="8">
        <f t="shared" si="21"/>
        <v>1227231.5850658501</v>
      </c>
      <c r="AG25" s="8">
        <f t="shared" si="21"/>
        <v>1175008.9644247503</v>
      </c>
      <c r="AH25" s="8">
        <f t="shared" si="21"/>
        <v>1122786.3437836501</v>
      </c>
      <c r="AI25" s="8">
        <f t="shared" si="21"/>
        <v>1070563.7231425503</v>
      </c>
      <c r="AJ25" s="8">
        <f t="shared" si="21"/>
        <v>1018341.10250145</v>
      </c>
      <c r="AK25" s="8">
        <f t="shared" si="21"/>
        <v>966118.48186035</v>
      </c>
      <c r="AL25" s="8">
        <f t="shared" si="21"/>
        <v>913895.86121925001</v>
      </c>
      <c r="AM25" s="8">
        <f t="shared" si="21"/>
        <v>861673.24057815003</v>
      </c>
      <c r="AN25" s="8">
        <f t="shared" si="21"/>
        <v>809450.61993705004</v>
      </c>
      <c r="AO25" s="8">
        <f t="shared" si="21"/>
        <v>757227.99929595005</v>
      </c>
      <c r="AP25" s="8">
        <f t="shared" si="21"/>
        <v>705005.37865485006</v>
      </c>
      <c r="AQ25" s="8">
        <f t="shared" si="21"/>
        <v>652782.75801375008</v>
      </c>
      <c r="AR25" s="8">
        <f t="shared" si="21"/>
        <v>600560.13737265009</v>
      </c>
      <c r="AS25" s="8">
        <f t="shared" si="21"/>
        <v>548337.5167315501</v>
      </c>
      <c r="AT25" s="8">
        <f t="shared" si="21"/>
        <v>496114.89609045011</v>
      </c>
      <c r="AU25" s="8">
        <f t="shared" si="21"/>
        <v>443892.27544935013</v>
      </c>
      <c r="AV25" s="8">
        <f t="shared" si="21"/>
        <v>391669.65480825014</v>
      </c>
      <c r="AW25" s="8">
        <f t="shared" si="21"/>
        <v>339447.03416715015</v>
      </c>
      <c r="AX25" s="8">
        <f t="shared" si="21"/>
        <v>287224.41352605016</v>
      </c>
      <c r="AY25" s="8">
        <f t="shared" si="21"/>
        <v>235001.79288495018</v>
      </c>
      <c r="AZ25" s="8">
        <f t="shared" si="21"/>
        <v>182779.17224385019</v>
      </c>
      <c r="BA25" s="8">
        <f t="shared" si="21"/>
        <v>130556.5516027502</v>
      </c>
      <c r="BB25" s="8">
        <f t="shared" si="21"/>
        <v>78333.930961650214</v>
      </c>
      <c r="BC25" s="8">
        <f t="shared" si="21"/>
        <v>26111.310320550219</v>
      </c>
      <c r="BD25" s="8">
        <f t="shared" si="21"/>
        <v>2.255546860396862E-10</v>
      </c>
      <c r="BE25" s="8">
        <f t="shared" si="21"/>
        <v>2.255546860396862E-10</v>
      </c>
      <c r="BF25" s="8">
        <f t="shared" si="21"/>
        <v>2.255546860396862E-10</v>
      </c>
      <c r="BG25" s="8">
        <f t="shared" si="21"/>
        <v>2.255546860396862E-10</v>
      </c>
      <c r="BH25" s="8">
        <f t="shared" si="21"/>
        <v>2.255546860396862E-10</v>
      </c>
      <c r="BI25" s="8">
        <f t="shared" si="21"/>
        <v>2.255546860396862E-10</v>
      </c>
      <c r="BJ25" s="8">
        <f t="shared" si="21"/>
        <v>2.255546860396862E-10</v>
      </c>
      <c r="BK25" s="8">
        <f t="shared" si="21"/>
        <v>2.255546860396862E-10</v>
      </c>
      <c r="BL25" s="8">
        <f t="shared" si="21"/>
        <v>2.255546860396862E-10</v>
      </c>
      <c r="BM25" s="8">
        <f t="shared" si="21"/>
        <v>2.255546860396862E-10</v>
      </c>
      <c r="BN25" s="8">
        <f t="shared" si="21"/>
        <v>2.255546860396862E-10</v>
      </c>
      <c r="BO25" s="8">
        <f t="shared" si="21"/>
        <v>2.255546860396862E-10</v>
      </c>
      <c r="BP25" s="8">
        <f t="shared" si="21"/>
        <v>2.255546860396862E-10</v>
      </c>
      <c r="BQ25" s="8">
        <f t="shared" si="21"/>
        <v>2.255546860396862E-10</v>
      </c>
      <c r="BR25" s="8">
        <f t="shared" si="21"/>
        <v>2.255546860396862E-10</v>
      </c>
      <c r="BS25" s="8">
        <f t="shared" ref="BS25:DA25" si="22">AVERAGE(BS18:BS19)+AVERAGE(BS22:BS23)</f>
        <v>2.255546860396862E-10</v>
      </c>
      <c r="BT25" s="8">
        <f t="shared" si="22"/>
        <v>2.255546860396862E-10</v>
      </c>
      <c r="BU25" s="8">
        <f t="shared" si="22"/>
        <v>2.255546860396862E-10</v>
      </c>
      <c r="BV25" s="8">
        <f t="shared" si="22"/>
        <v>2.255546860396862E-10</v>
      </c>
      <c r="BW25" s="8">
        <f t="shared" si="22"/>
        <v>2.255546860396862E-10</v>
      </c>
      <c r="BX25" s="8">
        <f t="shared" si="22"/>
        <v>2.255546860396862E-10</v>
      </c>
      <c r="BY25" s="8">
        <f t="shared" si="22"/>
        <v>2.255546860396862E-10</v>
      </c>
      <c r="BZ25" s="8">
        <f t="shared" si="22"/>
        <v>2.255546860396862E-10</v>
      </c>
      <c r="CA25" s="8">
        <f t="shared" si="22"/>
        <v>2.255546860396862E-10</v>
      </c>
      <c r="CB25" s="8">
        <f t="shared" si="22"/>
        <v>2.255546860396862E-10</v>
      </c>
      <c r="CC25" s="8">
        <f t="shared" si="22"/>
        <v>2.255546860396862E-10</v>
      </c>
      <c r="CD25" s="8">
        <f t="shared" si="22"/>
        <v>2.255546860396862E-10</v>
      </c>
      <c r="CE25" s="8">
        <f t="shared" si="22"/>
        <v>2.255546860396862E-10</v>
      </c>
      <c r="CF25" s="8">
        <f t="shared" si="22"/>
        <v>2.255546860396862E-10</v>
      </c>
      <c r="CG25" s="8">
        <f t="shared" si="22"/>
        <v>2.255546860396862E-10</v>
      </c>
      <c r="CH25" s="8">
        <f t="shared" si="22"/>
        <v>2.255546860396862E-10</v>
      </c>
      <c r="CI25" s="8">
        <f t="shared" si="22"/>
        <v>2.255546860396862E-10</v>
      </c>
      <c r="CJ25" s="8">
        <f t="shared" si="22"/>
        <v>2.255546860396862E-10</v>
      </c>
      <c r="CK25" s="8">
        <f t="shared" si="22"/>
        <v>2.255546860396862E-10</v>
      </c>
      <c r="CL25" s="8">
        <f t="shared" si="22"/>
        <v>2.255546860396862E-10</v>
      </c>
      <c r="CM25" s="8">
        <f t="shared" si="22"/>
        <v>2.255546860396862E-10</v>
      </c>
      <c r="CN25" s="8">
        <f t="shared" si="22"/>
        <v>2.255546860396862E-10</v>
      </c>
      <c r="CO25" s="8">
        <f t="shared" si="22"/>
        <v>2.255546860396862E-10</v>
      </c>
      <c r="CP25" s="8">
        <f t="shared" si="22"/>
        <v>2.255546860396862E-10</v>
      </c>
      <c r="CQ25" s="8">
        <f t="shared" si="22"/>
        <v>2.255546860396862E-10</v>
      </c>
      <c r="CR25" s="8">
        <f t="shared" si="22"/>
        <v>2.255546860396862E-10</v>
      </c>
      <c r="CS25" s="8">
        <f t="shared" si="22"/>
        <v>2.255546860396862E-10</v>
      </c>
      <c r="CT25" s="8">
        <f t="shared" si="22"/>
        <v>2.255546860396862E-10</v>
      </c>
      <c r="CU25" s="8">
        <f t="shared" si="22"/>
        <v>2.255546860396862E-10</v>
      </c>
      <c r="CV25" s="8">
        <f t="shared" si="22"/>
        <v>2.255546860396862E-10</v>
      </c>
      <c r="CW25" s="8">
        <f t="shared" si="22"/>
        <v>2.255546860396862E-10</v>
      </c>
      <c r="CX25" s="8">
        <f t="shared" si="22"/>
        <v>2.255546860396862E-10</v>
      </c>
      <c r="CY25" s="8">
        <f t="shared" si="22"/>
        <v>2.255546860396862E-10</v>
      </c>
      <c r="CZ25" s="8">
        <f t="shared" si="22"/>
        <v>2.255546860396862E-10</v>
      </c>
      <c r="DA25" s="8">
        <f t="shared" si="22"/>
        <v>2.255546860396862E-10</v>
      </c>
    </row>
    <row r="26" spans="1:106" x14ac:dyDescent="0.4"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</row>
    <row r="27" spans="1:106" x14ac:dyDescent="0.4">
      <c r="D27" t="s">
        <v>209</v>
      </c>
      <c r="E27" s="8"/>
      <c r="F27" s="8">
        <f t="shared" ref="F27:AK27" si="23">F25*AVG_PRE_TAX_RATE</f>
        <v>318567.89046785957</v>
      </c>
      <c r="G27" s="8">
        <f t="shared" si="23"/>
        <v>309001.16240395769</v>
      </c>
      <c r="H27" s="8">
        <f t="shared" si="23"/>
        <v>298126.03731070156</v>
      </c>
      <c r="I27" s="8">
        <f t="shared" si="23"/>
        <v>287716.69619578059</v>
      </c>
      <c r="J27" s="8">
        <f t="shared" si="23"/>
        <v>277738.27231225627</v>
      </c>
      <c r="K27" s="8">
        <f t="shared" si="23"/>
        <v>268158.58097064635</v>
      </c>
      <c r="L27" s="8">
        <f t="shared" si="23"/>
        <v>258947.67252934998</v>
      </c>
      <c r="M27" s="8">
        <f t="shared" si="23"/>
        <v>250077.83239464636</v>
      </c>
      <c r="N27" s="8">
        <f t="shared" si="23"/>
        <v>241398.41833937739</v>
      </c>
      <c r="O27" s="8">
        <f t="shared" si="23"/>
        <v>232746.27186825275</v>
      </c>
      <c r="P27" s="8">
        <f t="shared" si="23"/>
        <v>224094.12539712814</v>
      </c>
      <c r="Q27" s="8">
        <f t="shared" si="23"/>
        <v>215441.97892600347</v>
      </c>
      <c r="R27" s="8">
        <f t="shared" si="23"/>
        <v>206789.8324548789</v>
      </c>
      <c r="S27" s="8">
        <f t="shared" si="23"/>
        <v>198137.68598375423</v>
      </c>
      <c r="T27" s="8">
        <f t="shared" si="23"/>
        <v>189485.53951262962</v>
      </c>
      <c r="U27" s="8">
        <f t="shared" si="23"/>
        <v>180833.39304150495</v>
      </c>
      <c r="V27" s="8">
        <f t="shared" si="23"/>
        <v>172181.24657038032</v>
      </c>
      <c r="W27" s="8">
        <f t="shared" si="23"/>
        <v>163529.10009925571</v>
      </c>
      <c r="X27" s="8">
        <f t="shared" si="23"/>
        <v>154876.95362813107</v>
      </c>
      <c r="Y27" s="8">
        <f t="shared" si="23"/>
        <v>146224.80715700643</v>
      </c>
      <c r="Z27" s="8">
        <f t="shared" si="23"/>
        <v>138569.93905024443</v>
      </c>
      <c r="AA27" s="8">
        <f t="shared" si="23"/>
        <v>132909.18066263158</v>
      </c>
      <c r="AB27" s="8">
        <f t="shared" si="23"/>
        <v>128245.70063938134</v>
      </c>
      <c r="AC27" s="8">
        <f t="shared" si="23"/>
        <v>123582.22061613112</v>
      </c>
      <c r="AD27" s="8">
        <f t="shared" si="23"/>
        <v>118918.74059288087</v>
      </c>
      <c r="AE27" s="8">
        <f t="shared" si="23"/>
        <v>114255.26056963067</v>
      </c>
      <c r="AF27" s="8">
        <f t="shared" si="23"/>
        <v>109591.78054638041</v>
      </c>
      <c r="AG27" s="8">
        <f t="shared" si="23"/>
        <v>104928.30052313021</v>
      </c>
      <c r="AH27" s="8">
        <f t="shared" si="23"/>
        <v>100264.82049987996</v>
      </c>
      <c r="AI27" s="8">
        <f t="shared" si="23"/>
        <v>95601.340476629746</v>
      </c>
      <c r="AJ27" s="8">
        <f t="shared" si="23"/>
        <v>90937.860453379486</v>
      </c>
      <c r="AK27" s="8">
        <f t="shared" si="23"/>
        <v>86274.380430129255</v>
      </c>
      <c r="AL27" s="8">
        <f t="shared" ref="AL27:BQ27" si="24">AL25*AVG_PRE_TAX_RATE</f>
        <v>81610.900406879024</v>
      </c>
      <c r="AM27" s="8">
        <f t="shared" si="24"/>
        <v>76947.420383628807</v>
      </c>
      <c r="AN27" s="8">
        <f t="shared" si="24"/>
        <v>72283.940360378576</v>
      </c>
      <c r="AO27" s="8">
        <f t="shared" si="24"/>
        <v>67620.460337128345</v>
      </c>
      <c r="AP27" s="8">
        <f t="shared" si="24"/>
        <v>62956.980313878114</v>
      </c>
      <c r="AQ27" s="8">
        <f t="shared" si="24"/>
        <v>58293.500290627882</v>
      </c>
      <c r="AR27" s="8">
        <f t="shared" si="24"/>
        <v>53630.020267377658</v>
      </c>
      <c r="AS27" s="8">
        <f t="shared" si="24"/>
        <v>48966.540244127427</v>
      </c>
      <c r="AT27" s="8">
        <f t="shared" si="24"/>
        <v>44303.060220877196</v>
      </c>
      <c r="AU27" s="8">
        <f t="shared" si="24"/>
        <v>39639.580197626965</v>
      </c>
      <c r="AV27" s="8">
        <f t="shared" si="24"/>
        <v>34976.100174376741</v>
      </c>
      <c r="AW27" s="8">
        <f t="shared" si="24"/>
        <v>30312.62015112651</v>
      </c>
      <c r="AX27" s="8">
        <f t="shared" si="24"/>
        <v>25649.140127876282</v>
      </c>
      <c r="AY27" s="8">
        <f t="shared" si="24"/>
        <v>20985.660104626051</v>
      </c>
      <c r="AZ27" s="8">
        <f t="shared" si="24"/>
        <v>16322.180081375822</v>
      </c>
      <c r="BA27" s="8">
        <f t="shared" si="24"/>
        <v>11658.700058125594</v>
      </c>
      <c r="BB27" s="8">
        <f t="shared" si="24"/>
        <v>6995.220034875364</v>
      </c>
      <c r="BC27" s="8">
        <f t="shared" si="24"/>
        <v>2331.7400116251347</v>
      </c>
      <c r="BD27" s="8">
        <f t="shared" si="24"/>
        <v>2.0142033463343978E-11</v>
      </c>
      <c r="BE27" s="8">
        <f t="shared" si="24"/>
        <v>2.0142033463343978E-11</v>
      </c>
      <c r="BF27" s="8">
        <f t="shared" si="24"/>
        <v>2.0142033463343978E-11</v>
      </c>
      <c r="BG27" s="8">
        <f t="shared" si="24"/>
        <v>2.0142033463343978E-11</v>
      </c>
      <c r="BH27" s="8">
        <f t="shared" si="24"/>
        <v>2.0142033463343978E-11</v>
      </c>
      <c r="BI27" s="8">
        <f t="shared" si="24"/>
        <v>2.0142033463343978E-11</v>
      </c>
      <c r="BJ27" s="8">
        <f t="shared" si="24"/>
        <v>2.0142033463343978E-11</v>
      </c>
      <c r="BK27" s="8">
        <f t="shared" si="24"/>
        <v>2.0142033463343978E-11</v>
      </c>
      <c r="BL27" s="8">
        <f t="shared" si="24"/>
        <v>2.0142033463343978E-11</v>
      </c>
      <c r="BM27" s="8">
        <f t="shared" si="24"/>
        <v>2.0142033463343978E-11</v>
      </c>
      <c r="BN27" s="8">
        <f t="shared" si="24"/>
        <v>2.0142033463343978E-11</v>
      </c>
      <c r="BO27" s="8">
        <f t="shared" si="24"/>
        <v>2.0142033463343978E-11</v>
      </c>
      <c r="BP27" s="8">
        <f t="shared" si="24"/>
        <v>2.0142033463343978E-11</v>
      </c>
      <c r="BQ27" s="8">
        <f t="shared" si="24"/>
        <v>2.0142033463343978E-11</v>
      </c>
      <c r="BR27" s="8">
        <f t="shared" ref="BR27:DA27" si="25">BR25*AVG_PRE_TAX_RATE</f>
        <v>2.0142033463343978E-11</v>
      </c>
      <c r="BS27" s="8">
        <f t="shared" si="25"/>
        <v>2.0142033463343978E-11</v>
      </c>
      <c r="BT27" s="8">
        <f t="shared" si="25"/>
        <v>2.0142033463343978E-11</v>
      </c>
      <c r="BU27" s="8">
        <f t="shared" si="25"/>
        <v>2.0142033463343978E-11</v>
      </c>
      <c r="BV27" s="8">
        <f t="shared" si="25"/>
        <v>2.0142033463343978E-11</v>
      </c>
      <c r="BW27" s="8">
        <f t="shared" si="25"/>
        <v>2.0142033463343978E-11</v>
      </c>
      <c r="BX27" s="8">
        <f t="shared" si="25"/>
        <v>2.0142033463343978E-11</v>
      </c>
      <c r="BY27" s="8">
        <f t="shared" si="25"/>
        <v>2.0142033463343978E-11</v>
      </c>
      <c r="BZ27" s="8">
        <f t="shared" si="25"/>
        <v>2.0142033463343978E-11</v>
      </c>
      <c r="CA27" s="8">
        <f t="shared" si="25"/>
        <v>2.0142033463343978E-11</v>
      </c>
      <c r="CB27" s="8">
        <f t="shared" si="25"/>
        <v>2.0142033463343978E-11</v>
      </c>
      <c r="CC27" s="8">
        <f t="shared" si="25"/>
        <v>2.0142033463343978E-11</v>
      </c>
      <c r="CD27" s="8">
        <f t="shared" si="25"/>
        <v>2.0142033463343978E-11</v>
      </c>
      <c r="CE27" s="8">
        <f t="shared" si="25"/>
        <v>2.0142033463343978E-11</v>
      </c>
      <c r="CF27" s="8">
        <f t="shared" si="25"/>
        <v>2.0142033463343978E-11</v>
      </c>
      <c r="CG27" s="8">
        <f t="shared" si="25"/>
        <v>2.0142033463343978E-11</v>
      </c>
      <c r="CH27" s="8">
        <f t="shared" si="25"/>
        <v>2.0142033463343978E-11</v>
      </c>
      <c r="CI27" s="8">
        <f t="shared" si="25"/>
        <v>2.0142033463343978E-11</v>
      </c>
      <c r="CJ27" s="8">
        <f t="shared" si="25"/>
        <v>2.0142033463343978E-11</v>
      </c>
      <c r="CK27" s="8">
        <f t="shared" si="25"/>
        <v>2.0142033463343978E-11</v>
      </c>
      <c r="CL27" s="8">
        <f t="shared" si="25"/>
        <v>2.0142033463343978E-11</v>
      </c>
      <c r="CM27" s="8">
        <f t="shared" si="25"/>
        <v>2.0142033463343978E-11</v>
      </c>
      <c r="CN27" s="8">
        <f t="shared" si="25"/>
        <v>2.0142033463343978E-11</v>
      </c>
      <c r="CO27" s="8">
        <f t="shared" si="25"/>
        <v>2.0142033463343978E-11</v>
      </c>
      <c r="CP27" s="8">
        <f t="shared" si="25"/>
        <v>2.0142033463343978E-11</v>
      </c>
      <c r="CQ27" s="8">
        <f t="shared" si="25"/>
        <v>2.0142033463343978E-11</v>
      </c>
      <c r="CR27" s="8">
        <f t="shared" si="25"/>
        <v>2.0142033463343978E-11</v>
      </c>
      <c r="CS27" s="8">
        <f t="shared" si="25"/>
        <v>2.0142033463343978E-11</v>
      </c>
      <c r="CT27" s="8">
        <f t="shared" si="25"/>
        <v>2.0142033463343978E-11</v>
      </c>
      <c r="CU27" s="8">
        <f t="shared" si="25"/>
        <v>2.0142033463343978E-11</v>
      </c>
      <c r="CV27" s="8">
        <f t="shared" si="25"/>
        <v>2.0142033463343978E-11</v>
      </c>
      <c r="CW27" s="8">
        <f t="shared" si="25"/>
        <v>2.0142033463343978E-11</v>
      </c>
      <c r="CX27" s="8">
        <f t="shared" si="25"/>
        <v>2.0142033463343978E-11</v>
      </c>
      <c r="CY27" s="8">
        <f t="shared" si="25"/>
        <v>2.0142033463343978E-11</v>
      </c>
      <c r="CZ27" s="8">
        <f t="shared" si="25"/>
        <v>2.0142033463343978E-11</v>
      </c>
      <c r="DA27" s="8">
        <f t="shared" si="25"/>
        <v>2.0142033463343978E-11</v>
      </c>
    </row>
    <row r="30" spans="1:106" x14ac:dyDescent="0.4">
      <c r="C30" s="58" t="str">
        <f>C13</f>
        <v>Investment year in service</v>
      </c>
      <c r="E30" t="str">
        <f>IF(E31&lt;$C31,"",E31-$C31)</f>
        <v/>
      </c>
      <c r="F30">
        <f>IF(F31&lt;$C31,"",F31-$C31)</f>
        <v>0</v>
      </c>
      <c r="G30">
        <f t="shared" ref="G30:BR30" si="26">IF(G31&lt;$C31,"",G31-$C31)</f>
        <v>1</v>
      </c>
      <c r="H30">
        <f t="shared" si="26"/>
        <v>2</v>
      </c>
      <c r="I30">
        <f t="shared" si="26"/>
        <v>3</v>
      </c>
      <c r="J30">
        <f t="shared" si="26"/>
        <v>4</v>
      </c>
      <c r="K30">
        <f t="shared" si="26"/>
        <v>5</v>
      </c>
      <c r="L30">
        <f t="shared" si="26"/>
        <v>6</v>
      </c>
      <c r="M30">
        <f t="shared" si="26"/>
        <v>7</v>
      </c>
      <c r="N30">
        <f t="shared" si="26"/>
        <v>8</v>
      </c>
      <c r="O30">
        <f t="shared" si="26"/>
        <v>9</v>
      </c>
      <c r="P30">
        <f t="shared" si="26"/>
        <v>10</v>
      </c>
      <c r="Q30">
        <f t="shared" si="26"/>
        <v>11</v>
      </c>
      <c r="R30">
        <f t="shared" si="26"/>
        <v>12</v>
      </c>
      <c r="S30">
        <f t="shared" si="26"/>
        <v>13</v>
      </c>
      <c r="T30">
        <f t="shared" si="26"/>
        <v>14</v>
      </c>
      <c r="U30">
        <f t="shared" si="26"/>
        <v>15</v>
      </c>
      <c r="V30">
        <f t="shared" si="26"/>
        <v>16</v>
      </c>
      <c r="W30">
        <f t="shared" si="26"/>
        <v>17</v>
      </c>
      <c r="X30">
        <f t="shared" si="26"/>
        <v>18</v>
      </c>
      <c r="Y30">
        <f t="shared" si="26"/>
        <v>19</v>
      </c>
      <c r="Z30">
        <f t="shared" si="26"/>
        <v>20</v>
      </c>
      <c r="AA30">
        <f t="shared" si="26"/>
        <v>21</v>
      </c>
      <c r="AB30">
        <f t="shared" si="26"/>
        <v>22</v>
      </c>
      <c r="AC30">
        <f t="shared" si="26"/>
        <v>23</v>
      </c>
      <c r="AD30">
        <f t="shared" si="26"/>
        <v>24</v>
      </c>
      <c r="AE30">
        <f t="shared" si="26"/>
        <v>25</v>
      </c>
      <c r="AF30">
        <f t="shared" si="26"/>
        <v>26</v>
      </c>
      <c r="AG30">
        <f t="shared" si="26"/>
        <v>27</v>
      </c>
      <c r="AH30">
        <f t="shared" si="26"/>
        <v>28</v>
      </c>
      <c r="AI30">
        <f t="shared" si="26"/>
        <v>29</v>
      </c>
      <c r="AJ30">
        <f t="shared" si="26"/>
        <v>30</v>
      </c>
      <c r="AK30">
        <f t="shared" si="26"/>
        <v>31</v>
      </c>
      <c r="AL30">
        <f t="shared" si="26"/>
        <v>32</v>
      </c>
      <c r="AM30">
        <f t="shared" si="26"/>
        <v>33</v>
      </c>
      <c r="AN30">
        <f t="shared" si="26"/>
        <v>34</v>
      </c>
      <c r="AO30">
        <f t="shared" si="26"/>
        <v>35</v>
      </c>
      <c r="AP30">
        <f t="shared" si="26"/>
        <v>36</v>
      </c>
      <c r="AQ30">
        <f t="shared" si="26"/>
        <v>37</v>
      </c>
      <c r="AR30">
        <f t="shared" si="26"/>
        <v>38</v>
      </c>
      <c r="AS30">
        <f t="shared" si="26"/>
        <v>39</v>
      </c>
      <c r="AT30">
        <f t="shared" si="26"/>
        <v>40</v>
      </c>
      <c r="AU30">
        <f t="shared" si="26"/>
        <v>41</v>
      </c>
      <c r="AV30">
        <f t="shared" si="26"/>
        <v>42</v>
      </c>
      <c r="AW30">
        <f t="shared" si="26"/>
        <v>43</v>
      </c>
      <c r="AX30">
        <f t="shared" si="26"/>
        <v>44</v>
      </c>
      <c r="AY30">
        <f t="shared" si="26"/>
        <v>45</v>
      </c>
      <c r="AZ30">
        <f t="shared" si="26"/>
        <v>46</v>
      </c>
      <c r="BA30">
        <f t="shared" si="26"/>
        <v>47</v>
      </c>
      <c r="BB30">
        <f t="shared" si="26"/>
        <v>48</v>
      </c>
      <c r="BC30">
        <f t="shared" si="26"/>
        <v>49</v>
      </c>
      <c r="BD30">
        <f t="shared" si="26"/>
        <v>50</v>
      </c>
      <c r="BE30">
        <f t="shared" si="26"/>
        <v>51</v>
      </c>
      <c r="BF30">
        <f t="shared" si="26"/>
        <v>52</v>
      </c>
      <c r="BG30">
        <f t="shared" si="26"/>
        <v>53</v>
      </c>
      <c r="BH30">
        <f t="shared" si="26"/>
        <v>54</v>
      </c>
      <c r="BI30">
        <f t="shared" si="26"/>
        <v>55</v>
      </c>
      <c r="BJ30">
        <f t="shared" si="26"/>
        <v>56</v>
      </c>
      <c r="BK30">
        <f t="shared" si="26"/>
        <v>57</v>
      </c>
      <c r="BL30">
        <f t="shared" si="26"/>
        <v>58</v>
      </c>
      <c r="BM30">
        <f t="shared" si="26"/>
        <v>59</v>
      </c>
      <c r="BN30">
        <f t="shared" si="26"/>
        <v>60</v>
      </c>
      <c r="BO30">
        <f t="shared" si="26"/>
        <v>61</v>
      </c>
      <c r="BP30">
        <f t="shared" si="26"/>
        <v>62</v>
      </c>
      <c r="BQ30">
        <f t="shared" si="26"/>
        <v>63</v>
      </c>
      <c r="BR30">
        <f t="shared" si="26"/>
        <v>64</v>
      </c>
      <c r="BS30">
        <f t="shared" ref="BS30:DA30" si="27">IF(BS31&lt;$C31,"",BS31-$C31)</f>
        <v>65</v>
      </c>
      <c r="BT30">
        <f t="shared" si="27"/>
        <v>66</v>
      </c>
      <c r="BU30">
        <f t="shared" si="27"/>
        <v>67</v>
      </c>
      <c r="BV30">
        <f t="shared" si="27"/>
        <v>68</v>
      </c>
      <c r="BW30">
        <f t="shared" si="27"/>
        <v>69</v>
      </c>
      <c r="BX30">
        <f t="shared" si="27"/>
        <v>70</v>
      </c>
      <c r="BY30">
        <f t="shared" si="27"/>
        <v>71</v>
      </c>
      <c r="BZ30">
        <f t="shared" si="27"/>
        <v>72</v>
      </c>
      <c r="CA30">
        <f t="shared" si="27"/>
        <v>73</v>
      </c>
      <c r="CB30">
        <f t="shared" si="27"/>
        <v>74</v>
      </c>
      <c r="CC30">
        <f t="shared" si="27"/>
        <v>75</v>
      </c>
      <c r="CD30">
        <f t="shared" si="27"/>
        <v>76</v>
      </c>
      <c r="CE30">
        <f t="shared" si="27"/>
        <v>77</v>
      </c>
      <c r="CF30">
        <f t="shared" si="27"/>
        <v>78</v>
      </c>
      <c r="CG30">
        <f t="shared" si="27"/>
        <v>79</v>
      </c>
      <c r="CH30">
        <f t="shared" si="27"/>
        <v>80</v>
      </c>
      <c r="CI30">
        <f t="shared" si="27"/>
        <v>81</v>
      </c>
      <c r="CJ30">
        <f t="shared" si="27"/>
        <v>82</v>
      </c>
      <c r="CK30">
        <f t="shared" si="27"/>
        <v>83</v>
      </c>
      <c r="CL30">
        <f t="shared" si="27"/>
        <v>84</v>
      </c>
      <c r="CM30">
        <f t="shared" si="27"/>
        <v>85</v>
      </c>
      <c r="CN30">
        <f t="shared" si="27"/>
        <v>86</v>
      </c>
      <c r="CO30">
        <f t="shared" si="27"/>
        <v>87</v>
      </c>
      <c r="CP30">
        <f t="shared" si="27"/>
        <v>88</v>
      </c>
      <c r="CQ30">
        <f t="shared" si="27"/>
        <v>89</v>
      </c>
      <c r="CR30">
        <f t="shared" si="27"/>
        <v>90</v>
      </c>
      <c r="CS30">
        <f t="shared" si="27"/>
        <v>91</v>
      </c>
      <c r="CT30">
        <f t="shared" si="27"/>
        <v>92</v>
      </c>
      <c r="CU30">
        <f t="shared" si="27"/>
        <v>93</v>
      </c>
      <c r="CV30">
        <f t="shared" si="27"/>
        <v>94</v>
      </c>
      <c r="CW30">
        <f t="shared" si="27"/>
        <v>95</v>
      </c>
      <c r="CX30">
        <f t="shared" si="27"/>
        <v>96</v>
      </c>
      <c r="CY30">
        <f t="shared" si="27"/>
        <v>97</v>
      </c>
      <c r="CZ30">
        <f t="shared" si="27"/>
        <v>98</v>
      </c>
      <c r="DA30">
        <f t="shared" si="27"/>
        <v>99</v>
      </c>
    </row>
    <row r="31" spans="1:106" x14ac:dyDescent="0.4">
      <c r="A31" s="54" t="s">
        <v>186</v>
      </c>
      <c r="C31">
        <f>C14+1</f>
        <v>2028</v>
      </c>
      <c r="D31" s="5" t="s">
        <v>434</v>
      </c>
      <c r="E31" s="5">
        <v>2027</v>
      </c>
      <c r="F31" s="5">
        <v>2028</v>
      </c>
      <c r="G31" s="5">
        <v>2029</v>
      </c>
      <c r="H31" s="5">
        <v>2030</v>
      </c>
      <c r="I31" s="5">
        <v>2031</v>
      </c>
      <c r="J31" s="5">
        <v>2032</v>
      </c>
      <c r="K31" s="5">
        <v>2033</v>
      </c>
      <c r="L31" s="5">
        <v>2034</v>
      </c>
      <c r="M31" s="5">
        <v>2035</v>
      </c>
      <c r="N31" s="5">
        <v>2036</v>
      </c>
      <c r="O31" s="5">
        <v>2037</v>
      </c>
      <c r="P31" s="5">
        <v>2038</v>
      </c>
      <c r="Q31" s="5">
        <v>2039</v>
      </c>
      <c r="R31" s="5">
        <v>2040</v>
      </c>
      <c r="S31" s="5">
        <v>2041</v>
      </c>
      <c r="T31" s="5">
        <v>2042</v>
      </c>
      <c r="U31" s="5">
        <v>2043</v>
      </c>
      <c r="V31" s="5">
        <v>2044</v>
      </c>
      <c r="W31" s="5">
        <v>2045</v>
      </c>
      <c r="X31" s="5">
        <v>2046</v>
      </c>
      <c r="Y31" s="5">
        <v>2047</v>
      </c>
      <c r="Z31" s="5">
        <v>2048</v>
      </c>
      <c r="AA31" s="5">
        <v>2049</v>
      </c>
      <c r="AB31" s="5">
        <v>2050</v>
      </c>
      <c r="AC31" s="5">
        <v>2051</v>
      </c>
      <c r="AD31" s="5">
        <v>2052</v>
      </c>
      <c r="AE31" s="5">
        <v>2053</v>
      </c>
      <c r="AF31" s="5">
        <v>2054</v>
      </c>
      <c r="AG31" s="5">
        <v>2055</v>
      </c>
      <c r="AH31" s="5">
        <v>2056</v>
      </c>
      <c r="AI31" s="5">
        <v>2057</v>
      </c>
      <c r="AJ31" s="5">
        <v>2058</v>
      </c>
      <c r="AK31" s="5">
        <v>2059</v>
      </c>
      <c r="AL31" s="5">
        <v>2060</v>
      </c>
      <c r="AM31" s="5">
        <v>2061</v>
      </c>
      <c r="AN31" s="5">
        <v>2062</v>
      </c>
      <c r="AO31" s="5">
        <v>2063</v>
      </c>
      <c r="AP31" s="5">
        <v>2064</v>
      </c>
      <c r="AQ31" s="5">
        <v>2065</v>
      </c>
      <c r="AR31" s="5">
        <v>2066</v>
      </c>
      <c r="AS31" s="5">
        <v>2067</v>
      </c>
      <c r="AT31" s="5">
        <v>2068</v>
      </c>
      <c r="AU31" s="5">
        <v>2069</v>
      </c>
      <c r="AV31" s="5">
        <v>2070</v>
      </c>
      <c r="AW31" s="5">
        <v>2071</v>
      </c>
      <c r="AX31" s="5">
        <v>2072</v>
      </c>
      <c r="AY31" s="5">
        <v>2073</v>
      </c>
      <c r="AZ31" s="5">
        <v>2074</v>
      </c>
      <c r="BA31" s="5">
        <v>2075</v>
      </c>
      <c r="BB31" s="5">
        <v>2076</v>
      </c>
      <c r="BC31" s="5">
        <v>2077</v>
      </c>
      <c r="BD31" s="5">
        <v>2078</v>
      </c>
      <c r="BE31" s="5">
        <v>2079</v>
      </c>
      <c r="BF31" s="5">
        <v>2080</v>
      </c>
      <c r="BG31" s="5">
        <v>2081</v>
      </c>
      <c r="BH31" s="5">
        <v>2082</v>
      </c>
      <c r="BI31" s="5">
        <v>2083</v>
      </c>
      <c r="BJ31" s="5">
        <v>2084</v>
      </c>
      <c r="BK31" s="5">
        <v>2085</v>
      </c>
      <c r="BL31" s="5">
        <v>2086</v>
      </c>
      <c r="BM31" s="5">
        <v>2087</v>
      </c>
      <c r="BN31" s="5">
        <v>2088</v>
      </c>
      <c r="BO31" s="5">
        <v>2089</v>
      </c>
      <c r="BP31" s="5">
        <v>2090</v>
      </c>
      <c r="BQ31" s="5">
        <v>2091</v>
      </c>
      <c r="BR31" s="5">
        <v>2092</v>
      </c>
      <c r="BS31" s="5">
        <v>2093</v>
      </c>
      <c r="BT31" s="5">
        <v>2094</v>
      </c>
      <c r="BU31" s="5">
        <v>2095</v>
      </c>
      <c r="BV31" s="5">
        <v>2096</v>
      </c>
      <c r="BW31" s="5">
        <v>2097</v>
      </c>
      <c r="BX31" s="5">
        <v>2098</v>
      </c>
      <c r="BY31" s="5">
        <v>2099</v>
      </c>
      <c r="BZ31" s="5">
        <v>2100</v>
      </c>
      <c r="CA31" s="5">
        <v>2101</v>
      </c>
      <c r="CB31" s="5">
        <v>2102</v>
      </c>
      <c r="CC31" s="5">
        <v>2103</v>
      </c>
      <c r="CD31" s="5">
        <v>2104</v>
      </c>
      <c r="CE31" s="5">
        <v>2105</v>
      </c>
      <c r="CF31" s="5">
        <v>2106</v>
      </c>
      <c r="CG31" s="5">
        <v>2107</v>
      </c>
      <c r="CH31" s="5">
        <v>2108</v>
      </c>
      <c r="CI31" s="5">
        <v>2109</v>
      </c>
      <c r="CJ31" s="5">
        <v>2110</v>
      </c>
      <c r="CK31" s="5">
        <v>2111</v>
      </c>
      <c r="CL31" s="5">
        <v>2112</v>
      </c>
      <c r="CM31" s="5">
        <v>2113</v>
      </c>
      <c r="CN31" s="5">
        <v>2114</v>
      </c>
      <c r="CO31" s="5">
        <v>2115</v>
      </c>
      <c r="CP31" s="5">
        <v>2116</v>
      </c>
      <c r="CQ31" s="5">
        <v>2117</v>
      </c>
      <c r="CR31" s="5">
        <v>2118</v>
      </c>
      <c r="CS31" s="5">
        <v>2119</v>
      </c>
      <c r="CT31" s="5">
        <v>2120</v>
      </c>
      <c r="CU31" s="5">
        <v>2121</v>
      </c>
      <c r="CV31" s="5">
        <v>2122</v>
      </c>
      <c r="CW31" s="5">
        <v>2123</v>
      </c>
      <c r="CX31" s="5">
        <v>2124</v>
      </c>
      <c r="CY31" s="5">
        <v>2125</v>
      </c>
      <c r="CZ31" s="5">
        <v>2126</v>
      </c>
      <c r="DA31" s="5">
        <v>2127</v>
      </c>
    </row>
    <row r="32" spans="1:106" x14ac:dyDescent="0.4">
      <c r="A32" s="45">
        <f>SUM(F32:DA32)</f>
        <v>3691742.2905999986</v>
      </c>
      <c r="D32" t="s">
        <v>207</v>
      </c>
      <c r="G32" s="8">
        <f>IF(G$13&lt;=$B$3,G33/$B$3,0)</f>
        <v>73834.845812000014</v>
      </c>
      <c r="H32" s="8">
        <f>IF(H30&lt;=$B$3,G32,0)</f>
        <v>73834.845812000014</v>
      </c>
      <c r="I32" s="8">
        <f t="shared" ref="I32:BT32" si="28">IF(I30&lt;=$B$3,H32,0)</f>
        <v>73834.845812000014</v>
      </c>
      <c r="J32" s="8">
        <f t="shared" si="28"/>
        <v>73834.845812000014</v>
      </c>
      <c r="K32" s="8">
        <f t="shared" si="28"/>
        <v>73834.845812000014</v>
      </c>
      <c r="L32" s="8">
        <f t="shared" si="28"/>
        <v>73834.845812000014</v>
      </c>
      <c r="M32" s="8">
        <f t="shared" si="28"/>
        <v>73834.845812000014</v>
      </c>
      <c r="N32" s="8">
        <f t="shared" si="28"/>
        <v>73834.845812000014</v>
      </c>
      <c r="O32" s="8">
        <f t="shared" si="28"/>
        <v>73834.845812000014</v>
      </c>
      <c r="P32" s="8">
        <f t="shared" si="28"/>
        <v>73834.845812000014</v>
      </c>
      <c r="Q32" s="8">
        <f t="shared" si="28"/>
        <v>73834.845812000014</v>
      </c>
      <c r="R32" s="8">
        <f t="shared" si="28"/>
        <v>73834.845812000014</v>
      </c>
      <c r="S32" s="8">
        <f t="shared" si="28"/>
        <v>73834.845812000014</v>
      </c>
      <c r="T32" s="8">
        <f t="shared" si="28"/>
        <v>73834.845812000014</v>
      </c>
      <c r="U32" s="8">
        <f t="shared" si="28"/>
        <v>73834.845812000014</v>
      </c>
      <c r="V32" s="8">
        <f t="shared" si="28"/>
        <v>73834.845812000014</v>
      </c>
      <c r="W32" s="8">
        <f t="shared" si="28"/>
        <v>73834.845812000014</v>
      </c>
      <c r="X32" s="8">
        <f t="shared" si="28"/>
        <v>73834.845812000014</v>
      </c>
      <c r="Y32" s="8">
        <f t="shared" si="28"/>
        <v>73834.845812000014</v>
      </c>
      <c r="Z32" s="8">
        <f t="shared" si="28"/>
        <v>73834.845812000014</v>
      </c>
      <c r="AA32" s="8">
        <f t="shared" si="28"/>
        <v>73834.845812000014</v>
      </c>
      <c r="AB32" s="8">
        <f t="shared" si="28"/>
        <v>73834.845812000014</v>
      </c>
      <c r="AC32" s="8">
        <f t="shared" si="28"/>
        <v>73834.845812000014</v>
      </c>
      <c r="AD32" s="8">
        <f t="shared" si="28"/>
        <v>73834.845812000014</v>
      </c>
      <c r="AE32" s="8">
        <f t="shared" si="28"/>
        <v>73834.845812000014</v>
      </c>
      <c r="AF32" s="8">
        <f t="shared" si="28"/>
        <v>73834.845812000014</v>
      </c>
      <c r="AG32" s="8">
        <f t="shared" si="28"/>
        <v>73834.845812000014</v>
      </c>
      <c r="AH32" s="8">
        <f t="shared" si="28"/>
        <v>73834.845812000014</v>
      </c>
      <c r="AI32" s="8">
        <f t="shared" si="28"/>
        <v>73834.845812000014</v>
      </c>
      <c r="AJ32" s="8">
        <f t="shared" si="28"/>
        <v>73834.845812000014</v>
      </c>
      <c r="AK32" s="8">
        <f t="shared" si="28"/>
        <v>73834.845812000014</v>
      </c>
      <c r="AL32" s="8">
        <f t="shared" si="28"/>
        <v>73834.845812000014</v>
      </c>
      <c r="AM32" s="8">
        <f t="shared" si="28"/>
        <v>73834.845812000014</v>
      </c>
      <c r="AN32" s="8">
        <f t="shared" si="28"/>
        <v>73834.845812000014</v>
      </c>
      <c r="AO32" s="8">
        <f t="shared" si="28"/>
        <v>73834.845812000014</v>
      </c>
      <c r="AP32" s="8">
        <f t="shared" si="28"/>
        <v>73834.845812000014</v>
      </c>
      <c r="AQ32" s="8">
        <f t="shared" si="28"/>
        <v>73834.845812000014</v>
      </c>
      <c r="AR32" s="8">
        <f t="shared" si="28"/>
        <v>73834.845812000014</v>
      </c>
      <c r="AS32" s="8">
        <f t="shared" si="28"/>
        <v>73834.845812000014</v>
      </c>
      <c r="AT32" s="8">
        <f t="shared" si="28"/>
        <v>73834.845812000014</v>
      </c>
      <c r="AU32" s="8">
        <f t="shared" si="28"/>
        <v>73834.845812000014</v>
      </c>
      <c r="AV32" s="8">
        <f t="shared" si="28"/>
        <v>73834.845812000014</v>
      </c>
      <c r="AW32" s="8">
        <f t="shared" si="28"/>
        <v>73834.845812000014</v>
      </c>
      <c r="AX32" s="8">
        <f t="shared" si="28"/>
        <v>73834.845812000014</v>
      </c>
      <c r="AY32" s="8">
        <f t="shared" si="28"/>
        <v>73834.845812000014</v>
      </c>
      <c r="AZ32" s="8">
        <f t="shared" si="28"/>
        <v>73834.845812000014</v>
      </c>
      <c r="BA32" s="8">
        <f t="shared" si="28"/>
        <v>73834.845812000014</v>
      </c>
      <c r="BB32" s="8">
        <f t="shared" si="28"/>
        <v>73834.845812000014</v>
      </c>
      <c r="BC32" s="8">
        <f t="shared" si="28"/>
        <v>73834.845812000014</v>
      </c>
      <c r="BD32" s="8">
        <f t="shared" si="28"/>
        <v>73834.845812000014</v>
      </c>
      <c r="BE32" s="8">
        <f t="shared" si="28"/>
        <v>0</v>
      </c>
      <c r="BF32" s="8">
        <f t="shared" si="28"/>
        <v>0</v>
      </c>
      <c r="BG32" s="8">
        <f t="shared" si="28"/>
        <v>0</v>
      </c>
      <c r="BH32" s="8">
        <f t="shared" si="28"/>
        <v>0</v>
      </c>
      <c r="BI32" s="8">
        <f t="shared" si="28"/>
        <v>0</v>
      </c>
      <c r="BJ32" s="8">
        <f t="shared" si="28"/>
        <v>0</v>
      </c>
      <c r="BK32" s="8">
        <f t="shared" si="28"/>
        <v>0</v>
      </c>
      <c r="BL32" s="8">
        <f t="shared" si="28"/>
        <v>0</v>
      </c>
      <c r="BM32" s="8">
        <f t="shared" si="28"/>
        <v>0</v>
      </c>
      <c r="BN32" s="8">
        <f t="shared" si="28"/>
        <v>0</v>
      </c>
      <c r="BO32" s="8">
        <f t="shared" si="28"/>
        <v>0</v>
      </c>
      <c r="BP32" s="8">
        <f t="shared" si="28"/>
        <v>0</v>
      </c>
      <c r="BQ32" s="8">
        <f t="shared" si="28"/>
        <v>0</v>
      </c>
      <c r="BR32" s="8">
        <f t="shared" si="28"/>
        <v>0</v>
      </c>
      <c r="BS32" s="8">
        <f t="shared" si="28"/>
        <v>0</v>
      </c>
      <c r="BT32" s="8">
        <f t="shared" si="28"/>
        <v>0</v>
      </c>
      <c r="BU32" s="8">
        <f t="shared" ref="BU32:DA32" si="29">IF(BU30&lt;=$B$3,BT32,0)</f>
        <v>0</v>
      </c>
      <c r="BV32" s="8">
        <f t="shared" si="29"/>
        <v>0</v>
      </c>
      <c r="BW32" s="8">
        <f t="shared" si="29"/>
        <v>0</v>
      </c>
      <c r="BX32" s="8">
        <f t="shared" si="29"/>
        <v>0</v>
      </c>
      <c r="BY32" s="8">
        <f t="shared" si="29"/>
        <v>0</v>
      </c>
      <c r="BZ32" s="8">
        <f t="shared" si="29"/>
        <v>0</v>
      </c>
      <c r="CA32" s="8">
        <f t="shared" si="29"/>
        <v>0</v>
      </c>
      <c r="CB32" s="8">
        <f t="shared" si="29"/>
        <v>0</v>
      </c>
      <c r="CC32" s="8">
        <f t="shared" si="29"/>
        <v>0</v>
      </c>
      <c r="CD32" s="8">
        <f t="shared" si="29"/>
        <v>0</v>
      </c>
      <c r="CE32" s="8">
        <f t="shared" si="29"/>
        <v>0</v>
      </c>
      <c r="CF32" s="8">
        <f t="shared" si="29"/>
        <v>0</v>
      </c>
      <c r="CG32" s="8">
        <f t="shared" si="29"/>
        <v>0</v>
      </c>
      <c r="CH32" s="8">
        <f t="shared" si="29"/>
        <v>0</v>
      </c>
      <c r="CI32" s="8">
        <f t="shared" si="29"/>
        <v>0</v>
      </c>
      <c r="CJ32" s="8">
        <f t="shared" si="29"/>
        <v>0</v>
      </c>
      <c r="CK32" s="8">
        <f t="shared" si="29"/>
        <v>0</v>
      </c>
      <c r="CL32" s="8">
        <f t="shared" si="29"/>
        <v>0</v>
      </c>
      <c r="CM32" s="8">
        <f t="shared" si="29"/>
        <v>0</v>
      </c>
      <c r="CN32" s="8">
        <f t="shared" si="29"/>
        <v>0</v>
      </c>
      <c r="CO32" s="8">
        <f t="shared" si="29"/>
        <v>0</v>
      </c>
      <c r="CP32" s="8">
        <f t="shared" si="29"/>
        <v>0</v>
      </c>
      <c r="CQ32" s="8">
        <f t="shared" si="29"/>
        <v>0</v>
      </c>
      <c r="CR32" s="8">
        <f t="shared" si="29"/>
        <v>0</v>
      </c>
      <c r="CS32" s="8">
        <f t="shared" si="29"/>
        <v>0</v>
      </c>
      <c r="CT32" s="8">
        <f t="shared" si="29"/>
        <v>0</v>
      </c>
      <c r="CU32" s="8">
        <f t="shared" si="29"/>
        <v>0</v>
      </c>
      <c r="CV32" s="8">
        <f t="shared" si="29"/>
        <v>0</v>
      </c>
      <c r="CW32" s="8">
        <f t="shared" si="29"/>
        <v>0</v>
      </c>
      <c r="CX32" s="8">
        <f t="shared" si="29"/>
        <v>0</v>
      </c>
      <c r="CY32" s="8">
        <f t="shared" si="29"/>
        <v>0</v>
      </c>
      <c r="CZ32" s="8">
        <f t="shared" si="29"/>
        <v>0</v>
      </c>
      <c r="DA32" s="8">
        <f t="shared" si="29"/>
        <v>0</v>
      </c>
      <c r="DB32" s="8"/>
    </row>
    <row r="33" spans="1:106" x14ac:dyDescent="0.4">
      <c r="A33" s="82"/>
      <c r="D33" t="s">
        <v>154</v>
      </c>
      <c r="F33" s="8">
        <f>HLOOKUP(G31,$F$3:$O$10,7,0)</f>
        <v>3691742.2906000004</v>
      </c>
      <c r="G33" s="8">
        <f>IF(ROUND(F34,4)=-ROUND(F33,4),0,F33)</f>
        <v>3691742.2906000004</v>
      </c>
      <c r="H33" s="8">
        <f t="shared" ref="H33:BS33" si="30">IF(ROUND(G34,4)=-ROUND(G33,4),0,G33)</f>
        <v>3691742.2906000004</v>
      </c>
      <c r="I33" s="8">
        <f t="shared" si="30"/>
        <v>3691742.2906000004</v>
      </c>
      <c r="J33" s="8">
        <f t="shared" si="30"/>
        <v>3691742.2906000004</v>
      </c>
      <c r="K33" s="8">
        <f t="shared" si="30"/>
        <v>3691742.2906000004</v>
      </c>
      <c r="L33" s="8">
        <f t="shared" si="30"/>
        <v>3691742.2906000004</v>
      </c>
      <c r="M33" s="8">
        <f t="shared" si="30"/>
        <v>3691742.2906000004</v>
      </c>
      <c r="N33" s="8">
        <f t="shared" si="30"/>
        <v>3691742.2906000004</v>
      </c>
      <c r="O33" s="8">
        <f t="shared" si="30"/>
        <v>3691742.2906000004</v>
      </c>
      <c r="P33" s="8">
        <f t="shared" si="30"/>
        <v>3691742.2906000004</v>
      </c>
      <c r="Q33" s="8">
        <f t="shared" si="30"/>
        <v>3691742.2906000004</v>
      </c>
      <c r="R33" s="8">
        <f t="shared" si="30"/>
        <v>3691742.2906000004</v>
      </c>
      <c r="S33" s="8">
        <f t="shared" si="30"/>
        <v>3691742.2906000004</v>
      </c>
      <c r="T33" s="8">
        <f t="shared" si="30"/>
        <v>3691742.2906000004</v>
      </c>
      <c r="U33" s="8">
        <f t="shared" si="30"/>
        <v>3691742.2906000004</v>
      </c>
      <c r="V33" s="8">
        <f t="shared" si="30"/>
        <v>3691742.2906000004</v>
      </c>
      <c r="W33" s="8">
        <f t="shared" si="30"/>
        <v>3691742.2906000004</v>
      </c>
      <c r="X33" s="8">
        <f t="shared" si="30"/>
        <v>3691742.2906000004</v>
      </c>
      <c r="Y33" s="8">
        <f t="shared" si="30"/>
        <v>3691742.2906000004</v>
      </c>
      <c r="Z33" s="8">
        <f t="shared" si="30"/>
        <v>3691742.2906000004</v>
      </c>
      <c r="AA33" s="8">
        <f t="shared" si="30"/>
        <v>3691742.2906000004</v>
      </c>
      <c r="AB33" s="8">
        <f t="shared" si="30"/>
        <v>3691742.2906000004</v>
      </c>
      <c r="AC33" s="8">
        <f t="shared" si="30"/>
        <v>3691742.2906000004</v>
      </c>
      <c r="AD33" s="8">
        <f t="shared" si="30"/>
        <v>3691742.2906000004</v>
      </c>
      <c r="AE33" s="8">
        <f t="shared" si="30"/>
        <v>3691742.2906000004</v>
      </c>
      <c r="AF33" s="8">
        <f t="shared" si="30"/>
        <v>3691742.2906000004</v>
      </c>
      <c r="AG33" s="8">
        <f t="shared" si="30"/>
        <v>3691742.2906000004</v>
      </c>
      <c r="AH33" s="8">
        <f t="shared" si="30"/>
        <v>3691742.2906000004</v>
      </c>
      <c r="AI33" s="8">
        <f t="shared" si="30"/>
        <v>3691742.2906000004</v>
      </c>
      <c r="AJ33" s="8">
        <f t="shared" si="30"/>
        <v>3691742.2906000004</v>
      </c>
      <c r="AK33" s="8">
        <f t="shared" si="30"/>
        <v>3691742.2906000004</v>
      </c>
      <c r="AL33" s="8">
        <f t="shared" si="30"/>
        <v>3691742.2906000004</v>
      </c>
      <c r="AM33" s="8">
        <f t="shared" si="30"/>
        <v>3691742.2906000004</v>
      </c>
      <c r="AN33" s="8">
        <f t="shared" si="30"/>
        <v>3691742.2906000004</v>
      </c>
      <c r="AO33" s="8">
        <f t="shared" si="30"/>
        <v>3691742.2906000004</v>
      </c>
      <c r="AP33" s="8">
        <f t="shared" si="30"/>
        <v>3691742.2906000004</v>
      </c>
      <c r="AQ33" s="8">
        <f t="shared" si="30"/>
        <v>3691742.2906000004</v>
      </c>
      <c r="AR33" s="8">
        <f t="shared" si="30"/>
        <v>3691742.2906000004</v>
      </c>
      <c r="AS33" s="8">
        <f t="shared" si="30"/>
        <v>3691742.2906000004</v>
      </c>
      <c r="AT33" s="8">
        <f t="shared" si="30"/>
        <v>3691742.2906000004</v>
      </c>
      <c r="AU33" s="8">
        <f t="shared" si="30"/>
        <v>3691742.2906000004</v>
      </c>
      <c r="AV33" s="8">
        <f t="shared" si="30"/>
        <v>3691742.2906000004</v>
      </c>
      <c r="AW33" s="8">
        <f t="shared" si="30"/>
        <v>3691742.2906000004</v>
      </c>
      <c r="AX33" s="8">
        <f t="shared" si="30"/>
        <v>3691742.2906000004</v>
      </c>
      <c r="AY33" s="8">
        <f t="shared" si="30"/>
        <v>3691742.2906000004</v>
      </c>
      <c r="AZ33" s="8">
        <f t="shared" si="30"/>
        <v>3691742.2906000004</v>
      </c>
      <c r="BA33" s="8">
        <f t="shared" si="30"/>
        <v>3691742.2906000004</v>
      </c>
      <c r="BB33" s="8">
        <f t="shared" si="30"/>
        <v>3691742.2906000004</v>
      </c>
      <c r="BC33" s="8">
        <f t="shared" si="30"/>
        <v>3691742.2906000004</v>
      </c>
      <c r="BD33" s="8">
        <f t="shared" si="30"/>
        <v>3691742.2906000004</v>
      </c>
      <c r="BE33" s="8">
        <f t="shared" si="30"/>
        <v>0</v>
      </c>
      <c r="BF33" s="8">
        <f t="shared" si="30"/>
        <v>0</v>
      </c>
      <c r="BG33" s="8">
        <f t="shared" si="30"/>
        <v>0</v>
      </c>
      <c r="BH33" s="8">
        <f t="shared" si="30"/>
        <v>0</v>
      </c>
      <c r="BI33" s="8">
        <f t="shared" si="30"/>
        <v>0</v>
      </c>
      <c r="BJ33" s="8">
        <f t="shared" si="30"/>
        <v>0</v>
      </c>
      <c r="BK33" s="8">
        <f t="shared" si="30"/>
        <v>0</v>
      </c>
      <c r="BL33" s="8">
        <f t="shared" si="30"/>
        <v>0</v>
      </c>
      <c r="BM33" s="8">
        <f t="shared" si="30"/>
        <v>0</v>
      </c>
      <c r="BN33" s="8">
        <f t="shared" si="30"/>
        <v>0</v>
      </c>
      <c r="BO33" s="8">
        <f t="shared" si="30"/>
        <v>0</v>
      </c>
      <c r="BP33" s="8">
        <f t="shared" si="30"/>
        <v>0</v>
      </c>
      <c r="BQ33" s="8">
        <f t="shared" si="30"/>
        <v>0</v>
      </c>
      <c r="BR33" s="8">
        <f t="shared" si="30"/>
        <v>0</v>
      </c>
      <c r="BS33" s="8">
        <f t="shared" si="30"/>
        <v>0</v>
      </c>
      <c r="BT33" s="8">
        <f t="shared" ref="BT33:DA33" si="31">IF(ROUND(BS34,4)=-ROUND(BS33,4),0,BS33)</f>
        <v>0</v>
      </c>
      <c r="BU33" s="8">
        <f t="shared" si="31"/>
        <v>0</v>
      </c>
      <c r="BV33" s="8">
        <f t="shared" si="31"/>
        <v>0</v>
      </c>
      <c r="BW33" s="8">
        <f t="shared" si="31"/>
        <v>0</v>
      </c>
      <c r="BX33" s="8">
        <f t="shared" si="31"/>
        <v>0</v>
      </c>
      <c r="BY33" s="8">
        <f t="shared" si="31"/>
        <v>0</v>
      </c>
      <c r="BZ33" s="8">
        <f t="shared" si="31"/>
        <v>0</v>
      </c>
      <c r="CA33" s="8">
        <f t="shared" si="31"/>
        <v>0</v>
      </c>
      <c r="CB33" s="8">
        <f t="shared" si="31"/>
        <v>0</v>
      </c>
      <c r="CC33" s="8">
        <f t="shared" si="31"/>
        <v>0</v>
      </c>
      <c r="CD33" s="8">
        <f t="shared" si="31"/>
        <v>0</v>
      </c>
      <c r="CE33" s="8">
        <f t="shared" si="31"/>
        <v>0</v>
      </c>
      <c r="CF33" s="8">
        <f t="shared" si="31"/>
        <v>0</v>
      </c>
      <c r="CG33" s="8">
        <f t="shared" si="31"/>
        <v>0</v>
      </c>
      <c r="CH33" s="8">
        <f t="shared" si="31"/>
        <v>0</v>
      </c>
      <c r="CI33" s="8">
        <f t="shared" si="31"/>
        <v>0</v>
      </c>
      <c r="CJ33" s="8">
        <f t="shared" si="31"/>
        <v>0</v>
      </c>
      <c r="CK33" s="8">
        <f t="shared" si="31"/>
        <v>0</v>
      </c>
      <c r="CL33" s="8">
        <f t="shared" si="31"/>
        <v>0</v>
      </c>
      <c r="CM33" s="8">
        <f t="shared" si="31"/>
        <v>0</v>
      </c>
      <c r="CN33" s="8">
        <f t="shared" si="31"/>
        <v>0</v>
      </c>
      <c r="CO33" s="8">
        <f t="shared" si="31"/>
        <v>0</v>
      </c>
      <c r="CP33" s="8">
        <f t="shared" si="31"/>
        <v>0</v>
      </c>
      <c r="CQ33" s="8">
        <f t="shared" si="31"/>
        <v>0</v>
      </c>
      <c r="CR33" s="8">
        <f t="shared" si="31"/>
        <v>0</v>
      </c>
      <c r="CS33" s="8">
        <f t="shared" si="31"/>
        <v>0</v>
      </c>
      <c r="CT33" s="8">
        <f t="shared" si="31"/>
        <v>0</v>
      </c>
      <c r="CU33" s="8">
        <f t="shared" si="31"/>
        <v>0</v>
      </c>
      <c r="CV33" s="8">
        <f t="shared" si="31"/>
        <v>0</v>
      </c>
      <c r="CW33" s="8">
        <f t="shared" si="31"/>
        <v>0</v>
      </c>
      <c r="CX33" s="8">
        <f t="shared" si="31"/>
        <v>0</v>
      </c>
      <c r="CY33" s="8">
        <f t="shared" si="31"/>
        <v>0</v>
      </c>
      <c r="CZ33" s="8">
        <f t="shared" si="31"/>
        <v>0</v>
      </c>
      <c r="DA33" s="8">
        <f t="shared" si="31"/>
        <v>0</v>
      </c>
      <c r="DB33" s="8"/>
    </row>
    <row r="34" spans="1:106" x14ac:dyDescent="0.4">
      <c r="D34" t="s">
        <v>208</v>
      </c>
      <c r="E34" s="8"/>
      <c r="F34" s="8"/>
      <c r="G34" s="8">
        <f>IF(G30&lt;=$B$3,-SUM($E32:G32),0)</f>
        <v>-73834.845812000014</v>
      </c>
      <c r="H34" s="8">
        <f>IF(H30&lt;=$B$3,-SUM($E32:H32),0)</f>
        <v>-147669.69162400003</v>
      </c>
      <c r="I34" s="8">
        <f>IF(I30&lt;=$B$3,-SUM($E32:I32),0)</f>
        <v>-221504.53743600004</v>
      </c>
      <c r="J34" s="8">
        <f>IF(J30&lt;=$B$3,-SUM($E32:J32),0)</f>
        <v>-295339.38324800006</v>
      </c>
      <c r="K34" s="8">
        <f>IF(K30&lt;=$B$3,-SUM($E32:K32),0)</f>
        <v>-369174.22906000004</v>
      </c>
      <c r="L34" s="8">
        <f>IF(L30&lt;=$B$3,-SUM($E32:L32),0)</f>
        <v>-443009.07487200003</v>
      </c>
      <c r="M34" s="8">
        <f>IF(M30&lt;=$B$3,-SUM($E32:M32),0)</f>
        <v>-516843.92068400001</v>
      </c>
      <c r="N34" s="8">
        <f>IF(N30&lt;=$B$3,-SUM($E32:N32),0)</f>
        <v>-590678.766496</v>
      </c>
      <c r="O34" s="8">
        <f>IF(O30&lt;=$B$3,-SUM($E32:O32),0)</f>
        <v>-664513.61230799998</v>
      </c>
      <c r="P34" s="8">
        <f>IF(P30&lt;=$B$3,-SUM($E32:P32),0)</f>
        <v>-738348.45811999997</v>
      </c>
      <c r="Q34" s="8">
        <f>IF(Q30&lt;=$B$3,-SUM($E32:Q32),0)</f>
        <v>-812183.30393199995</v>
      </c>
      <c r="R34" s="8">
        <f>IF(R30&lt;=$B$3,-SUM($E32:R32),0)</f>
        <v>-886018.14974399994</v>
      </c>
      <c r="S34" s="8">
        <f>IF(S30&lt;=$B$3,-SUM($E32:S32),0)</f>
        <v>-959852.99555599992</v>
      </c>
      <c r="T34" s="8">
        <f>IF(T30&lt;=$B$3,-SUM($E32:T32),0)</f>
        <v>-1033687.8413679999</v>
      </c>
      <c r="U34" s="8">
        <f>IF(U30&lt;=$B$3,-SUM($E32:U32),0)</f>
        <v>-1107522.6871799999</v>
      </c>
      <c r="V34" s="8">
        <f>IF(V30&lt;=$B$3,-SUM($E32:V32),0)</f>
        <v>-1181357.532992</v>
      </c>
      <c r="W34" s="8">
        <f>IF(W30&lt;=$B$3,-SUM($E32:W32),0)</f>
        <v>-1255192.3788040001</v>
      </c>
      <c r="X34" s="8">
        <f>IF(X30&lt;=$B$3,-SUM($E32:X32),0)</f>
        <v>-1329027.2246160002</v>
      </c>
      <c r="Y34" s="8">
        <f>IF(Y30&lt;=$B$3,-SUM($E32:Y32),0)</f>
        <v>-1402862.0704280003</v>
      </c>
      <c r="Z34" s="8">
        <f>IF(Z30&lt;=$B$3,-SUM($E32:Z32),0)</f>
        <v>-1476696.9162400004</v>
      </c>
      <c r="AA34" s="8">
        <f>IF(AA30&lt;=$B$3,-SUM($E32:AA32),0)</f>
        <v>-1550531.7620520005</v>
      </c>
      <c r="AB34" s="8">
        <f>IF(AB30&lt;=$B$3,-SUM($E32:AB32),0)</f>
        <v>-1624366.6078640006</v>
      </c>
      <c r="AC34" s="8">
        <f>IF(AC30&lt;=$B$3,-SUM($E32:AC32),0)</f>
        <v>-1698201.4536760007</v>
      </c>
      <c r="AD34" s="8">
        <f>IF(AD30&lt;=$B$3,-SUM($E32:AD32),0)</f>
        <v>-1772036.2994880008</v>
      </c>
      <c r="AE34" s="8">
        <f>IF(AE30&lt;=$B$3,-SUM($E32:AE32),0)</f>
        <v>-1845871.1453000009</v>
      </c>
      <c r="AF34" s="8">
        <f>IF(AF30&lt;=$B$3,-SUM($E32:AF32),0)</f>
        <v>-1919705.991112001</v>
      </c>
      <c r="AG34" s="8">
        <f>IF(AG30&lt;=$B$3,-SUM($E32:AG32),0)</f>
        <v>-1993540.8369240011</v>
      </c>
      <c r="AH34" s="8">
        <f>IF(AH30&lt;=$B$3,-SUM($E32:AH32),0)</f>
        <v>-2067375.6827360012</v>
      </c>
      <c r="AI34" s="8">
        <f>IF(AI30&lt;=$B$3,-SUM($E32:AI32),0)</f>
        <v>-2141210.5285480013</v>
      </c>
      <c r="AJ34" s="8">
        <f>IF(AJ30&lt;=$B$3,-SUM($E32:AJ32),0)</f>
        <v>-2215045.3743600012</v>
      </c>
      <c r="AK34" s="8">
        <f>IF(AK30&lt;=$B$3,-SUM($E32:AK32),0)</f>
        <v>-2288880.220172001</v>
      </c>
      <c r="AL34" s="8">
        <f>IF(AL30&lt;=$B$3,-SUM($E32:AL32),0)</f>
        <v>-2362715.0659840009</v>
      </c>
      <c r="AM34" s="8">
        <f>IF(AM30&lt;=$B$3,-SUM($E32:AM32),0)</f>
        <v>-2436549.9117960008</v>
      </c>
      <c r="AN34" s="8">
        <f>IF(AN30&lt;=$B$3,-SUM($E32:AN32),0)</f>
        <v>-2510384.7576080007</v>
      </c>
      <c r="AO34" s="8">
        <f>IF(AO30&lt;=$B$3,-SUM($E32:AO32),0)</f>
        <v>-2584219.6034200005</v>
      </c>
      <c r="AP34" s="8">
        <f>IF(AP30&lt;=$B$3,-SUM($E32:AP32),0)</f>
        <v>-2658054.4492320004</v>
      </c>
      <c r="AQ34" s="8">
        <f>IF(AQ30&lt;=$B$3,-SUM($E32:AQ32),0)</f>
        <v>-2731889.2950440003</v>
      </c>
      <c r="AR34" s="8">
        <f>IF(AR30&lt;=$B$3,-SUM($E32:AR32),0)</f>
        <v>-2805724.1408560001</v>
      </c>
      <c r="AS34" s="8">
        <f>IF(AS30&lt;=$B$3,-SUM($E32:AS32),0)</f>
        <v>-2879558.986668</v>
      </c>
      <c r="AT34" s="8">
        <f>IF(AT30&lt;=$B$3,-SUM($E32:AT32),0)</f>
        <v>-2953393.8324799999</v>
      </c>
      <c r="AU34" s="8">
        <f>IF(AU30&lt;=$B$3,-SUM($E32:AU32),0)</f>
        <v>-3027228.6782919997</v>
      </c>
      <c r="AV34" s="8">
        <f>IF(AV30&lt;=$B$3,-SUM($E32:AV32),0)</f>
        <v>-3101063.5241039996</v>
      </c>
      <c r="AW34" s="8">
        <f>IF(AW30&lt;=$B$3,-SUM($E32:AW32),0)</f>
        <v>-3174898.3699159995</v>
      </c>
      <c r="AX34" s="8">
        <f>IF(AX30&lt;=$B$3,-SUM($E32:AX32),0)</f>
        <v>-3248733.2157279993</v>
      </c>
      <c r="AY34" s="8">
        <f>IF(AY30&lt;=$B$3,-SUM($E32:AY32),0)</f>
        <v>-3322568.0615399992</v>
      </c>
      <c r="AZ34" s="8">
        <f>IF(AZ30&lt;=$B$3,-SUM($E32:AZ32),0)</f>
        <v>-3396402.9073519991</v>
      </c>
      <c r="BA34" s="8">
        <f>IF(BA30&lt;=$B$3,-SUM($E32:BA32),0)</f>
        <v>-3470237.7531639989</v>
      </c>
      <c r="BB34" s="8">
        <f>IF(BB30&lt;=$B$3,-SUM($E32:BB32),0)</f>
        <v>-3544072.5989759988</v>
      </c>
      <c r="BC34" s="8">
        <f>IF(BC30&lt;=$B$3,-SUM($E32:BC32),0)</f>
        <v>-3617907.4447879987</v>
      </c>
      <c r="BD34" s="8">
        <f>IF(BD30&lt;=$B$3,-SUM($E32:BD32),0)</f>
        <v>-3691742.2905999986</v>
      </c>
      <c r="BE34" s="8">
        <f>IF(BE30&lt;=$B$3,-SUM($E32:BE32),0)</f>
        <v>0</v>
      </c>
      <c r="BF34" s="8">
        <f>IF(BF30&lt;=$B$3,-SUM($E32:BF32),0)</f>
        <v>0</v>
      </c>
      <c r="BG34" s="8">
        <f>IF(BG30&lt;=$B$3,-SUM($E32:BG32),0)</f>
        <v>0</v>
      </c>
      <c r="BH34" s="8">
        <f>IF(BH30&lt;=$B$3,-SUM($E32:BH32),0)</f>
        <v>0</v>
      </c>
      <c r="BI34" s="8">
        <f>IF(BI30&lt;=$B$3,-SUM($E32:BI32),0)</f>
        <v>0</v>
      </c>
      <c r="BJ34" s="8">
        <f>IF(BJ30&lt;=$B$3,-SUM($E32:BJ32),0)</f>
        <v>0</v>
      </c>
      <c r="BK34" s="8">
        <f>IF(BK30&lt;=$B$3,-SUM($E32:BK32),0)</f>
        <v>0</v>
      </c>
      <c r="BL34" s="8">
        <f>IF(BL30&lt;=$B$3,-SUM($E32:BL32),0)</f>
        <v>0</v>
      </c>
      <c r="BM34" s="8">
        <f>IF(BM30&lt;=$B$3,-SUM($E32:BM32),0)</f>
        <v>0</v>
      </c>
      <c r="BN34" s="8">
        <f>IF(BN30&lt;=$B$3,-SUM($E32:BN32),0)</f>
        <v>0</v>
      </c>
      <c r="BO34" s="8">
        <f>IF(BO30&lt;=$B$3,-SUM($E32:BO32),0)</f>
        <v>0</v>
      </c>
      <c r="BP34" s="8">
        <f>IF(BP30&lt;=$B$3,-SUM($E32:BP32),0)</f>
        <v>0</v>
      </c>
      <c r="BQ34" s="8">
        <f>IF(BQ30&lt;=$B$3,-SUM($E32:BQ32),0)</f>
        <v>0</v>
      </c>
      <c r="BR34" s="8">
        <f>IF(BR30&lt;=$B$3,-SUM($E32:BR32),0)</f>
        <v>0</v>
      </c>
      <c r="BS34" s="8">
        <f>IF(BS30&lt;=$B$3,-SUM($E32:BS32),0)</f>
        <v>0</v>
      </c>
      <c r="BT34" s="8">
        <f>IF(BT30&lt;=$B$3,-SUM($E32:BT32),0)</f>
        <v>0</v>
      </c>
      <c r="BU34" s="8">
        <f>IF(BU30&lt;=$B$3,-SUM($E32:BU32),0)</f>
        <v>0</v>
      </c>
      <c r="BV34" s="8">
        <f>IF(BV30&lt;=$B$3,-SUM($E32:BV32),0)</f>
        <v>0</v>
      </c>
      <c r="BW34" s="8">
        <f>IF(BW30&lt;=$B$3,-SUM($E32:BW32),0)</f>
        <v>0</v>
      </c>
      <c r="BX34" s="8">
        <f>IF(BX30&lt;=$B$3,-SUM($E32:BX32),0)</f>
        <v>0</v>
      </c>
      <c r="BY34" s="8">
        <f>IF(BY30&lt;=$B$3,-SUM($E32:BY32),0)</f>
        <v>0</v>
      </c>
      <c r="BZ34" s="8">
        <f>IF(BZ30&lt;=$B$3,-SUM($E32:BZ32),0)</f>
        <v>0</v>
      </c>
      <c r="CA34" s="8">
        <f>IF(CA30&lt;=$B$3,-SUM($E32:CA32),0)</f>
        <v>0</v>
      </c>
      <c r="CB34" s="8">
        <f>IF(CB30&lt;=$B$3,-SUM($E32:CB32),0)</f>
        <v>0</v>
      </c>
      <c r="CC34" s="8">
        <f>IF(CC30&lt;=$B$3,-SUM($E32:CC32),0)</f>
        <v>0</v>
      </c>
      <c r="CD34" s="8">
        <f>IF(CD30&lt;=$B$3,-SUM($E32:CD32),0)</f>
        <v>0</v>
      </c>
      <c r="CE34" s="8">
        <f>IF(CE30&lt;=$B$3,-SUM($E32:CE32),0)</f>
        <v>0</v>
      </c>
      <c r="CF34" s="8">
        <f>IF(CF30&lt;=$B$3,-SUM($E32:CF32),0)</f>
        <v>0</v>
      </c>
      <c r="CG34" s="8">
        <f>IF(CG30&lt;=$B$3,-SUM($E32:CG32),0)</f>
        <v>0</v>
      </c>
      <c r="CH34" s="8">
        <f>IF(CH30&lt;=$B$3,-SUM($E32:CH32),0)</f>
        <v>0</v>
      </c>
      <c r="CI34" s="8">
        <f>IF(CI30&lt;=$B$3,-SUM($E32:CI32),0)</f>
        <v>0</v>
      </c>
      <c r="CJ34" s="8">
        <f>IF(CJ30&lt;=$B$3,-SUM($E32:CJ32),0)</f>
        <v>0</v>
      </c>
      <c r="CK34" s="8">
        <f>IF(CK30&lt;=$B$3,-SUM($E32:CK32),0)</f>
        <v>0</v>
      </c>
      <c r="CL34" s="8">
        <f>IF(CL30&lt;=$B$3,-SUM($E32:CL32),0)</f>
        <v>0</v>
      </c>
      <c r="CM34" s="8">
        <f>IF(CM30&lt;=$B$3,-SUM($E32:CM32),0)</f>
        <v>0</v>
      </c>
      <c r="CN34" s="8">
        <f>IF(CN30&lt;=$B$3,-SUM($E32:CN32),0)</f>
        <v>0</v>
      </c>
      <c r="CO34" s="8">
        <f>IF(CO30&lt;=$B$3,-SUM($E32:CO32),0)</f>
        <v>0</v>
      </c>
      <c r="CP34" s="8">
        <f>IF(CP30&lt;=$B$3,-SUM($E32:CP32),0)</f>
        <v>0</v>
      </c>
      <c r="CQ34" s="8">
        <f>IF(CQ30&lt;=$B$3,-SUM($E32:CQ32),0)</f>
        <v>0</v>
      </c>
      <c r="CR34" s="8">
        <f>IF(CR30&lt;=$B$3,-SUM($E32:CR32),0)</f>
        <v>0</v>
      </c>
      <c r="CS34" s="8">
        <f>IF(CS30&lt;=$B$3,-SUM($E32:CS32),0)</f>
        <v>0</v>
      </c>
      <c r="CT34" s="8">
        <f>IF(CT30&lt;=$B$3,-SUM($E32:CT32),0)</f>
        <v>0</v>
      </c>
      <c r="CU34" s="8">
        <f>IF(CU30&lt;=$B$3,-SUM($E32:CU32),0)</f>
        <v>0</v>
      </c>
      <c r="CV34" s="8">
        <f>IF(CV30&lt;=$B$3,-SUM($E32:CV32),0)</f>
        <v>0</v>
      </c>
      <c r="CW34" s="8">
        <f>IF(CW30&lt;=$B$3,-SUM($E32:CW32),0)</f>
        <v>0</v>
      </c>
      <c r="CX34" s="8">
        <f>IF(CX30&lt;=$B$3,-SUM($E32:CX32),0)</f>
        <v>0</v>
      </c>
      <c r="CY34" s="8">
        <f>IF(CY30&lt;=$B$3,-SUM($E32:CY32),0)</f>
        <v>0</v>
      </c>
      <c r="CZ34" s="8">
        <f>IF(CZ30&lt;=$B$3,-SUM($E32:CZ32),0)</f>
        <v>0</v>
      </c>
      <c r="DA34" s="8">
        <f>IF(DA30&lt;=$B$3,-SUM($E32:DA32),0)</f>
        <v>0</v>
      </c>
      <c r="DB34" s="8"/>
    </row>
    <row r="35" spans="1:106" x14ac:dyDescent="0.4">
      <c r="D35" t="s">
        <v>167</v>
      </c>
      <c r="E35" s="8"/>
      <c r="F35" s="8"/>
      <c r="G35" s="8">
        <f>F36</f>
        <v>3691742.2906000004</v>
      </c>
      <c r="H35" s="8">
        <f t="shared" ref="H35:BS35" si="32">G36</f>
        <v>3617907.4447880005</v>
      </c>
      <c r="I35" s="8">
        <f t="shared" si="32"/>
        <v>3544072.5989760002</v>
      </c>
      <c r="J35" s="8">
        <f t="shared" si="32"/>
        <v>3470237.7531640003</v>
      </c>
      <c r="K35" s="8">
        <f t="shared" si="32"/>
        <v>3396402.9073520005</v>
      </c>
      <c r="L35" s="8">
        <f t="shared" si="32"/>
        <v>3322568.0615400001</v>
      </c>
      <c r="M35" s="8">
        <f t="shared" si="32"/>
        <v>3248733.2157280003</v>
      </c>
      <c r="N35" s="8">
        <f t="shared" si="32"/>
        <v>3174898.3699160004</v>
      </c>
      <c r="O35" s="8">
        <f t="shared" si="32"/>
        <v>3101063.5241040005</v>
      </c>
      <c r="P35" s="8">
        <f t="shared" si="32"/>
        <v>3027228.6782920007</v>
      </c>
      <c r="Q35" s="8">
        <f t="shared" si="32"/>
        <v>2953393.8324800003</v>
      </c>
      <c r="R35" s="8">
        <f t="shared" si="32"/>
        <v>2879558.9866680005</v>
      </c>
      <c r="S35" s="8">
        <f t="shared" si="32"/>
        <v>2805724.1408560006</v>
      </c>
      <c r="T35" s="8">
        <f t="shared" si="32"/>
        <v>2731889.2950440003</v>
      </c>
      <c r="U35" s="8">
        <f t="shared" si="32"/>
        <v>2658054.4492320004</v>
      </c>
      <c r="V35" s="8">
        <f t="shared" si="32"/>
        <v>2584219.6034200005</v>
      </c>
      <c r="W35" s="8">
        <f t="shared" si="32"/>
        <v>2510384.7576080002</v>
      </c>
      <c r="X35" s="8">
        <f t="shared" si="32"/>
        <v>2436549.9117960003</v>
      </c>
      <c r="Y35" s="8">
        <f t="shared" si="32"/>
        <v>2362715.0659840005</v>
      </c>
      <c r="Z35" s="8">
        <f t="shared" si="32"/>
        <v>2288880.2201720001</v>
      </c>
      <c r="AA35" s="8">
        <f t="shared" si="32"/>
        <v>2215045.3743599998</v>
      </c>
      <c r="AB35" s="8">
        <f t="shared" si="32"/>
        <v>2141210.5285479999</v>
      </c>
      <c r="AC35" s="8">
        <f t="shared" si="32"/>
        <v>2067375.6827359998</v>
      </c>
      <c r="AD35" s="8">
        <f t="shared" si="32"/>
        <v>1993540.8369239997</v>
      </c>
      <c r="AE35" s="8">
        <f t="shared" si="32"/>
        <v>1919705.9911119996</v>
      </c>
      <c r="AF35" s="8">
        <f t="shared" si="32"/>
        <v>1845871.1452999995</v>
      </c>
      <c r="AG35" s="8">
        <f t="shared" si="32"/>
        <v>1772036.2994879994</v>
      </c>
      <c r="AH35" s="8">
        <f t="shared" si="32"/>
        <v>1698201.4536759993</v>
      </c>
      <c r="AI35" s="8">
        <f t="shared" si="32"/>
        <v>1624366.6078639992</v>
      </c>
      <c r="AJ35" s="8">
        <f t="shared" si="32"/>
        <v>1550531.7620519991</v>
      </c>
      <c r="AK35" s="8">
        <f t="shared" si="32"/>
        <v>1476696.9162399992</v>
      </c>
      <c r="AL35" s="8">
        <f t="shared" si="32"/>
        <v>1402862.0704279994</v>
      </c>
      <c r="AM35" s="8">
        <f t="shared" si="32"/>
        <v>1329027.2246159995</v>
      </c>
      <c r="AN35" s="8">
        <f t="shared" si="32"/>
        <v>1255192.3788039996</v>
      </c>
      <c r="AO35" s="8">
        <f t="shared" si="32"/>
        <v>1181357.5329919998</v>
      </c>
      <c r="AP35" s="8">
        <f t="shared" si="32"/>
        <v>1107522.6871799999</v>
      </c>
      <c r="AQ35" s="8">
        <f t="shared" si="32"/>
        <v>1033687.841368</v>
      </c>
      <c r="AR35" s="8">
        <f t="shared" si="32"/>
        <v>959852.99555600015</v>
      </c>
      <c r="AS35" s="8">
        <f t="shared" si="32"/>
        <v>886018.14974400029</v>
      </c>
      <c r="AT35" s="8">
        <f t="shared" si="32"/>
        <v>812183.30393200042</v>
      </c>
      <c r="AU35" s="8">
        <f t="shared" si="32"/>
        <v>738348.45812000055</v>
      </c>
      <c r="AV35" s="8">
        <f t="shared" si="32"/>
        <v>664513.61230800068</v>
      </c>
      <c r="AW35" s="8">
        <f t="shared" si="32"/>
        <v>590678.76649600081</v>
      </c>
      <c r="AX35" s="8">
        <f t="shared" si="32"/>
        <v>516843.92068400094</v>
      </c>
      <c r="AY35" s="8">
        <f t="shared" si="32"/>
        <v>443009.07487200107</v>
      </c>
      <c r="AZ35" s="8">
        <f t="shared" si="32"/>
        <v>369174.22906000121</v>
      </c>
      <c r="BA35" s="8">
        <f t="shared" si="32"/>
        <v>295339.38324800134</v>
      </c>
      <c r="BB35" s="8">
        <f t="shared" si="32"/>
        <v>221504.53743600147</v>
      </c>
      <c r="BC35" s="8">
        <f t="shared" si="32"/>
        <v>147669.6916240016</v>
      </c>
      <c r="BD35" s="8">
        <f t="shared" si="32"/>
        <v>73834.845812001731</v>
      </c>
      <c r="BE35" s="8">
        <f t="shared" si="32"/>
        <v>0</v>
      </c>
      <c r="BF35" s="8">
        <f t="shared" si="32"/>
        <v>0</v>
      </c>
      <c r="BG35" s="8">
        <f t="shared" si="32"/>
        <v>0</v>
      </c>
      <c r="BH35" s="8">
        <f t="shared" si="32"/>
        <v>0</v>
      </c>
      <c r="BI35" s="8">
        <f t="shared" si="32"/>
        <v>0</v>
      </c>
      <c r="BJ35" s="8">
        <f t="shared" si="32"/>
        <v>0</v>
      </c>
      <c r="BK35" s="8">
        <f t="shared" si="32"/>
        <v>0</v>
      </c>
      <c r="BL35" s="8">
        <f t="shared" si="32"/>
        <v>0</v>
      </c>
      <c r="BM35" s="8">
        <f t="shared" si="32"/>
        <v>0</v>
      </c>
      <c r="BN35" s="8">
        <f t="shared" si="32"/>
        <v>0</v>
      </c>
      <c r="BO35" s="8">
        <f t="shared" si="32"/>
        <v>0</v>
      </c>
      <c r="BP35" s="8">
        <f t="shared" si="32"/>
        <v>0</v>
      </c>
      <c r="BQ35" s="8">
        <f t="shared" si="32"/>
        <v>0</v>
      </c>
      <c r="BR35" s="8">
        <f t="shared" si="32"/>
        <v>0</v>
      </c>
      <c r="BS35" s="8">
        <f t="shared" si="32"/>
        <v>0</v>
      </c>
      <c r="BT35" s="8">
        <f t="shared" ref="BT35:DA35" si="33">BS36</f>
        <v>0</v>
      </c>
      <c r="BU35" s="8">
        <f t="shared" si="33"/>
        <v>0</v>
      </c>
      <c r="BV35" s="8">
        <f t="shared" si="33"/>
        <v>0</v>
      </c>
      <c r="BW35" s="8">
        <f t="shared" si="33"/>
        <v>0</v>
      </c>
      <c r="BX35" s="8">
        <f t="shared" si="33"/>
        <v>0</v>
      </c>
      <c r="BY35" s="8">
        <f t="shared" si="33"/>
        <v>0</v>
      </c>
      <c r="BZ35" s="8">
        <f t="shared" si="33"/>
        <v>0</v>
      </c>
      <c r="CA35" s="8">
        <f t="shared" si="33"/>
        <v>0</v>
      </c>
      <c r="CB35" s="8">
        <f t="shared" si="33"/>
        <v>0</v>
      </c>
      <c r="CC35" s="8">
        <f t="shared" si="33"/>
        <v>0</v>
      </c>
      <c r="CD35" s="8">
        <f t="shared" si="33"/>
        <v>0</v>
      </c>
      <c r="CE35" s="8">
        <f t="shared" si="33"/>
        <v>0</v>
      </c>
      <c r="CF35" s="8">
        <f t="shared" si="33"/>
        <v>0</v>
      </c>
      <c r="CG35" s="8">
        <f t="shared" si="33"/>
        <v>0</v>
      </c>
      <c r="CH35" s="8">
        <f t="shared" si="33"/>
        <v>0</v>
      </c>
      <c r="CI35" s="8">
        <f t="shared" si="33"/>
        <v>0</v>
      </c>
      <c r="CJ35" s="8">
        <f t="shared" si="33"/>
        <v>0</v>
      </c>
      <c r="CK35" s="8">
        <f t="shared" si="33"/>
        <v>0</v>
      </c>
      <c r="CL35" s="8">
        <f t="shared" si="33"/>
        <v>0</v>
      </c>
      <c r="CM35" s="8">
        <f t="shared" si="33"/>
        <v>0</v>
      </c>
      <c r="CN35" s="8">
        <f t="shared" si="33"/>
        <v>0</v>
      </c>
      <c r="CO35" s="8">
        <f t="shared" si="33"/>
        <v>0</v>
      </c>
      <c r="CP35" s="8">
        <f t="shared" si="33"/>
        <v>0</v>
      </c>
      <c r="CQ35" s="8">
        <f t="shared" si="33"/>
        <v>0</v>
      </c>
      <c r="CR35" s="8">
        <f t="shared" si="33"/>
        <v>0</v>
      </c>
      <c r="CS35" s="8">
        <f t="shared" si="33"/>
        <v>0</v>
      </c>
      <c r="CT35" s="8">
        <f t="shared" si="33"/>
        <v>0</v>
      </c>
      <c r="CU35" s="8">
        <f t="shared" si="33"/>
        <v>0</v>
      </c>
      <c r="CV35" s="8">
        <f t="shared" si="33"/>
        <v>0</v>
      </c>
      <c r="CW35" s="8">
        <f t="shared" si="33"/>
        <v>0</v>
      </c>
      <c r="CX35" s="8">
        <f t="shared" si="33"/>
        <v>0</v>
      </c>
      <c r="CY35" s="8">
        <f t="shared" si="33"/>
        <v>0</v>
      </c>
      <c r="CZ35" s="8">
        <f t="shared" si="33"/>
        <v>0</v>
      </c>
      <c r="DA35" s="8">
        <f t="shared" si="33"/>
        <v>0</v>
      </c>
      <c r="DB35" s="8"/>
    </row>
    <row r="36" spans="1:106" x14ac:dyDescent="0.4">
      <c r="D36" t="s">
        <v>168</v>
      </c>
      <c r="E36" s="8"/>
      <c r="F36" s="8">
        <f>F33+F34</f>
        <v>3691742.2906000004</v>
      </c>
      <c r="G36" s="8">
        <f>G33+G34</f>
        <v>3617907.4447880005</v>
      </c>
      <c r="H36" s="8">
        <f t="shared" ref="H36:BS36" si="34">H33+H34</f>
        <v>3544072.5989760002</v>
      </c>
      <c r="I36" s="8">
        <f t="shared" si="34"/>
        <v>3470237.7531640003</v>
      </c>
      <c r="J36" s="8">
        <f t="shared" si="34"/>
        <v>3396402.9073520005</v>
      </c>
      <c r="K36" s="8">
        <f t="shared" si="34"/>
        <v>3322568.0615400001</v>
      </c>
      <c r="L36" s="8">
        <f t="shared" si="34"/>
        <v>3248733.2157280003</v>
      </c>
      <c r="M36" s="8">
        <f t="shared" si="34"/>
        <v>3174898.3699160004</v>
      </c>
      <c r="N36" s="8">
        <f t="shared" si="34"/>
        <v>3101063.5241040005</v>
      </c>
      <c r="O36" s="8">
        <f t="shared" si="34"/>
        <v>3027228.6782920007</v>
      </c>
      <c r="P36" s="8">
        <f t="shared" si="34"/>
        <v>2953393.8324800003</v>
      </c>
      <c r="Q36" s="8">
        <f t="shared" si="34"/>
        <v>2879558.9866680005</v>
      </c>
      <c r="R36" s="8">
        <f t="shared" si="34"/>
        <v>2805724.1408560006</v>
      </c>
      <c r="S36" s="8">
        <f t="shared" si="34"/>
        <v>2731889.2950440003</v>
      </c>
      <c r="T36" s="8">
        <f t="shared" si="34"/>
        <v>2658054.4492320004</v>
      </c>
      <c r="U36" s="8">
        <f t="shared" si="34"/>
        <v>2584219.6034200005</v>
      </c>
      <c r="V36" s="8">
        <f t="shared" si="34"/>
        <v>2510384.7576080002</v>
      </c>
      <c r="W36" s="8">
        <f t="shared" si="34"/>
        <v>2436549.9117960003</v>
      </c>
      <c r="X36" s="8">
        <f t="shared" si="34"/>
        <v>2362715.0659840005</v>
      </c>
      <c r="Y36" s="8">
        <f t="shared" si="34"/>
        <v>2288880.2201720001</v>
      </c>
      <c r="Z36" s="8">
        <f t="shared" si="34"/>
        <v>2215045.3743599998</v>
      </c>
      <c r="AA36" s="8">
        <f t="shared" si="34"/>
        <v>2141210.5285479999</v>
      </c>
      <c r="AB36" s="8">
        <f t="shared" si="34"/>
        <v>2067375.6827359998</v>
      </c>
      <c r="AC36" s="8">
        <f t="shared" si="34"/>
        <v>1993540.8369239997</v>
      </c>
      <c r="AD36" s="8">
        <f t="shared" si="34"/>
        <v>1919705.9911119996</v>
      </c>
      <c r="AE36" s="8">
        <f t="shared" si="34"/>
        <v>1845871.1452999995</v>
      </c>
      <c r="AF36" s="8">
        <f t="shared" si="34"/>
        <v>1772036.2994879994</v>
      </c>
      <c r="AG36" s="8">
        <f t="shared" si="34"/>
        <v>1698201.4536759993</v>
      </c>
      <c r="AH36" s="8">
        <f t="shared" si="34"/>
        <v>1624366.6078639992</v>
      </c>
      <c r="AI36" s="8">
        <f t="shared" si="34"/>
        <v>1550531.7620519991</v>
      </c>
      <c r="AJ36" s="8">
        <f t="shared" si="34"/>
        <v>1476696.9162399992</v>
      </c>
      <c r="AK36" s="8">
        <f t="shared" si="34"/>
        <v>1402862.0704279994</v>
      </c>
      <c r="AL36" s="8">
        <f t="shared" si="34"/>
        <v>1329027.2246159995</v>
      </c>
      <c r="AM36" s="8">
        <f t="shared" si="34"/>
        <v>1255192.3788039996</v>
      </c>
      <c r="AN36" s="8">
        <f t="shared" si="34"/>
        <v>1181357.5329919998</v>
      </c>
      <c r="AO36" s="8">
        <f t="shared" si="34"/>
        <v>1107522.6871799999</v>
      </c>
      <c r="AP36" s="8">
        <f t="shared" si="34"/>
        <v>1033687.841368</v>
      </c>
      <c r="AQ36" s="8">
        <f t="shared" si="34"/>
        <v>959852.99555600015</v>
      </c>
      <c r="AR36" s="8">
        <f t="shared" si="34"/>
        <v>886018.14974400029</v>
      </c>
      <c r="AS36" s="8">
        <f t="shared" si="34"/>
        <v>812183.30393200042</v>
      </c>
      <c r="AT36" s="8">
        <f t="shared" si="34"/>
        <v>738348.45812000055</v>
      </c>
      <c r="AU36" s="8">
        <f t="shared" si="34"/>
        <v>664513.61230800068</v>
      </c>
      <c r="AV36" s="8">
        <f t="shared" si="34"/>
        <v>590678.76649600081</v>
      </c>
      <c r="AW36" s="8">
        <f t="shared" si="34"/>
        <v>516843.92068400094</v>
      </c>
      <c r="AX36" s="8">
        <f t="shared" si="34"/>
        <v>443009.07487200107</v>
      </c>
      <c r="AY36" s="8">
        <f t="shared" si="34"/>
        <v>369174.22906000121</v>
      </c>
      <c r="AZ36" s="8">
        <f t="shared" si="34"/>
        <v>295339.38324800134</v>
      </c>
      <c r="BA36" s="8">
        <f t="shared" si="34"/>
        <v>221504.53743600147</v>
      </c>
      <c r="BB36" s="8">
        <f t="shared" si="34"/>
        <v>147669.6916240016</v>
      </c>
      <c r="BC36" s="8">
        <f t="shared" si="34"/>
        <v>73834.845812001731</v>
      </c>
      <c r="BD36" s="8">
        <f t="shared" si="34"/>
        <v>0</v>
      </c>
      <c r="BE36" s="8">
        <f t="shared" si="34"/>
        <v>0</v>
      </c>
      <c r="BF36" s="8">
        <f t="shared" si="34"/>
        <v>0</v>
      </c>
      <c r="BG36" s="8">
        <f t="shared" si="34"/>
        <v>0</v>
      </c>
      <c r="BH36" s="8">
        <f t="shared" si="34"/>
        <v>0</v>
      </c>
      <c r="BI36" s="8">
        <f t="shared" si="34"/>
        <v>0</v>
      </c>
      <c r="BJ36" s="8">
        <f t="shared" si="34"/>
        <v>0</v>
      </c>
      <c r="BK36" s="8">
        <f t="shared" si="34"/>
        <v>0</v>
      </c>
      <c r="BL36" s="8">
        <f t="shared" si="34"/>
        <v>0</v>
      </c>
      <c r="BM36" s="8">
        <f t="shared" si="34"/>
        <v>0</v>
      </c>
      <c r="BN36" s="8">
        <f t="shared" si="34"/>
        <v>0</v>
      </c>
      <c r="BO36" s="8">
        <f t="shared" si="34"/>
        <v>0</v>
      </c>
      <c r="BP36" s="8">
        <f t="shared" si="34"/>
        <v>0</v>
      </c>
      <c r="BQ36" s="8">
        <f t="shared" si="34"/>
        <v>0</v>
      </c>
      <c r="BR36" s="8">
        <f t="shared" si="34"/>
        <v>0</v>
      </c>
      <c r="BS36" s="8">
        <f t="shared" si="34"/>
        <v>0</v>
      </c>
      <c r="BT36" s="8">
        <f t="shared" ref="BT36:DA36" si="35">BT33+BT34</f>
        <v>0</v>
      </c>
      <c r="BU36" s="8">
        <f t="shared" si="35"/>
        <v>0</v>
      </c>
      <c r="BV36" s="8">
        <f t="shared" si="35"/>
        <v>0</v>
      </c>
      <c r="BW36" s="8">
        <f t="shared" si="35"/>
        <v>0</v>
      </c>
      <c r="BX36" s="8">
        <f t="shared" si="35"/>
        <v>0</v>
      </c>
      <c r="BY36" s="8">
        <f t="shared" si="35"/>
        <v>0</v>
      </c>
      <c r="BZ36" s="8">
        <f t="shared" si="35"/>
        <v>0</v>
      </c>
      <c r="CA36" s="8">
        <f t="shared" si="35"/>
        <v>0</v>
      </c>
      <c r="CB36" s="8">
        <f t="shared" si="35"/>
        <v>0</v>
      </c>
      <c r="CC36" s="8">
        <f t="shared" si="35"/>
        <v>0</v>
      </c>
      <c r="CD36" s="8">
        <f t="shared" si="35"/>
        <v>0</v>
      </c>
      <c r="CE36" s="8">
        <f t="shared" si="35"/>
        <v>0</v>
      </c>
      <c r="CF36" s="8">
        <f t="shared" si="35"/>
        <v>0</v>
      </c>
      <c r="CG36" s="8">
        <f t="shared" si="35"/>
        <v>0</v>
      </c>
      <c r="CH36" s="8">
        <f t="shared" si="35"/>
        <v>0</v>
      </c>
      <c r="CI36" s="8">
        <f t="shared" si="35"/>
        <v>0</v>
      </c>
      <c r="CJ36" s="8">
        <f t="shared" si="35"/>
        <v>0</v>
      </c>
      <c r="CK36" s="8">
        <f t="shared" si="35"/>
        <v>0</v>
      </c>
      <c r="CL36" s="8">
        <f t="shared" si="35"/>
        <v>0</v>
      </c>
      <c r="CM36" s="8">
        <f t="shared" si="35"/>
        <v>0</v>
      </c>
      <c r="CN36" s="8">
        <f t="shared" si="35"/>
        <v>0</v>
      </c>
      <c r="CO36" s="8">
        <f t="shared" si="35"/>
        <v>0</v>
      </c>
      <c r="CP36" s="8">
        <f t="shared" si="35"/>
        <v>0</v>
      </c>
      <c r="CQ36" s="8">
        <f t="shared" si="35"/>
        <v>0</v>
      </c>
      <c r="CR36" s="8">
        <f t="shared" si="35"/>
        <v>0</v>
      </c>
      <c r="CS36" s="8">
        <f t="shared" si="35"/>
        <v>0</v>
      </c>
      <c r="CT36" s="8">
        <f t="shared" si="35"/>
        <v>0</v>
      </c>
      <c r="CU36" s="8">
        <f t="shared" si="35"/>
        <v>0</v>
      </c>
      <c r="CV36" s="8">
        <f t="shared" si="35"/>
        <v>0</v>
      </c>
      <c r="CW36" s="8">
        <f t="shared" si="35"/>
        <v>0</v>
      </c>
      <c r="CX36" s="8">
        <f t="shared" si="35"/>
        <v>0</v>
      </c>
      <c r="CY36" s="8">
        <f t="shared" si="35"/>
        <v>0</v>
      </c>
      <c r="CZ36" s="8">
        <f t="shared" si="35"/>
        <v>0</v>
      </c>
      <c r="DA36" s="8">
        <f t="shared" si="35"/>
        <v>0</v>
      </c>
      <c r="DB36" s="8"/>
    </row>
    <row r="37" spans="1:106" x14ac:dyDescent="0.4"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</row>
    <row r="38" spans="1:106" x14ac:dyDescent="0.4">
      <c r="D38" t="s">
        <v>169</v>
      </c>
      <c r="E38" s="8"/>
      <c r="F38" s="8"/>
      <c r="G38" s="8">
        <f>IF(G30&lt;=$B$4+1,G33*VLOOKUP(G30,Assumptions!$A$70:$B$90,2,0),0)</f>
        <v>138440.33589750002</v>
      </c>
      <c r="H38" s="8">
        <f>IF(H30&lt;=$B$4+1,H33*VLOOKUP(H30,Assumptions!$A$70:$B$90,2,0),0)</f>
        <v>266506.87595841405</v>
      </c>
      <c r="I38" s="8">
        <f>IF(I30&lt;=$B$4+1,I33*VLOOKUP(I30,Assumptions!$A$70:$B$90,2,0),0)</f>
        <v>246497.63274336202</v>
      </c>
      <c r="J38" s="8">
        <f>IF(J30&lt;=$B$4+1,J33*VLOOKUP(J30,Assumptions!$A$70:$B$90,2,0),0)</f>
        <v>228038.92129036202</v>
      </c>
      <c r="K38" s="8">
        <f>IF(K30&lt;=$B$4+1,K33*VLOOKUP(K30,Assumptions!$A$70:$B$90,2,0),0)</f>
        <v>210909.23706197803</v>
      </c>
      <c r="L38" s="8">
        <f>IF(L30&lt;=$B$4+1,L33*VLOOKUP(L30,Assumptions!$A$70:$B$90,2,0),0)</f>
        <v>195108.58005821003</v>
      </c>
      <c r="M38" s="8">
        <f>IF(M30&lt;=$B$4+1,M33*VLOOKUP(M30,Assumptions!$A$70:$B$90,2,0),0)</f>
        <v>180452.36316452801</v>
      </c>
      <c r="N38" s="8">
        <f>IF(N30&lt;=$B$4+1,N33*VLOOKUP(N30,Assumptions!$A$70:$B$90,2,0),0)</f>
        <v>166940.58638093204</v>
      </c>
      <c r="O38" s="8">
        <f>IF(O30&lt;=$B$4+1,O33*VLOOKUP(O30,Assumptions!$A$70:$B$90,2,0),0)</f>
        <v>164725.54100657202</v>
      </c>
      <c r="P38" s="8">
        <f>IF(P30&lt;=$B$4+1,P33*VLOOKUP(P30,Assumptions!$A$70:$B$90,2,0),0)</f>
        <v>164688.62358366602</v>
      </c>
      <c r="Q38" s="8">
        <f>IF(Q30&lt;=$B$4+1,Q33*VLOOKUP(Q30,Assumptions!$A$70:$B$90,2,0),0)</f>
        <v>164725.54100657202</v>
      </c>
      <c r="R38" s="8">
        <f>IF(R30&lt;=$B$4+1,R33*VLOOKUP(R30,Assumptions!$A$70:$B$90,2,0),0)</f>
        <v>164688.62358366602</v>
      </c>
      <c r="S38" s="8">
        <f>IF(S30&lt;=$B$4+1,S33*VLOOKUP(S30,Assumptions!$A$70:$B$90,2,0),0)</f>
        <v>164725.54100657202</v>
      </c>
      <c r="T38" s="8">
        <f>IF(T30&lt;=$B$4+1,T33*VLOOKUP(T30,Assumptions!$A$70:$B$90,2,0),0)</f>
        <v>164688.62358366602</v>
      </c>
      <c r="U38" s="8">
        <f>IF(U30&lt;=$B$4+1,U33*VLOOKUP(U30,Assumptions!$A$70:$B$90,2,0),0)</f>
        <v>164725.54100657202</v>
      </c>
      <c r="V38" s="8">
        <f>IF(V30&lt;=$B$4+1,V33*VLOOKUP(V30,Assumptions!$A$70:$B$90,2,0),0)</f>
        <v>164688.62358366602</v>
      </c>
      <c r="W38" s="8">
        <f>IF(W30&lt;=$B$4+1,W33*VLOOKUP(W30,Assumptions!$A$70:$B$90,2,0),0)</f>
        <v>164725.54100657202</v>
      </c>
      <c r="X38" s="8">
        <f>IF(X30&lt;=$B$4+1,X33*VLOOKUP(X30,Assumptions!$A$70:$B$90,2,0),0)</f>
        <v>164688.62358366602</v>
      </c>
      <c r="Y38" s="8">
        <f>IF(Y30&lt;=$B$4+1,Y33*VLOOKUP(Y30,Assumptions!$A$70:$B$90,2,0),0)</f>
        <v>164725.54100657202</v>
      </c>
      <c r="Z38" s="8">
        <f>IF(Z30&lt;=$B$4+1,Z33*VLOOKUP(Z30,Assumptions!$A$70:$B$90,2,0),0)</f>
        <v>164688.62358366602</v>
      </c>
      <c r="AA38" s="8">
        <f>IF(AA30&lt;=$B$4+1,AA33*VLOOKUP(AA30,Assumptions!$A$70:$B$90,2,0),0)</f>
        <v>82362.77050328601</v>
      </c>
      <c r="AB38" s="8">
        <f>IF(AB30&lt;=$B$4+1,AB33*VLOOKUP(AB30,Assumptions!$A$70:$B$90,2,0),0)</f>
        <v>0</v>
      </c>
      <c r="AC38" s="8">
        <f>IF(AC30&lt;=$B$4+1,AC33*VLOOKUP(AC30,Assumptions!$A$70:$B$90,2,0),0)</f>
        <v>0</v>
      </c>
      <c r="AD38" s="8">
        <f>IF(AD30&lt;=$B$4+1,AD33*VLOOKUP(AD30,Assumptions!$A$70:$B$90,2,0),0)</f>
        <v>0</v>
      </c>
      <c r="AE38" s="8">
        <f>IF(AE30&lt;=$B$4+1,AE33*VLOOKUP(AE30,Assumptions!$A$70:$B$90,2,0),0)</f>
        <v>0</v>
      </c>
      <c r="AF38" s="8">
        <f>IF(AF30&lt;=$B$4+1,AF33*VLOOKUP(AF30,Assumptions!$A$70:$B$90,2,0),0)</f>
        <v>0</v>
      </c>
      <c r="AG38" s="8">
        <f>IF(AG30&lt;=$B$4+1,AG33*VLOOKUP(AG30,Assumptions!$A$70:$B$90,2,0),0)</f>
        <v>0</v>
      </c>
      <c r="AH38" s="8">
        <f>IF(AH30&lt;=$B$4+1,AH33*VLOOKUP(AH30,Assumptions!$A$70:$B$90,2,0),0)</f>
        <v>0</v>
      </c>
      <c r="AI38" s="8">
        <f>IF(AI30&lt;=$B$4+1,AI33*VLOOKUP(AI30,Assumptions!$A$70:$B$90,2,0),0)</f>
        <v>0</v>
      </c>
      <c r="AJ38" s="8">
        <f>IF(AJ30&lt;=$B$4+1,AJ33*VLOOKUP(AJ30,Assumptions!$A$70:$B$90,2,0),0)</f>
        <v>0</v>
      </c>
      <c r="AK38" s="8">
        <f>IF(AK30&lt;=$B$4+1,AK33*VLOOKUP(AK30,Assumptions!$A$70:$B$90,2,0),0)</f>
        <v>0</v>
      </c>
      <c r="AL38" s="8">
        <f>IF(AL30&lt;=$B$4+1,AL33*VLOOKUP(AL30,Assumptions!$A$70:$B$90,2,0),0)</f>
        <v>0</v>
      </c>
      <c r="AM38" s="8">
        <f>IF(AM30&lt;=$B$4+1,AM33*VLOOKUP(AM30,Assumptions!$A$70:$B$90,2,0),0)</f>
        <v>0</v>
      </c>
      <c r="AN38" s="8">
        <f>IF(AN30&lt;=$B$4+1,AN33*VLOOKUP(AN30,Assumptions!$A$70:$B$90,2,0),0)</f>
        <v>0</v>
      </c>
      <c r="AO38" s="8">
        <f>IF(AO30&lt;=$B$4+1,AO33*VLOOKUP(AO30,Assumptions!$A$70:$B$90,2,0),0)</f>
        <v>0</v>
      </c>
      <c r="AP38" s="8">
        <f>IF(AP30&lt;=$B$4+1,AP33*VLOOKUP(AP30,Assumptions!$A$70:$B$90,2,0),0)</f>
        <v>0</v>
      </c>
      <c r="AQ38" s="8">
        <f>IF(AQ30&lt;=$B$4+1,AQ33*VLOOKUP(AQ30,Assumptions!$A$70:$B$90,2,0),0)</f>
        <v>0</v>
      </c>
      <c r="AR38" s="8">
        <f>IF(AR30&lt;=$B$4+1,AR33*VLOOKUP(AR30,Assumptions!$A$70:$B$90,2,0),0)</f>
        <v>0</v>
      </c>
      <c r="AS38" s="8">
        <f>IF(AS30&lt;=$B$4+1,AS33*VLOOKUP(AS30,Assumptions!$A$70:$B$90,2,0),0)</f>
        <v>0</v>
      </c>
      <c r="AT38" s="8">
        <f>IF(AT30&lt;=$B$4+1,AT33*VLOOKUP(AT30,Assumptions!$A$70:$B$90,2,0),0)</f>
        <v>0</v>
      </c>
      <c r="AU38" s="8">
        <f>IF(AU30&lt;=$B$4+1,AU33*VLOOKUP(AU30,Assumptions!$A$70:$B$90,2,0),0)</f>
        <v>0</v>
      </c>
      <c r="AV38" s="8">
        <f>IF(AV30&lt;=$B$4+1,AV33*VLOOKUP(AV30,Assumptions!$A$70:$B$90,2,0),0)</f>
        <v>0</v>
      </c>
      <c r="AW38" s="8">
        <f>IF(AW30&lt;=$B$4+1,AW33*VLOOKUP(AW30,Assumptions!$A$70:$B$90,2,0),0)</f>
        <v>0</v>
      </c>
      <c r="AX38" s="8">
        <f>IF(AX30&lt;=$B$4+1,AX33*VLOOKUP(AX30,Assumptions!$A$70:$B$90,2,0),0)</f>
        <v>0</v>
      </c>
      <c r="AY38" s="8">
        <f>IF(AY30&lt;=$B$4+1,AY33*VLOOKUP(AY30,Assumptions!$A$70:$B$90,2,0),0)</f>
        <v>0</v>
      </c>
      <c r="AZ38" s="8">
        <f>IF(AZ30&lt;=$B$4+1,AZ33*VLOOKUP(AZ30,Assumptions!$A$70:$B$90,2,0),0)</f>
        <v>0</v>
      </c>
      <c r="BA38" s="8">
        <f>IF(BA30&lt;=$B$4+1,BA33*VLOOKUP(BA30,Assumptions!$A$70:$B$90,2,0),0)</f>
        <v>0</v>
      </c>
      <c r="BB38" s="8">
        <f>IF(BB30&lt;=$B$4+1,BB33*VLOOKUP(BB30,Assumptions!$A$70:$B$90,2,0),0)</f>
        <v>0</v>
      </c>
      <c r="BC38" s="8">
        <f>IF(BC30&lt;=$B$4+1,BC33*VLOOKUP(BC30,Assumptions!$A$70:$B$90,2,0),0)</f>
        <v>0</v>
      </c>
      <c r="BD38" s="8">
        <f>IF(BD30&lt;=$B$4+1,BD33*VLOOKUP(BD30,Assumptions!$A$70:$B$90,2,0),0)</f>
        <v>0</v>
      </c>
      <c r="BE38" s="8">
        <f>IF(BE30&lt;=$B$4+1,BE33*VLOOKUP(BE30,Assumptions!$A$70:$B$90,2,0),0)</f>
        <v>0</v>
      </c>
      <c r="BF38" s="8">
        <f>IF(BF30&lt;=$B$4+1,BF33*VLOOKUP(BF30,Assumptions!$A$70:$B$90,2,0),0)</f>
        <v>0</v>
      </c>
      <c r="BG38" s="8">
        <f>IF(BG30&lt;=$B$4+1,BG33*VLOOKUP(BG30,Assumptions!$A$70:$B$90,2,0),0)</f>
        <v>0</v>
      </c>
      <c r="BH38" s="8">
        <f>IF(BH30&lt;=$B$4+1,BH33*VLOOKUP(BH30,Assumptions!$A$70:$B$90,2,0),0)</f>
        <v>0</v>
      </c>
      <c r="BI38" s="8">
        <f>IF(BI30&lt;=$B$4+1,BI33*VLOOKUP(BI30,Assumptions!$A$70:$B$90,2,0),0)</f>
        <v>0</v>
      </c>
      <c r="BJ38" s="8">
        <f>IF(BJ30&lt;=$B$4+1,BJ33*VLOOKUP(BJ30,Assumptions!$A$70:$B$90,2,0),0)</f>
        <v>0</v>
      </c>
      <c r="BK38" s="8">
        <f>IF(BK30&lt;=$B$4+1,BK33*VLOOKUP(BK30,Assumptions!$A$70:$B$90,2,0),0)</f>
        <v>0</v>
      </c>
      <c r="BL38" s="8">
        <f>IF(BL30&lt;=$B$4+1,BL33*VLOOKUP(BL30,Assumptions!$A$70:$B$90,2,0),0)</f>
        <v>0</v>
      </c>
      <c r="BM38" s="8">
        <f>IF(BM30&lt;=$B$4+1,BM33*VLOOKUP(BM30,Assumptions!$A$70:$B$90,2,0),0)</f>
        <v>0</v>
      </c>
      <c r="BN38" s="8">
        <f>IF(BN30&lt;=$B$4+1,BN33*VLOOKUP(BN30,Assumptions!$A$70:$B$90,2,0),0)</f>
        <v>0</v>
      </c>
      <c r="BO38" s="8">
        <f>IF(BO30&lt;=$B$4+1,BO33*VLOOKUP(BO30,Assumptions!$A$70:$B$90,2,0),0)</f>
        <v>0</v>
      </c>
      <c r="BP38" s="8">
        <f>IF(BP30&lt;=$B$4+1,BP33*VLOOKUP(BP30,Assumptions!$A$70:$B$90,2,0),0)</f>
        <v>0</v>
      </c>
      <c r="BQ38" s="8">
        <f>IF(BQ30&lt;=$B$4+1,BQ33*VLOOKUP(BQ30,Assumptions!$A$70:$B$90,2,0),0)</f>
        <v>0</v>
      </c>
      <c r="BR38" s="8">
        <f>IF(BR30&lt;=$B$4+1,BR33*VLOOKUP(BR30,Assumptions!$A$70:$B$90,2,0),0)</f>
        <v>0</v>
      </c>
      <c r="BS38" s="8">
        <f>IF(BS30&lt;=$B$4+1,BS33*VLOOKUP(BS30,Assumptions!$A$70:$B$90,2,0),0)</f>
        <v>0</v>
      </c>
      <c r="BT38" s="8">
        <f>IF(BT30&lt;=$B$4+1,BT33*VLOOKUP(BT30,Assumptions!$A$70:$B$90,2,0),0)</f>
        <v>0</v>
      </c>
      <c r="BU38" s="8">
        <f>IF(BU30&lt;=$B$4+1,BU33*VLOOKUP(BU30,Assumptions!$A$70:$B$90,2,0),0)</f>
        <v>0</v>
      </c>
      <c r="BV38" s="8">
        <f>IF(BV30&lt;=$B$4+1,BV33*VLOOKUP(BV30,Assumptions!$A$70:$B$90,2,0),0)</f>
        <v>0</v>
      </c>
      <c r="BW38" s="8">
        <f>IF(BW30&lt;=$B$4+1,BW33*VLOOKUP(BW30,Assumptions!$A$70:$B$90,2,0),0)</f>
        <v>0</v>
      </c>
      <c r="BX38" s="8">
        <f>IF(BX30&lt;=$B$4+1,BX33*VLOOKUP(BX30,Assumptions!$A$70:$B$90,2,0),0)</f>
        <v>0</v>
      </c>
      <c r="BY38" s="8">
        <f>IF(BY30&lt;=$B$4+1,BY33*VLOOKUP(BY30,Assumptions!$A$70:$B$90,2,0),0)</f>
        <v>0</v>
      </c>
      <c r="BZ38" s="8">
        <f>IF(BZ30&lt;=$B$4+1,BZ33*VLOOKUP(BZ30,Assumptions!$A$70:$B$90,2,0),0)</f>
        <v>0</v>
      </c>
      <c r="CA38" s="8">
        <f>IF(CA30&lt;=$B$4+1,CA33*VLOOKUP(CA30,Assumptions!$A$70:$B$90,2,0),0)</f>
        <v>0</v>
      </c>
      <c r="CB38" s="8">
        <f>IF(CB30&lt;=$B$4+1,CB33*VLOOKUP(CB30,Assumptions!$A$70:$B$90,2,0),0)</f>
        <v>0</v>
      </c>
      <c r="CC38" s="8">
        <f>IF(CC30&lt;=$B$4+1,CC33*VLOOKUP(CC30,Assumptions!$A$70:$B$90,2,0),0)</f>
        <v>0</v>
      </c>
      <c r="CD38" s="8">
        <f>IF(CD30&lt;=$B$4+1,CD33*VLOOKUP(CD30,Assumptions!$A$70:$B$90,2,0),0)</f>
        <v>0</v>
      </c>
      <c r="CE38" s="8">
        <f>IF(CE30&lt;=$B$4+1,CE33*VLOOKUP(CE30,Assumptions!$A$70:$B$90,2,0),0)</f>
        <v>0</v>
      </c>
      <c r="CF38" s="8">
        <f>IF(CF30&lt;=$B$4+1,CF33*VLOOKUP(CF30,Assumptions!$A$70:$B$90,2,0),0)</f>
        <v>0</v>
      </c>
      <c r="CG38" s="8">
        <f>IF(CG30&lt;=$B$4+1,CG33*VLOOKUP(CG30,Assumptions!$A$70:$B$90,2,0),0)</f>
        <v>0</v>
      </c>
      <c r="CH38" s="8">
        <f>IF(CH30&lt;=$B$4+1,CH33*VLOOKUP(CH30,Assumptions!$A$70:$B$90,2,0),0)</f>
        <v>0</v>
      </c>
      <c r="CI38" s="8">
        <f>IF(CI30&lt;=$B$4+1,CI33*VLOOKUP(CI30,Assumptions!$A$70:$B$90,2,0),0)</f>
        <v>0</v>
      </c>
      <c r="CJ38" s="8">
        <f>IF(CJ30&lt;=$B$4+1,CJ33*VLOOKUP(CJ30,Assumptions!$A$70:$B$90,2,0),0)</f>
        <v>0</v>
      </c>
      <c r="CK38" s="8">
        <f>IF(CK30&lt;=$B$4+1,CK33*VLOOKUP(CK30,Assumptions!$A$70:$B$90,2,0),0)</f>
        <v>0</v>
      </c>
      <c r="CL38" s="8">
        <f>IF(CL30&lt;=$B$4+1,CL33*VLOOKUP(CL30,Assumptions!$A$70:$B$90,2,0),0)</f>
        <v>0</v>
      </c>
      <c r="CM38" s="8">
        <f>IF(CM30&lt;=$B$4+1,CM33*VLOOKUP(CM30,Assumptions!$A$70:$B$90,2,0),0)</f>
        <v>0</v>
      </c>
      <c r="CN38" s="8">
        <f>IF(CN30&lt;=$B$4+1,CN33*VLOOKUP(CN30,Assumptions!$A$70:$B$90,2,0),0)</f>
        <v>0</v>
      </c>
      <c r="CO38" s="8">
        <f>IF(CO30&lt;=$B$4+1,CO33*VLOOKUP(CO30,Assumptions!$A$70:$B$90,2,0),0)</f>
        <v>0</v>
      </c>
      <c r="CP38" s="8">
        <f>IF(CP30&lt;=$B$4+1,CP33*VLOOKUP(CP30,Assumptions!$A$70:$B$90,2,0),0)</f>
        <v>0</v>
      </c>
      <c r="CQ38" s="8">
        <f>IF(CQ30&lt;=$B$4+1,CQ33*VLOOKUP(CQ30,Assumptions!$A$70:$B$90,2,0),0)</f>
        <v>0</v>
      </c>
      <c r="CR38" s="8">
        <f>IF(CR30&lt;=$B$4+1,CR33*VLOOKUP(CR30,Assumptions!$A$70:$B$90,2,0),0)</f>
        <v>0</v>
      </c>
      <c r="CS38" s="8">
        <f>IF(CS30&lt;=$B$4+1,CS33*VLOOKUP(CS30,Assumptions!$A$70:$B$90,2,0),0)</f>
        <v>0</v>
      </c>
      <c r="CT38" s="8">
        <f>IF(CT30&lt;=$B$4+1,CT33*VLOOKUP(CT30,Assumptions!$A$70:$B$90,2,0),0)</f>
        <v>0</v>
      </c>
      <c r="CU38" s="8">
        <f>IF(CU30&lt;=$B$4+1,CU33*VLOOKUP(CU30,Assumptions!$A$70:$B$90,2,0),0)</f>
        <v>0</v>
      </c>
      <c r="CV38" s="8">
        <f>IF(CV30&lt;=$B$4+1,CV33*VLOOKUP(CV30,Assumptions!$A$70:$B$90,2,0),0)</f>
        <v>0</v>
      </c>
      <c r="CW38" s="8">
        <f>IF(CW30&lt;=$B$4+1,CW33*VLOOKUP(CW30,Assumptions!$A$70:$B$90,2,0),0)</f>
        <v>0</v>
      </c>
      <c r="CX38" s="8">
        <f>IF(CX30&lt;=$B$4+1,CX33*VLOOKUP(CX30,Assumptions!$A$70:$B$90,2,0),0)</f>
        <v>0</v>
      </c>
      <c r="CY38" s="8">
        <f>IF(CY30&lt;=$B$4+1,CY33*VLOOKUP(CY30,Assumptions!$A$70:$B$90,2,0),0)</f>
        <v>0</v>
      </c>
      <c r="CZ38" s="8">
        <f>IF(CZ30&lt;=$B$4+1,CZ33*VLOOKUP(CZ30,Assumptions!$A$70:$B$90,2,0),0)</f>
        <v>0</v>
      </c>
      <c r="DA38" s="8">
        <f>IF(DA30&lt;=$B$4+1,DA33*VLOOKUP(DA30,Assumptions!$A$70:$B$90,2,0),0)</f>
        <v>0</v>
      </c>
      <c r="DB38" s="8"/>
    </row>
    <row r="39" spans="1:106" x14ac:dyDescent="0.4">
      <c r="D39" t="s">
        <v>170</v>
      </c>
      <c r="E39" s="8"/>
      <c r="F39" s="8"/>
      <c r="G39" s="8">
        <f>F40</f>
        <v>0</v>
      </c>
      <c r="H39" s="8">
        <f t="shared" ref="H39:BS39" si="36">G40</f>
        <v>-17905.411577196326</v>
      </c>
      <c r="I39" s="8">
        <f t="shared" si="36"/>
        <v>-71304.464732274981</v>
      </c>
      <c r="J39" s="8">
        <f t="shared" si="36"/>
        <v>-119157.95613030196</v>
      </c>
      <c r="K39" s="8">
        <f t="shared" si="36"/>
        <v>-161895.61564912999</v>
      </c>
      <c r="L39" s="8">
        <f t="shared" si="36"/>
        <v>-199885.78318406141</v>
      </c>
      <c r="M39" s="8">
        <f t="shared" si="36"/>
        <v>-233496.79863039852</v>
      </c>
      <c r="N39" s="8">
        <f t="shared" si="36"/>
        <v>-263045.84356465167</v>
      </c>
      <c r="O39" s="8">
        <f t="shared" si="36"/>
        <v>-288850.09956333117</v>
      </c>
      <c r="P39" s="8">
        <f t="shared" si="36"/>
        <v>-314040.45573650679</v>
      </c>
      <c r="Q39" s="8">
        <f t="shared" si="36"/>
        <v>-339220.58024592401</v>
      </c>
      <c r="R39" s="8">
        <f t="shared" si="36"/>
        <v>-364410.93641909963</v>
      </c>
      <c r="S39" s="8">
        <f t="shared" si="36"/>
        <v>-389591.06092851685</v>
      </c>
      <c r="T39" s="8">
        <f t="shared" si="36"/>
        <v>-414781.41710169247</v>
      </c>
      <c r="U39" s="8">
        <f t="shared" si="36"/>
        <v>-439961.54161110969</v>
      </c>
      <c r="V39" s="8">
        <f t="shared" si="36"/>
        <v>-465151.89778428531</v>
      </c>
      <c r="W39" s="8">
        <f t="shared" si="36"/>
        <v>-490332.02229370252</v>
      </c>
      <c r="X39" s="8">
        <f t="shared" si="36"/>
        <v>-515522.37846687814</v>
      </c>
      <c r="Y39" s="8">
        <f t="shared" si="36"/>
        <v>-540702.50297629542</v>
      </c>
      <c r="Z39" s="8">
        <f t="shared" si="36"/>
        <v>-565892.85914947104</v>
      </c>
      <c r="AA39" s="8">
        <f t="shared" si="36"/>
        <v>-591072.98365888826</v>
      </c>
      <c r="AB39" s="8">
        <f t="shared" si="36"/>
        <v>-593436.49798707815</v>
      </c>
      <c r="AC39" s="8">
        <f t="shared" si="36"/>
        <v>-572973.17047028232</v>
      </c>
      <c r="AD39" s="8">
        <f t="shared" si="36"/>
        <v>-552509.84295348648</v>
      </c>
      <c r="AE39" s="8">
        <f t="shared" si="36"/>
        <v>-532046.51543669065</v>
      </c>
      <c r="AF39" s="8">
        <f t="shared" si="36"/>
        <v>-511583.18791989482</v>
      </c>
      <c r="AG39" s="8">
        <f t="shared" si="36"/>
        <v>-491119.86040309898</v>
      </c>
      <c r="AH39" s="8">
        <f t="shared" si="36"/>
        <v>-470656.53288630315</v>
      </c>
      <c r="AI39" s="8">
        <f t="shared" si="36"/>
        <v>-450193.20536950731</v>
      </c>
      <c r="AJ39" s="8">
        <f t="shared" si="36"/>
        <v>-429729.87785271148</v>
      </c>
      <c r="AK39" s="8">
        <f t="shared" si="36"/>
        <v>-409266.55033591564</v>
      </c>
      <c r="AL39" s="8">
        <f t="shared" si="36"/>
        <v>-388803.22281911981</v>
      </c>
      <c r="AM39" s="8">
        <f t="shared" si="36"/>
        <v>-368339.89530232397</v>
      </c>
      <c r="AN39" s="8">
        <f t="shared" si="36"/>
        <v>-347876.56778552814</v>
      </c>
      <c r="AO39" s="8">
        <f t="shared" si="36"/>
        <v>-327413.2402687323</v>
      </c>
      <c r="AP39" s="8">
        <f t="shared" si="36"/>
        <v>-306949.91275193647</v>
      </c>
      <c r="AQ39" s="8">
        <f t="shared" si="36"/>
        <v>-286486.58523514064</v>
      </c>
      <c r="AR39" s="8">
        <f t="shared" si="36"/>
        <v>-266023.2577183448</v>
      </c>
      <c r="AS39" s="8">
        <f t="shared" si="36"/>
        <v>-245559.930201549</v>
      </c>
      <c r="AT39" s="8">
        <f t="shared" si="36"/>
        <v>-225096.60268475319</v>
      </c>
      <c r="AU39" s="8">
        <f t="shared" si="36"/>
        <v>-204633.27516795738</v>
      </c>
      <c r="AV39" s="8">
        <f t="shared" si="36"/>
        <v>-184169.94765116158</v>
      </c>
      <c r="AW39" s="8">
        <f t="shared" si="36"/>
        <v>-163706.62013436577</v>
      </c>
      <c r="AX39" s="8">
        <f t="shared" si="36"/>
        <v>-143243.29261756997</v>
      </c>
      <c r="AY39" s="8">
        <f t="shared" si="36"/>
        <v>-122779.96510077416</v>
      </c>
      <c r="AZ39" s="8">
        <f t="shared" si="36"/>
        <v>-102316.63758397836</v>
      </c>
      <c r="BA39" s="8">
        <f t="shared" si="36"/>
        <v>-81853.310067182552</v>
      </c>
      <c r="BB39" s="8">
        <f t="shared" si="36"/>
        <v>-61389.982550386747</v>
      </c>
      <c r="BC39" s="8">
        <f t="shared" si="36"/>
        <v>-40926.655033590941</v>
      </c>
      <c r="BD39" s="8">
        <f t="shared" si="36"/>
        <v>-20463.327516795136</v>
      </c>
      <c r="BE39" s="8">
        <f t="shared" si="36"/>
        <v>6.6938810050487518E-10</v>
      </c>
      <c r="BF39" s="8">
        <f t="shared" si="36"/>
        <v>6.6938810050487518E-10</v>
      </c>
      <c r="BG39" s="8">
        <f t="shared" si="36"/>
        <v>6.6938810050487518E-10</v>
      </c>
      <c r="BH39" s="8">
        <f t="shared" si="36"/>
        <v>6.6938810050487518E-10</v>
      </c>
      <c r="BI39" s="8">
        <f t="shared" si="36"/>
        <v>6.6938810050487518E-10</v>
      </c>
      <c r="BJ39" s="8">
        <f t="shared" si="36"/>
        <v>6.6938810050487518E-10</v>
      </c>
      <c r="BK39" s="8">
        <f t="shared" si="36"/>
        <v>6.6938810050487518E-10</v>
      </c>
      <c r="BL39" s="8">
        <f t="shared" si="36"/>
        <v>6.6938810050487518E-10</v>
      </c>
      <c r="BM39" s="8">
        <f t="shared" si="36"/>
        <v>6.6938810050487518E-10</v>
      </c>
      <c r="BN39" s="8">
        <f t="shared" si="36"/>
        <v>6.6938810050487518E-10</v>
      </c>
      <c r="BO39" s="8">
        <f t="shared" si="36"/>
        <v>6.6938810050487518E-10</v>
      </c>
      <c r="BP39" s="8">
        <f t="shared" si="36"/>
        <v>6.6938810050487518E-10</v>
      </c>
      <c r="BQ39" s="8">
        <f t="shared" si="36"/>
        <v>6.6938810050487518E-10</v>
      </c>
      <c r="BR39" s="8">
        <f t="shared" si="36"/>
        <v>6.6938810050487518E-10</v>
      </c>
      <c r="BS39" s="8">
        <f t="shared" si="36"/>
        <v>6.6938810050487518E-10</v>
      </c>
      <c r="BT39" s="8">
        <f t="shared" ref="BT39:DA39" si="37">BS40</f>
        <v>6.6938810050487518E-10</v>
      </c>
      <c r="BU39" s="8">
        <f t="shared" si="37"/>
        <v>6.6938810050487518E-10</v>
      </c>
      <c r="BV39" s="8">
        <f t="shared" si="37"/>
        <v>6.6938810050487518E-10</v>
      </c>
      <c r="BW39" s="8">
        <f t="shared" si="37"/>
        <v>6.6938810050487518E-10</v>
      </c>
      <c r="BX39" s="8">
        <f t="shared" si="37"/>
        <v>6.6938810050487518E-10</v>
      </c>
      <c r="BY39" s="8">
        <f t="shared" si="37"/>
        <v>6.6938810050487518E-10</v>
      </c>
      <c r="BZ39" s="8">
        <f t="shared" si="37"/>
        <v>6.6938810050487518E-10</v>
      </c>
      <c r="CA39" s="8">
        <f t="shared" si="37"/>
        <v>6.6938810050487518E-10</v>
      </c>
      <c r="CB39" s="8">
        <f t="shared" si="37"/>
        <v>6.6938810050487518E-10</v>
      </c>
      <c r="CC39" s="8">
        <f t="shared" si="37"/>
        <v>6.6938810050487518E-10</v>
      </c>
      <c r="CD39" s="8">
        <f t="shared" si="37"/>
        <v>6.6938810050487518E-10</v>
      </c>
      <c r="CE39" s="8">
        <f t="shared" si="37"/>
        <v>6.6938810050487518E-10</v>
      </c>
      <c r="CF39" s="8">
        <f t="shared" si="37"/>
        <v>6.6938810050487518E-10</v>
      </c>
      <c r="CG39" s="8">
        <f t="shared" si="37"/>
        <v>6.6938810050487518E-10</v>
      </c>
      <c r="CH39" s="8">
        <f t="shared" si="37"/>
        <v>6.6938810050487518E-10</v>
      </c>
      <c r="CI39" s="8">
        <f t="shared" si="37"/>
        <v>6.6938810050487518E-10</v>
      </c>
      <c r="CJ39" s="8">
        <f t="shared" si="37"/>
        <v>6.6938810050487518E-10</v>
      </c>
      <c r="CK39" s="8">
        <f t="shared" si="37"/>
        <v>6.6938810050487518E-10</v>
      </c>
      <c r="CL39" s="8">
        <f t="shared" si="37"/>
        <v>6.6938810050487518E-10</v>
      </c>
      <c r="CM39" s="8">
        <f t="shared" si="37"/>
        <v>6.6938810050487518E-10</v>
      </c>
      <c r="CN39" s="8">
        <f t="shared" si="37"/>
        <v>6.6938810050487518E-10</v>
      </c>
      <c r="CO39" s="8">
        <f t="shared" si="37"/>
        <v>6.6938810050487518E-10</v>
      </c>
      <c r="CP39" s="8">
        <f t="shared" si="37"/>
        <v>6.6938810050487518E-10</v>
      </c>
      <c r="CQ39" s="8">
        <f t="shared" si="37"/>
        <v>6.6938810050487518E-10</v>
      </c>
      <c r="CR39" s="8">
        <f t="shared" si="37"/>
        <v>6.6938810050487518E-10</v>
      </c>
      <c r="CS39" s="8">
        <f t="shared" si="37"/>
        <v>6.6938810050487518E-10</v>
      </c>
      <c r="CT39" s="8">
        <f t="shared" si="37"/>
        <v>6.6938810050487518E-10</v>
      </c>
      <c r="CU39" s="8">
        <f t="shared" si="37"/>
        <v>6.6938810050487518E-10</v>
      </c>
      <c r="CV39" s="8">
        <f t="shared" si="37"/>
        <v>6.6938810050487518E-10</v>
      </c>
      <c r="CW39" s="8">
        <f t="shared" si="37"/>
        <v>6.6938810050487518E-10</v>
      </c>
      <c r="CX39" s="8">
        <f t="shared" si="37"/>
        <v>6.6938810050487518E-10</v>
      </c>
      <c r="CY39" s="8">
        <f t="shared" si="37"/>
        <v>6.6938810050487518E-10</v>
      </c>
      <c r="CZ39" s="8">
        <f t="shared" si="37"/>
        <v>6.6938810050487518E-10</v>
      </c>
      <c r="DA39" s="8">
        <f t="shared" si="37"/>
        <v>6.6938810050487518E-10</v>
      </c>
      <c r="DB39" s="8"/>
    </row>
    <row r="40" spans="1:106" x14ac:dyDescent="0.4">
      <c r="D40" t="s">
        <v>171</v>
      </c>
      <c r="E40" s="8"/>
      <c r="F40" s="8"/>
      <c r="G40" s="8">
        <f t="shared" ref="G40:AL40" si="38">F40+((G32-G38)*INC_TAX_RATE)</f>
        <v>-17905.411577196326</v>
      </c>
      <c r="H40" s="8">
        <f t="shared" si="38"/>
        <v>-71304.464732274981</v>
      </c>
      <c r="I40" s="8">
        <f t="shared" si="38"/>
        <v>-119157.95613030196</v>
      </c>
      <c r="J40" s="8">
        <f t="shared" si="38"/>
        <v>-161895.61564912999</v>
      </c>
      <c r="K40" s="8">
        <f t="shared" si="38"/>
        <v>-199885.78318406141</v>
      </c>
      <c r="L40" s="8">
        <f t="shared" si="38"/>
        <v>-233496.79863039852</v>
      </c>
      <c r="M40" s="8">
        <f t="shared" si="38"/>
        <v>-263045.84356465167</v>
      </c>
      <c r="N40" s="8">
        <f t="shared" si="38"/>
        <v>-288850.09956333117</v>
      </c>
      <c r="O40" s="8">
        <f t="shared" si="38"/>
        <v>-314040.45573650679</v>
      </c>
      <c r="P40" s="8">
        <f t="shared" si="38"/>
        <v>-339220.58024592401</v>
      </c>
      <c r="Q40" s="8">
        <f t="shared" si="38"/>
        <v>-364410.93641909963</v>
      </c>
      <c r="R40" s="8">
        <f t="shared" si="38"/>
        <v>-389591.06092851685</v>
      </c>
      <c r="S40" s="8">
        <f t="shared" si="38"/>
        <v>-414781.41710169247</v>
      </c>
      <c r="T40" s="8">
        <f t="shared" si="38"/>
        <v>-439961.54161110969</v>
      </c>
      <c r="U40" s="8">
        <f t="shared" si="38"/>
        <v>-465151.89778428531</v>
      </c>
      <c r="V40" s="8">
        <f t="shared" si="38"/>
        <v>-490332.02229370252</v>
      </c>
      <c r="W40" s="8">
        <f t="shared" si="38"/>
        <v>-515522.37846687814</v>
      </c>
      <c r="X40" s="8">
        <f t="shared" si="38"/>
        <v>-540702.50297629542</v>
      </c>
      <c r="Y40" s="8">
        <f t="shared" si="38"/>
        <v>-565892.85914947104</v>
      </c>
      <c r="Z40" s="8">
        <f t="shared" si="38"/>
        <v>-591072.98365888826</v>
      </c>
      <c r="AA40" s="8">
        <f t="shared" si="38"/>
        <v>-593436.49798707815</v>
      </c>
      <c r="AB40" s="8">
        <f t="shared" si="38"/>
        <v>-572973.17047028232</v>
      </c>
      <c r="AC40" s="8">
        <f t="shared" si="38"/>
        <v>-552509.84295348648</v>
      </c>
      <c r="AD40" s="8">
        <f t="shared" si="38"/>
        <v>-532046.51543669065</v>
      </c>
      <c r="AE40" s="8">
        <f t="shared" si="38"/>
        <v>-511583.18791989482</v>
      </c>
      <c r="AF40" s="8">
        <f t="shared" si="38"/>
        <v>-491119.86040309898</v>
      </c>
      <c r="AG40" s="8">
        <f t="shared" si="38"/>
        <v>-470656.53288630315</v>
      </c>
      <c r="AH40" s="8">
        <f t="shared" si="38"/>
        <v>-450193.20536950731</v>
      </c>
      <c r="AI40" s="8">
        <f t="shared" si="38"/>
        <v>-429729.87785271148</v>
      </c>
      <c r="AJ40" s="8">
        <f t="shared" si="38"/>
        <v>-409266.55033591564</v>
      </c>
      <c r="AK40" s="8">
        <f t="shared" si="38"/>
        <v>-388803.22281911981</v>
      </c>
      <c r="AL40" s="8">
        <f t="shared" si="38"/>
        <v>-368339.89530232397</v>
      </c>
      <c r="AM40" s="8">
        <f t="shared" ref="AM40:BR40" si="39">AL40+((AM32-AM38)*INC_TAX_RATE)</f>
        <v>-347876.56778552814</v>
      </c>
      <c r="AN40" s="8">
        <f t="shared" si="39"/>
        <v>-327413.2402687323</v>
      </c>
      <c r="AO40" s="8">
        <f t="shared" si="39"/>
        <v>-306949.91275193647</v>
      </c>
      <c r="AP40" s="8">
        <f t="shared" si="39"/>
        <v>-286486.58523514064</v>
      </c>
      <c r="AQ40" s="8">
        <f t="shared" si="39"/>
        <v>-266023.2577183448</v>
      </c>
      <c r="AR40" s="8">
        <f t="shared" si="39"/>
        <v>-245559.930201549</v>
      </c>
      <c r="AS40" s="8">
        <f t="shared" si="39"/>
        <v>-225096.60268475319</v>
      </c>
      <c r="AT40" s="8">
        <f t="shared" si="39"/>
        <v>-204633.27516795738</v>
      </c>
      <c r="AU40" s="8">
        <f t="shared" si="39"/>
        <v>-184169.94765116158</v>
      </c>
      <c r="AV40" s="8">
        <f t="shared" si="39"/>
        <v>-163706.62013436577</v>
      </c>
      <c r="AW40" s="8">
        <f t="shared" si="39"/>
        <v>-143243.29261756997</v>
      </c>
      <c r="AX40" s="8">
        <f t="shared" si="39"/>
        <v>-122779.96510077416</v>
      </c>
      <c r="AY40" s="8">
        <f t="shared" si="39"/>
        <v>-102316.63758397836</v>
      </c>
      <c r="AZ40" s="8">
        <f t="shared" si="39"/>
        <v>-81853.310067182552</v>
      </c>
      <c r="BA40" s="8">
        <f t="shared" si="39"/>
        <v>-61389.982550386747</v>
      </c>
      <c r="BB40" s="8">
        <f t="shared" si="39"/>
        <v>-40926.655033590941</v>
      </c>
      <c r="BC40" s="8">
        <f t="shared" si="39"/>
        <v>-20463.327516795136</v>
      </c>
      <c r="BD40" s="8">
        <f t="shared" si="39"/>
        <v>6.6938810050487518E-10</v>
      </c>
      <c r="BE40" s="8">
        <f t="shared" si="39"/>
        <v>6.6938810050487518E-10</v>
      </c>
      <c r="BF40" s="8">
        <f t="shared" si="39"/>
        <v>6.6938810050487518E-10</v>
      </c>
      <c r="BG40" s="8">
        <f t="shared" si="39"/>
        <v>6.6938810050487518E-10</v>
      </c>
      <c r="BH40" s="8">
        <f t="shared" si="39"/>
        <v>6.6938810050487518E-10</v>
      </c>
      <c r="BI40" s="8">
        <f t="shared" si="39"/>
        <v>6.6938810050487518E-10</v>
      </c>
      <c r="BJ40" s="8">
        <f t="shared" si="39"/>
        <v>6.6938810050487518E-10</v>
      </c>
      <c r="BK40" s="8">
        <f t="shared" si="39"/>
        <v>6.6938810050487518E-10</v>
      </c>
      <c r="BL40" s="8">
        <f t="shared" si="39"/>
        <v>6.6938810050487518E-10</v>
      </c>
      <c r="BM40" s="8">
        <f t="shared" si="39"/>
        <v>6.6938810050487518E-10</v>
      </c>
      <c r="BN40" s="8">
        <f t="shared" si="39"/>
        <v>6.6938810050487518E-10</v>
      </c>
      <c r="BO40" s="8">
        <f t="shared" si="39"/>
        <v>6.6938810050487518E-10</v>
      </c>
      <c r="BP40" s="8">
        <f t="shared" si="39"/>
        <v>6.6938810050487518E-10</v>
      </c>
      <c r="BQ40" s="8">
        <f t="shared" si="39"/>
        <v>6.6938810050487518E-10</v>
      </c>
      <c r="BR40" s="8">
        <f t="shared" si="39"/>
        <v>6.6938810050487518E-10</v>
      </c>
      <c r="BS40" s="8">
        <f t="shared" ref="BS40:DA40" si="40">BR40+((BS32-BS38)*INC_TAX_RATE)</f>
        <v>6.6938810050487518E-10</v>
      </c>
      <c r="BT40" s="8">
        <f t="shared" si="40"/>
        <v>6.6938810050487518E-10</v>
      </c>
      <c r="BU40" s="8">
        <f t="shared" si="40"/>
        <v>6.6938810050487518E-10</v>
      </c>
      <c r="BV40" s="8">
        <f t="shared" si="40"/>
        <v>6.6938810050487518E-10</v>
      </c>
      <c r="BW40" s="8">
        <f t="shared" si="40"/>
        <v>6.6938810050487518E-10</v>
      </c>
      <c r="BX40" s="8">
        <f t="shared" si="40"/>
        <v>6.6938810050487518E-10</v>
      </c>
      <c r="BY40" s="8">
        <f t="shared" si="40"/>
        <v>6.6938810050487518E-10</v>
      </c>
      <c r="BZ40" s="8">
        <f t="shared" si="40"/>
        <v>6.6938810050487518E-10</v>
      </c>
      <c r="CA40" s="8">
        <f t="shared" si="40"/>
        <v>6.6938810050487518E-10</v>
      </c>
      <c r="CB40" s="8">
        <f t="shared" si="40"/>
        <v>6.6938810050487518E-10</v>
      </c>
      <c r="CC40" s="8">
        <f t="shared" si="40"/>
        <v>6.6938810050487518E-10</v>
      </c>
      <c r="CD40" s="8">
        <f t="shared" si="40"/>
        <v>6.6938810050487518E-10</v>
      </c>
      <c r="CE40" s="8">
        <f t="shared" si="40"/>
        <v>6.6938810050487518E-10</v>
      </c>
      <c r="CF40" s="8">
        <f t="shared" si="40"/>
        <v>6.6938810050487518E-10</v>
      </c>
      <c r="CG40" s="8">
        <f t="shared" si="40"/>
        <v>6.6938810050487518E-10</v>
      </c>
      <c r="CH40" s="8">
        <f t="shared" si="40"/>
        <v>6.6938810050487518E-10</v>
      </c>
      <c r="CI40" s="8">
        <f t="shared" si="40"/>
        <v>6.6938810050487518E-10</v>
      </c>
      <c r="CJ40" s="8">
        <f t="shared" si="40"/>
        <v>6.6938810050487518E-10</v>
      </c>
      <c r="CK40" s="8">
        <f t="shared" si="40"/>
        <v>6.6938810050487518E-10</v>
      </c>
      <c r="CL40" s="8">
        <f t="shared" si="40"/>
        <v>6.6938810050487518E-10</v>
      </c>
      <c r="CM40" s="8">
        <f t="shared" si="40"/>
        <v>6.6938810050487518E-10</v>
      </c>
      <c r="CN40" s="8">
        <f t="shared" si="40"/>
        <v>6.6938810050487518E-10</v>
      </c>
      <c r="CO40" s="8">
        <f t="shared" si="40"/>
        <v>6.6938810050487518E-10</v>
      </c>
      <c r="CP40" s="8">
        <f t="shared" si="40"/>
        <v>6.6938810050487518E-10</v>
      </c>
      <c r="CQ40" s="8">
        <f t="shared" si="40"/>
        <v>6.6938810050487518E-10</v>
      </c>
      <c r="CR40" s="8">
        <f t="shared" si="40"/>
        <v>6.6938810050487518E-10</v>
      </c>
      <c r="CS40" s="8">
        <f t="shared" si="40"/>
        <v>6.6938810050487518E-10</v>
      </c>
      <c r="CT40" s="8">
        <f t="shared" si="40"/>
        <v>6.6938810050487518E-10</v>
      </c>
      <c r="CU40" s="8">
        <f t="shared" si="40"/>
        <v>6.6938810050487518E-10</v>
      </c>
      <c r="CV40" s="8">
        <f t="shared" si="40"/>
        <v>6.6938810050487518E-10</v>
      </c>
      <c r="CW40" s="8">
        <f t="shared" si="40"/>
        <v>6.6938810050487518E-10</v>
      </c>
      <c r="CX40" s="8">
        <f t="shared" si="40"/>
        <v>6.6938810050487518E-10</v>
      </c>
      <c r="CY40" s="8">
        <f t="shared" si="40"/>
        <v>6.6938810050487518E-10</v>
      </c>
      <c r="CZ40" s="8">
        <f t="shared" si="40"/>
        <v>6.6938810050487518E-10</v>
      </c>
      <c r="DA40" s="8">
        <f t="shared" si="40"/>
        <v>6.6938810050487518E-10</v>
      </c>
      <c r="DB40" s="8"/>
    </row>
    <row r="41" spans="1:106" x14ac:dyDescent="0.4"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</row>
    <row r="42" spans="1:106" x14ac:dyDescent="0.4">
      <c r="D42" t="s">
        <v>158</v>
      </c>
      <c r="E42" s="8"/>
      <c r="F42" s="8"/>
      <c r="G42" s="8">
        <f>AVERAGE(G35:G36)+AVERAGE(G39:G40)</f>
        <v>3645872.1619054023</v>
      </c>
      <c r="H42" s="8">
        <f t="shared" ref="H42:BS42" si="41">AVERAGE(H35:H36)+AVERAGE(H39:H40)</f>
        <v>3536385.0837272648</v>
      </c>
      <c r="I42" s="8">
        <f t="shared" si="41"/>
        <v>3411923.9656387116</v>
      </c>
      <c r="J42" s="8">
        <f t="shared" si="41"/>
        <v>3292793.5443682848</v>
      </c>
      <c r="K42" s="8">
        <f t="shared" si="41"/>
        <v>3178594.7850294048</v>
      </c>
      <c r="L42" s="8">
        <f t="shared" si="41"/>
        <v>3068959.3477267702</v>
      </c>
      <c r="M42" s="8">
        <f t="shared" si="41"/>
        <v>2963544.4717244753</v>
      </c>
      <c r="N42" s="8">
        <f t="shared" si="41"/>
        <v>2862032.9754460091</v>
      </c>
      <c r="O42" s="8">
        <f t="shared" si="41"/>
        <v>2762700.8235480818</v>
      </c>
      <c r="P42" s="8">
        <f t="shared" si="41"/>
        <v>2663680.737394785</v>
      </c>
      <c r="Q42" s="8">
        <f t="shared" si="41"/>
        <v>2564660.6512414883</v>
      </c>
      <c r="R42" s="8">
        <f t="shared" si="41"/>
        <v>2465640.5650881925</v>
      </c>
      <c r="S42" s="8">
        <f t="shared" si="41"/>
        <v>2366620.4789348957</v>
      </c>
      <c r="T42" s="8">
        <f t="shared" si="41"/>
        <v>2267600.392781599</v>
      </c>
      <c r="U42" s="8">
        <f t="shared" si="41"/>
        <v>2168580.3066283031</v>
      </c>
      <c r="V42" s="8">
        <f t="shared" si="41"/>
        <v>2069560.2204750064</v>
      </c>
      <c r="W42" s="8">
        <f t="shared" si="41"/>
        <v>1970540.1343217096</v>
      </c>
      <c r="X42" s="8">
        <f t="shared" si="41"/>
        <v>1871520.0481684138</v>
      </c>
      <c r="Y42" s="8">
        <f t="shared" si="41"/>
        <v>1772499.9620151171</v>
      </c>
      <c r="Z42" s="8">
        <f t="shared" si="41"/>
        <v>1673479.8758618203</v>
      </c>
      <c r="AA42" s="8">
        <f t="shared" si="41"/>
        <v>1585873.2106310164</v>
      </c>
      <c r="AB42" s="8">
        <f t="shared" si="41"/>
        <v>1521088.2714133195</v>
      </c>
      <c r="AC42" s="8">
        <f t="shared" si="41"/>
        <v>1467716.7531181155</v>
      </c>
      <c r="AD42" s="8">
        <f t="shared" si="41"/>
        <v>1414345.234822911</v>
      </c>
      <c r="AE42" s="8">
        <f t="shared" si="41"/>
        <v>1360973.7165277069</v>
      </c>
      <c r="AF42" s="8">
        <f t="shared" si="41"/>
        <v>1307602.1982325024</v>
      </c>
      <c r="AG42" s="8">
        <f t="shared" si="41"/>
        <v>1254230.6799372984</v>
      </c>
      <c r="AH42" s="8">
        <f t="shared" si="41"/>
        <v>1200859.1616420939</v>
      </c>
      <c r="AI42" s="8">
        <f t="shared" si="41"/>
        <v>1147487.6433468899</v>
      </c>
      <c r="AJ42" s="8">
        <f t="shared" si="41"/>
        <v>1094116.1250516856</v>
      </c>
      <c r="AK42" s="8">
        <f t="shared" si="41"/>
        <v>1040744.6067564816</v>
      </c>
      <c r="AL42" s="8">
        <f t="shared" si="41"/>
        <v>987373.08846127754</v>
      </c>
      <c r="AM42" s="8">
        <f t="shared" si="41"/>
        <v>934001.57016607351</v>
      </c>
      <c r="AN42" s="8">
        <f t="shared" si="41"/>
        <v>880630.05187086947</v>
      </c>
      <c r="AO42" s="8">
        <f t="shared" si="41"/>
        <v>827258.53357566544</v>
      </c>
      <c r="AP42" s="8">
        <f t="shared" si="41"/>
        <v>773887.0152804614</v>
      </c>
      <c r="AQ42" s="8">
        <f t="shared" si="41"/>
        <v>720515.49698525737</v>
      </c>
      <c r="AR42" s="8">
        <f t="shared" si="41"/>
        <v>667143.97869005334</v>
      </c>
      <c r="AS42" s="8">
        <f t="shared" si="41"/>
        <v>613772.4603948493</v>
      </c>
      <c r="AT42" s="8">
        <f t="shared" si="41"/>
        <v>560400.94209964527</v>
      </c>
      <c r="AU42" s="8">
        <f t="shared" si="41"/>
        <v>507029.42380444112</v>
      </c>
      <c r="AV42" s="8">
        <f t="shared" si="41"/>
        <v>453657.90550923708</v>
      </c>
      <c r="AW42" s="8">
        <f t="shared" si="41"/>
        <v>400286.38721403299</v>
      </c>
      <c r="AX42" s="8">
        <f t="shared" si="41"/>
        <v>346914.86891882896</v>
      </c>
      <c r="AY42" s="8">
        <f t="shared" si="41"/>
        <v>293543.35062362486</v>
      </c>
      <c r="AZ42" s="8">
        <f t="shared" si="41"/>
        <v>240171.83232842083</v>
      </c>
      <c r="BA42" s="8">
        <f t="shared" si="41"/>
        <v>186800.31403321674</v>
      </c>
      <c r="BB42" s="8">
        <f t="shared" si="41"/>
        <v>133428.7957380127</v>
      </c>
      <c r="BC42" s="8">
        <f t="shared" si="41"/>
        <v>80057.277442808627</v>
      </c>
      <c r="BD42" s="8">
        <f t="shared" si="41"/>
        <v>26685.759147603632</v>
      </c>
      <c r="BE42" s="8">
        <f t="shared" si="41"/>
        <v>6.6938810050487518E-10</v>
      </c>
      <c r="BF42" s="8">
        <f t="shared" si="41"/>
        <v>6.6938810050487518E-10</v>
      </c>
      <c r="BG42" s="8">
        <f t="shared" si="41"/>
        <v>6.6938810050487518E-10</v>
      </c>
      <c r="BH42" s="8">
        <f t="shared" si="41"/>
        <v>6.6938810050487518E-10</v>
      </c>
      <c r="BI42" s="8">
        <f t="shared" si="41"/>
        <v>6.6938810050487518E-10</v>
      </c>
      <c r="BJ42" s="8">
        <f t="shared" si="41"/>
        <v>6.6938810050487518E-10</v>
      </c>
      <c r="BK42" s="8">
        <f t="shared" si="41"/>
        <v>6.6938810050487518E-10</v>
      </c>
      <c r="BL42" s="8">
        <f t="shared" si="41"/>
        <v>6.6938810050487518E-10</v>
      </c>
      <c r="BM42" s="8">
        <f t="shared" si="41"/>
        <v>6.6938810050487518E-10</v>
      </c>
      <c r="BN42" s="8">
        <f t="shared" si="41"/>
        <v>6.6938810050487518E-10</v>
      </c>
      <c r="BO42" s="8">
        <f t="shared" si="41"/>
        <v>6.6938810050487518E-10</v>
      </c>
      <c r="BP42" s="8">
        <f t="shared" si="41"/>
        <v>6.6938810050487518E-10</v>
      </c>
      <c r="BQ42" s="8">
        <f t="shared" si="41"/>
        <v>6.6938810050487518E-10</v>
      </c>
      <c r="BR42" s="8">
        <f t="shared" si="41"/>
        <v>6.6938810050487518E-10</v>
      </c>
      <c r="BS42" s="8">
        <f t="shared" si="41"/>
        <v>6.6938810050487518E-10</v>
      </c>
      <c r="BT42" s="8">
        <f t="shared" ref="BT42:DA42" si="42">AVERAGE(BT35:BT36)+AVERAGE(BT39:BT40)</f>
        <v>6.6938810050487518E-10</v>
      </c>
      <c r="BU42" s="8">
        <f t="shared" si="42"/>
        <v>6.6938810050487518E-10</v>
      </c>
      <c r="BV42" s="8">
        <f t="shared" si="42"/>
        <v>6.6938810050487518E-10</v>
      </c>
      <c r="BW42" s="8">
        <f t="shared" si="42"/>
        <v>6.6938810050487518E-10</v>
      </c>
      <c r="BX42" s="8">
        <f t="shared" si="42"/>
        <v>6.6938810050487518E-10</v>
      </c>
      <c r="BY42" s="8">
        <f t="shared" si="42"/>
        <v>6.6938810050487518E-10</v>
      </c>
      <c r="BZ42" s="8">
        <f t="shared" si="42"/>
        <v>6.6938810050487518E-10</v>
      </c>
      <c r="CA42" s="8">
        <f t="shared" si="42"/>
        <v>6.6938810050487518E-10</v>
      </c>
      <c r="CB42" s="8">
        <f t="shared" si="42"/>
        <v>6.6938810050487518E-10</v>
      </c>
      <c r="CC42" s="8">
        <f t="shared" si="42"/>
        <v>6.6938810050487518E-10</v>
      </c>
      <c r="CD42" s="8">
        <f t="shared" si="42"/>
        <v>6.6938810050487518E-10</v>
      </c>
      <c r="CE42" s="8">
        <f t="shared" si="42"/>
        <v>6.6938810050487518E-10</v>
      </c>
      <c r="CF42" s="8">
        <f t="shared" si="42"/>
        <v>6.6938810050487518E-10</v>
      </c>
      <c r="CG42" s="8">
        <f t="shared" si="42"/>
        <v>6.6938810050487518E-10</v>
      </c>
      <c r="CH42" s="8">
        <f t="shared" si="42"/>
        <v>6.6938810050487518E-10</v>
      </c>
      <c r="CI42" s="8">
        <f t="shared" si="42"/>
        <v>6.6938810050487518E-10</v>
      </c>
      <c r="CJ42" s="8">
        <f t="shared" si="42"/>
        <v>6.6938810050487518E-10</v>
      </c>
      <c r="CK42" s="8">
        <f t="shared" si="42"/>
        <v>6.6938810050487518E-10</v>
      </c>
      <c r="CL42" s="8">
        <f t="shared" si="42"/>
        <v>6.6938810050487518E-10</v>
      </c>
      <c r="CM42" s="8">
        <f t="shared" si="42"/>
        <v>6.6938810050487518E-10</v>
      </c>
      <c r="CN42" s="8">
        <f t="shared" si="42"/>
        <v>6.6938810050487518E-10</v>
      </c>
      <c r="CO42" s="8">
        <f t="shared" si="42"/>
        <v>6.6938810050487518E-10</v>
      </c>
      <c r="CP42" s="8">
        <f t="shared" si="42"/>
        <v>6.6938810050487518E-10</v>
      </c>
      <c r="CQ42" s="8">
        <f t="shared" si="42"/>
        <v>6.6938810050487518E-10</v>
      </c>
      <c r="CR42" s="8">
        <f t="shared" si="42"/>
        <v>6.6938810050487518E-10</v>
      </c>
      <c r="CS42" s="8">
        <f t="shared" si="42"/>
        <v>6.6938810050487518E-10</v>
      </c>
      <c r="CT42" s="8">
        <f t="shared" si="42"/>
        <v>6.6938810050487518E-10</v>
      </c>
      <c r="CU42" s="8">
        <f t="shared" si="42"/>
        <v>6.6938810050487518E-10</v>
      </c>
      <c r="CV42" s="8">
        <f t="shared" si="42"/>
        <v>6.6938810050487518E-10</v>
      </c>
      <c r="CW42" s="8">
        <f t="shared" si="42"/>
        <v>6.6938810050487518E-10</v>
      </c>
      <c r="CX42" s="8">
        <f t="shared" si="42"/>
        <v>6.6938810050487518E-10</v>
      </c>
      <c r="CY42" s="8">
        <f t="shared" si="42"/>
        <v>6.6938810050487518E-10</v>
      </c>
      <c r="CZ42" s="8">
        <f t="shared" si="42"/>
        <v>6.6938810050487518E-10</v>
      </c>
      <c r="DA42" s="8">
        <f t="shared" si="42"/>
        <v>6.6938810050487518E-10</v>
      </c>
      <c r="DB42" s="8"/>
    </row>
    <row r="43" spans="1:106" x14ac:dyDescent="0.4"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</row>
    <row r="44" spans="1:106" x14ac:dyDescent="0.4">
      <c r="D44" t="s">
        <v>209</v>
      </c>
      <c r="E44" s="8"/>
      <c r="F44" s="8"/>
      <c r="G44" s="8">
        <f t="shared" ref="G44:AL44" si="43">G42*AVG_PRE_TAX_RATE</f>
        <v>325576.38405815244</v>
      </c>
      <c r="H44" s="8">
        <f t="shared" si="43"/>
        <v>315799.18797684478</v>
      </c>
      <c r="I44" s="8">
        <f t="shared" si="43"/>
        <v>304684.81013153697</v>
      </c>
      <c r="J44" s="8">
        <f t="shared" si="43"/>
        <v>294046.46351208782</v>
      </c>
      <c r="K44" s="8">
        <f t="shared" si="43"/>
        <v>283848.51430312585</v>
      </c>
      <c r="L44" s="8">
        <f t="shared" si="43"/>
        <v>274058.06975200062</v>
      </c>
      <c r="M44" s="8">
        <f t="shared" si="43"/>
        <v>264644.52132499567</v>
      </c>
      <c r="N44" s="8">
        <f t="shared" si="43"/>
        <v>255579.54470732863</v>
      </c>
      <c r="O44" s="8">
        <f t="shared" si="43"/>
        <v>246709.1835428437</v>
      </c>
      <c r="P44" s="8">
        <f t="shared" si="43"/>
        <v>237866.68984935433</v>
      </c>
      <c r="Q44" s="8">
        <f t="shared" si="43"/>
        <v>229024.19615586492</v>
      </c>
      <c r="R44" s="8">
        <f t="shared" si="43"/>
        <v>220181.7024623756</v>
      </c>
      <c r="S44" s="8">
        <f t="shared" si="43"/>
        <v>211339.20876888619</v>
      </c>
      <c r="T44" s="8">
        <f t="shared" si="43"/>
        <v>202496.71507539679</v>
      </c>
      <c r="U44" s="8">
        <f t="shared" si="43"/>
        <v>193654.22138190747</v>
      </c>
      <c r="V44" s="8">
        <f t="shared" si="43"/>
        <v>184811.72768841809</v>
      </c>
      <c r="W44" s="8">
        <f t="shared" si="43"/>
        <v>175969.23399492868</v>
      </c>
      <c r="X44" s="8">
        <f t="shared" si="43"/>
        <v>167126.74030143936</v>
      </c>
      <c r="Y44" s="8">
        <f t="shared" si="43"/>
        <v>158284.24660794996</v>
      </c>
      <c r="Z44" s="8">
        <f t="shared" si="43"/>
        <v>149441.75291446055</v>
      </c>
      <c r="AA44" s="8">
        <f t="shared" si="43"/>
        <v>141618.47770934977</v>
      </c>
      <c r="AB44" s="8">
        <f t="shared" si="43"/>
        <v>135833.18263720945</v>
      </c>
      <c r="AC44" s="8">
        <f t="shared" si="43"/>
        <v>131067.10605344771</v>
      </c>
      <c r="AD44" s="8">
        <f t="shared" si="43"/>
        <v>126301.02946968596</v>
      </c>
      <c r="AE44" s="8">
        <f t="shared" si="43"/>
        <v>121534.95288592424</v>
      </c>
      <c r="AF44" s="8">
        <f t="shared" si="43"/>
        <v>116768.87630216248</v>
      </c>
      <c r="AG44" s="8">
        <f t="shared" si="43"/>
        <v>112002.79971840075</v>
      </c>
      <c r="AH44" s="8">
        <f t="shared" si="43"/>
        <v>107236.72313463899</v>
      </c>
      <c r="AI44" s="8">
        <f t="shared" si="43"/>
        <v>102470.64655087727</v>
      </c>
      <c r="AJ44" s="8">
        <f t="shared" si="43"/>
        <v>97704.569967115531</v>
      </c>
      <c r="AK44" s="8">
        <f t="shared" si="43"/>
        <v>92938.493383353809</v>
      </c>
      <c r="AL44" s="8">
        <f t="shared" si="43"/>
        <v>88172.416799592087</v>
      </c>
      <c r="AM44" s="8">
        <f t="shared" ref="AM44:BR44" si="44">AM42*AVG_PRE_TAX_RATE</f>
        <v>83406.340215830365</v>
      </c>
      <c r="AN44" s="8">
        <f t="shared" si="44"/>
        <v>78640.263632068643</v>
      </c>
      <c r="AO44" s="8">
        <f t="shared" si="44"/>
        <v>73874.187048306921</v>
      </c>
      <c r="AP44" s="8">
        <f t="shared" si="44"/>
        <v>69108.1104645452</v>
      </c>
      <c r="AQ44" s="8">
        <f t="shared" si="44"/>
        <v>64342.033880783485</v>
      </c>
      <c r="AR44" s="8">
        <f t="shared" si="44"/>
        <v>59575.957297021763</v>
      </c>
      <c r="AS44" s="8">
        <f t="shared" si="44"/>
        <v>54809.880713260049</v>
      </c>
      <c r="AT44" s="8">
        <f t="shared" si="44"/>
        <v>50043.804129498327</v>
      </c>
      <c r="AU44" s="8">
        <f t="shared" si="44"/>
        <v>45277.72754573659</v>
      </c>
      <c r="AV44" s="8">
        <f t="shared" si="44"/>
        <v>40511.650961974876</v>
      </c>
      <c r="AW44" s="8">
        <f t="shared" si="44"/>
        <v>35745.574378213147</v>
      </c>
      <c r="AX44" s="8">
        <f t="shared" si="44"/>
        <v>30979.497794451428</v>
      </c>
      <c r="AY44" s="8">
        <f t="shared" si="44"/>
        <v>26213.421210689703</v>
      </c>
      <c r="AZ44" s="8">
        <f t="shared" si="44"/>
        <v>21447.344626927981</v>
      </c>
      <c r="BA44" s="8">
        <f t="shared" si="44"/>
        <v>16681.268043166256</v>
      </c>
      <c r="BB44" s="8">
        <f t="shared" si="44"/>
        <v>11915.191459404536</v>
      </c>
      <c r="BC44" s="8">
        <f t="shared" si="44"/>
        <v>7149.1148756428111</v>
      </c>
      <c r="BD44" s="8">
        <f t="shared" si="44"/>
        <v>2383.0382918810046</v>
      </c>
      <c r="BE44" s="8">
        <f t="shared" si="44"/>
        <v>5.9776357375085356E-11</v>
      </c>
      <c r="BF44" s="8">
        <f t="shared" si="44"/>
        <v>5.9776357375085356E-11</v>
      </c>
      <c r="BG44" s="8">
        <f t="shared" si="44"/>
        <v>5.9776357375085356E-11</v>
      </c>
      <c r="BH44" s="8">
        <f t="shared" si="44"/>
        <v>5.9776357375085356E-11</v>
      </c>
      <c r="BI44" s="8">
        <f t="shared" si="44"/>
        <v>5.9776357375085356E-11</v>
      </c>
      <c r="BJ44" s="8">
        <f t="shared" si="44"/>
        <v>5.9776357375085356E-11</v>
      </c>
      <c r="BK44" s="8">
        <f t="shared" si="44"/>
        <v>5.9776357375085356E-11</v>
      </c>
      <c r="BL44" s="8">
        <f t="shared" si="44"/>
        <v>5.9776357375085356E-11</v>
      </c>
      <c r="BM44" s="8">
        <f t="shared" si="44"/>
        <v>5.9776357375085356E-11</v>
      </c>
      <c r="BN44" s="8">
        <f t="shared" si="44"/>
        <v>5.9776357375085356E-11</v>
      </c>
      <c r="BO44" s="8">
        <f t="shared" si="44"/>
        <v>5.9776357375085356E-11</v>
      </c>
      <c r="BP44" s="8">
        <f t="shared" si="44"/>
        <v>5.9776357375085356E-11</v>
      </c>
      <c r="BQ44" s="8">
        <f t="shared" si="44"/>
        <v>5.9776357375085356E-11</v>
      </c>
      <c r="BR44" s="8">
        <f t="shared" si="44"/>
        <v>5.9776357375085356E-11</v>
      </c>
      <c r="BS44" s="8">
        <f t="shared" ref="BS44:DA44" si="45">BS42*AVG_PRE_TAX_RATE</f>
        <v>5.9776357375085356E-11</v>
      </c>
      <c r="BT44" s="8">
        <f t="shared" si="45"/>
        <v>5.9776357375085356E-11</v>
      </c>
      <c r="BU44" s="8">
        <f t="shared" si="45"/>
        <v>5.9776357375085356E-11</v>
      </c>
      <c r="BV44" s="8">
        <f t="shared" si="45"/>
        <v>5.9776357375085356E-11</v>
      </c>
      <c r="BW44" s="8">
        <f t="shared" si="45"/>
        <v>5.9776357375085356E-11</v>
      </c>
      <c r="BX44" s="8">
        <f t="shared" si="45"/>
        <v>5.9776357375085356E-11</v>
      </c>
      <c r="BY44" s="8">
        <f t="shared" si="45"/>
        <v>5.9776357375085356E-11</v>
      </c>
      <c r="BZ44" s="8">
        <f t="shared" si="45"/>
        <v>5.9776357375085356E-11</v>
      </c>
      <c r="CA44" s="8">
        <f t="shared" si="45"/>
        <v>5.9776357375085356E-11</v>
      </c>
      <c r="CB44" s="8">
        <f t="shared" si="45"/>
        <v>5.9776357375085356E-11</v>
      </c>
      <c r="CC44" s="8">
        <f t="shared" si="45"/>
        <v>5.9776357375085356E-11</v>
      </c>
      <c r="CD44" s="8">
        <f t="shared" si="45"/>
        <v>5.9776357375085356E-11</v>
      </c>
      <c r="CE44" s="8">
        <f t="shared" si="45"/>
        <v>5.9776357375085356E-11</v>
      </c>
      <c r="CF44" s="8">
        <f t="shared" si="45"/>
        <v>5.9776357375085356E-11</v>
      </c>
      <c r="CG44" s="8">
        <f t="shared" si="45"/>
        <v>5.9776357375085356E-11</v>
      </c>
      <c r="CH44" s="8">
        <f t="shared" si="45"/>
        <v>5.9776357375085356E-11</v>
      </c>
      <c r="CI44" s="8">
        <f t="shared" si="45"/>
        <v>5.9776357375085356E-11</v>
      </c>
      <c r="CJ44" s="8">
        <f t="shared" si="45"/>
        <v>5.9776357375085356E-11</v>
      </c>
      <c r="CK44" s="8">
        <f t="shared" si="45"/>
        <v>5.9776357375085356E-11</v>
      </c>
      <c r="CL44" s="8">
        <f t="shared" si="45"/>
        <v>5.9776357375085356E-11</v>
      </c>
      <c r="CM44" s="8">
        <f t="shared" si="45"/>
        <v>5.9776357375085356E-11</v>
      </c>
      <c r="CN44" s="8">
        <f t="shared" si="45"/>
        <v>5.9776357375085356E-11</v>
      </c>
      <c r="CO44" s="8">
        <f t="shared" si="45"/>
        <v>5.9776357375085356E-11</v>
      </c>
      <c r="CP44" s="8">
        <f t="shared" si="45"/>
        <v>5.9776357375085356E-11</v>
      </c>
      <c r="CQ44" s="8">
        <f t="shared" si="45"/>
        <v>5.9776357375085356E-11</v>
      </c>
      <c r="CR44" s="8">
        <f t="shared" si="45"/>
        <v>5.9776357375085356E-11</v>
      </c>
      <c r="CS44" s="8">
        <f t="shared" si="45"/>
        <v>5.9776357375085356E-11</v>
      </c>
      <c r="CT44" s="8">
        <f t="shared" si="45"/>
        <v>5.9776357375085356E-11</v>
      </c>
      <c r="CU44" s="8">
        <f t="shared" si="45"/>
        <v>5.9776357375085356E-11</v>
      </c>
      <c r="CV44" s="8">
        <f t="shared" si="45"/>
        <v>5.9776357375085356E-11</v>
      </c>
      <c r="CW44" s="8">
        <f t="shared" si="45"/>
        <v>5.9776357375085356E-11</v>
      </c>
      <c r="CX44" s="8">
        <f t="shared" si="45"/>
        <v>5.9776357375085356E-11</v>
      </c>
      <c r="CY44" s="8">
        <f t="shared" si="45"/>
        <v>5.9776357375085356E-11</v>
      </c>
      <c r="CZ44" s="8">
        <f t="shared" si="45"/>
        <v>5.9776357375085356E-11</v>
      </c>
      <c r="DA44" s="8">
        <f t="shared" si="45"/>
        <v>5.9776357375085356E-11</v>
      </c>
      <c r="DB44" s="8"/>
    </row>
    <row r="47" spans="1:106" x14ac:dyDescent="0.4">
      <c r="C47" s="58" t="str">
        <f>C30</f>
        <v>Investment year in service</v>
      </c>
      <c r="E47" t="str">
        <f>IF(E48&lt;$C48,"",E48-$C48)</f>
        <v/>
      </c>
      <c r="F47" t="str">
        <f>IF(F48&lt;$C48,"",F48-$C48)</f>
        <v/>
      </c>
      <c r="G47">
        <f t="shared" ref="G47:BR47" si="46">IF(G48&lt;$C48,"",G48-$C48)</f>
        <v>0</v>
      </c>
      <c r="H47">
        <f t="shared" si="46"/>
        <v>1</v>
      </c>
      <c r="I47">
        <f t="shared" si="46"/>
        <v>2</v>
      </c>
      <c r="J47">
        <f t="shared" si="46"/>
        <v>3</v>
      </c>
      <c r="K47">
        <f t="shared" si="46"/>
        <v>4</v>
      </c>
      <c r="L47">
        <f t="shared" si="46"/>
        <v>5</v>
      </c>
      <c r="M47">
        <f t="shared" si="46"/>
        <v>6</v>
      </c>
      <c r="N47">
        <f t="shared" si="46"/>
        <v>7</v>
      </c>
      <c r="O47">
        <f t="shared" si="46"/>
        <v>8</v>
      </c>
      <c r="P47">
        <f t="shared" si="46"/>
        <v>9</v>
      </c>
      <c r="Q47">
        <f t="shared" si="46"/>
        <v>10</v>
      </c>
      <c r="R47">
        <f t="shared" si="46"/>
        <v>11</v>
      </c>
      <c r="S47">
        <f t="shared" si="46"/>
        <v>12</v>
      </c>
      <c r="T47">
        <f t="shared" si="46"/>
        <v>13</v>
      </c>
      <c r="U47">
        <f t="shared" si="46"/>
        <v>14</v>
      </c>
      <c r="V47">
        <f t="shared" si="46"/>
        <v>15</v>
      </c>
      <c r="W47">
        <f t="shared" si="46"/>
        <v>16</v>
      </c>
      <c r="X47">
        <f t="shared" si="46"/>
        <v>17</v>
      </c>
      <c r="Y47">
        <f t="shared" si="46"/>
        <v>18</v>
      </c>
      <c r="Z47">
        <f t="shared" si="46"/>
        <v>19</v>
      </c>
      <c r="AA47">
        <f t="shared" si="46"/>
        <v>20</v>
      </c>
      <c r="AB47">
        <f t="shared" si="46"/>
        <v>21</v>
      </c>
      <c r="AC47">
        <f t="shared" si="46"/>
        <v>22</v>
      </c>
      <c r="AD47">
        <f t="shared" si="46"/>
        <v>23</v>
      </c>
      <c r="AE47">
        <f t="shared" si="46"/>
        <v>24</v>
      </c>
      <c r="AF47">
        <f t="shared" si="46"/>
        <v>25</v>
      </c>
      <c r="AG47">
        <f t="shared" si="46"/>
        <v>26</v>
      </c>
      <c r="AH47">
        <f t="shared" si="46"/>
        <v>27</v>
      </c>
      <c r="AI47">
        <f t="shared" si="46"/>
        <v>28</v>
      </c>
      <c r="AJ47">
        <f t="shared" si="46"/>
        <v>29</v>
      </c>
      <c r="AK47">
        <f t="shared" si="46"/>
        <v>30</v>
      </c>
      <c r="AL47">
        <f t="shared" si="46"/>
        <v>31</v>
      </c>
      <c r="AM47">
        <f t="shared" si="46"/>
        <v>32</v>
      </c>
      <c r="AN47">
        <f t="shared" si="46"/>
        <v>33</v>
      </c>
      <c r="AO47">
        <f t="shared" si="46"/>
        <v>34</v>
      </c>
      <c r="AP47">
        <f t="shared" si="46"/>
        <v>35</v>
      </c>
      <c r="AQ47">
        <f t="shared" si="46"/>
        <v>36</v>
      </c>
      <c r="AR47">
        <f t="shared" si="46"/>
        <v>37</v>
      </c>
      <c r="AS47">
        <f t="shared" si="46"/>
        <v>38</v>
      </c>
      <c r="AT47">
        <f t="shared" si="46"/>
        <v>39</v>
      </c>
      <c r="AU47">
        <f t="shared" si="46"/>
        <v>40</v>
      </c>
      <c r="AV47">
        <f t="shared" si="46"/>
        <v>41</v>
      </c>
      <c r="AW47">
        <f t="shared" si="46"/>
        <v>42</v>
      </c>
      <c r="AX47">
        <f t="shared" si="46"/>
        <v>43</v>
      </c>
      <c r="AY47">
        <f t="shared" si="46"/>
        <v>44</v>
      </c>
      <c r="AZ47">
        <f t="shared" si="46"/>
        <v>45</v>
      </c>
      <c r="BA47">
        <f t="shared" si="46"/>
        <v>46</v>
      </c>
      <c r="BB47">
        <f t="shared" si="46"/>
        <v>47</v>
      </c>
      <c r="BC47">
        <f t="shared" si="46"/>
        <v>48</v>
      </c>
      <c r="BD47">
        <f t="shared" si="46"/>
        <v>49</v>
      </c>
      <c r="BE47">
        <f t="shared" si="46"/>
        <v>50</v>
      </c>
      <c r="BF47">
        <f t="shared" si="46"/>
        <v>51</v>
      </c>
      <c r="BG47">
        <f t="shared" si="46"/>
        <v>52</v>
      </c>
      <c r="BH47">
        <f t="shared" si="46"/>
        <v>53</v>
      </c>
      <c r="BI47">
        <f t="shared" si="46"/>
        <v>54</v>
      </c>
      <c r="BJ47">
        <f t="shared" si="46"/>
        <v>55</v>
      </c>
      <c r="BK47">
        <f t="shared" si="46"/>
        <v>56</v>
      </c>
      <c r="BL47">
        <f t="shared" si="46"/>
        <v>57</v>
      </c>
      <c r="BM47">
        <f t="shared" si="46"/>
        <v>58</v>
      </c>
      <c r="BN47">
        <f t="shared" si="46"/>
        <v>59</v>
      </c>
      <c r="BO47">
        <f t="shared" si="46"/>
        <v>60</v>
      </c>
      <c r="BP47">
        <f t="shared" si="46"/>
        <v>61</v>
      </c>
      <c r="BQ47">
        <f t="shared" si="46"/>
        <v>62</v>
      </c>
      <c r="BR47">
        <f t="shared" si="46"/>
        <v>63</v>
      </c>
      <c r="BS47">
        <f t="shared" ref="BS47:DA47" si="47">IF(BS48&lt;$C48,"",BS48-$C48)</f>
        <v>64</v>
      </c>
      <c r="BT47">
        <f t="shared" si="47"/>
        <v>65</v>
      </c>
      <c r="BU47">
        <f t="shared" si="47"/>
        <v>66</v>
      </c>
      <c r="BV47">
        <f t="shared" si="47"/>
        <v>67</v>
      </c>
      <c r="BW47">
        <f t="shared" si="47"/>
        <v>68</v>
      </c>
      <c r="BX47">
        <f t="shared" si="47"/>
        <v>69</v>
      </c>
      <c r="BY47">
        <f t="shared" si="47"/>
        <v>70</v>
      </c>
      <c r="BZ47">
        <f t="shared" si="47"/>
        <v>71</v>
      </c>
      <c r="CA47">
        <f t="shared" si="47"/>
        <v>72</v>
      </c>
      <c r="CB47">
        <f t="shared" si="47"/>
        <v>73</v>
      </c>
      <c r="CC47">
        <f t="shared" si="47"/>
        <v>74</v>
      </c>
      <c r="CD47">
        <f t="shared" si="47"/>
        <v>75</v>
      </c>
      <c r="CE47">
        <f t="shared" si="47"/>
        <v>76</v>
      </c>
      <c r="CF47">
        <f t="shared" si="47"/>
        <v>77</v>
      </c>
      <c r="CG47">
        <f t="shared" si="47"/>
        <v>78</v>
      </c>
      <c r="CH47">
        <f t="shared" si="47"/>
        <v>79</v>
      </c>
      <c r="CI47">
        <f t="shared" si="47"/>
        <v>80</v>
      </c>
      <c r="CJ47">
        <f t="shared" si="47"/>
        <v>81</v>
      </c>
      <c r="CK47">
        <f t="shared" si="47"/>
        <v>82</v>
      </c>
      <c r="CL47">
        <f t="shared" si="47"/>
        <v>83</v>
      </c>
      <c r="CM47">
        <f t="shared" si="47"/>
        <v>84</v>
      </c>
      <c r="CN47">
        <f t="shared" si="47"/>
        <v>85</v>
      </c>
      <c r="CO47">
        <f t="shared" si="47"/>
        <v>86</v>
      </c>
      <c r="CP47">
        <f t="shared" si="47"/>
        <v>87</v>
      </c>
      <c r="CQ47">
        <f t="shared" si="47"/>
        <v>88</v>
      </c>
      <c r="CR47">
        <f t="shared" si="47"/>
        <v>89</v>
      </c>
      <c r="CS47">
        <f t="shared" si="47"/>
        <v>90</v>
      </c>
      <c r="CT47">
        <f t="shared" si="47"/>
        <v>91</v>
      </c>
      <c r="CU47">
        <f t="shared" si="47"/>
        <v>92</v>
      </c>
      <c r="CV47">
        <f t="shared" si="47"/>
        <v>93</v>
      </c>
      <c r="CW47">
        <f t="shared" si="47"/>
        <v>94</v>
      </c>
      <c r="CX47">
        <f t="shared" si="47"/>
        <v>95</v>
      </c>
      <c r="CY47">
        <f t="shared" si="47"/>
        <v>96</v>
      </c>
      <c r="CZ47">
        <f t="shared" si="47"/>
        <v>97</v>
      </c>
      <c r="DA47">
        <f t="shared" si="47"/>
        <v>98</v>
      </c>
    </row>
    <row r="48" spans="1:106" x14ac:dyDescent="0.4">
      <c r="A48" s="54" t="s">
        <v>186</v>
      </c>
      <c r="C48">
        <f>C31+1</f>
        <v>2029</v>
      </c>
      <c r="D48" s="5" t="s">
        <v>434</v>
      </c>
      <c r="E48" s="5">
        <v>2027</v>
      </c>
      <c r="F48" s="5">
        <v>2028</v>
      </c>
      <c r="G48" s="5">
        <v>2029</v>
      </c>
      <c r="H48" s="5">
        <v>2030</v>
      </c>
      <c r="I48" s="5">
        <v>2031</v>
      </c>
      <c r="J48" s="5">
        <v>2032</v>
      </c>
      <c r="K48" s="5">
        <v>2033</v>
      </c>
      <c r="L48" s="5">
        <v>2034</v>
      </c>
      <c r="M48" s="5">
        <v>2035</v>
      </c>
      <c r="N48" s="5">
        <v>2036</v>
      </c>
      <c r="O48" s="5">
        <v>2037</v>
      </c>
      <c r="P48" s="5">
        <v>2038</v>
      </c>
      <c r="Q48" s="5">
        <v>2039</v>
      </c>
      <c r="R48" s="5">
        <v>2040</v>
      </c>
      <c r="S48" s="5">
        <v>2041</v>
      </c>
      <c r="T48" s="5">
        <v>2042</v>
      </c>
      <c r="U48" s="5">
        <v>2043</v>
      </c>
      <c r="V48" s="5">
        <v>2044</v>
      </c>
      <c r="W48" s="5">
        <v>2045</v>
      </c>
      <c r="X48" s="5">
        <v>2046</v>
      </c>
      <c r="Y48" s="5">
        <v>2047</v>
      </c>
      <c r="Z48" s="5">
        <v>2048</v>
      </c>
      <c r="AA48" s="5">
        <v>2049</v>
      </c>
      <c r="AB48" s="5">
        <v>2050</v>
      </c>
      <c r="AC48" s="5">
        <v>2051</v>
      </c>
      <c r="AD48" s="5">
        <v>2052</v>
      </c>
      <c r="AE48" s="5">
        <v>2053</v>
      </c>
      <c r="AF48" s="5">
        <v>2054</v>
      </c>
      <c r="AG48" s="5">
        <v>2055</v>
      </c>
      <c r="AH48" s="5">
        <v>2056</v>
      </c>
      <c r="AI48" s="5">
        <v>2057</v>
      </c>
      <c r="AJ48" s="5">
        <v>2058</v>
      </c>
      <c r="AK48" s="5">
        <v>2059</v>
      </c>
      <c r="AL48" s="5">
        <v>2060</v>
      </c>
      <c r="AM48" s="5">
        <v>2061</v>
      </c>
      <c r="AN48" s="5">
        <v>2062</v>
      </c>
      <c r="AO48" s="5">
        <v>2063</v>
      </c>
      <c r="AP48" s="5">
        <v>2064</v>
      </c>
      <c r="AQ48" s="5">
        <v>2065</v>
      </c>
      <c r="AR48" s="5">
        <v>2066</v>
      </c>
      <c r="AS48" s="5">
        <v>2067</v>
      </c>
      <c r="AT48" s="5">
        <v>2068</v>
      </c>
      <c r="AU48" s="5">
        <v>2069</v>
      </c>
      <c r="AV48" s="5">
        <v>2070</v>
      </c>
      <c r="AW48" s="5">
        <v>2071</v>
      </c>
      <c r="AX48" s="5">
        <v>2072</v>
      </c>
      <c r="AY48" s="5">
        <v>2073</v>
      </c>
      <c r="AZ48" s="5">
        <v>2074</v>
      </c>
      <c r="BA48" s="5">
        <v>2075</v>
      </c>
      <c r="BB48" s="5">
        <v>2076</v>
      </c>
      <c r="BC48" s="5">
        <v>2077</v>
      </c>
      <c r="BD48" s="5">
        <v>2078</v>
      </c>
      <c r="BE48" s="5">
        <v>2079</v>
      </c>
      <c r="BF48" s="5">
        <v>2080</v>
      </c>
      <c r="BG48" s="5">
        <v>2081</v>
      </c>
      <c r="BH48" s="5">
        <v>2082</v>
      </c>
      <c r="BI48" s="5">
        <v>2083</v>
      </c>
      <c r="BJ48" s="5">
        <v>2084</v>
      </c>
      <c r="BK48" s="5">
        <v>2085</v>
      </c>
      <c r="BL48" s="5">
        <v>2086</v>
      </c>
      <c r="BM48" s="5">
        <v>2087</v>
      </c>
      <c r="BN48" s="5">
        <v>2088</v>
      </c>
      <c r="BO48" s="5">
        <v>2089</v>
      </c>
      <c r="BP48" s="5">
        <v>2090</v>
      </c>
      <c r="BQ48" s="5">
        <v>2091</v>
      </c>
      <c r="BR48" s="5">
        <v>2092</v>
      </c>
      <c r="BS48" s="5">
        <v>2093</v>
      </c>
      <c r="BT48" s="5">
        <v>2094</v>
      </c>
      <c r="BU48" s="5">
        <v>2095</v>
      </c>
      <c r="BV48" s="5">
        <v>2096</v>
      </c>
      <c r="BW48" s="5">
        <v>2097</v>
      </c>
      <c r="BX48" s="5">
        <v>2098</v>
      </c>
      <c r="BY48" s="5">
        <v>2099</v>
      </c>
      <c r="BZ48" s="5">
        <v>2100</v>
      </c>
      <c r="CA48" s="5">
        <v>2101</v>
      </c>
      <c r="CB48" s="5">
        <v>2102</v>
      </c>
      <c r="CC48" s="5">
        <v>2103</v>
      </c>
      <c r="CD48" s="5">
        <v>2104</v>
      </c>
      <c r="CE48" s="5">
        <v>2105</v>
      </c>
      <c r="CF48" s="5">
        <v>2106</v>
      </c>
      <c r="CG48" s="5">
        <v>2107</v>
      </c>
      <c r="CH48" s="5">
        <v>2108</v>
      </c>
      <c r="CI48" s="5">
        <v>2109</v>
      </c>
      <c r="CJ48" s="5">
        <v>2110</v>
      </c>
      <c r="CK48" s="5">
        <v>2111</v>
      </c>
      <c r="CL48" s="5">
        <v>2112</v>
      </c>
      <c r="CM48" s="5">
        <v>2113</v>
      </c>
      <c r="CN48" s="5">
        <v>2114</v>
      </c>
      <c r="CO48" s="5">
        <v>2115</v>
      </c>
      <c r="CP48" s="5">
        <v>2116</v>
      </c>
      <c r="CQ48" s="5">
        <v>2117</v>
      </c>
      <c r="CR48" s="5">
        <v>2118</v>
      </c>
      <c r="CS48" s="5">
        <v>2119</v>
      </c>
      <c r="CT48" s="5">
        <v>2120</v>
      </c>
      <c r="CU48" s="5">
        <v>2121</v>
      </c>
      <c r="CV48" s="5">
        <v>2122</v>
      </c>
      <c r="CW48" s="5">
        <v>2123</v>
      </c>
      <c r="CX48" s="5">
        <v>2124</v>
      </c>
      <c r="CY48" s="5">
        <v>2125</v>
      </c>
      <c r="CZ48" s="5">
        <v>2126</v>
      </c>
      <c r="DA48" s="5">
        <v>2127</v>
      </c>
    </row>
    <row r="49" spans="1:105" x14ac:dyDescent="0.4">
      <c r="A49" s="45">
        <f>SUM(F49:DA49)</f>
        <v>3772960.6209931956</v>
      </c>
      <c r="D49" t="s">
        <v>207</v>
      </c>
      <c r="H49" s="8">
        <f>IF(H$13&lt;=$B$3,H50/$B$3,0)</f>
        <v>75459.212419864009</v>
      </c>
      <c r="I49" s="8">
        <f>IF(I47&lt;=$B$3,H49,0)</f>
        <v>75459.212419864009</v>
      </c>
      <c r="J49" s="8">
        <f t="shared" ref="J49:BU49" si="48">IF(J47&lt;=$B$3,I49,0)</f>
        <v>75459.212419864009</v>
      </c>
      <c r="K49" s="8">
        <f t="shared" si="48"/>
        <v>75459.212419864009</v>
      </c>
      <c r="L49" s="8">
        <f t="shared" si="48"/>
        <v>75459.212419864009</v>
      </c>
      <c r="M49" s="8">
        <f t="shared" si="48"/>
        <v>75459.212419864009</v>
      </c>
      <c r="N49" s="8">
        <f t="shared" si="48"/>
        <v>75459.212419864009</v>
      </c>
      <c r="O49" s="8">
        <f t="shared" si="48"/>
        <v>75459.212419864009</v>
      </c>
      <c r="P49" s="8">
        <f t="shared" si="48"/>
        <v>75459.212419864009</v>
      </c>
      <c r="Q49" s="8">
        <f t="shared" si="48"/>
        <v>75459.212419864009</v>
      </c>
      <c r="R49" s="8">
        <f t="shared" si="48"/>
        <v>75459.212419864009</v>
      </c>
      <c r="S49" s="8">
        <f t="shared" si="48"/>
        <v>75459.212419864009</v>
      </c>
      <c r="T49" s="8">
        <f t="shared" si="48"/>
        <v>75459.212419864009</v>
      </c>
      <c r="U49" s="8">
        <f t="shared" si="48"/>
        <v>75459.212419864009</v>
      </c>
      <c r="V49" s="8">
        <f t="shared" si="48"/>
        <v>75459.212419864009</v>
      </c>
      <c r="W49" s="8">
        <f t="shared" si="48"/>
        <v>75459.212419864009</v>
      </c>
      <c r="X49" s="8">
        <f t="shared" si="48"/>
        <v>75459.212419864009</v>
      </c>
      <c r="Y49" s="8">
        <f t="shared" si="48"/>
        <v>75459.212419864009</v>
      </c>
      <c r="Z49" s="8">
        <f t="shared" si="48"/>
        <v>75459.212419864009</v>
      </c>
      <c r="AA49" s="8">
        <f t="shared" si="48"/>
        <v>75459.212419864009</v>
      </c>
      <c r="AB49" s="8">
        <f t="shared" si="48"/>
        <v>75459.212419864009</v>
      </c>
      <c r="AC49" s="8">
        <f t="shared" si="48"/>
        <v>75459.212419864009</v>
      </c>
      <c r="AD49" s="8">
        <f t="shared" si="48"/>
        <v>75459.212419864009</v>
      </c>
      <c r="AE49" s="8">
        <f t="shared" si="48"/>
        <v>75459.212419864009</v>
      </c>
      <c r="AF49" s="8">
        <f t="shared" si="48"/>
        <v>75459.212419864009</v>
      </c>
      <c r="AG49" s="8">
        <f t="shared" si="48"/>
        <v>75459.212419864009</v>
      </c>
      <c r="AH49" s="8">
        <f t="shared" si="48"/>
        <v>75459.212419864009</v>
      </c>
      <c r="AI49" s="8">
        <f t="shared" si="48"/>
        <v>75459.212419864009</v>
      </c>
      <c r="AJ49" s="8">
        <f t="shared" si="48"/>
        <v>75459.212419864009</v>
      </c>
      <c r="AK49" s="8">
        <f t="shared" si="48"/>
        <v>75459.212419864009</v>
      </c>
      <c r="AL49" s="8">
        <f t="shared" si="48"/>
        <v>75459.212419864009</v>
      </c>
      <c r="AM49" s="8">
        <f t="shared" si="48"/>
        <v>75459.212419864009</v>
      </c>
      <c r="AN49" s="8">
        <f t="shared" si="48"/>
        <v>75459.212419864009</v>
      </c>
      <c r="AO49" s="8">
        <f t="shared" si="48"/>
        <v>75459.212419864009</v>
      </c>
      <c r="AP49" s="8">
        <f t="shared" si="48"/>
        <v>75459.212419864009</v>
      </c>
      <c r="AQ49" s="8">
        <f t="shared" si="48"/>
        <v>75459.212419864009</v>
      </c>
      <c r="AR49" s="8">
        <f t="shared" si="48"/>
        <v>75459.212419864009</v>
      </c>
      <c r="AS49" s="8">
        <f t="shared" si="48"/>
        <v>75459.212419864009</v>
      </c>
      <c r="AT49" s="8">
        <f t="shared" si="48"/>
        <v>75459.212419864009</v>
      </c>
      <c r="AU49" s="8">
        <f t="shared" si="48"/>
        <v>75459.212419864009</v>
      </c>
      <c r="AV49" s="8">
        <f t="shared" si="48"/>
        <v>75459.212419864009</v>
      </c>
      <c r="AW49" s="8">
        <f t="shared" si="48"/>
        <v>75459.212419864009</v>
      </c>
      <c r="AX49" s="8">
        <f t="shared" si="48"/>
        <v>75459.212419864009</v>
      </c>
      <c r="AY49" s="8">
        <f t="shared" si="48"/>
        <v>75459.212419864009</v>
      </c>
      <c r="AZ49" s="8">
        <f t="shared" si="48"/>
        <v>75459.212419864009</v>
      </c>
      <c r="BA49" s="8">
        <f t="shared" si="48"/>
        <v>75459.212419864009</v>
      </c>
      <c r="BB49" s="8">
        <f t="shared" si="48"/>
        <v>75459.212419864009</v>
      </c>
      <c r="BC49" s="8">
        <f t="shared" si="48"/>
        <v>75459.212419864009</v>
      </c>
      <c r="BD49" s="8">
        <f t="shared" si="48"/>
        <v>75459.212419864009</v>
      </c>
      <c r="BE49" s="8">
        <f t="shared" si="48"/>
        <v>75459.212419864009</v>
      </c>
      <c r="BF49" s="8">
        <f t="shared" si="48"/>
        <v>0</v>
      </c>
      <c r="BG49" s="8">
        <f t="shared" si="48"/>
        <v>0</v>
      </c>
      <c r="BH49" s="8">
        <f t="shared" si="48"/>
        <v>0</v>
      </c>
      <c r="BI49" s="8">
        <f t="shared" si="48"/>
        <v>0</v>
      </c>
      <c r="BJ49" s="8">
        <f t="shared" si="48"/>
        <v>0</v>
      </c>
      <c r="BK49" s="8">
        <f t="shared" si="48"/>
        <v>0</v>
      </c>
      <c r="BL49" s="8">
        <f t="shared" si="48"/>
        <v>0</v>
      </c>
      <c r="BM49" s="8">
        <f t="shared" si="48"/>
        <v>0</v>
      </c>
      <c r="BN49" s="8">
        <f t="shared" si="48"/>
        <v>0</v>
      </c>
      <c r="BO49" s="8">
        <f t="shared" si="48"/>
        <v>0</v>
      </c>
      <c r="BP49" s="8">
        <f t="shared" si="48"/>
        <v>0</v>
      </c>
      <c r="BQ49" s="8">
        <f t="shared" si="48"/>
        <v>0</v>
      </c>
      <c r="BR49" s="8">
        <f t="shared" si="48"/>
        <v>0</v>
      </c>
      <c r="BS49" s="8">
        <f t="shared" si="48"/>
        <v>0</v>
      </c>
      <c r="BT49" s="8">
        <f t="shared" si="48"/>
        <v>0</v>
      </c>
      <c r="BU49" s="8">
        <f t="shared" si="48"/>
        <v>0</v>
      </c>
      <c r="BV49" s="8">
        <f t="shared" ref="BV49:DA49" si="49">IF(BV47&lt;=$B$3,BU49,0)</f>
        <v>0</v>
      </c>
      <c r="BW49" s="8">
        <f t="shared" si="49"/>
        <v>0</v>
      </c>
      <c r="BX49" s="8">
        <f t="shared" si="49"/>
        <v>0</v>
      </c>
      <c r="BY49" s="8">
        <f t="shared" si="49"/>
        <v>0</v>
      </c>
      <c r="BZ49" s="8">
        <f t="shared" si="49"/>
        <v>0</v>
      </c>
      <c r="CA49" s="8">
        <f t="shared" si="49"/>
        <v>0</v>
      </c>
      <c r="CB49" s="8">
        <f t="shared" si="49"/>
        <v>0</v>
      </c>
      <c r="CC49" s="8">
        <f t="shared" si="49"/>
        <v>0</v>
      </c>
      <c r="CD49" s="8">
        <f t="shared" si="49"/>
        <v>0</v>
      </c>
      <c r="CE49" s="8">
        <f t="shared" si="49"/>
        <v>0</v>
      </c>
      <c r="CF49" s="8">
        <f t="shared" si="49"/>
        <v>0</v>
      </c>
      <c r="CG49" s="8">
        <f t="shared" si="49"/>
        <v>0</v>
      </c>
      <c r="CH49" s="8">
        <f t="shared" si="49"/>
        <v>0</v>
      </c>
      <c r="CI49" s="8">
        <f t="shared" si="49"/>
        <v>0</v>
      </c>
      <c r="CJ49" s="8">
        <f t="shared" si="49"/>
        <v>0</v>
      </c>
      <c r="CK49" s="8">
        <f t="shared" si="49"/>
        <v>0</v>
      </c>
      <c r="CL49" s="8">
        <f t="shared" si="49"/>
        <v>0</v>
      </c>
      <c r="CM49" s="8">
        <f t="shared" si="49"/>
        <v>0</v>
      </c>
      <c r="CN49" s="8">
        <f t="shared" si="49"/>
        <v>0</v>
      </c>
      <c r="CO49" s="8">
        <f t="shared" si="49"/>
        <v>0</v>
      </c>
      <c r="CP49" s="8">
        <f t="shared" si="49"/>
        <v>0</v>
      </c>
      <c r="CQ49" s="8">
        <f t="shared" si="49"/>
        <v>0</v>
      </c>
      <c r="CR49" s="8">
        <f t="shared" si="49"/>
        <v>0</v>
      </c>
      <c r="CS49" s="8">
        <f t="shared" si="49"/>
        <v>0</v>
      </c>
      <c r="CT49" s="8">
        <f t="shared" si="49"/>
        <v>0</v>
      </c>
      <c r="CU49" s="8">
        <f t="shared" si="49"/>
        <v>0</v>
      </c>
      <c r="CV49" s="8">
        <f t="shared" si="49"/>
        <v>0</v>
      </c>
      <c r="CW49" s="8">
        <f t="shared" si="49"/>
        <v>0</v>
      </c>
      <c r="CX49" s="8">
        <f t="shared" si="49"/>
        <v>0</v>
      </c>
      <c r="CY49" s="8">
        <f t="shared" si="49"/>
        <v>0</v>
      </c>
      <c r="CZ49" s="8">
        <f t="shared" si="49"/>
        <v>0</v>
      </c>
      <c r="DA49" s="8">
        <f t="shared" si="49"/>
        <v>0</v>
      </c>
    </row>
    <row r="50" spans="1:105" x14ac:dyDescent="0.4">
      <c r="A50" s="82"/>
      <c r="D50" t="s">
        <v>154</v>
      </c>
      <c r="G50" s="8">
        <f>HLOOKUP(H48,$F$3:$O$10,7,0)</f>
        <v>3772960.6209932002</v>
      </c>
      <c r="H50" s="8">
        <f>IF(ROUND(G51,4)=-ROUND(G50,4),0,G50)</f>
        <v>3772960.6209932002</v>
      </c>
      <c r="I50" s="8">
        <f t="shared" ref="I50:BT50" si="50">IF(ROUND(H51,4)=-ROUND(H50,4),0,H50)</f>
        <v>3772960.6209932002</v>
      </c>
      <c r="J50" s="8">
        <f t="shared" si="50"/>
        <v>3772960.6209932002</v>
      </c>
      <c r="K50" s="8">
        <f t="shared" si="50"/>
        <v>3772960.6209932002</v>
      </c>
      <c r="L50" s="8">
        <f t="shared" si="50"/>
        <v>3772960.6209932002</v>
      </c>
      <c r="M50" s="8">
        <f t="shared" si="50"/>
        <v>3772960.6209932002</v>
      </c>
      <c r="N50" s="8">
        <f t="shared" si="50"/>
        <v>3772960.6209932002</v>
      </c>
      <c r="O50" s="8">
        <f t="shared" si="50"/>
        <v>3772960.6209932002</v>
      </c>
      <c r="P50" s="8">
        <f t="shared" si="50"/>
        <v>3772960.6209932002</v>
      </c>
      <c r="Q50" s="8">
        <f t="shared" si="50"/>
        <v>3772960.6209932002</v>
      </c>
      <c r="R50" s="8">
        <f t="shared" si="50"/>
        <v>3772960.6209932002</v>
      </c>
      <c r="S50" s="8">
        <f t="shared" si="50"/>
        <v>3772960.6209932002</v>
      </c>
      <c r="T50" s="8">
        <f t="shared" si="50"/>
        <v>3772960.6209932002</v>
      </c>
      <c r="U50" s="8">
        <f t="shared" si="50"/>
        <v>3772960.6209932002</v>
      </c>
      <c r="V50" s="8">
        <f t="shared" si="50"/>
        <v>3772960.6209932002</v>
      </c>
      <c r="W50" s="8">
        <f t="shared" si="50"/>
        <v>3772960.6209932002</v>
      </c>
      <c r="X50" s="8">
        <f t="shared" si="50"/>
        <v>3772960.6209932002</v>
      </c>
      <c r="Y50" s="8">
        <f t="shared" si="50"/>
        <v>3772960.6209932002</v>
      </c>
      <c r="Z50" s="8">
        <f t="shared" si="50"/>
        <v>3772960.6209932002</v>
      </c>
      <c r="AA50" s="8">
        <f t="shared" si="50"/>
        <v>3772960.6209932002</v>
      </c>
      <c r="AB50" s="8">
        <f t="shared" si="50"/>
        <v>3772960.6209932002</v>
      </c>
      <c r="AC50" s="8">
        <f t="shared" si="50"/>
        <v>3772960.6209932002</v>
      </c>
      <c r="AD50" s="8">
        <f t="shared" si="50"/>
        <v>3772960.6209932002</v>
      </c>
      <c r="AE50" s="8">
        <f t="shared" si="50"/>
        <v>3772960.6209932002</v>
      </c>
      <c r="AF50" s="8">
        <f t="shared" si="50"/>
        <v>3772960.6209932002</v>
      </c>
      <c r="AG50" s="8">
        <f t="shared" si="50"/>
        <v>3772960.6209932002</v>
      </c>
      <c r="AH50" s="8">
        <f t="shared" si="50"/>
        <v>3772960.6209932002</v>
      </c>
      <c r="AI50" s="8">
        <f t="shared" si="50"/>
        <v>3772960.6209932002</v>
      </c>
      <c r="AJ50" s="8">
        <f t="shared" si="50"/>
        <v>3772960.6209932002</v>
      </c>
      <c r="AK50" s="8">
        <f t="shared" si="50"/>
        <v>3772960.6209932002</v>
      </c>
      <c r="AL50" s="8">
        <f t="shared" si="50"/>
        <v>3772960.6209932002</v>
      </c>
      <c r="AM50" s="8">
        <f t="shared" si="50"/>
        <v>3772960.6209932002</v>
      </c>
      <c r="AN50" s="8">
        <f t="shared" si="50"/>
        <v>3772960.6209932002</v>
      </c>
      <c r="AO50" s="8">
        <f t="shared" si="50"/>
        <v>3772960.6209932002</v>
      </c>
      <c r="AP50" s="8">
        <f t="shared" si="50"/>
        <v>3772960.6209932002</v>
      </c>
      <c r="AQ50" s="8">
        <f t="shared" si="50"/>
        <v>3772960.6209932002</v>
      </c>
      <c r="AR50" s="8">
        <f t="shared" si="50"/>
        <v>3772960.6209932002</v>
      </c>
      <c r="AS50" s="8">
        <f t="shared" si="50"/>
        <v>3772960.6209932002</v>
      </c>
      <c r="AT50" s="8">
        <f t="shared" si="50"/>
        <v>3772960.6209932002</v>
      </c>
      <c r="AU50" s="8">
        <f t="shared" si="50"/>
        <v>3772960.6209932002</v>
      </c>
      <c r="AV50" s="8">
        <f t="shared" si="50"/>
        <v>3772960.6209932002</v>
      </c>
      <c r="AW50" s="8">
        <f t="shared" si="50"/>
        <v>3772960.6209932002</v>
      </c>
      <c r="AX50" s="8">
        <f t="shared" si="50"/>
        <v>3772960.6209932002</v>
      </c>
      <c r="AY50" s="8">
        <f t="shared" si="50"/>
        <v>3772960.6209932002</v>
      </c>
      <c r="AZ50" s="8">
        <f t="shared" si="50"/>
        <v>3772960.6209932002</v>
      </c>
      <c r="BA50" s="8">
        <f t="shared" si="50"/>
        <v>3772960.6209932002</v>
      </c>
      <c r="BB50" s="8">
        <f t="shared" si="50"/>
        <v>3772960.6209932002</v>
      </c>
      <c r="BC50" s="8">
        <f t="shared" si="50"/>
        <v>3772960.6209932002</v>
      </c>
      <c r="BD50" s="8">
        <f t="shared" si="50"/>
        <v>3772960.6209932002</v>
      </c>
      <c r="BE50" s="8">
        <f t="shared" si="50"/>
        <v>3772960.6209932002</v>
      </c>
      <c r="BF50" s="8">
        <f t="shared" si="50"/>
        <v>0</v>
      </c>
      <c r="BG50" s="8">
        <f t="shared" si="50"/>
        <v>0</v>
      </c>
      <c r="BH50" s="8">
        <f t="shared" si="50"/>
        <v>0</v>
      </c>
      <c r="BI50" s="8">
        <f t="shared" si="50"/>
        <v>0</v>
      </c>
      <c r="BJ50" s="8">
        <f t="shared" si="50"/>
        <v>0</v>
      </c>
      <c r="BK50" s="8">
        <f t="shared" si="50"/>
        <v>0</v>
      </c>
      <c r="BL50" s="8">
        <f t="shared" si="50"/>
        <v>0</v>
      </c>
      <c r="BM50" s="8">
        <f t="shared" si="50"/>
        <v>0</v>
      </c>
      <c r="BN50" s="8">
        <f t="shared" si="50"/>
        <v>0</v>
      </c>
      <c r="BO50" s="8">
        <f t="shared" si="50"/>
        <v>0</v>
      </c>
      <c r="BP50" s="8">
        <f t="shared" si="50"/>
        <v>0</v>
      </c>
      <c r="BQ50" s="8">
        <f t="shared" si="50"/>
        <v>0</v>
      </c>
      <c r="BR50" s="8">
        <f t="shared" si="50"/>
        <v>0</v>
      </c>
      <c r="BS50" s="8">
        <f t="shared" si="50"/>
        <v>0</v>
      </c>
      <c r="BT50" s="8">
        <f t="shared" si="50"/>
        <v>0</v>
      </c>
      <c r="BU50" s="8">
        <f t="shared" ref="BU50:DA50" si="51">IF(ROUND(BT51,4)=-ROUND(BT50,4),0,BT50)</f>
        <v>0</v>
      </c>
      <c r="BV50" s="8">
        <f t="shared" si="51"/>
        <v>0</v>
      </c>
      <c r="BW50" s="8">
        <f t="shared" si="51"/>
        <v>0</v>
      </c>
      <c r="BX50" s="8">
        <f t="shared" si="51"/>
        <v>0</v>
      </c>
      <c r="BY50" s="8">
        <f t="shared" si="51"/>
        <v>0</v>
      </c>
      <c r="BZ50" s="8">
        <f t="shared" si="51"/>
        <v>0</v>
      </c>
      <c r="CA50" s="8">
        <f t="shared" si="51"/>
        <v>0</v>
      </c>
      <c r="CB50" s="8">
        <f t="shared" si="51"/>
        <v>0</v>
      </c>
      <c r="CC50" s="8">
        <f t="shared" si="51"/>
        <v>0</v>
      </c>
      <c r="CD50" s="8">
        <f t="shared" si="51"/>
        <v>0</v>
      </c>
      <c r="CE50" s="8">
        <f t="shared" si="51"/>
        <v>0</v>
      </c>
      <c r="CF50" s="8">
        <f t="shared" si="51"/>
        <v>0</v>
      </c>
      <c r="CG50" s="8">
        <f t="shared" si="51"/>
        <v>0</v>
      </c>
      <c r="CH50" s="8">
        <f t="shared" si="51"/>
        <v>0</v>
      </c>
      <c r="CI50" s="8">
        <f t="shared" si="51"/>
        <v>0</v>
      </c>
      <c r="CJ50" s="8">
        <f t="shared" si="51"/>
        <v>0</v>
      </c>
      <c r="CK50" s="8">
        <f t="shared" si="51"/>
        <v>0</v>
      </c>
      <c r="CL50" s="8">
        <f t="shared" si="51"/>
        <v>0</v>
      </c>
      <c r="CM50" s="8">
        <f t="shared" si="51"/>
        <v>0</v>
      </c>
      <c r="CN50" s="8">
        <f t="shared" si="51"/>
        <v>0</v>
      </c>
      <c r="CO50" s="8">
        <f t="shared" si="51"/>
        <v>0</v>
      </c>
      <c r="CP50" s="8">
        <f t="shared" si="51"/>
        <v>0</v>
      </c>
      <c r="CQ50" s="8">
        <f t="shared" si="51"/>
        <v>0</v>
      </c>
      <c r="CR50" s="8">
        <f t="shared" si="51"/>
        <v>0</v>
      </c>
      <c r="CS50" s="8">
        <f t="shared" si="51"/>
        <v>0</v>
      </c>
      <c r="CT50" s="8">
        <f t="shared" si="51"/>
        <v>0</v>
      </c>
      <c r="CU50" s="8">
        <f t="shared" si="51"/>
        <v>0</v>
      </c>
      <c r="CV50" s="8">
        <f t="shared" si="51"/>
        <v>0</v>
      </c>
      <c r="CW50" s="8">
        <f t="shared" si="51"/>
        <v>0</v>
      </c>
      <c r="CX50" s="8">
        <f t="shared" si="51"/>
        <v>0</v>
      </c>
      <c r="CY50" s="8">
        <f t="shared" si="51"/>
        <v>0</v>
      </c>
      <c r="CZ50" s="8">
        <f t="shared" si="51"/>
        <v>0</v>
      </c>
      <c r="DA50" s="8">
        <f t="shared" si="51"/>
        <v>0</v>
      </c>
    </row>
    <row r="51" spans="1:105" x14ac:dyDescent="0.4">
      <c r="D51" t="s">
        <v>208</v>
      </c>
      <c r="G51" s="8"/>
      <c r="H51" s="8">
        <f>IF(H47&lt;=$B$3,-SUM($E49:H49),0)</f>
        <v>-75459.212419864009</v>
      </c>
      <c r="I51" s="8">
        <f>IF(I47&lt;=$B$3,-SUM($E49:I49),0)</f>
        <v>-150918.42483972802</v>
      </c>
      <c r="J51" s="8">
        <f>IF(J47&lt;=$B$3,-SUM($E49:J49),0)</f>
        <v>-226377.63725959201</v>
      </c>
      <c r="K51" s="8">
        <f>IF(K47&lt;=$B$3,-SUM($E49:K49),0)</f>
        <v>-301836.84967945603</v>
      </c>
      <c r="L51" s="8">
        <f>IF(L47&lt;=$B$3,-SUM($E49:L49),0)</f>
        <v>-377296.06209932006</v>
      </c>
      <c r="M51" s="8">
        <f>IF(M47&lt;=$B$3,-SUM($E49:M49),0)</f>
        <v>-452755.27451918408</v>
      </c>
      <c r="N51" s="8">
        <f>IF(N47&lt;=$B$3,-SUM($E49:N49),0)</f>
        <v>-528214.48693904805</v>
      </c>
      <c r="O51" s="8">
        <f>IF(O47&lt;=$B$3,-SUM($E49:O49),0)</f>
        <v>-603673.69935891207</v>
      </c>
      <c r="P51" s="8">
        <f>IF(P47&lt;=$B$3,-SUM($E49:P49),0)</f>
        <v>-679132.91177877609</v>
      </c>
      <c r="Q51" s="8">
        <f>IF(Q47&lt;=$B$3,-SUM($E49:Q49),0)</f>
        <v>-754592.12419864011</v>
      </c>
      <c r="R51" s="8">
        <f>IF(R47&lt;=$B$3,-SUM($E49:R49),0)</f>
        <v>-830051.33661850414</v>
      </c>
      <c r="S51" s="8">
        <f>IF(S47&lt;=$B$3,-SUM($E49:S49),0)</f>
        <v>-905510.54903836816</v>
      </c>
      <c r="T51" s="8">
        <f>IF(T47&lt;=$B$3,-SUM($E49:T49),0)</f>
        <v>-980969.76145823218</v>
      </c>
      <c r="U51" s="8">
        <f>IF(U47&lt;=$B$3,-SUM($E49:U49),0)</f>
        <v>-1056428.9738780961</v>
      </c>
      <c r="V51" s="8">
        <f>IF(V47&lt;=$B$3,-SUM($E49:V49),0)</f>
        <v>-1131888.1862979601</v>
      </c>
      <c r="W51" s="8">
        <f>IF(W47&lt;=$B$3,-SUM($E49:W49),0)</f>
        <v>-1207347.3987178241</v>
      </c>
      <c r="X51" s="8">
        <f>IF(X47&lt;=$B$3,-SUM($E49:X49),0)</f>
        <v>-1282806.6111376882</v>
      </c>
      <c r="Y51" s="8">
        <f>IF(Y47&lt;=$B$3,-SUM($E49:Y49),0)</f>
        <v>-1358265.8235575522</v>
      </c>
      <c r="Z51" s="8">
        <f>IF(Z47&lt;=$B$3,-SUM($E49:Z49),0)</f>
        <v>-1433725.0359774162</v>
      </c>
      <c r="AA51" s="8">
        <f>IF(AA47&lt;=$B$3,-SUM($E49:AA49),0)</f>
        <v>-1509184.2483972802</v>
      </c>
      <c r="AB51" s="8">
        <f>IF(AB47&lt;=$B$3,-SUM($E49:AB49),0)</f>
        <v>-1584643.4608171443</v>
      </c>
      <c r="AC51" s="8">
        <f>IF(AC47&lt;=$B$3,-SUM($E49:AC49),0)</f>
        <v>-1660102.6732370083</v>
      </c>
      <c r="AD51" s="8">
        <f>IF(AD47&lt;=$B$3,-SUM($E49:AD49),0)</f>
        <v>-1735561.8856568723</v>
      </c>
      <c r="AE51" s="8">
        <f>IF(AE47&lt;=$B$3,-SUM($E49:AE49),0)</f>
        <v>-1811021.0980767363</v>
      </c>
      <c r="AF51" s="8">
        <f>IF(AF47&lt;=$B$3,-SUM($E49:AF49),0)</f>
        <v>-1886480.3104966003</v>
      </c>
      <c r="AG51" s="8">
        <f>IF(AG47&lt;=$B$3,-SUM($E49:AG49),0)</f>
        <v>-1961939.5229164644</v>
      </c>
      <c r="AH51" s="8">
        <f>IF(AH47&lt;=$B$3,-SUM($E49:AH49),0)</f>
        <v>-2037398.7353363284</v>
      </c>
      <c r="AI51" s="8">
        <f>IF(AI47&lt;=$B$3,-SUM($E49:AI49),0)</f>
        <v>-2112857.9477561922</v>
      </c>
      <c r="AJ51" s="8">
        <f>IF(AJ47&lt;=$B$3,-SUM($E49:AJ49),0)</f>
        <v>-2188317.160176056</v>
      </c>
      <c r="AK51" s="8">
        <f>IF(AK47&lt;=$B$3,-SUM($E49:AK49),0)</f>
        <v>-2263776.3725959198</v>
      </c>
      <c r="AL51" s="8">
        <f>IF(AL47&lt;=$B$3,-SUM($E49:AL49),0)</f>
        <v>-2339235.5850157836</v>
      </c>
      <c r="AM51" s="8">
        <f>IF(AM47&lt;=$B$3,-SUM($E49:AM49),0)</f>
        <v>-2414694.7974356473</v>
      </c>
      <c r="AN51" s="8">
        <f>IF(AN47&lt;=$B$3,-SUM($E49:AN49),0)</f>
        <v>-2490154.0098555111</v>
      </c>
      <c r="AO51" s="8">
        <f>IF(AO47&lt;=$B$3,-SUM($E49:AO49),0)</f>
        <v>-2565613.2222753749</v>
      </c>
      <c r="AP51" s="8">
        <f>IF(AP47&lt;=$B$3,-SUM($E49:AP49),0)</f>
        <v>-2641072.4346952387</v>
      </c>
      <c r="AQ51" s="8">
        <f>IF(AQ47&lt;=$B$3,-SUM($E49:AQ49),0)</f>
        <v>-2716531.6471151025</v>
      </c>
      <c r="AR51" s="8">
        <f>IF(AR47&lt;=$B$3,-SUM($E49:AR49),0)</f>
        <v>-2791990.8595349663</v>
      </c>
      <c r="AS51" s="8">
        <f>IF(AS47&lt;=$B$3,-SUM($E49:AS49),0)</f>
        <v>-2867450.0719548301</v>
      </c>
      <c r="AT51" s="8">
        <f>IF(AT47&lt;=$B$3,-SUM($E49:AT49),0)</f>
        <v>-2942909.2843746939</v>
      </c>
      <c r="AU51" s="8">
        <f>IF(AU47&lt;=$B$3,-SUM($E49:AU49),0)</f>
        <v>-3018368.4967945577</v>
      </c>
      <c r="AV51" s="8">
        <f>IF(AV47&lt;=$B$3,-SUM($E49:AV49),0)</f>
        <v>-3093827.7092144215</v>
      </c>
      <c r="AW51" s="8">
        <f>IF(AW47&lt;=$B$3,-SUM($E49:AW49),0)</f>
        <v>-3169286.9216342852</v>
      </c>
      <c r="AX51" s="8">
        <f>IF(AX47&lt;=$B$3,-SUM($E49:AX49),0)</f>
        <v>-3244746.134054149</v>
      </c>
      <c r="AY51" s="8">
        <f>IF(AY47&lt;=$B$3,-SUM($E49:AY49),0)</f>
        <v>-3320205.3464740128</v>
      </c>
      <c r="AZ51" s="8">
        <f>IF(AZ47&lt;=$B$3,-SUM($E49:AZ49),0)</f>
        <v>-3395664.5588938766</v>
      </c>
      <c r="BA51" s="8">
        <f>IF(BA47&lt;=$B$3,-SUM($E49:BA49),0)</f>
        <v>-3471123.7713137404</v>
      </c>
      <c r="BB51" s="8">
        <f>IF(BB47&lt;=$B$3,-SUM($E49:BB49),0)</f>
        <v>-3546582.9837336042</v>
      </c>
      <c r="BC51" s="8">
        <f>IF(BC47&lt;=$B$3,-SUM($E49:BC49),0)</f>
        <v>-3622042.196153468</v>
      </c>
      <c r="BD51" s="8">
        <f>IF(BD47&lt;=$B$3,-SUM($E49:BD49),0)</f>
        <v>-3697501.4085733318</v>
      </c>
      <c r="BE51" s="8">
        <f>IF(BE47&lt;=$B$3,-SUM($E49:BE49),0)</f>
        <v>-3772960.6209931956</v>
      </c>
      <c r="BF51" s="8">
        <f>IF(BF47&lt;=$B$3,-SUM($E49:BF49),0)</f>
        <v>0</v>
      </c>
      <c r="BG51" s="8">
        <f>IF(BG47&lt;=$B$3,-SUM($E49:BG49),0)</f>
        <v>0</v>
      </c>
      <c r="BH51" s="8">
        <f>IF(BH47&lt;=$B$3,-SUM($E49:BH49),0)</f>
        <v>0</v>
      </c>
      <c r="BI51" s="8">
        <f>IF(BI47&lt;=$B$3,-SUM($E49:BI49),0)</f>
        <v>0</v>
      </c>
      <c r="BJ51" s="8">
        <f>IF(BJ47&lt;=$B$3,-SUM($E49:BJ49),0)</f>
        <v>0</v>
      </c>
      <c r="BK51" s="8">
        <f>IF(BK47&lt;=$B$3,-SUM($E49:BK49),0)</f>
        <v>0</v>
      </c>
      <c r="BL51" s="8">
        <f>IF(BL47&lt;=$B$3,-SUM($E49:BL49),0)</f>
        <v>0</v>
      </c>
      <c r="BM51" s="8">
        <f>IF(BM47&lt;=$B$3,-SUM($E49:BM49),0)</f>
        <v>0</v>
      </c>
      <c r="BN51" s="8">
        <f>IF(BN47&lt;=$B$3,-SUM($E49:BN49),0)</f>
        <v>0</v>
      </c>
      <c r="BO51" s="8">
        <f>IF(BO47&lt;=$B$3,-SUM($E49:BO49),0)</f>
        <v>0</v>
      </c>
      <c r="BP51" s="8">
        <f>IF(BP47&lt;=$B$3,-SUM($E49:BP49),0)</f>
        <v>0</v>
      </c>
      <c r="BQ51" s="8">
        <f>IF(BQ47&lt;=$B$3,-SUM($E49:BQ49),0)</f>
        <v>0</v>
      </c>
      <c r="BR51" s="8">
        <f>IF(BR47&lt;=$B$3,-SUM($E49:BR49),0)</f>
        <v>0</v>
      </c>
      <c r="BS51" s="8">
        <f>IF(BS47&lt;=$B$3,-SUM($E49:BS49),0)</f>
        <v>0</v>
      </c>
      <c r="BT51" s="8">
        <f>IF(BT47&lt;=$B$3,-SUM($E49:BT49),0)</f>
        <v>0</v>
      </c>
      <c r="BU51" s="8">
        <f>IF(BU47&lt;=$B$3,-SUM($E49:BU49),0)</f>
        <v>0</v>
      </c>
      <c r="BV51" s="8">
        <f>IF(BV47&lt;=$B$3,-SUM($E49:BV49),0)</f>
        <v>0</v>
      </c>
      <c r="BW51" s="8">
        <f>IF(BW47&lt;=$B$3,-SUM($E49:BW49),0)</f>
        <v>0</v>
      </c>
      <c r="BX51" s="8">
        <f>IF(BX47&lt;=$B$3,-SUM($E49:BX49),0)</f>
        <v>0</v>
      </c>
      <c r="BY51" s="8">
        <f>IF(BY47&lt;=$B$3,-SUM($E49:BY49),0)</f>
        <v>0</v>
      </c>
      <c r="BZ51" s="8">
        <f>IF(BZ47&lt;=$B$3,-SUM($E49:BZ49),0)</f>
        <v>0</v>
      </c>
      <c r="CA51" s="8">
        <f>IF(CA47&lt;=$B$3,-SUM($E49:CA49),0)</f>
        <v>0</v>
      </c>
      <c r="CB51" s="8">
        <f>IF(CB47&lt;=$B$3,-SUM($E49:CB49),0)</f>
        <v>0</v>
      </c>
      <c r="CC51" s="8">
        <f>IF(CC47&lt;=$B$3,-SUM($E49:CC49),0)</f>
        <v>0</v>
      </c>
      <c r="CD51" s="8">
        <f>IF(CD47&lt;=$B$3,-SUM($E49:CD49),0)</f>
        <v>0</v>
      </c>
      <c r="CE51" s="8">
        <f>IF(CE47&lt;=$B$3,-SUM($E49:CE49),0)</f>
        <v>0</v>
      </c>
      <c r="CF51" s="8">
        <f>IF(CF47&lt;=$B$3,-SUM($E49:CF49),0)</f>
        <v>0</v>
      </c>
      <c r="CG51" s="8">
        <f>IF(CG47&lt;=$B$3,-SUM($E49:CG49),0)</f>
        <v>0</v>
      </c>
      <c r="CH51" s="8">
        <f>IF(CH47&lt;=$B$3,-SUM($E49:CH49),0)</f>
        <v>0</v>
      </c>
      <c r="CI51" s="8">
        <f>IF(CI47&lt;=$B$3,-SUM($E49:CI49),0)</f>
        <v>0</v>
      </c>
      <c r="CJ51" s="8">
        <f>IF(CJ47&lt;=$B$3,-SUM($E49:CJ49),0)</f>
        <v>0</v>
      </c>
      <c r="CK51" s="8">
        <f>IF(CK47&lt;=$B$3,-SUM($E49:CK49),0)</f>
        <v>0</v>
      </c>
      <c r="CL51" s="8">
        <f>IF(CL47&lt;=$B$3,-SUM($E49:CL49),0)</f>
        <v>0</v>
      </c>
      <c r="CM51" s="8">
        <f>IF(CM47&lt;=$B$3,-SUM($E49:CM49),0)</f>
        <v>0</v>
      </c>
      <c r="CN51" s="8">
        <f>IF(CN47&lt;=$B$3,-SUM($E49:CN49),0)</f>
        <v>0</v>
      </c>
      <c r="CO51" s="8">
        <f>IF(CO47&lt;=$B$3,-SUM($E49:CO49),0)</f>
        <v>0</v>
      </c>
      <c r="CP51" s="8">
        <f>IF(CP47&lt;=$B$3,-SUM($E49:CP49),0)</f>
        <v>0</v>
      </c>
      <c r="CQ51" s="8">
        <f>IF(CQ47&lt;=$B$3,-SUM($E49:CQ49),0)</f>
        <v>0</v>
      </c>
      <c r="CR51" s="8">
        <f>IF(CR47&lt;=$B$3,-SUM($E49:CR49),0)</f>
        <v>0</v>
      </c>
      <c r="CS51" s="8">
        <f>IF(CS47&lt;=$B$3,-SUM($E49:CS49),0)</f>
        <v>0</v>
      </c>
      <c r="CT51" s="8">
        <f>IF(CT47&lt;=$B$3,-SUM($E49:CT49),0)</f>
        <v>0</v>
      </c>
      <c r="CU51" s="8">
        <f>IF(CU47&lt;=$B$3,-SUM($E49:CU49),0)</f>
        <v>0</v>
      </c>
      <c r="CV51" s="8">
        <f>IF(CV47&lt;=$B$3,-SUM($E49:CV49),0)</f>
        <v>0</v>
      </c>
      <c r="CW51" s="8">
        <f>IF(CW47&lt;=$B$3,-SUM($E49:CW49),0)</f>
        <v>0</v>
      </c>
      <c r="CX51" s="8">
        <f>IF(CX47&lt;=$B$3,-SUM($E49:CX49),0)</f>
        <v>0</v>
      </c>
      <c r="CY51" s="8">
        <f>IF(CY47&lt;=$B$3,-SUM($E49:CY49),0)</f>
        <v>0</v>
      </c>
      <c r="CZ51" s="8">
        <f>IF(CZ47&lt;=$B$3,-SUM($E49:CZ49),0)</f>
        <v>0</v>
      </c>
      <c r="DA51" s="8">
        <f>IF(DA47&lt;=$B$3,-SUM($E49:DA49),0)</f>
        <v>0</v>
      </c>
    </row>
    <row r="52" spans="1:105" x14ac:dyDescent="0.4">
      <c r="D52" t="s">
        <v>167</v>
      </c>
      <c r="G52" s="8"/>
      <c r="H52" s="8">
        <f>G53</f>
        <v>3772960.6209932002</v>
      </c>
      <c r="I52" s="8">
        <f t="shared" ref="I52:BT52" si="52">H53</f>
        <v>3697501.4085733364</v>
      </c>
      <c r="J52" s="8">
        <f t="shared" si="52"/>
        <v>3622042.1961534722</v>
      </c>
      <c r="K52" s="8">
        <f t="shared" si="52"/>
        <v>3546582.9837336084</v>
      </c>
      <c r="L52" s="8">
        <f t="shared" si="52"/>
        <v>3471123.7713137441</v>
      </c>
      <c r="M52" s="8">
        <f t="shared" si="52"/>
        <v>3395664.5588938803</v>
      </c>
      <c r="N52" s="8">
        <f t="shared" si="52"/>
        <v>3320205.3464740161</v>
      </c>
      <c r="O52" s="8">
        <f t="shared" si="52"/>
        <v>3244746.1340541523</v>
      </c>
      <c r="P52" s="8">
        <f t="shared" si="52"/>
        <v>3169286.921634288</v>
      </c>
      <c r="Q52" s="8">
        <f t="shared" si="52"/>
        <v>3093827.7092144242</v>
      </c>
      <c r="R52" s="8">
        <f t="shared" si="52"/>
        <v>3018368.49679456</v>
      </c>
      <c r="S52" s="8">
        <f t="shared" si="52"/>
        <v>2942909.2843746962</v>
      </c>
      <c r="T52" s="8">
        <f t="shared" si="52"/>
        <v>2867450.0719548319</v>
      </c>
      <c r="U52" s="8">
        <f t="shared" si="52"/>
        <v>2791990.8595349682</v>
      </c>
      <c r="V52" s="8">
        <f t="shared" si="52"/>
        <v>2716531.6471151039</v>
      </c>
      <c r="W52" s="8">
        <f t="shared" si="52"/>
        <v>2641072.4346952401</v>
      </c>
      <c r="X52" s="8">
        <f t="shared" si="52"/>
        <v>2565613.2222753763</v>
      </c>
      <c r="Y52" s="8">
        <f t="shared" si="52"/>
        <v>2490154.0098555121</v>
      </c>
      <c r="Z52" s="8">
        <f t="shared" si="52"/>
        <v>2414694.7974356478</v>
      </c>
      <c r="AA52" s="8">
        <f t="shared" si="52"/>
        <v>2339235.585015784</v>
      </c>
      <c r="AB52" s="8">
        <f t="shared" si="52"/>
        <v>2263776.3725959202</v>
      </c>
      <c r="AC52" s="8">
        <f t="shared" si="52"/>
        <v>2188317.160176056</v>
      </c>
      <c r="AD52" s="8">
        <f t="shared" si="52"/>
        <v>2112857.9477561917</v>
      </c>
      <c r="AE52" s="8">
        <f t="shared" si="52"/>
        <v>2037398.7353363279</v>
      </c>
      <c r="AF52" s="8">
        <f t="shared" si="52"/>
        <v>1961939.5229164639</v>
      </c>
      <c r="AG52" s="8">
        <f t="shared" si="52"/>
        <v>1886480.3104965999</v>
      </c>
      <c r="AH52" s="8">
        <f t="shared" si="52"/>
        <v>1811021.0980767359</v>
      </c>
      <c r="AI52" s="8">
        <f t="shared" si="52"/>
        <v>1735561.8856568718</v>
      </c>
      <c r="AJ52" s="8">
        <f t="shared" si="52"/>
        <v>1660102.673237008</v>
      </c>
      <c r="AK52" s="8">
        <f t="shared" si="52"/>
        <v>1584643.4608171443</v>
      </c>
      <c r="AL52" s="8">
        <f t="shared" si="52"/>
        <v>1509184.2483972805</v>
      </c>
      <c r="AM52" s="8">
        <f t="shared" si="52"/>
        <v>1433725.0359774167</v>
      </c>
      <c r="AN52" s="8">
        <f t="shared" si="52"/>
        <v>1358265.8235575529</v>
      </c>
      <c r="AO52" s="8">
        <f t="shared" si="52"/>
        <v>1282806.6111376891</v>
      </c>
      <c r="AP52" s="8">
        <f t="shared" si="52"/>
        <v>1207347.3987178253</v>
      </c>
      <c r="AQ52" s="8">
        <f t="shared" si="52"/>
        <v>1131888.1862979615</v>
      </c>
      <c r="AR52" s="8">
        <f t="shared" si="52"/>
        <v>1056428.9738780977</v>
      </c>
      <c r="AS52" s="8">
        <f t="shared" si="52"/>
        <v>980969.76145823393</v>
      </c>
      <c r="AT52" s="8">
        <f t="shared" si="52"/>
        <v>905510.54903837014</v>
      </c>
      <c r="AU52" s="8">
        <f t="shared" si="52"/>
        <v>830051.33661850635</v>
      </c>
      <c r="AV52" s="8">
        <f t="shared" si="52"/>
        <v>754592.12419864256</v>
      </c>
      <c r="AW52" s="8">
        <f t="shared" si="52"/>
        <v>679132.91177877877</v>
      </c>
      <c r="AX52" s="8">
        <f t="shared" si="52"/>
        <v>603673.69935891498</v>
      </c>
      <c r="AY52" s="8">
        <f t="shared" si="52"/>
        <v>528214.48693905119</v>
      </c>
      <c r="AZ52" s="8">
        <f t="shared" si="52"/>
        <v>452755.2745191874</v>
      </c>
      <c r="BA52" s="8">
        <f t="shared" si="52"/>
        <v>377296.06209932361</v>
      </c>
      <c r="BB52" s="8">
        <f t="shared" si="52"/>
        <v>301836.84967945982</v>
      </c>
      <c r="BC52" s="8">
        <f t="shared" si="52"/>
        <v>226377.63725959603</v>
      </c>
      <c r="BD52" s="8">
        <f t="shared" si="52"/>
        <v>150918.42483973224</v>
      </c>
      <c r="BE52" s="8">
        <f t="shared" si="52"/>
        <v>75459.212419868447</v>
      </c>
      <c r="BF52" s="8">
        <f t="shared" si="52"/>
        <v>4.6566128730773926E-9</v>
      </c>
      <c r="BG52" s="8">
        <f t="shared" si="52"/>
        <v>0</v>
      </c>
      <c r="BH52" s="8">
        <f t="shared" si="52"/>
        <v>0</v>
      </c>
      <c r="BI52" s="8">
        <f t="shared" si="52"/>
        <v>0</v>
      </c>
      <c r="BJ52" s="8">
        <f t="shared" si="52"/>
        <v>0</v>
      </c>
      <c r="BK52" s="8">
        <f t="shared" si="52"/>
        <v>0</v>
      </c>
      <c r="BL52" s="8">
        <f t="shared" si="52"/>
        <v>0</v>
      </c>
      <c r="BM52" s="8">
        <f t="shared" si="52"/>
        <v>0</v>
      </c>
      <c r="BN52" s="8">
        <f t="shared" si="52"/>
        <v>0</v>
      </c>
      <c r="BO52" s="8">
        <f t="shared" si="52"/>
        <v>0</v>
      </c>
      <c r="BP52" s="8">
        <f t="shared" si="52"/>
        <v>0</v>
      </c>
      <c r="BQ52" s="8">
        <f t="shared" si="52"/>
        <v>0</v>
      </c>
      <c r="BR52" s="8">
        <f t="shared" si="52"/>
        <v>0</v>
      </c>
      <c r="BS52" s="8">
        <f t="shared" si="52"/>
        <v>0</v>
      </c>
      <c r="BT52" s="8">
        <f t="shared" si="52"/>
        <v>0</v>
      </c>
      <c r="BU52" s="8">
        <f t="shared" ref="BU52:DA52" si="53">BT53</f>
        <v>0</v>
      </c>
      <c r="BV52" s="8">
        <f t="shared" si="53"/>
        <v>0</v>
      </c>
      <c r="BW52" s="8">
        <f t="shared" si="53"/>
        <v>0</v>
      </c>
      <c r="BX52" s="8">
        <f t="shared" si="53"/>
        <v>0</v>
      </c>
      <c r="BY52" s="8">
        <f t="shared" si="53"/>
        <v>0</v>
      </c>
      <c r="BZ52" s="8">
        <f t="shared" si="53"/>
        <v>0</v>
      </c>
      <c r="CA52" s="8">
        <f t="shared" si="53"/>
        <v>0</v>
      </c>
      <c r="CB52" s="8">
        <f t="shared" si="53"/>
        <v>0</v>
      </c>
      <c r="CC52" s="8">
        <f t="shared" si="53"/>
        <v>0</v>
      </c>
      <c r="CD52" s="8">
        <f t="shared" si="53"/>
        <v>0</v>
      </c>
      <c r="CE52" s="8">
        <f t="shared" si="53"/>
        <v>0</v>
      </c>
      <c r="CF52" s="8">
        <f t="shared" si="53"/>
        <v>0</v>
      </c>
      <c r="CG52" s="8">
        <f t="shared" si="53"/>
        <v>0</v>
      </c>
      <c r="CH52" s="8">
        <f t="shared" si="53"/>
        <v>0</v>
      </c>
      <c r="CI52" s="8">
        <f t="shared" si="53"/>
        <v>0</v>
      </c>
      <c r="CJ52" s="8">
        <f t="shared" si="53"/>
        <v>0</v>
      </c>
      <c r="CK52" s="8">
        <f t="shared" si="53"/>
        <v>0</v>
      </c>
      <c r="CL52" s="8">
        <f t="shared" si="53"/>
        <v>0</v>
      </c>
      <c r="CM52" s="8">
        <f t="shared" si="53"/>
        <v>0</v>
      </c>
      <c r="CN52" s="8">
        <f t="shared" si="53"/>
        <v>0</v>
      </c>
      <c r="CO52" s="8">
        <f t="shared" si="53"/>
        <v>0</v>
      </c>
      <c r="CP52" s="8">
        <f t="shared" si="53"/>
        <v>0</v>
      </c>
      <c r="CQ52" s="8">
        <f t="shared" si="53"/>
        <v>0</v>
      </c>
      <c r="CR52" s="8">
        <f t="shared" si="53"/>
        <v>0</v>
      </c>
      <c r="CS52" s="8">
        <f t="shared" si="53"/>
        <v>0</v>
      </c>
      <c r="CT52" s="8">
        <f t="shared" si="53"/>
        <v>0</v>
      </c>
      <c r="CU52" s="8">
        <f t="shared" si="53"/>
        <v>0</v>
      </c>
      <c r="CV52" s="8">
        <f t="shared" si="53"/>
        <v>0</v>
      </c>
      <c r="CW52" s="8">
        <f t="shared" si="53"/>
        <v>0</v>
      </c>
      <c r="CX52" s="8">
        <f t="shared" si="53"/>
        <v>0</v>
      </c>
      <c r="CY52" s="8">
        <f t="shared" si="53"/>
        <v>0</v>
      </c>
      <c r="CZ52" s="8">
        <f t="shared" si="53"/>
        <v>0</v>
      </c>
      <c r="DA52" s="8">
        <f t="shared" si="53"/>
        <v>0</v>
      </c>
    </row>
    <row r="53" spans="1:105" x14ac:dyDescent="0.4">
      <c r="D53" t="s">
        <v>168</v>
      </c>
      <c r="G53" s="8">
        <f>G50+G51</f>
        <v>3772960.6209932002</v>
      </c>
      <c r="H53" s="8">
        <f>H50+H51</f>
        <v>3697501.4085733364</v>
      </c>
      <c r="I53" s="8">
        <f t="shared" ref="I53:BT53" si="54">I50+I51</f>
        <v>3622042.1961534722</v>
      </c>
      <c r="J53" s="8">
        <f t="shared" si="54"/>
        <v>3546582.9837336084</v>
      </c>
      <c r="K53" s="8">
        <f t="shared" si="54"/>
        <v>3471123.7713137441</v>
      </c>
      <c r="L53" s="8">
        <f t="shared" si="54"/>
        <v>3395664.5588938803</v>
      </c>
      <c r="M53" s="8">
        <f t="shared" si="54"/>
        <v>3320205.3464740161</v>
      </c>
      <c r="N53" s="8">
        <f t="shared" si="54"/>
        <v>3244746.1340541523</v>
      </c>
      <c r="O53" s="8">
        <f t="shared" si="54"/>
        <v>3169286.921634288</v>
      </c>
      <c r="P53" s="8">
        <f t="shared" si="54"/>
        <v>3093827.7092144242</v>
      </c>
      <c r="Q53" s="8">
        <f t="shared" si="54"/>
        <v>3018368.49679456</v>
      </c>
      <c r="R53" s="8">
        <f t="shared" si="54"/>
        <v>2942909.2843746962</v>
      </c>
      <c r="S53" s="8">
        <f t="shared" si="54"/>
        <v>2867450.0719548319</v>
      </c>
      <c r="T53" s="8">
        <f t="shared" si="54"/>
        <v>2791990.8595349682</v>
      </c>
      <c r="U53" s="8">
        <f t="shared" si="54"/>
        <v>2716531.6471151039</v>
      </c>
      <c r="V53" s="8">
        <f t="shared" si="54"/>
        <v>2641072.4346952401</v>
      </c>
      <c r="W53" s="8">
        <f t="shared" si="54"/>
        <v>2565613.2222753763</v>
      </c>
      <c r="X53" s="8">
        <f t="shared" si="54"/>
        <v>2490154.0098555121</v>
      </c>
      <c r="Y53" s="8">
        <f t="shared" si="54"/>
        <v>2414694.7974356478</v>
      </c>
      <c r="Z53" s="8">
        <f t="shared" si="54"/>
        <v>2339235.585015784</v>
      </c>
      <c r="AA53" s="8">
        <f t="shared" si="54"/>
        <v>2263776.3725959202</v>
      </c>
      <c r="AB53" s="8">
        <f t="shared" si="54"/>
        <v>2188317.160176056</v>
      </c>
      <c r="AC53" s="8">
        <f t="shared" si="54"/>
        <v>2112857.9477561917</v>
      </c>
      <c r="AD53" s="8">
        <f t="shared" si="54"/>
        <v>2037398.7353363279</v>
      </c>
      <c r="AE53" s="8">
        <f t="shared" si="54"/>
        <v>1961939.5229164639</v>
      </c>
      <c r="AF53" s="8">
        <f t="shared" si="54"/>
        <v>1886480.3104965999</v>
      </c>
      <c r="AG53" s="8">
        <f t="shared" si="54"/>
        <v>1811021.0980767359</v>
      </c>
      <c r="AH53" s="8">
        <f t="shared" si="54"/>
        <v>1735561.8856568718</v>
      </c>
      <c r="AI53" s="8">
        <f t="shared" si="54"/>
        <v>1660102.673237008</v>
      </c>
      <c r="AJ53" s="8">
        <f t="shared" si="54"/>
        <v>1584643.4608171443</v>
      </c>
      <c r="AK53" s="8">
        <f t="shared" si="54"/>
        <v>1509184.2483972805</v>
      </c>
      <c r="AL53" s="8">
        <f t="shared" si="54"/>
        <v>1433725.0359774167</v>
      </c>
      <c r="AM53" s="8">
        <f t="shared" si="54"/>
        <v>1358265.8235575529</v>
      </c>
      <c r="AN53" s="8">
        <f t="shared" si="54"/>
        <v>1282806.6111376891</v>
      </c>
      <c r="AO53" s="8">
        <f t="shared" si="54"/>
        <v>1207347.3987178253</v>
      </c>
      <c r="AP53" s="8">
        <f t="shared" si="54"/>
        <v>1131888.1862979615</v>
      </c>
      <c r="AQ53" s="8">
        <f t="shared" si="54"/>
        <v>1056428.9738780977</v>
      </c>
      <c r="AR53" s="8">
        <f t="shared" si="54"/>
        <v>980969.76145823393</v>
      </c>
      <c r="AS53" s="8">
        <f t="shared" si="54"/>
        <v>905510.54903837014</v>
      </c>
      <c r="AT53" s="8">
        <f t="shared" si="54"/>
        <v>830051.33661850635</v>
      </c>
      <c r="AU53" s="8">
        <f t="shared" si="54"/>
        <v>754592.12419864256</v>
      </c>
      <c r="AV53" s="8">
        <f t="shared" si="54"/>
        <v>679132.91177877877</v>
      </c>
      <c r="AW53" s="8">
        <f t="shared" si="54"/>
        <v>603673.69935891498</v>
      </c>
      <c r="AX53" s="8">
        <f t="shared" si="54"/>
        <v>528214.48693905119</v>
      </c>
      <c r="AY53" s="8">
        <f t="shared" si="54"/>
        <v>452755.2745191874</v>
      </c>
      <c r="AZ53" s="8">
        <f t="shared" si="54"/>
        <v>377296.06209932361</v>
      </c>
      <c r="BA53" s="8">
        <f t="shared" si="54"/>
        <v>301836.84967945982</v>
      </c>
      <c r="BB53" s="8">
        <f t="shared" si="54"/>
        <v>226377.63725959603</v>
      </c>
      <c r="BC53" s="8">
        <f t="shared" si="54"/>
        <v>150918.42483973224</v>
      </c>
      <c r="BD53" s="8">
        <f t="shared" si="54"/>
        <v>75459.212419868447</v>
      </c>
      <c r="BE53" s="8">
        <f t="shared" si="54"/>
        <v>4.6566128730773926E-9</v>
      </c>
      <c r="BF53" s="8">
        <f t="shared" si="54"/>
        <v>0</v>
      </c>
      <c r="BG53" s="8">
        <f t="shared" si="54"/>
        <v>0</v>
      </c>
      <c r="BH53" s="8">
        <f t="shared" si="54"/>
        <v>0</v>
      </c>
      <c r="BI53" s="8">
        <f t="shared" si="54"/>
        <v>0</v>
      </c>
      <c r="BJ53" s="8">
        <f t="shared" si="54"/>
        <v>0</v>
      </c>
      <c r="BK53" s="8">
        <f t="shared" si="54"/>
        <v>0</v>
      </c>
      <c r="BL53" s="8">
        <f t="shared" si="54"/>
        <v>0</v>
      </c>
      <c r="BM53" s="8">
        <f t="shared" si="54"/>
        <v>0</v>
      </c>
      <c r="BN53" s="8">
        <f t="shared" si="54"/>
        <v>0</v>
      </c>
      <c r="BO53" s="8">
        <f t="shared" si="54"/>
        <v>0</v>
      </c>
      <c r="BP53" s="8">
        <f t="shared" si="54"/>
        <v>0</v>
      </c>
      <c r="BQ53" s="8">
        <f t="shared" si="54"/>
        <v>0</v>
      </c>
      <c r="BR53" s="8">
        <f t="shared" si="54"/>
        <v>0</v>
      </c>
      <c r="BS53" s="8">
        <f t="shared" si="54"/>
        <v>0</v>
      </c>
      <c r="BT53" s="8">
        <f t="shared" si="54"/>
        <v>0</v>
      </c>
      <c r="BU53" s="8">
        <f t="shared" ref="BU53:DA53" si="55">BU50+BU51</f>
        <v>0</v>
      </c>
      <c r="BV53" s="8">
        <f t="shared" si="55"/>
        <v>0</v>
      </c>
      <c r="BW53" s="8">
        <f t="shared" si="55"/>
        <v>0</v>
      </c>
      <c r="BX53" s="8">
        <f t="shared" si="55"/>
        <v>0</v>
      </c>
      <c r="BY53" s="8">
        <f t="shared" si="55"/>
        <v>0</v>
      </c>
      <c r="BZ53" s="8">
        <f t="shared" si="55"/>
        <v>0</v>
      </c>
      <c r="CA53" s="8">
        <f t="shared" si="55"/>
        <v>0</v>
      </c>
      <c r="CB53" s="8">
        <f t="shared" si="55"/>
        <v>0</v>
      </c>
      <c r="CC53" s="8">
        <f t="shared" si="55"/>
        <v>0</v>
      </c>
      <c r="CD53" s="8">
        <f t="shared" si="55"/>
        <v>0</v>
      </c>
      <c r="CE53" s="8">
        <f t="shared" si="55"/>
        <v>0</v>
      </c>
      <c r="CF53" s="8">
        <f t="shared" si="55"/>
        <v>0</v>
      </c>
      <c r="CG53" s="8">
        <f t="shared" si="55"/>
        <v>0</v>
      </c>
      <c r="CH53" s="8">
        <f t="shared" si="55"/>
        <v>0</v>
      </c>
      <c r="CI53" s="8">
        <f t="shared" si="55"/>
        <v>0</v>
      </c>
      <c r="CJ53" s="8">
        <f t="shared" si="55"/>
        <v>0</v>
      </c>
      <c r="CK53" s="8">
        <f t="shared" si="55"/>
        <v>0</v>
      </c>
      <c r="CL53" s="8">
        <f t="shared" si="55"/>
        <v>0</v>
      </c>
      <c r="CM53" s="8">
        <f t="shared" si="55"/>
        <v>0</v>
      </c>
      <c r="CN53" s="8">
        <f t="shared" si="55"/>
        <v>0</v>
      </c>
      <c r="CO53" s="8">
        <f t="shared" si="55"/>
        <v>0</v>
      </c>
      <c r="CP53" s="8">
        <f t="shared" si="55"/>
        <v>0</v>
      </c>
      <c r="CQ53" s="8">
        <f t="shared" si="55"/>
        <v>0</v>
      </c>
      <c r="CR53" s="8">
        <f t="shared" si="55"/>
        <v>0</v>
      </c>
      <c r="CS53" s="8">
        <f t="shared" si="55"/>
        <v>0</v>
      </c>
      <c r="CT53" s="8">
        <f t="shared" si="55"/>
        <v>0</v>
      </c>
      <c r="CU53" s="8">
        <f t="shared" si="55"/>
        <v>0</v>
      </c>
      <c r="CV53" s="8">
        <f t="shared" si="55"/>
        <v>0</v>
      </c>
      <c r="CW53" s="8">
        <f t="shared" si="55"/>
        <v>0</v>
      </c>
      <c r="CX53" s="8">
        <f t="shared" si="55"/>
        <v>0</v>
      </c>
      <c r="CY53" s="8">
        <f t="shared" si="55"/>
        <v>0</v>
      </c>
      <c r="CZ53" s="8">
        <f t="shared" si="55"/>
        <v>0</v>
      </c>
      <c r="DA53" s="8">
        <f t="shared" si="55"/>
        <v>0</v>
      </c>
    </row>
    <row r="54" spans="1:105" x14ac:dyDescent="0.4"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</row>
    <row r="55" spans="1:105" x14ac:dyDescent="0.4">
      <c r="D55" t="s">
        <v>169</v>
      </c>
      <c r="G55" s="8"/>
      <c r="H55" s="8">
        <f>IF(H47&lt;=$B$4+1,H50*VLOOKUP(H47,Assumptions!$A$70:$B$90,2,0),0)</f>
        <v>141486.02328724501</v>
      </c>
      <c r="I55" s="8">
        <f>IF(I47&lt;=$B$4+1,I50*VLOOKUP(I47,Assumptions!$A$70:$B$90,2,0),0)</f>
        <v>272370.02722949913</v>
      </c>
      <c r="J55" s="8">
        <f>IF(J47&lt;=$B$4+1,J50*VLOOKUP(J47,Assumptions!$A$70:$B$90,2,0),0)</f>
        <v>251920.58066371595</v>
      </c>
      <c r="K55" s="8">
        <f>IF(K47&lt;=$B$4+1,K50*VLOOKUP(K47,Assumptions!$A$70:$B$90,2,0),0)</f>
        <v>233055.77755874998</v>
      </c>
      <c r="L55" s="8">
        <f>IF(L47&lt;=$B$4+1,L50*VLOOKUP(L47,Assumptions!$A$70:$B$90,2,0),0)</f>
        <v>215549.24027734154</v>
      </c>
      <c r="M55" s="8">
        <f>IF(M47&lt;=$B$4+1,M50*VLOOKUP(M47,Assumptions!$A$70:$B$90,2,0),0)</f>
        <v>199400.96881949063</v>
      </c>
      <c r="N55" s="8">
        <f>IF(N47&lt;=$B$4+1,N50*VLOOKUP(N47,Assumptions!$A$70:$B$90,2,0),0)</f>
        <v>184422.31515414763</v>
      </c>
      <c r="O55" s="8">
        <f>IF(O47&lt;=$B$4+1,O50*VLOOKUP(O47,Assumptions!$A$70:$B$90,2,0),0)</f>
        <v>170613.27928131251</v>
      </c>
      <c r="P55" s="8">
        <f>IF(P47&lt;=$B$4+1,P50*VLOOKUP(P47,Assumptions!$A$70:$B$90,2,0),0)</f>
        <v>168349.50290871659</v>
      </c>
      <c r="Q55" s="8">
        <f>IF(Q47&lt;=$B$4+1,Q50*VLOOKUP(Q47,Assumptions!$A$70:$B$90,2,0),0)</f>
        <v>168311.77330250666</v>
      </c>
      <c r="R55" s="8">
        <f>IF(R47&lt;=$B$4+1,R50*VLOOKUP(R47,Assumptions!$A$70:$B$90,2,0),0)</f>
        <v>168349.50290871659</v>
      </c>
      <c r="S55" s="8">
        <f>IF(S47&lt;=$B$4+1,S50*VLOOKUP(S47,Assumptions!$A$70:$B$90,2,0),0)</f>
        <v>168311.77330250666</v>
      </c>
      <c r="T55" s="8">
        <f>IF(T47&lt;=$B$4+1,T50*VLOOKUP(T47,Assumptions!$A$70:$B$90,2,0),0)</f>
        <v>168349.50290871659</v>
      </c>
      <c r="U55" s="8">
        <f>IF(U47&lt;=$B$4+1,U50*VLOOKUP(U47,Assumptions!$A$70:$B$90,2,0),0)</f>
        <v>168311.77330250666</v>
      </c>
      <c r="V55" s="8">
        <f>IF(V47&lt;=$B$4+1,V50*VLOOKUP(V47,Assumptions!$A$70:$B$90,2,0),0)</f>
        <v>168349.50290871659</v>
      </c>
      <c r="W55" s="8">
        <f>IF(W47&lt;=$B$4+1,W50*VLOOKUP(W47,Assumptions!$A$70:$B$90,2,0),0)</f>
        <v>168311.77330250666</v>
      </c>
      <c r="X55" s="8">
        <f>IF(X47&lt;=$B$4+1,X50*VLOOKUP(X47,Assumptions!$A$70:$B$90,2,0),0)</f>
        <v>168349.50290871659</v>
      </c>
      <c r="Y55" s="8">
        <f>IF(Y47&lt;=$B$4+1,Y50*VLOOKUP(Y47,Assumptions!$A$70:$B$90,2,0),0)</f>
        <v>168311.77330250666</v>
      </c>
      <c r="Z55" s="8">
        <f>IF(Z47&lt;=$B$4+1,Z50*VLOOKUP(Z47,Assumptions!$A$70:$B$90,2,0),0)</f>
        <v>168349.50290871659</v>
      </c>
      <c r="AA55" s="8">
        <f>IF(AA47&lt;=$B$4+1,AA50*VLOOKUP(AA47,Assumptions!$A$70:$B$90,2,0),0)</f>
        <v>168311.77330250666</v>
      </c>
      <c r="AB55" s="8">
        <f>IF(AB47&lt;=$B$4+1,AB50*VLOOKUP(AB47,Assumptions!$A$70:$B$90,2,0),0)</f>
        <v>84174.751454358295</v>
      </c>
      <c r="AC55" s="8">
        <f>IF(AC47&lt;=$B$4+1,AC50*VLOOKUP(AC47,Assumptions!$A$70:$B$90,2,0),0)</f>
        <v>0</v>
      </c>
      <c r="AD55" s="8">
        <f>IF(AD47&lt;=$B$4+1,AD50*VLOOKUP(AD47,Assumptions!$A$70:$B$90,2,0),0)</f>
        <v>0</v>
      </c>
      <c r="AE55" s="8">
        <f>IF(AE47&lt;=$B$4+1,AE50*VLOOKUP(AE47,Assumptions!$A$70:$B$90,2,0),0)</f>
        <v>0</v>
      </c>
      <c r="AF55" s="8">
        <f>IF(AF47&lt;=$B$4+1,AF50*VLOOKUP(AF47,Assumptions!$A$70:$B$90,2,0),0)</f>
        <v>0</v>
      </c>
      <c r="AG55" s="8">
        <f>IF(AG47&lt;=$B$4+1,AG50*VLOOKUP(AG47,Assumptions!$A$70:$B$90,2,0),0)</f>
        <v>0</v>
      </c>
      <c r="AH55" s="8">
        <f>IF(AH47&lt;=$B$4+1,AH50*VLOOKUP(AH47,Assumptions!$A$70:$B$90,2,0),0)</f>
        <v>0</v>
      </c>
      <c r="AI55" s="8">
        <f>IF(AI47&lt;=$B$4+1,AI50*VLOOKUP(AI47,Assumptions!$A$70:$B$90,2,0),0)</f>
        <v>0</v>
      </c>
      <c r="AJ55" s="8">
        <f>IF(AJ47&lt;=$B$4+1,AJ50*VLOOKUP(AJ47,Assumptions!$A$70:$B$90,2,0),0)</f>
        <v>0</v>
      </c>
      <c r="AK55" s="8">
        <f>IF(AK47&lt;=$B$4+1,AK50*VLOOKUP(AK47,Assumptions!$A$70:$B$90,2,0),0)</f>
        <v>0</v>
      </c>
      <c r="AL55" s="8">
        <f>IF(AL47&lt;=$B$4+1,AL50*VLOOKUP(AL47,Assumptions!$A$70:$B$90,2,0),0)</f>
        <v>0</v>
      </c>
      <c r="AM55" s="8">
        <f>IF(AM47&lt;=$B$4+1,AM50*VLOOKUP(AM47,Assumptions!$A$70:$B$90,2,0),0)</f>
        <v>0</v>
      </c>
      <c r="AN55" s="8">
        <f>IF(AN47&lt;=$B$4+1,AN50*VLOOKUP(AN47,Assumptions!$A$70:$B$90,2,0),0)</f>
        <v>0</v>
      </c>
      <c r="AO55" s="8">
        <f>IF(AO47&lt;=$B$4+1,AO50*VLOOKUP(AO47,Assumptions!$A$70:$B$90,2,0),0)</f>
        <v>0</v>
      </c>
      <c r="AP55" s="8">
        <f>IF(AP47&lt;=$B$4+1,AP50*VLOOKUP(AP47,Assumptions!$A$70:$B$90,2,0),0)</f>
        <v>0</v>
      </c>
      <c r="AQ55" s="8">
        <f>IF(AQ47&lt;=$B$4+1,AQ50*VLOOKUP(AQ47,Assumptions!$A$70:$B$90,2,0),0)</f>
        <v>0</v>
      </c>
      <c r="AR55" s="8">
        <f>IF(AR47&lt;=$B$4+1,AR50*VLOOKUP(AR47,Assumptions!$A$70:$B$90,2,0),0)</f>
        <v>0</v>
      </c>
      <c r="AS55" s="8">
        <f>IF(AS47&lt;=$B$4+1,AS50*VLOOKUP(AS47,Assumptions!$A$70:$B$90,2,0),0)</f>
        <v>0</v>
      </c>
      <c r="AT55" s="8">
        <f>IF(AT47&lt;=$B$4+1,AT50*VLOOKUP(AT47,Assumptions!$A$70:$B$90,2,0),0)</f>
        <v>0</v>
      </c>
      <c r="AU55" s="8">
        <f>IF(AU47&lt;=$B$4+1,AU50*VLOOKUP(AU47,Assumptions!$A$70:$B$90,2,0),0)</f>
        <v>0</v>
      </c>
      <c r="AV55" s="8">
        <f>IF(AV47&lt;=$B$4+1,AV50*VLOOKUP(AV47,Assumptions!$A$70:$B$90,2,0),0)</f>
        <v>0</v>
      </c>
      <c r="AW55" s="8">
        <f>IF(AW47&lt;=$B$4+1,AW50*VLOOKUP(AW47,Assumptions!$A$70:$B$90,2,0),0)</f>
        <v>0</v>
      </c>
      <c r="AX55" s="8">
        <f>IF(AX47&lt;=$B$4+1,AX50*VLOOKUP(AX47,Assumptions!$A$70:$B$90,2,0),0)</f>
        <v>0</v>
      </c>
      <c r="AY55" s="8">
        <f>IF(AY47&lt;=$B$4+1,AY50*VLOOKUP(AY47,Assumptions!$A$70:$B$90,2,0),0)</f>
        <v>0</v>
      </c>
      <c r="AZ55" s="8">
        <f>IF(AZ47&lt;=$B$4+1,AZ50*VLOOKUP(AZ47,Assumptions!$A$70:$B$90,2,0),0)</f>
        <v>0</v>
      </c>
      <c r="BA55" s="8">
        <f>IF(BA47&lt;=$B$4+1,BA50*VLOOKUP(BA47,Assumptions!$A$70:$B$90,2,0),0)</f>
        <v>0</v>
      </c>
      <c r="BB55" s="8">
        <f>IF(BB47&lt;=$B$4+1,BB50*VLOOKUP(BB47,Assumptions!$A$70:$B$90,2,0),0)</f>
        <v>0</v>
      </c>
      <c r="BC55" s="8">
        <f>IF(BC47&lt;=$B$4+1,BC50*VLOOKUP(BC47,Assumptions!$A$70:$B$90,2,0),0)</f>
        <v>0</v>
      </c>
      <c r="BD55" s="8">
        <f>IF(BD47&lt;=$B$4+1,BD50*VLOOKUP(BD47,Assumptions!$A$70:$B$90,2,0),0)</f>
        <v>0</v>
      </c>
      <c r="BE55" s="8">
        <f>IF(BE47&lt;=$B$4+1,BE50*VLOOKUP(BE47,Assumptions!$A$70:$B$90,2,0),0)</f>
        <v>0</v>
      </c>
      <c r="BF55" s="8">
        <f>IF(BF47&lt;=$B$4+1,BF50*VLOOKUP(BF47,Assumptions!$A$70:$B$90,2,0),0)</f>
        <v>0</v>
      </c>
      <c r="BG55" s="8">
        <f>IF(BG47&lt;=$B$4+1,BG50*VLOOKUP(BG47,Assumptions!$A$70:$B$90,2,0),0)</f>
        <v>0</v>
      </c>
      <c r="BH55" s="8">
        <f>IF(BH47&lt;=$B$4+1,BH50*VLOOKUP(BH47,Assumptions!$A$70:$B$90,2,0),0)</f>
        <v>0</v>
      </c>
      <c r="BI55" s="8">
        <f>IF(BI47&lt;=$B$4+1,BI50*VLOOKUP(BI47,Assumptions!$A$70:$B$90,2,0),0)</f>
        <v>0</v>
      </c>
      <c r="BJ55" s="8">
        <f>IF(BJ47&lt;=$B$4+1,BJ50*VLOOKUP(BJ47,Assumptions!$A$70:$B$90,2,0),0)</f>
        <v>0</v>
      </c>
      <c r="BK55" s="8">
        <f>IF(BK47&lt;=$B$4+1,BK50*VLOOKUP(BK47,Assumptions!$A$70:$B$90,2,0),0)</f>
        <v>0</v>
      </c>
      <c r="BL55" s="8">
        <f>IF(BL47&lt;=$B$4+1,BL50*VLOOKUP(BL47,Assumptions!$A$70:$B$90,2,0),0)</f>
        <v>0</v>
      </c>
      <c r="BM55" s="8">
        <f>IF(BM47&lt;=$B$4+1,BM50*VLOOKUP(BM47,Assumptions!$A$70:$B$90,2,0),0)</f>
        <v>0</v>
      </c>
      <c r="BN55" s="8">
        <f>IF(BN47&lt;=$B$4+1,BN50*VLOOKUP(BN47,Assumptions!$A$70:$B$90,2,0),0)</f>
        <v>0</v>
      </c>
      <c r="BO55" s="8">
        <f>IF(BO47&lt;=$B$4+1,BO50*VLOOKUP(BO47,Assumptions!$A$70:$B$90,2,0),0)</f>
        <v>0</v>
      </c>
      <c r="BP55" s="8">
        <f>IF(BP47&lt;=$B$4+1,BP50*VLOOKUP(BP47,Assumptions!$A$70:$B$90,2,0),0)</f>
        <v>0</v>
      </c>
      <c r="BQ55" s="8">
        <f>IF(BQ47&lt;=$B$4+1,BQ50*VLOOKUP(BQ47,Assumptions!$A$70:$B$90,2,0),0)</f>
        <v>0</v>
      </c>
      <c r="BR55" s="8">
        <f>IF(BR47&lt;=$B$4+1,BR50*VLOOKUP(BR47,Assumptions!$A$70:$B$90,2,0),0)</f>
        <v>0</v>
      </c>
      <c r="BS55" s="8">
        <f>IF(BS47&lt;=$B$4+1,BS50*VLOOKUP(BS47,Assumptions!$A$70:$B$90,2,0),0)</f>
        <v>0</v>
      </c>
      <c r="BT55" s="8">
        <f>IF(BT47&lt;=$B$4+1,BT50*VLOOKUP(BT47,Assumptions!$A$70:$B$90,2,0),0)</f>
        <v>0</v>
      </c>
      <c r="BU55" s="8">
        <f>IF(BU47&lt;=$B$4+1,BU50*VLOOKUP(BU47,Assumptions!$A$70:$B$90,2,0),0)</f>
        <v>0</v>
      </c>
      <c r="BV55" s="8">
        <f>IF(BV47&lt;=$B$4+1,BV50*VLOOKUP(BV47,Assumptions!$A$70:$B$90,2,0),0)</f>
        <v>0</v>
      </c>
      <c r="BW55" s="8">
        <f>IF(BW47&lt;=$B$4+1,BW50*VLOOKUP(BW47,Assumptions!$A$70:$B$90,2,0),0)</f>
        <v>0</v>
      </c>
      <c r="BX55" s="8">
        <f>IF(BX47&lt;=$B$4+1,BX50*VLOOKUP(BX47,Assumptions!$A$70:$B$90,2,0),0)</f>
        <v>0</v>
      </c>
      <c r="BY55" s="8">
        <f>IF(BY47&lt;=$B$4+1,BY50*VLOOKUP(BY47,Assumptions!$A$70:$B$90,2,0),0)</f>
        <v>0</v>
      </c>
      <c r="BZ55" s="8">
        <f>IF(BZ47&lt;=$B$4+1,BZ50*VLOOKUP(BZ47,Assumptions!$A$70:$B$90,2,0),0)</f>
        <v>0</v>
      </c>
      <c r="CA55" s="8">
        <f>IF(CA47&lt;=$B$4+1,CA50*VLOOKUP(CA47,Assumptions!$A$70:$B$90,2,0),0)</f>
        <v>0</v>
      </c>
      <c r="CB55" s="8">
        <f>IF(CB47&lt;=$B$4+1,CB50*VLOOKUP(CB47,Assumptions!$A$70:$B$90,2,0),0)</f>
        <v>0</v>
      </c>
      <c r="CC55" s="8">
        <f>IF(CC47&lt;=$B$4+1,CC50*VLOOKUP(CC47,Assumptions!$A$70:$B$90,2,0),0)</f>
        <v>0</v>
      </c>
      <c r="CD55" s="8">
        <f>IF(CD47&lt;=$B$4+1,CD50*VLOOKUP(CD47,Assumptions!$A$70:$B$90,2,0),0)</f>
        <v>0</v>
      </c>
      <c r="CE55" s="8">
        <f>IF(CE47&lt;=$B$4+1,CE50*VLOOKUP(CE47,Assumptions!$A$70:$B$90,2,0),0)</f>
        <v>0</v>
      </c>
      <c r="CF55" s="8">
        <f>IF(CF47&lt;=$B$4+1,CF50*VLOOKUP(CF47,Assumptions!$A$70:$B$90,2,0),0)</f>
        <v>0</v>
      </c>
      <c r="CG55" s="8">
        <f>IF(CG47&lt;=$B$4+1,CG50*VLOOKUP(CG47,Assumptions!$A$70:$B$90,2,0),0)</f>
        <v>0</v>
      </c>
      <c r="CH55" s="8">
        <f>IF(CH47&lt;=$B$4+1,CH50*VLOOKUP(CH47,Assumptions!$A$70:$B$90,2,0),0)</f>
        <v>0</v>
      </c>
      <c r="CI55" s="8">
        <f>IF(CI47&lt;=$B$4+1,CI50*VLOOKUP(CI47,Assumptions!$A$70:$B$90,2,0),0)</f>
        <v>0</v>
      </c>
      <c r="CJ55" s="8">
        <f>IF(CJ47&lt;=$B$4+1,CJ50*VLOOKUP(CJ47,Assumptions!$A$70:$B$90,2,0),0)</f>
        <v>0</v>
      </c>
      <c r="CK55" s="8">
        <f>IF(CK47&lt;=$B$4+1,CK50*VLOOKUP(CK47,Assumptions!$A$70:$B$90,2,0),0)</f>
        <v>0</v>
      </c>
      <c r="CL55" s="8">
        <f>IF(CL47&lt;=$B$4+1,CL50*VLOOKUP(CL47,Assumptions!$A$70:$B$90,2,0),0)</f>
        <v>0</v>
      </c>
      <c r="CM55" s="8">
        <f>IF(CM47&lt;=$B$4+1,CM50*VLOOKUP(CM47,Assumptions!$A$70:$B$90,2,0),0)</f>
        <v>0</v>
      </c>
      <c r="CN55" s="8">
        <f>IF(CN47&lt;=$B$4+1,CN50*VLOOKUP(CN47,Assumptions!$A$70:$B$90,2,0),0)</f>
        <v>0</v>
      </c>
      <c r="CO55" s="8">
        <f>IF(CO47&lt;=$B$4+1,CO50*VLOOKUP(CO47,Assumptions!$A$70:$B$90,2,0),0)</f>
        <v>0</v>
      </c>
      <c r="CP55" s="8">
        <f>IF(CP47&lt;=$B$4+1,CP50*VLOOKUP(CP47,Assumptions!$A$70:$B$90,2,0),0)</f>
        <v>0</v>
      </c>
      <c r="CQ55" s="8">
        <f>IF(CQ47&lt;=$B$4+1,CQ50*VLOOKUP(CQ47,Assumptions!$A$70:$B$90,2,0),0)</f>
        <v>0</v>
      </c>
      <c r="CR55" s="8">
        <f>IF(CR47&lt;=$B$4+1,CR50*VLOOKUP(CR47,Assumptions!$A$70:$B$90,2,0),0)</f>
        <v>0</v>
      </c>
      <c r="CS55" s="8">
        <f>IF(CS47&lt;=$B$4+1,CS50*VLOOKUP(CS47,Assumptions!$A$70:$B$90,2,0),0)</f>
        <v>0</v>
      </c>
      <c r="CT55" s="8">
        <f>IF(CT47&lt;=$B$4+1,CT50*VLOOKUP(CT47,Assumptions!$A$70:$B$90,2,0),0)</f>
        <v>0</v>
      </c>
      <c r="CU55" s="8">
        <f>IF(CU47&lt;=$B$4+1,CU50*VLOOKUP(CU47,Assumptions!$A$70:$B$90,2,0),0)</f>
        <v>0</v>
      </c>
      <c r="CV55" s="8">
        <f>IF(CV47&lt;=$B$4+1,CV50*VLOOKUP(CV47,Assumptions!$A$70:$B$90,2,0),0)</f>
        <v>0</v>
      </c>
      <c r="CW55" s="8">
        <f>IF(CW47&lt;=$B$4+1,CW50*VLOOKUP(CW47,Assumptions!$A$70:$B$90,2,0),0)</f>
        <v>0</v>
      </c>
      <c r="CX55" s="8">
        <f>IF(CX47&lt;=$B$4+1,CX50*VLOOKUP(CX47,Assumptions!$A$70:$B$90,2,0),0)</f>
        <v>0</v>
      </c>
      <c r="CY55" s="8">
        <f>IF(CY47&lt;=$B$4+1,CY50*VLOOKUP(CY47,Assumptions!$A$70:$B$90,2,0),0)</f>
        <v>0</v>
      </c>
      <c r="CZ55" s="8">
        <f>IF(CZ47&lt;=$B$4+1,CZ50*VLOOKUP(CZ47,Assumptions!$A$70:$B$90,2,0),0)</f>
        <v>0</v>
      </c>
      <c r="DA55" s="8">
        <f>IF(DA47&lt;=$B$4+1,DA50*VLOOKUP(DA47,Assumptions!$A$70:$B$90,2,0),0)</f>
        <v>0</v>
      </c>
    </row>
    <row r="56" spans="1:105" x14ac:dyDescent="0.4">
      <c r="D56" t="s">
        <v>170</v>
      </c>
      <c r="G56" s="8"/>
      <c r="H56" s="8">
        <f>G57</f>
        <v>0</v>
      </c>
      <c r="I56" s="8">
        <f t="shared" ref="I56:BT56" si="56">H57</f>
        <v>-18299.330631894645</v>
      </c>
      <c r="J56" s="8">
        <f t="shared" si="56"/>
        <v>-72873.162956385015</v>
      </c>
      <c r="K56" s="8">
        <f t="shared" si="56"/>
        <v>-121779.43116516859</v>
      </c>
      <c r="L56" s="8">
        <f t="shared" si="56"/>
        <v>-165457.31919341083</v>
      </c>
      <c r="M56" s="8">
        <f t="shared" si="56"/>
        <v>-204283.27041411074</v>
      </c>
      <c r="N56" s="8">
        <f t="shared" si="56"/>
        <v>-238633.72820026724</v>
      </c>
      <c r="O56" s="8">
        <f t="shared" si="56"/>
        <v>-268832.85212307394</v>
      </c>
      <c r="P56" s="8">
        <f t="shared" si="56"/>
        <v>-295204.8017537244</v>
      </c>
      <c r="Q56" s="8">
        <f t="shared" si="56"/>
        <v>-320949.34576270991</v>
      </c>
      <c r="R56" s="8">
        <f t="shared" si="56"/>
        <v>-346683.43301133433</v>
      </c>
      <c r="S56" s="8">
        <f t="shared" si="56"/>
        <v>-372427.97702031984</v>
      </c>
      <c r="T56" s="8">
        <f t="shared" si="56"/>
        <v>-398162.06426894426</v>
      </c>
      <c r="U56" s="8">
        <f t="shared" si="56"/>
        <v>-423906.60827792977</v>
      </c>
      <c r="V56" s="8">
        <f t="shared" si="56"/>
        <v>-449640.69552655419</v>
      </c>
      <c r="W56" s="8">
        <f t="shared" si="56"/>
        <v>-475385.2395355397</v>
      </c>
      <c r="X56" s="8">
        <f t="shared" si="56"/>
        <v>-501119.32678416412</v>
      </c>
      <c r="Y56" s="8">
        <f t="shared" si="56"/>
        <v>-526863.87079314957</v>
      </c>
      <c r="Z56" s="8">
        <f t="shared" si="56"/>
        <v>-552597.95804177399</v>
      </c>
      <c r="AA56" s="8">
        <f t="shared" si="56"/>
        <v>-578342.5020507595</v>
      </c>
      <c r="AB56" s="8">
        <f t="shared" si="56"/>
        <v>-604076.58929938392</v>
      </c>
      <c r="AC56" s="8">
        <f t="shared" si="56"/>
        <v>-606492.100942794</v>
      </c>
      <c r="AD56" s="8">
        <f t="shared" si="56"/>
        <v>-585578.58022062865</v>
      </c>
      <c r="AE56" s="8">
        <f t="shared" si="56"/>
        <v>-564665.05949846329</v>
      </c>
      <c r="AF56" s="8">
        <f t="shared" si="56"/>
        <v>-543751.53877629794</v>
      </c>
      <c r="AG56" s="8">
        <f t="shared" si="56"/>
        <v>-522838.01805413264</v>
      </c>
      <c r="AH56" s="8">
        <f t="shared" si="56"/>
        <v>-501924.49733196734</v>
      </c>
      <c r="AI56" s="8">
        <f t="shared" si="56"/>
        <v>-481010.97660980205</v>
      </c>
      <c r="AJ56" s="8">
        <f t="shared" si="56"/>
        <v>-460097.45588763675</v>
      </c>
      <c r="AK56" s="8">
        <f t="shared" si="56"/>
        <v>-439183.93516547146</v>
      </c>
      <c r="AL56" s="8">
        <f t="shared" si="56"/>
        <v>-418270.41444330616</v>
      </c>
      <c r="AM56" s="8">
        <f t="shared" si="56"/>
        <v>-397356.89372114086</v>
      </c>
      <c r="AN56" s="8">
        <f t="shared" si="56"/>
        <v>-376443.37299897557</v>
      </c>
      <c r="AO56" s="8">
        <f t="shared" si="56"/>
        <v>-355529.85227681027</v>
      </c>
      <c r="AP56" s="8">
        <f t="shared" si="56"/>
        <v>-334616.33155464497</v>
      </c>
      <c r="AQ56" s="8">
        <f t="shared" si="56"/>
        <v>-313702.81083247968</v>
      </c>
      <c r="AR56" s="8">
        <f t="shared" si="56"/>
        <v>-292789.29011031438</v>
      </c>
      <c r="AS56" s="8">
        <f t="shared" si="56"/>
        <v>-271875.76938814908</v>
      </c>
      <c r="AT56" s="8">
        <f t="shared" si="56"/>
        <v>-250962.24866598379</v>
      </c>
      <c r="AU56" s="8">
        <f t="shared" si="56"/>
        <v>-230048.72794381849</v>
      </c>
      <c r="AV56" s="8">
        <f t="shared" si="56"/>
        <v>-209135.2072216532</v>
      </c>
      <c r="AW56" s="8">
        <f t="shared" si="56"/>
        <v>-188221.6864994879</v>
      </c>
      <c r="AX56" s="8">
        <f t="shared" si="56"/>
        <v>-167308.1657773226</v>
      </c>
      <c r="AY56" s="8">
        <f t="shared" si="56"/>
        <v>-146394.64505515731</v>
      </c>
      <c r="AZ56" s="8">
        <f t="shared" si="56"/>
        <v>-125481.124332992</v>
      </c>
      <c r="BA56" s="8">
        <f t="shared" si="56"/>
        <v>-104567.60361082669</v>
      </c>
      <c r="BB56" s="8">
        <f t="shared" si="56"/>
        <v>-83654.082888661374</v>
      </c>
      <c r="BC56" s="8">
        <f t="shared" si="56"/>
        <v>-62740.562166496064</v>
      </c>
      <c r="BD56" s="8">
        <f t="shared" si="56"/>
        <v>-41827.041444330753</v>
      </c>
      <c r="BE56" s="8">
        <f t="shared" si="56"/>
        <v>-20913.520722165442</v>
      </c>
      <c r="BF56" s="8">
        <f t="shared" si="56"/>
        <v>-1.3096723705530167E-10</v>
      </c>
      <c r="BG56" s="8">
        <f t="shared" si="56"/>
        <v>-1.3096723705530167E-10</v>
      </c>
      <c r="BH56" s="8">
        <f t="shared" si="56"/>
        <v>-1.3096723705530167E-10</v>
      </c>
      <c r="BI56" s="8">
        <f t="shared" si="56"/>
        <v>-1.3096723705530167E-10</v>
      </c>
      <c r="BJ56" s="8">
        <f t="shared" si="56"/>
        <v>-1.3096723705530167E-10</v>
      </c>
      <c r="BK56" s="8">
        <f t="shared" si="56"/>
        <v>-1.3096723705530167E-10</v>
      </c>
      <c r="BL56" s="8">
        <f t="shared" si="56"/>
        <v>-1.3096723705530167E-10</v>
      </c>
      <c r="BM56" s="8">
        <f t="shared" si="56"/>
        <v>-1.3096723705530167E-10</v>
      </c>
      <c r="BN56" s="8">
        <f t="shared" si="56"/>
        <v>-1.3096723705530167E-10</v>
      </c>
      <c r="BO56" s="8">
        <f t="shared" si="56"/>
        <v>-1.3096723705530167E-10</v>
      </c>
      <c r="BP56" s="8">
        <f t="shared" si="56"/>
        <v>-1.3096723705530167E-10</v>
      </c>
      <c r="BQ56" s="8">
        <f t="shared" si="56"/>
        <v>-1.3096723705530167E-10</v>
      </c>
      <c r="BR56" s="8">
        <f t="shared" si="56"/>
        <v>-1.3096723705530167E-10</v>
      </c>
      <c r="BS56" s="8">
        <f t="shared" si="56"/>
        <v>-1.3096723705530167E-10</v>
      </c>
      <c r="BT56" s="8">
        <f t="shared" si="56"/>
        <v>-1.3096723705530167E-10</v>
      </c>
      <c r="BU56" s="8">
        <f t="shared" ref="BU56:DA56" si="57">BT57</f>
        <v>-1.3096723705530167E-10</v>
      </c>
      <c r="BV56" s="8">
        <f t="shared" si="57"/>
        <v>-1.3096723705530167E-10</v>
      </c>
      <c r="BW56" s="8">
        <f t="shared" si="57"/>
        <v>-1.3096723705530167E-10</v>
      </c>
      <c r="BX56" s="8">
        <f t="shared" si="57"/>
        <v>-1.3096723705530167E-10</v>
      </c>
      <c r="BY56" s="8">
        <f t="shared" si="57"/>
        <v>-1.3096723705530167E-10</v>
      </c>
      <c r="BZ56" s="8">
        <f t="shared" si="57"/>
        <v>-1.3096723705530167E-10</v>
      </c>
      <c r="CA56" s="8">
        <f t="shared" si="57"/>
        <v>-1.3096723705530167E-10</v>
      </c>
      <c r="CB56" s="8">
        <f t="shared" si="57"/>
        <v>-1.3096723705530167E-10</v>
      </c>
      <c r="CC56" s="8">
        <f t="shared" si="57"/>
        <v>-1.3096723705530167E-10</v>
      </c>
      <c r="CD56" s="8">
        <f t="shared" si="57"/>
        <v>-1.3096723705530167E-10</v>
      </c>
      <c r="CE56" s="8">
        <f t="shared" si="57"/>
        <v>-1.3096723705530167E-10</v>
      </c>
      <c r="CF56" s="8">
        <f t="shared" si="57"/>
        <v>-1.3096723705530167E-10</v>
      </c>
      <c r="CG56" s="8">
        <f t="shared" si="57"/>
        <v>-1.3096723705530167E-10</v>
      </c>
      <c r="CH56" s="8">
        <f t="shared" si="57"/>
        <v>-1.3096723705530167E-10</v>
      </c>
      <c r="CI56" s="8">
        <f t="shared" si="57"/>
        <v>-1.3096723705530167E-10</v>
      </c>
      <c r="CJ56" s="8">
        <f t="shared" si="57"/>
        <v>-1.3096723705530167E-10</v>
      </c>
      <c r="CK56" s="8">
        <f t="shared" si="57"/>
        <v>-1.3096723705530167E-10</v>
      </c>
      <c r="CL56" s="8">
        <f t="shared" si="57"/>
        <v>-1.3096723705530167E-10</v>
      </c>
      <c r="CM56" s="8">
        <f t="shared" si="57"/>
        <v>-1.3096723705530167E-10</v>
      </c>
      <c r="CN56" s="8">
        <f t="shared" si="57"/>
        <v>-1.3096723705530167E-10</v>
      </c>
      <c r="CO56" s="8">
        <f t="shared" si="57"/>
        <v>-1.3096723705530167E-10</v>
      </c>
      <c r="CP56" s="8">
        <f t="shared" si="57"/>
        <v>-1.3096723705530167E-10</v>
      </c>
      <c r="CQ56" s="8">
        <f t="shared" si="57"/>
        <v>-1.3096723705530167E-10</v>
      </c>
      <c r="CR56" s="8">
        <f t="shared" si="57"/>
        <v>-1.3096723705530167E-10</v>
      </c>
      <c r="CS56" s="8">
        <f t="shared" si="57"/>
        <v>-1.3096723705530167E-10</v>
      </c>
      <c r="CT56" s="8">
        <f t="shared" si="57"/>
        <v>-1.3096723705530167E-10</v>
      </c>
      <c r="CU56" s="8">
        <f t="shared" si="57"/>
        <v>-1.3096723705530167E-10</v>
      </c>
      <c r="CV56" s="8">
        <f t="shared" si="57"/>
        <v>-1.3096723705530167E-10</v>
      </c>
      <c r="CW56" s="8">
        <f t="shared" si="57"/>
        <v>-1.3096723705530167E-10</v>
      </c>
      <c r="CX56" s="8">
        <f t="shared" si="57"/>
        <v>-1.3096723705530167E-10</v>
      </c>
      <c r="CY56" s="8">
        <f t="shared" si="57"/>
        <v>-1.3096723705530167E-10</v>
      </c>
      <c r="CZ56" s="8">
        <f t="shared" si="57"/>
        <v>-1.3096723705530167E-10</v>
      </c>
      <c r="DA56" s="8">
        <f t="shared" si="57"/>
        <v>-1.3096723705530167E-10</v>
      </c>
    </row>
    <row r="57" spans="1:105" x14ac:dyDescent="0.4">
      <c r="D57" t="s">
        <v>171</v>
      </c>
      <c r="G57" s="8"/>
      <c r="H57" s="8">
        <f t="shared" ref="H57:AM57" si="58">G57+((H49-H55)*INC_TAX_RATE)</f>
        <v>-18299.330631894645</v>
      </c>
      <c r="I57" s="8">
        <f t="shared" si="58"/>
        <v>-72873.162956385015</v>
      </c>
      <c r="J57" s="8">
        <f t="shared" si="58"/>
        <v>-121779.43116516859</v>
      </c>
      <c r="K57" s="8">
        <f t="shared" si="58"/>
        <v>-165457.31919341083</v>
      </c>
      <c r="L57" s="8">
        <f t="shared" si="58"/>
        <v>-204283.27041411074</v>
      </c>
      <c r="M57" s="8">
        <f t="shared" si="58"/>
        <v>-238633.72820026724</v>
      </c>
      <c r="N57" s="8">
        <f t="shared" si="58"/>
        <v>-268832.85212307394</v>
      </c>
      <c r="O57" s="8">
        <f t="shared" si="58"/>
        <v>-295204.8017537244</v>
      </c>
      <c r="P57" s="8">
        <f t="shared" si="58"/>
        <v>-320949.34576270991</v>
      </c>
      <c r="Q57" s="8">
        <f t="shared" si="58"/>
        <v>-346683.43301133433</v>
      </c>
      <c r="R57" s="8">
        <f t="shared" si="58"/>
        <v>-372427.97702031984</v>
      </c>
      <c r="S57" s="8">
        <f t="shared" si="58"/>
        <v>-398162.06426894426</v>
      </c>
      <c r="T57" s="8">
        <f t="shared" si="58"/>
        <v>-423906.60827792977</v>
      </c>
      <c r="U57" s="8">
        <f t="shared" si="58"/>
        <v>-449640.69552655419</v>
      </c>
      <c r="V57" s="8">
        <f t="shared" si="58"/>
        <v>-475385.2395355397</v>
      </c>
      <c r="W57" s="8">
        <f t="shared" si="58"/>
        <v>-501119.32678416412</v>
      </c>
      <c r="X57" s="8">
        <f t="shared" si="58"/>
        <v>-526863.87079314957</v>
      </c>
      <c r="Y57" s="8">
        <f t="shared" si="58"/>
        <v>-552597.95804177399</v>
      </c>
      <c r="Z57" s="8">
        <f t="shared" si="58"/>
        <v>-578342.5020507595</v>
      </c>
      <c r="AA57" s="8">
        <f t="shared" si="58"/>
        <v>-604076.58929938392</v>
      </c>
      <c r="AB57" s="8">
        <f t="shared" si="58"/>
        <v>-606492.100942794</v>
      </c>
      <c r="AC57" s="8">
        <f t="shared" si="58"/>
        <v>-585578.58022062865</v>
      </c>
      <c r="AD57" s="8">
        <f t="shared" si="58"/>
        <v>-564665.05949846329</v>
      </c>
      <c r="AE57" s="8">
        <f t="shared" si="58"/>
        <v>-543751.53877629794</v>
      </c>
      <c r="AF57" s="8">
        <f t="shared" si="58"/>
        <v>-522838.01805413264</v>
      </c>
      <c r="AG57" s="8">
        <f t="shared" si="58"/>
        <v>-501924.49733196734</v>
      </c>
      <c r="AH57" s="8">
        <f t="shared" si="58"/>
        <v>-481010.97660980205</v>
      </c>
      <c r="AI57" s="8">
        <f t="shared" si="58"/>
        <v>-460097.45588763675</v>
      </c>
      <c r="AJ57" s="8">
        <f t="shared" si="58"/>
        <v>-439183.93516547146</v>
      </c>
      <c r="AK57" s="8">
        <f t="shared" si="58"/>
        <v>-418270.41444330616</v>
      </c>
      <c r="AL57" s="8">
        <f t="shared" si="58"/>
        <v>-397356.89372114086</v>
      </c>
      <c r="AM57" s="8">
        <f t="shared" si="58"/>
        <v>-376443.37299897557</v>
      </c>
      <c r="AN57" s="8">
        <f t="shared" ref="AN57:BS57" si="59">AM57+((AN49-AN55)*INC_TAX_RATE)</f>
        <v>-355529.85227681027</v>
      </c>
      <c r="AO57" s="8">
        <f t="shared" si="59"/>
        <v>-334616.33155464497</v>
      </c>
      <c r="AP57" s="8">
        <f t="shared" si="59"/>
        <v>-313702.81083247968</v>
      </c>
      <c r="AQ57" s="8">
        <f t="shared" si="59"/>
        <v>-292789.29011031438</v>
      </c>
      <c r="AR57" s="8">
        <f t="shared" si="59"/>
        <v>-271875.76938814908</v>
      </c>
      <c r="AS57" s="8">
        <f t="shared" si="59"/>
        <v>-250962.24866598379</v>
      </c>
      <c r="AT57" s="8">
        <f t="shared" si="59"/>
        <v>-230048.72794381849</v>
      </c>
      <c r="AU57" s="8">
        <f t="shared" si="59"/>
        <v>-209135.2072216532</v>
      </c>
      <c r="AV57" s="8">
        <f t="shared" si="59"/>
        <v>-188221.6864994879</v>
      </c>
      <c r="AW57" s="8">
        <f t="shared" si="59"/>
        <v>-167308.1657773226</v>
      </c>
      <c r="AX57" s="8">
        <f t="shared" si="59"/>
        <v>-146394.64505515731</v>
      </c>
      <c r="AY57" s="8">
        <f t="shared" si="59"/>
        <v>-125481.124332992</v>
      </c>
      <c r="AZ57" s="8">
        <f t="shared" si="59"/>
        <v>-104567.60361082669</v>
      </c>
      <c r="BA57" s="8">
        <f t="shared" si="59"/>
        <v>-83654.082888661374</v>
      </c>
      <c r="BB57" s="8">
        <f t="shared" si="59"/>
        <v>-62740.562166496064</v>
      </c>
      <c r="BC57" s="8">
        <f t="shared" si="59"/>
        <v>-41827.041444330753</v>
      </c>
      <c r="BD57" s="8">
        <f t="shared" si="59"/>
        <v>-20913.520722165442</v>
      </c>
      <c r="BE57" s="8">
        <f t="shared" si="59"/>
        <v>-1.3096723705530167E-10</v>
      </c>
      <c r="BF57" s="8">
        <f t="shared" si="59"/>
        <v>-1.3096723705530167E-10</v>
      </c>
      <c r="BG57" s="8">
        <f t="shared" si="59"/>
        <v>-1.3096723705530167E-10</v>
      </c>
      <c r="BH57" s="8">
        <f t="shared" si="59"/>
        <v>-1.3096723705530167E-10</v>
      </c>
      <c r="BI57" s="8">
        <f t="shared" si="59"/>
        <v>-1.3096723705530167E-10</v>
      </c>
      <c r="BJ57" s="8">
        <f t="shared" si="59"/>
        <v>-1.3096723705530167E-10</v>
      </c>
      <c r="BK57" s="8">
        <f t="shared" si="59"/>
        <v>-1.3096723705530167E-10</v>
      </c>
      <c r="BL57" s="8">
        <f t="shared" si="59"/>
        <v>-1.3096723705530167E-10</v>
      </c>
      <c r="BM57" s="8">
        <f t="shared" si="59"/>
        <v>-1.3096723705530167E-10</v>
      </c>
      <c r="BN57" s="8">
        <f t="shared" si="59"/>
        <v>-1.3096723705530167E-10</v>
      </c>
      <c r="BO57" s="8">
        <f t="shared" si="59"/>
        <v>-1.3096723705530167E-10</v>
      </c>
      <c r="BP57" s="8">
        <f t="shared" si="59"/>
        <v>-1.3096723705530167E-10</v>
      </c>
      <c r="BQ57" s="8">
        <f t="shared" si="59"/>
        <v>-1.3096723705530167E-10</v>
      </c>
      <c r="BR57" s="8">
        <f t="shared" si="59"/>
        <v>-1.3096723705530167E-10</v>
      </c>
      <c r="BS57" s="8">
        <f t="shared" si="59"/>
        <v>-1.3096723705530167E-10</v>
      </c>
      <c r="BT57" s="8">
        <f t="shared" ref="BT57:DA57" si="60">BS57+((BT49-BT55)*INC_TAX_RATE)</f>
        <v>-1.3096723705530167E-10</v>
      </c>
      <c r="BU57" s="8">
        <f t="shared" si="60"/>
        <v>-1.3096723705530167E-10</v>
      </c>
      <c r="BV57" s="8">
        <f t="shared" si="60"/>
        <v>-1.3096723705530167E-10</v>
      </c>
      <c r="BW57" s="8">
        <f t="shared" si="60"/>
        <v>-1.3096723705530167E-10</v>
      </c>
      <c r="BX57" s="8">
        <f t="shared" si="60"/>
        <v>-1.3096723705530167E-10</v>
      </c>
      <c r="BY57" s="8">
        <f t="shared" si="60"/>
        <v>-1.3096723705530167E-10</v>
      </c>
      <c r="BZ57" s="8">
        <f t="shared" si="60"/>
        <v>-1.3096723705530167E-10</v>
      </c>
      <c r="CA57" s="8">
        <f t="shared" si="60"/>
        <v>-1.3096723705530167E-10</v>
      </c>
      <c r="CB57" s="8">
        <f t="shared" si="60"/>
        <v>-1.3096723705530167E-10</v>
      </c>
      <c r="CC57" s="8">
        <f t="shared" si="60"/>
        <v>-1.3096723705530167E-10</v>
      </c>
      <c r="CD57" s="8">
        <f t="shared" si="60"/>
        <v>-1.3096723705530167E-10</v>
      </c>
      <c r="CE57" s="8">
        <f t="shared" si="60"/>
        <v>-1.3096723705530167E-10</v>
      </c>
      <c r="CF57" s="8">
        <f t="shared" si="60"/>
        <v>-1.3096723705530167E-10</v>
      </c>
      <c r="CG57" s="8">
        <f t="shared" si="60"/>
        <v>-1.3096723705530167E-10</v>
      </c>
      <c r="CH57" s="8">
        <f t="shared" si="60"/>
        <v>-1.3096723705530167E-10</v>
      </c>
      <c r="CI57" s="8">
        <f t="shared" si="60"/>
        <v>-1.3096723705530167E-10</v>
      </c>
      <c r="CJ57" s="8">
        <f t="shared" si="60"/>
        <v>-1.3096723705530167E-10</v>
      </c>
      <c r="CK57" s="8">
        <f t="shared" si="60"/>
        <v>-1.3096723705530167E-10</v>
      </c>
      <c r="CL57" s="8">
        <f t="shared" si="60"/>
        <v>-1.3096723705530167E-10</v>
      </c>
      <c r="CM57" s="8">
        <f t="shared" si="60"/>
        <v>-1.3096723705530167E-10</v>
      </c>
      <c r="CN57" s="8">
        <f t="shared" si="60"/>
        <v>-1.3096723705530167E-10</v>
      </c>
      <c r="CO57" s="8">
        <f t="shared" si="60"/>
        <v>-1.3096723705530167E-10</v>
      </c>
      <c r="CP57" s="8">
        <f t="shared" si="60"/>
        <v>-1.3096723705530167E-10</v>
      </c>
      <c r="CQ57" s="8">
        <f t="shared" si="60"/>
        <v>-1.3096723705530167E-10</v>
      </c>
      <c r="CR57" s="8">
        <f t="shared" si="60"/>
        <v>-1.3096723705530167E-10</v>
      </c>
      <c r="CS57" s="8">
        <f t="shared" si="60"/>
        <v>-1.3096723705530167E-10</v>
      </c>
      <c r="CT57" s="8">
        <f t="shared" si="60"/>
        <v>-1.3096723705530167E-10</v>
      </c>
      <c r="CU57" s="8">
        <f t="shared" si="60"/>
        <v>-1.3096723705530167E-10</v>
      </c>
      <c r="CV57" s="8">
        <f t="shared" si="60"/>
        <v>-1.3096723705530167E-10</v>
      </c>
      <c r="CW57" s="8">
        <f t="shared" si="60"/>
        <v>-1.3096723705530167E-10</v>
      </c>
      <c r="CX57" s="8">
        <f t="shared" si="60"/>
        <v>-1.3096723705530167E-10</v>
      </c>
      <c r="CY57" s="8">
        <f t="shared" si="60"/>
        <v>-1.3096723705530167E-10</v>
      </c>
      <c r="CZ57" s="8">
        <f t="shared" si="60"/>
        <v>-1.3096723705530167E-10</v>
      </c>
      <c r="DA57" s="8">
        <f t="shared" si="60"/>
        <v>-1.3096723705530167E-10</v>
      </c>
    </row>
    <row r="58" spans="1:105" x14ac:dyDescent="0.4"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</row>
    <row r="59" spans="1:105" x14ac:dyDescent="0.4">
      <c r="D59" t="s">
        <v>158</v>
      </c>
      <c r="G59" s="8"/>
      <c r="H59" s="8">
        <f>AVERAGE(H52:H53)+AVERAGE(H56:H57)</f>
        <v>3726081.3494673208</v>
      </c>
      <c r="I59" s="8">
        <f t="shared" ref="I59:BT59" si="61">AVERAGE(I52:I53)+AVERAGE(I56:I57)</f>
        <v>3614185.5555692641</v>
      </c>
      <c r="J59" s="8">
        <f t="shared" si="61"/>
        <v>3486986.2928827633</v>
      </c>
      <c r="K59" s="8">
        <f t="shared" si="61"/>
        <v>3365235.0023443867</v>
      </c>
      <c r="L59" s="8">
        <f t="shared" si="61"/>
        <v>3248523.8703000513</v>
      </c>
      <c r="M59" s="8">
        <f t="shared" si="61"/>
        <v>3136476.4533767588</v>
      </c>
      <c r="N59" s="8">
        <f t="shared" si="61"/>
        <v>3028742.4501024135</v>
      </c>
      <c r="O59" s="8">
        <f t="shared" si="61"/>
        <v>2924997.7009058213</v>
      </c>
      <c r="P59" s="8">
        <f t="shared" si="61"/>
        <v>2823480.2416661391</v>
      </c>
      <c r="Q59" s="8">
        <f t="shared" si="61"/>
        <v>2722281.7136174696</v>
      </c>
      <c r="R59" s="8">
        <f t="shared" si="61"/>
        <v>2621083.1855688011</v>
      </c>
      <c r="S59" s="8">
        <f t="shared" si="61"/>
        <v>2519884.6575201321</v>
      </c>
      <c r="T59" s="8">
        <f t="shared" si="61"/>
        <v>2418686.1294714632</v>
      </c>
      <c r="U59" s="8">
        <f t="shared" si="61"/>
        <v>2317487.6014227937</v>
      </c>
      <c r="V59" s="8">
        <f t="shared" si="61"/>
        <v>2216289.0733741252</v>
      </c>
      <c r="W59" s="8">
        <f t="shared" si="61"/>
        <v>2115090.5453254562</v>
      </c>
      <c r="X59" s="8">
        <f t="shared" si="61"/>
        <v>2013892.0172767877</v>
      </c>
      <c r="Y59" s="8">
        <f t="shared" si="61"/>
        <v>1912693.489228118</v>
      </c>
      <c r="Z59" s="8">
        <f t="shared" si="61"/>
        <v>1811494.9611794492</v>
      </c>
      <c r="AA59" s="8">
        <f t="shared" si="61"/>
        <v>1710296.4331307805</v>
      </c>
      <c r="AB59" s="8">
        <f t="shared" si="61"/>
        <v>1620762.4212648994</v>
      </c>
      <c r="AC59" s="8">
        <f t="shared" si="61"/>
        <v>1554552.2133844122</v>
      </c>
      <c r="AD59" s="8">
        <f t="shared" si="61"/>
        <v>1500006.5216867139</v>
      </c>
      <c r="AE59" s="8">
        <f t="shared" si="61"/>
        <v>1445460.8299890154</v>
      </c>
      <c r="AF59" s="8">
        <f t="shared" si="61"/>
        <v>1390915.1382913166</v>
      </c>
      <c r="AG59" s="8">
        <f t="shared" si="61"/>
        <v>1336369.446593618</v>
      </c>
      <c r="AH59" s="8">
        <f t="shared" si="61"/>
        <v>1281823.754895919</v>
      </c>
      <c r="AI59" s="8">
        <f t="shared" si="61"/>
        <v>1227278.0631982205</v>
      </c>
      <c r="AJ59" s="8">
        <f t="shared" si="61"/>
        <v>1172732.3715005219</v>
      </c>
      <c r="AK59" s="8">
        <f t="shared" si="61"/>
        <v>1118186.6798028236</v>
      </c>
      <c r="AL59" s="8">
        <f t="shared" si="61"/>
        <v>1063640.988105125</v>
      </c>
      <c r="AM59" s="8">
        <f t="shared" si="61"/>
        <v>1009095.2964074266</v>
      </c>
      <c r="AN59" s="8">
        <f t="shared" si="61"/>
        <v>954549.60470972804</v>
      </c>
      <c r="AO59" s="8">
        <f t="shared" si="61"/>
        <v>900003.9130120296</v>
      </c>
      <c r="AP59" s="8">
        <f t="shared" si="61"/>
        <v>845458.22131433105</v>
      </c>
      <c r="AQ59" s="8">
        <f t="shared" si="61"/>
        <v>790912.52961663262</v>
      </c>
      <c r="AR59" s="8">
        <f t="shared" si="61"/>
        <v>736366.83791893406</v>
      </c>
      <c r="AS59" s="8">
        <f t="shared" si="61"/>
        <v>681821.14622123563</v>
      </c>
      <c r="AT59" s="8">
        <f t="shared" si="61"/>
        <v>627275.45452353708</v>
      </c>
      <c r="AU59" s="8">
        <f t="shared" si="61"/>
        <v>572729.76282583864</v>
      </c>
      <c r="AV59" s="8">
        <f t="shared" si="61"/>
        <v>518184.07112814009</v>
      </c>
      <c r="AW59" s="8">
        <f t="shared" si="61"/>
        <v>463638.37943044165</v>
      </c>
      <c r="AX59" s="8">
        <f t="shared" si="61"/>
        <v>409092.6877327431</v>
      </c>
      <c r="AY59" s="8">
        <f t="shared" si="61"/>
        <v>354546.99603504466</v>
      </c>
      <c r="AZ59" s="8">
        <f t="shared" si="61"/>
        <v>300001.30433734617</v>
      </c>
      <c r="BA59" s="8">
        <f t="shared" si="61"/>
        <v>245455.61263964768</v>
      </c>
      <c r="BB59" s="8">
        <f t="shared" si="61"/>
        <v>190909.92094194921</v>
      </c>
      <c r="BC59" s="8">
        <f t="shared" si="61"/>
        <v>136364.22924425072</v>
      </c>
      <c r="BD59" s="8">
        <f t="shared" si="61"/>
        <v>81818.537546552252</v>
      </c>
      <c r="BE59" s="8">
        <f t="shared" si="61"/>
        <v>27272.845848853765</v>
      </c>
      <c r="BF59" s="8">
        <f t="shared" si="61"/>
        <v>2.1973391994833946E-9</v>
      </c>
      <c r="BG59" s="8">
        <f t="shared" si="61"/>
        <v>-1.3096723705530167E-10</v>
      </c>
      <c r="BH59" s="8">
        <f t="shared" si="61"/>
        <v>-1.3096723705530167E-10</v>
      </c>
      <c r="BI59" s="8">
        <f t="shared" si="61"/>
        <v>-1.3096723705530167E-10</v>
      </c>
      <c r="BJ59" s="8">
        <f t="shared" si="61"/>
        <v>-1.3096723705530167E-10</v>
      </c>
      <c r="BK59" s="8">
        <f t="shared" si="61"/>
        <v>-1.3096723705530167E-10</v>
      </c>
      <c r="BL59" s="8">
        <f t="shared" si="61"/>
        <v>-1.3096723705530167E-10</v>
      </c>
      <c r="BM59" s="8">
        <f t="shared" si="61"/>
        <v>-1.3096723705530167E-10</v>
      </c>
      <c r="BN59" s="8">
        <f t="shared" si="61"/>
        <v>-1.3096723705530167E-10</v>
      </c>
      <c r="BO59" s="8">
        <f t="shared" si="61"/>
        <v>-1.3096723705530167E-10</v>
      </c>
      <c r="BP59" s="8">
        <f t="shared" si="61"/>
        <v>-1.3096723705530167E-10</v>
      </c>
      <c r="BQ59" s="8">
        <f t="shared" si="61"/>
        <v>-1.3096723705530167E-10</v>
      </c>
      <c r="BR59" s="8">
        <f t="shared" si="61"/>
        <v>-1.3096723705530167E-10</v>
      </c>
      <c r="BS59" s="8">
        <f t="shared" si="61"/>
        <v>-1.3096723705530167E-10</v>
      </c>
      <c r="BT59" s="8">
        <f t="shared" si="61"/>
        <v>-1.3096723705530167E-10</v>
      </c>
      <c r="BU59" s="8">
        <f t="shared" ref="BU59:DA59" si="62">AVERAGE(BU52:BU53)+AVERAGE(BU56:BU57)</f>
        <v>-1.3096723705530167E-10</v>
      </c>
      <c r="BV59" s="8">
        <f t="shared" si="62"/>
        <v>-1.3096723705530167E-10</v>
      </c>
      <c r="BW59" s="8">
        <f t="shared" si="62"/>
        <v>-1.3096723705530167E-10</v>
      </c>
      <c r="BX59" s="8">
        <f t="shared" si="62"/>
        <v>-1.3096723705530167E-10</v>
      </c>
      <c r="BY59" s="8">
        <f t="shared" si="62"/>
        <v>-1.3096723705530167E-10</v>
      </c>
      <c r="BZ59" s="8">
        <f t="shared" si="62"/>
        <v>-1.3096723705530167E-10</v>
      </c>
      <c r="CA59" s="8">
        <f t="shared" si="62"/>
        <v>-1.3096723705530167E-10</v>
      </c>
      <c r="CB59" s="8">
        <f t="shared" si="62"/>
        <v>-1.3096723705530167E-10</v>
      </c>
      <c r="CC59" s="8">
        <f t="shared" si="62"/>
        <v>-1.3096723705530167E-10</v>
      </c>
      <c r="CD59" s="8">
        <f t="shared" si="62"/>
        <v>-1.3096723705530167E-10</v>
      </c>
      <c r="CE59" s="8">
        <f t="shared" si="62"/>
        <v>-1.3096723705530167E-10</v>
      </c>
      <c r="CF59" s="8">
        <f t="shared" si="62"/>
        <v>-1.3096723705530167E-10</v>
      </c>
      <c r="CG59" s="8">
        <f t="shared" si="62"/>
        <v>-1.3096723705530167E-10</v>
      </c>
      <c r="CH59" s="8">
        <f t="shared" si="62"/>
        <v>-1.3096723705530167E-10</v>
      </c>
      <c r="CI59" s="8">
        <f t="shared" si="62"/>
        <v>-1.3096723705530167E-10</v>
      </c>
      <c r="CJ59" s="8">
        <f t="shared" si="62"/>
        <v>-1.3096723705530167E-10</v>
      </c>
      <c r="CK59" s="8">
        <f t="shared" si="62"/>
        <v>-1.3096723705530167E-10</v>
      </c>
      <c r="CL59" s="8">
        <f t="shared" si="62"/>
        <v>-1.3096723705530167E-10</v>
      </c>
      <c r="CM59" s="8">
        <f t="shared" si="62"/>
        <v>-1.3096723705530167E-10</v>
      </c>
      <c r="CN59" s="8">
        <f t="shared" si="62"/>
        <v>-1.3096723705530167E-10</v>
      </c>
      <c r="CO59" s="8">
        <f t="shared" si="62"/>
        <v>-1.3096723705530167E-10</v>
      </c>
      <c r="CP59" s="8">
        <f t="shared" si="62"/>
        <v>-1.3096723705530167E-10</v>
      </c>
      <c r="CQ59" s="8">
        <f t="shared" si="62"/>
        <v>-1.3096723705530167E-10</v>
      </c>
      <c r="CR59" s="8">
        <f t="shared" si="62"/>
        <v>-1.3096723705530167E-10</v>
      </c>
      <c r="CS59" s="8">
        <f t="shared" si="62"/>
        <v>-1.3096723705530167E-10</v>
      </c>
      <c r="CT59" s="8">
        <f t="shared" si="62"/>
        <v>-1.3096723705530167E-10</v>
      </c>
      <c r="CU59" s="8">
        <f t="shared" si="62"/>
        <v>-1.3096723705530167E-10</v>
      </c>
      <c r="CV59" s="8">
        <f t="shared" si="62"/>
        <v>-1.3096723705530167E-10</v>
      </c>
      <c r="CW59" s="8">
        <f t="shared" si="62"/>
        <v>-1.3096723705530167E-10</v>
      </c>
      <c r="CX59" s="8">
        <f t="shared" si="62"/>
        <v>-1.3096723705530167E-10</v>
      </c>
      <c r="CY59" s="8">
        <f t="shared" si="62"/>
        <v>-1.3096723705530167E-10</v>
      </c>
      <c r="CZ59" s="8">
        <f t="shared" si="62"/>
        <v>-1.3096723705530167E-10</v>
      </c>
      <c r="DA59" s="8">
        <f t="shared" si="62"/>
        <v>-1.3096723705530167E-10</v>
      </c>
    </row>
    <row r="60" spans="1:105" x14ac:dyDescent="0.4"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</row>
    <row r="61" spans="1:105" x14ac:dyDescent="0.4">
      <c r="D61" t="s">
        <v>209</v>
      </c>
      <c r="G61" s="8"/>
      <c r="H61" s="8">
        <f t="shared" ref="H61:AM61" si="63">H59*AVG_PRE_TAX_RATE</f>
        <v>332739.06450743176</v>
      </c>
      <c r="I61" s="8">
        <f t="shared" si="63"/>
        <v>322746.77011233527</v>
      </c>
      <c r="J61" s="8">
        <f t="shared" si="63"/>
        <v>311387.87595443078</v>
      </c>
      <c r="K61" s="8">
        <f t="shared" si="63"/>
        <v>300515.48570935376</v>
      </c>
      <c r="L61" s="8">
        <f t="shared" si="63"/>
        <v>290093.18161779462</v>
      </c>
      <c r="M61" s="8">
        <f t="shared" si="63"/>
        <v>280087.34728654457</v>
      </c>
      <c r="N61" s="8">
        <f t="shared" si="63"/>
        <v>270466.70079414552</v>
      </c>
      <c r="O61" s="8">
        <f t="shared" si="63"/>
        <v>261202.29469088986</v>
      </c>
      <c r="P61" s="8">
        <f t="shared" si="63"/>
        <v>252136.78558078624</v>
      </c>
      <c r="Q61" s="8">
        <f t="shared" si="63"/>
        <v>243099.75702604005</v>
      </c>
      <c r="R61" s="8">
        <f t="shared" si="63"/>
        <v>234062.72847129396</v>
      </c>
      <c r="S61" s="8">
        <f t="shared" si="63"/>
        <v>225025.6999165478</v>
      </c>
      <c r="T61" s="8">
        <f t="shared" si="63"/>
        <v>215988.67136180168</v>
      </c>
      <c r="U61" s="8">
        <f t="shared" si="63"/>
        <v>206951.6428070555</v>
      </c>
      <c r="V61" s="8">
        <f t="shared" si="63"/>
        <v>197914.6142523094</v>
      </c>
      <c r="W61" s="8">
        <f t="shared" si="63"/>
        <v>188877.58569756325</v>
      </c>
      <c r="X61" s="8">
        <f t="shared" si="63"/>
        <v>179840.55714281715</v>
      </c>
      <c r="Y61" s="8">
        <f t="shared" si="63"/>
        <v>170803.52858807094</v>
      </c>
      <c r="Z61" s="8">
        <f t="shared" si="63"/>
        <v>161766.50003332482</v>
      </c>
      <c r="AA61" s="8">
        <f t="shared" si="63"/>
        <v>152729.47147857869</v>
      </c>
      <c r="AB61" s="8">
        <f t="shared" si="63"/>
        <v>144734.08421895554</v>
      </c>
      <c r="AC61" s="8">
        <f t="shared" si="63"/>
        <v>138821.51265522803</v>
      </c>
      <c r="AD61" s="8">
        <f t="shared" si="63"/>
        <v>133950.58238662354</v>
      </c>
      <c r="AE61" s="8">
        <f t="shared" si="63"/>
        <v>129079.65211801908</v>
      </c>
      <c r="AF61" s="8">
        <f t="shared" si="63"/>
        <v>124208.72184941458</v>
      </c>
      <c r="AG61" s="8">
        <f t="shared" si="63"/>
        <v>119337.7915808101</v>
      </c>
      <c r="AH61" s="8">
        <f t="shared" si="63"/>
        <v>114466.86131220557</v>
      </c>
      <c r="AI61" s="8">
        <f t="shared" si="63"/>
        <v>109595.93104360109</v>
      </c>
      <c r="AJ61" s="8">
        <f t="shared" si="63"/>
        <v>104725.00077499662</v>
      </c>
      <c r="AK61" s="8">
        <f t="shared" si="63"/>
        <v>99854.070506392149</v>
      </c>
      <c r="AL61" s="8">
        <f t="shared" si="63"/>
        <v>94983.140237787666</v>
      </c>
      <c r="AM61" s="8">
        <f t="shared" si="63"/>
        <v>90112.209969183197</v>
      </c>
      <c r="AN61" s="8">
        <f t="shared" ref="AN61:BS61" si="64">AN59*AVG_PRE_TAX_RATE</f>
        <v>85241.279700578714</v>
      </c>
      <c r="AO61" s="8">
        <f t="shared" si="64"/>
        <v>80370.349431974246</v>
      </c>
      <c r="AP61" s="8">
        <f t="shared" si="64"/>
        <v>75499.419163369763</v>
      </c>
      <c r="AQ61" s="8">
        <f t="shared" si="64"/>
        <v>70628.488894765294</v>
      </c>
      <c r="AR61" s="8">
        <f t="shared" si="64"/>
        <v>65757.558626160811</v>
      </c>
      <c r="AS61" s="8">
        <f t="shared" si="64"/>
        <v>60886.628357556343</v>
      </c>
      <c r="AT61" s="8">
        <f t="shared" si="64"/>
        <v>56015.69808895186</v>
      </c>
      <c r="AU61" s="8">
        <f t="shared" si="64"/>
        <v>51144.767820347392</v>
      </c>
      <c r="AV61" s="8">
        <f t="shared" si="64"/>
        <v>46273.837551742909</v>
      </c>
      <c r="AW61" s="8">
        <f t="shared" si="64"/>
        <v>41402.90728313844</v>
      </c>
      <c r="AX61" s="8">
        <f t="shared" si="64"/>
        <v>36531.977014533957</v>
      </c>
      <c r="AY61" s="8">
        <f t="shared" si="64"/>
        <v>31661.046745929489</v>
      </c>
      <c r="AZ61" s="8">
        <f t="shared" si="64"/>
        <v>26790.116477325013</v>
      </c>
      <c r="BA61" s="8">
        <f t="shared" si="64"/>
        <v>21919.186208720537</v>
      </c>
      <c r="BB61" s="8">
        <f t="shared" si="64"/>
        <v>17048.255940116065</v>
      </c>
      <c r="BC61" s="8">
        <f t="shared" si="64"/>
        <v>12177.325671511589</v>
      </c>
      <c r="BD61" s="8">
        <f t="shared" si="64"/>
        <v>7306.3954029071165</v>
      </c>
      <c r="BE61" s="8">
        <f t="shared" si="64"/>
        <v>2435.4651343026412</v>
      </c>
      <c r="BF61" s="8">
        <f t="shared" si="64"/>
        <v>1.9622239051386716E-10</v>
      </c>
      <c r="BG61" s="8">
        <f t="shared" si="64"/>
        <v>-1.169537426903844E-11</v>
      </c>
      <c r="BH61" s="8">
        <f t="shared" si="64"/>
        <v>-1.169537426903844E-11</v>
      </c>
      <c r="BI61" s="8">
        <f t="shared" si="64"/>
        <v>-1.169537426903844E-11</v>
      </c>
      <c r="BJ61" s="8">
        <f t="shared" si="64"/>
        <v>-1.169537426903844E-11</v>
      </c>
      <c r="BK61" s="8">
        <f t="shared" si="64"/>
        <v>-1.169537426903844E-11</v>
      </c>
      <c r="BL61" s="8">
        <f t="shared" si="64"/>
        <v>-1.169537426903844E-11</v>
      </c>
      <c r="BM61" s="8">
        <f t="shared" si="64"/>
        <v>-1.169537426903844E-11</v>
      </c>
      <c r="BN61" s="8">
        <f t="shared" si="64"/>
        <v>-1.169537426903844E-11</v>
      </c>
      <c r="BO61" s="8">
        <f t="shared" si="64"/>
        <v>-1.169537426903844E-11</v>
      </c>
      <c r="BP61" s="8">
        <f t="shared" si="64"/>
        <v>-1.169537426903844E-11</v>
      </c>
      <c r="BQ61" s="8">
        <f t="shared" si="64"/>
        <v>-1.169537426903844E-11</v>
      </c>
      <c r="BR61" s="8">
        <f t="shared" si="64"/>
        <v>-1.169537426903844E-11</v>
      </c>
      <c r="BS61" s="8">
        <f t="shared" si="64"/>
        <v>-1.169537426903844E-11</v>
      </c>
      <c r="BT61" s="8">
        <f t="shared" ref="BT61:DA61" si="65">BT59*AVG_PRE_TAX_RATE</f>
        <v>-1.169537426903844E-11</v>
      </c>
      <c r="BU61" s="8">
        <f t="shared" si="65"/>
        <v>-1.169537426903844E-11</v>
      </c>
      <c r="BV61" s="8">
        <f t="shared" si="65"/>
        <v>-1.169537426903844E-11</v>
      </c>
      <c r="BW61" s="8">
        <f t="shared" si="65"/>
        <v>-1.169537426903844E-11</v>
      </c>
      <c r="BX61" s="8">
        <f t="shared" si="65"/>
        <v>-1.169537426903844E-11</v>
      </c>
      <c r="BY61" s="8">
        <f t="shared" si="65"/>
        <v>-1.169537426903844E-11</v>
      </c>
      <c r="BZ61" s="8">
        <f t="shared" si="65"/>
        <v>-1.169537426903844E-11</v>
      </c>
      <c r="CA61" s="8">
        <f t="shared" si="65"/>
        <v>-1.169537426903844E-11</v>
      </c>
      <c r="CB61" s="8">
        <f t="shared" si="65"/>
        <v>-1.169537426903844E-11</v>
      </c>
      <c r="CC61" s="8">
        <f t="shared" si="65"/>
        <v>-1.169537426903844E-11</v>
      </c>
      <c r="CD61" s="8">
        <f t="shared" si="65"/>
        <v>-1.169537426903844E-11</v>
      </c>
      <c r="CE61" s="8">
        <f t="shared" si="65"/>
        <v>-1.169537426903844E-11</v>
      </c>
      <c r="CF61" s="8">
        <f t="shared" si="65"/>
        <v>-1.169537426903844E-11</v>
      </c>
      <c r="CG61" s="8">
        <f t="shared" si="65"/>
        <v>-1.169537426903844E-11</v>
      </c>
      <c r="CH61" s="8">
        <f t="shared" si="65"/>
        <v>-1.169537426903844E-11</v>
      </c>
      <c r="CI61" s="8">
        <f t="shared" si="65"/>
        <v>-1.169537426903844E-11</v>
      </c>
      <c r="CJ61" s="8">
        <f t="shared" si="65"/>
        <v>-1.169537426903844E-11</v>
      </c>
      <c r="CK61" s="8">
        <f t="shared" si="65"/>
        <v>-1.169537426903844E-11</v>
      </c>
      <c r="CL61" s="8">
        <f t="shared" si="65"/>
        <v>-1.169537426903844E-11</v>
      </c>
      <c r="CM61" s="8">
        <f t="shared" si="65"/>
        <v>-1.169537426903844E-11</v>
      </c>
      <c r="CN61" s="8">
        <f t="shared" si="65"/>
        <v>-1.169537426903844E-11</v>
      </c>
      <c r="CO61" s="8">
        <f t="shared" si="65"/>
        <v>-1.169537426903844E-11</v>
      </c>
      <c r="CP61" s="8">
        <f t="shared" si="65"/>
        <v>-1.169537426903844E-11</v>
      </c>
      <c r="CQ61" s="8">
        <f t="shared" si="65"/>
        <v>-1.169537426903844E-11</v>
      </c>
      <c r="CR61" s="8">
        <f t="shared" si="65"/>
        <v>-1.169537426903844E-11</v>
      </c>
      <c r="CS61" s="8">
        <f t="shared" si="65"/>
        <v>-1.169537426903844E-11</v>
      </c>
      <c r="CT61" s="8">
        <f t="shared" si="65"/>
        <v>-1.169537426903844E-11</v>
      </c>
      <c r="CU61" s="8">
        <f t="shared" si="65"/>
        <v>-1.169537426903844E-11</v>
      </c>
      <c r="CV61" s="8">
        <f t="shared" si="65"/>
        <v>-1.169537426903844E-11</v>
      </c>
      <c r="CW61" s="8">
        <f t="shared" si="65"/>
        <v>-1.169537426903844E-11</v>
      </c>
      <c r="CX61" s="8">
        <f t="shared" si="65"/>
        <v>-1.169537426903844E-11</v>
      </c>
      <c r="CY61" s="8">
        <f t="shared" si="65"/>
        <v>-1.169537426903844E-11</v>
      </c>
      <c r="CZ61" s="8">
        <f t="shared" si="65"/>
        <v>-1.169537426903844E-11</v>
      </c>
      <c r="DA61" s="8">
        <f t="shared" si="65"/>
        <v>-1.169537426903844E-11</v>
      </c>
    </row>
    <row r="64" spans="1:105" x14ac:dyDescent="0.4">
      <c r="C64" s="58" t="str">
        <f>C47</f>
        <v>Investment year in service</v>
      </c>
      <c r="E64" t="str">
        <f>IF(E65&lt;$C65,"",E65-$C65)</f>
        <v/>
      </c>
      <c r="F64" t="str">
        <f>IF(F65&lt;$C65,"",F65-$C65)</f>
        <v/>
      </c>
      <c r="G64" t="str">
        <f t="shared" ref="G64:BR64" si="66">IF(G65&lt;$C65,"",G65-$C65)</f>
        <v/>
      </c>
      <c r="H64">
        <f t="shared" si="66"/>
        <v>0</v>
      </c>
      <c r="I64">
        <f t="shared" si="66"/>
        <v>1</v>
      </c>
      <c r="J64">
        <f t="shared" si="66"/>
        <v>2</v>
      </c>
      <c r="K64">
        <f t="shared" si="66"/>
        <v>3</v>
      </c>
      <c r="L64">
        <f t="shared" si="66"/>
        <v>4</v>
      </c>
      <c r="M64">
        <f t="shared" si="66"/>
        <v>5</v>
      </c>
      <c r="N64">
        <f t="shared" si="66"/>
        <v>6</v>
      </c>
      <c r="O64">
        <f t="shared" si="66"/>
        <v>7</v>
      </c>
      <c r="P64">
        <f t="shared" si="66"/>
        <v>8</v>
      </c>
      <c r="Q64">
        <f t="shared" si="66"/>
        <v>9</v>
      </c>
      <c r="R64">
        <f t="shared" si="66"/>
        <v>10</v>
      </c>
      <c r="S64">
        <f t="shared" si="66"/>
        <v>11</v>
      </c>
      <c r="T64">
        <f t="shared" si="66"/>
        <v>12</v>
      </c>
      <c r="U64">
        <f t="shared" si="66"/>
        <v>13</v>
      </c>
      <c r="V64">
        <f t="shared" si="66"/>
        <v>14</v>
      </c>
      <c r="W64">
        <f t="shared" si="66"/>
        <v>15</v>
      </c>
      <c r="X64">
        <f t="shared" si="66"/>
        <v>16</v>
      </c>
      <c r="Y64">
        <f t="shared" si="66"/>
        <v>17</v>
      </c>
      <c r="Z64">
        <f t="shared" si="66"/>
        <v>18</v>
      </c>
      <c r="AA64">
        <f t="shared" si="66"/>
        <v>19</v>
      </c>
      <c r="AB64">
        <f t="shared" si="66"/>
        <v>20</v>
      </c>
      <c r="AC64">
        <f t="shared" si="66"/>
        <v>21</v>
      </c>
      <c r="AD64">
        <f t="shared" si="66"/>
        <v>22</v>
      </c>
      <c r="AE64">
        <f t="shared" si="66"/>
        <v>23</v>
      </c>
      <c r="AF64">
        <f t="shared" si="66"/>
        <v>24</v>
      </c>
      <c r="AG64">
        <f t="shared" si="66"/>
        <v>25</v>
      </c>
      <c r="AH64">
        <f t="shared" si="66"/>
        <v>26</v>
      </c>
      <c r="AI64">
        <f t="shared" si="66"/>
        <v>27</v>
      </c>
      <c r="AJ64">
        <f t="shared" si="66"/>
        <v>28</v>
      </c>
      <c r="AK64">
        <f t="shared" si="66"/>
        <v>29</v>
      </c>
      <c r="AL64">
        <f t="shared" si="66"/>
        <v>30</v>
      </c>
      <c r="AM64">
        <f t="shared" si="66"/>
        <v>31</v>
      </c>
      <c r="AN64">
        <f t="shared" si="66"/>
        <v>32</v>
      </c>
      <c r="AO64">
        <f t="shared" si="66"/>
        <v>33</v>
      </c>
      <c r="AP64">
        <f t="shared" si="66"/>
        <v>34</v>
      </c>
      <c r="AQ64">
        <f t="shared" si="66"/>
        <v>35</v>
      </c>
      <c r="AR64">
        <f t="shared" si="66"/>
        <v>36</v>
      </c>
      <c r="AS64">
        <f t="shared" si="66"/>
        <v>37</v>
      </c>
      <c r="AT64">
        <f t="shared" si="66"/>
        <v>38</v>
      </c>
      <c r="AU64">
        <f t="shared" si="66"/>
        <v>39</v>
      </c>
      <c r="AV64">
        <f t="shared" si="66"/>
        <v>40</v>
      </c>
      <c r="AW64">
        <f t="shared" si="66"/>
        <v>41</v>
      </c>
      <c r="AX64">
        <f t="shared" si="66"/>
        <v>42</v>
      </c>
      <c r="AY64">
        <f t="shared" si="66"/>
        <v>43</v>
      </c>
      <c r="AZ64">
        <f t="shared" si="66"/>
        <v>44</v>
      </c>
      <c r="BA64">
        <f t="shared" si="66"/>
        <v>45</v>
      </c>
      <c r="BB64">
        <f t="shared" si="66"/>
        <v>46</v>
      </c>
      <c r="BC64">
        <f t="shared" si="66"/>
        <v>47</v>
      </c>
      <c r="BD64">
        <f t="shared" si="66"/>
        <v>48</v>
      </c>
      <c r="BE64">
        <f t="shared" si="66"/>
        <v>49</v>
      </c>
      <c r="BF64">
        <f t="shared" si="66"/>
        <v>50</v>
      </c>
      <c r="BG64">
        <f t="shared" si="66"/>
        <v>51</v>
      </c>
      <c r="BH64">
        <f t="shared" si="66"/>
        <v>52</v>
      </c>
      <c r="BI64">
        <f t="shared" si="66"/>
        <v>53</v>
      </c>
      <c r="BJ64">
        <f t="shared" si="66"/>
        <v>54</v>
      </c>
      <c r="BK64">
        <f t="shared" si="66"/>
        <v>55</v>
      </c>
      <c r="BL64">
        <f t="shared" si="66"/>
        <v>56</v>
      </c>
      <c r="BM64">
        <f t="shared" si="66"/>
        <v>57</v>
      </c>
      <c r="BN64">
        <f t="shared" si="66"/>
        <v>58</v>
      </c>
      <c r="BO64">
        <f t="shared" si="66"/>
        <v>59</v>
      </c>
      <c r="BP64">
        <f t="shared" si="66"/>
        <v>60</v>
      </c>
      <c r="BQ64">
        <f t="shared" si="66"/>
        <v>61</v>
      </c>
      <c r="BR64">
        <f t="shared" si="66"/>
        <v>62</v>
      </c>
      <c r="BS64">
        <f t="shared" ref="BS64:DA64" si="67">IF(BS65&lt;$C65,"",BS65-$C65)</f>
        <v>63</v>
      </c>
      <c r="BT64">
        <f t="shared" si="67"/>
        <v>64</v>
      </c>
      <c r="BU64">
        <f t="shared" si="67"/>
        <v>65</v>
      </c>
      <c r="BV64">
        <f t="shared" si="67"/>
        <v>66</v>
      </c>
      <c r="BW64">
        <f t="shared" si="67"/>
        <v>67</v>
      </c>
      <c r="BX64">
        <f t="shared" si="67"/>
        <v>68</v>
      </c>
      <c r="BY64">
        <f t="shared" si="67"/>
        <v>69</v>
      </c>
      <c r="BZ64">
        <f t="shared" si="67"/>
        <v>70</v>
      </c>
      <c r="CA64">
        <f t="shared" si="67"/>
        <v>71</v>
      </c>
      <c r="CB64">
        <f t="shared" si="67"/>
        <v>72</v>
      </c>
      <c r="CC64">
        <f t="shared" si="67"/>
        <v>73</v>
      </c>
      <c r="CD64">
        <f t="shared" si="67"/>
        <v>74</v>
      </c>
      <c r="CE64">
        <f t="shared" si="67"/>
        <v>75</v>
      </c>
      <c r="CF64">
        <f t="shared" si="67"/>
        <v>76</v>
      </c>
      <c r="CG64">
        <f t="shared" si="67"/>
        <v>77</v>
      </c>
      <c r="CH64">
        <f t="shared" si="67"/>
        <v>78</v>
      </c>
      <c r="CI64">
        <f t="shared" si="67"/>
        <v>79</v>
      </c>
      <c r="CJ64">
        <f t="shared" si="67"/>
        <v>80</v>
      </c>
      <c r="CK64">
        <f t="shared" si="67"/>
        <v>81</v>
      </c>
      <c r="CL64">
        <f t="shared" si="67"/>
        <v>82</v>
      </c>
      <c r="CM64">
        <f t="shared" si="67"/>
        <v>83</v>
      </c>
      <c r="CN64">
        <f t="shared" si="67"/>
        <v>84</v>
      </c>
      <c r="CO64">
        <f t="shared" si="67"/>
        <v>85</v>
      </c>
      <c r="CP64">
        <f t="shared" si="67"/>
        <v>86</v>
      </c>
      <c r="CQ64">
        <f t="shared" si="67"/>
        <v>87</v>
      </c>
      <c r="CR64">
        <f t="shared" si="67"/>
        <v>88</v>
      </c>
      <c r="CS64">
        <f t="shared" si="67"/>
        <v>89</v>
      </c>
      <c r="CT64">
        <f t="shared" si="67"/>
        <v>90</v>
      </c>
      <c r="CU64">
        <f t="shared" si="67"/>
        <v>91</v>
      </c>
      <c r="CV64">
        <f t="shared" si="67"/>
        <v>92</v>
      </c>
      <c r="CW64">
        <f t="shared" si="67"/>
        <v>93</v>
      </c>
      <c r="CX64">
        <f t="shared" si="67"/>
        <v>94</v>
      </c>
      <c r="CY64">
        <f t="shared" si="67"/>
        <v>95</v>
      </c>
      <c r="CZ64">
        <f t="shared" si="67"/>
        <v>96</v>
      </c>
      <c r="DA64">
        <f t="shared" si="67"/>
        <v>97</v>
      </c>
    </row>
    <row r="65" spans="3:105" x14ac:dyDescent="0.4">
      <c r="C65">
        <f>C48+1</f>
        <v>2030</v>
      </c>
      <c r="D65" s="5" t="s">
        <v>434</v>
      </c>
      <c r="E65" s="5">
        <v>2027</v>
      </c>
      <c r="F65" s="5">
        <v>2028</v>
      </c>
      <c r="G65" s="5">
        <v>2029</v>
      </c>
      <c r="H65" s="5">
        <v>2030</v>
      </c>
      <c r="I65" s="5">
        <v>2031</v>
      </c>
      <c r="J65" s="5">
        <v>2032</v>
      </c>
      <c r="K65" s="5">
        <v>2033</v>
      </c>
      <c r="L65" s="5">
        <v>2034</v>
      </c>
      <c r="M65" s="5">
        <v>2035</v>
      </c>
      <c r="N65" s="5">
        <v>2036</v>
      </c>
      <c r="O65" s="5">
        <v>2037</v>
      </c>
      <c r="P65" s="5">
        <v>2038</v>
      </c>
      <c r="Q65" s="5">
        <v>2039</v>
      </c>
      <c r="R65" s="5">
        <v>2040</v>
      </c>
      <c r="S65" s="5">
        <v>2041</v>
      </c>
      <c r="T65" s="5">
        <v>2042</v>
      </c>
      <c r="U65" s="5">
        <v>2043</v>
      </c>
      <c r="V65" s="5">
        <v>2044</v>
      </c>
      <c r="W65" s="5">
        <v>2045</v>
      </c>
      <c r="X65" s="5">
        <v>2046</v>
      </c>
      <c r="Y65" s="5">
        <v>2047</v>
      </c>
      <c r="Z65" s="5">
        <v>2048</v>
      </c>
      <c r="AA65" s="5">
        <v>2049</v>
      </c>
      <c r="AB65" s="5">
        <v>2050</v>
      </c>
      <c r="AC65" s="5">
        <v>2051</v>
      </c>
      <c r="AD65" s="5">
        <v>2052</v>
      </c>
      <c r="AE65" s="5">
        <v>2053</v>
      </c>
      <c r="AF65" s="5">
        <v>2054</v>
      </c>
      <c r="AG65" s="5">
        <v>2055</v>
      </c>
      <c r="AH65" s="5">
        <v>2056</v>
      </c>
      <c r="AI65" s="5">
        <v>2057</v>
      </c>
      <c r="AJ65" s="5">
        <v>2058</v>
      </c>
      <c r="AK65" s="5">
        <v>2059</v>
      </c>
      <c r="AL65" s="5">
        <v>2060</v>
      </c>
      <c r="AM65" s="5">
        <v>2061</v>
      </c>
      <c r="AN65" s="5">
        <v>2062</v>
      </c>
      <c r="AO65" s="5">
        <v>2063</v>
      </c>
      <c r="AP65" s="5">
        <v>2064</v>
      </c>
      <c r="AQ65" s="5">
        <v>2065</v>
      </c>
      <c r="AR65" s="5">
        <v>2066</v>
      </c>
      <c r="AS65" s="5">
        <v>2067</v>
      </c>
      <c r="AT65" s="5">
        <v>2068</v>
      </c>
      <c r="AU65" s="5">
        <v>2069</v>
      </c>
      <c r="AV65" s="5">
        <v>2070</v>
      </c>
      <c r="AW65" s="5">
        <v>2071</v>
      </c>
      <c r="AX65" s="5">
        <v>2072</v>
      </c>
      <c r="AY65" s="5">
        <v>2073</v>
      </c>
      <c r="AZ65" s="5">
        <v>2074</v>
      </c>
      <c r="BA65" s="5">
        <v>2075</v>
      </c>
      <c r="BB65" s="5">
        <v>2076</v>
      </c>
      <c r="BC65" s="5">
        <v>2077</v>
      </c>
      <c r="BD65" s="5">
        <v>2078</v>
      </c>
      <c r="BE65" s="5">
        <v>2079</v>
      </c>
      <c r="BF65" s="5">
        <v>2080</v>
      </c>
      <c r="BG65" s="5">
        <v>2081</v>
      </c>
      <c r="BH65" s="5">
        <v>2082</v>
      </c>
      <c r="BI65" s="5">
        <v>2083</v>
      </c>
      <c r="BJ65" s="5">
        <v>2084</v>
      </c>
      <c r="BK65" s="5">
        <v>2085</v>
      </c>
      <c r="BL65" s="5">
        <v>2086</v>
      </c>
      <c r="BM65" s="5">
        <v>2087</v>
      </c>
      <c r="BN65" s="5">
        <v>2088</v>
      </c>
      <c r="BO65" s="5">
        <v>2089</v>
      </c>
      <c r="BP65" s="5">
        <v>2090</v>
      </c>
      <c r="BQ65" s="5">
        <v>2091</v>
      </c>
      <c r="BR65" s="5">
        <v>2092</v>
      </c>
      <c r="BS65" s="5">
        <v>2093</v>
      </c>
      <c r="BT65" s="5">
        <v>2094</v>
      </c>
      <c r="BU65" s="5">
        <v>2095</v>
      </c>
      <c r="BV65" s="5">
        <v>2096</v>
      </c>
      <c r="BW65" s="5">
        <v>2097</v>
      </c>
      <c r="BX65" s="5">
        <v>2098</v>
      </c>
      <c r="BY65" s="5">
        <v>2099</v>
      </c>
      <c r="BZ65" s="5">
        <v>2100</v>
      </c>
      <c r="CA65" s="5">
        <v>2101</v>
      </c>
      <c r="CB65" s="5">
        <v>2102</v>
      </c>
      <c r="CC65" s="5">
        <v>2103</v>
      </c>
      <c r="CD65" s="5">
        <v>2104</v>
      </c>
      <c r="CE65" s="5">
        <v>2105</v>
      </c>
      <c r="CF65" s="5">
        <v>2106</v>
      </c>
      <c r="CG65" s="5">
        <v>2107</v>
      </c>
      <c r="CH65" s="5">
        <v>2108</v>
      </c>
      <c r="CI65" s="5">
        <v>2109</v>
      </c>
      <c r="CJ65" s="5">
        <v>2110</v>
      </c>
      <c r="CK65" s="5">
        <v>2111</v>
      </c>
      <c r="CL65" s="5">
        <v>2112</v>
      </c>
      <c r="CM65" s="5">
        <v>2113</v>
      </c>
      <c r="CN65" s="5">
        <v>2114</v>
      </c>
      <c r="CO65" s="5">
        <v>2115</v>
      </c>
      <c r="CP65" s="5">
        <v>2116</v>
      </c>
      <c r="CQ65" s="5">
        <v>2117</v>
      </c>
      <c r="CR65" s="5">
        <v>2118</v>
      </c>
      <c r="CS65" s="5">
        <v>2119</v>
      </c>
      <c r="CT65" s="5">
        <v>2120</v>
      </c>
      <c r="CU65" s="5">
        <v>2121</v>
      </c>
      <c r="CV65" s="5">
        <v>2122</v>
      </c>
      <c r="CW65" s="5">
        <v>2123</v>
      </c>
      <c r="CX65" s="5">
        <v>2124</v>
      </c>
      <c r="CY65" s="5">
        <v>2125</v>
      </c>
      <c r="CZ65" s="5">
        <v>2126</v>
      </c>
      <c r="DA65" s="5">
        <v>2127</v>
      </c>
    </row>
    <row r="66" spans="3:105" x14ac:dyDescent="0.4">
      <c r="D66" t="s">
        <v>207</v>
      </c>
      <c r="I66" s="8">
        <f>IF(I$13&lt;=$B$3,I67/$B$3,0)</f>
        <v>77119.315093101017</v>
      </c>
      <c r="J66" s="8">
        <f>IF(J64&lt;=$B$3,I66,0)</f>
        <v>77119.315093101017</v>
      </c>
      <c r="K66" s="8">
        <f t="shared" ref="K66:BV66" si="68">IF(K64&lt;=$B$3,J66,0)</f>
        <v>77119.315093101017</v>
      </c>
      <c r="L66" s="8">
        <f t="shared" si="68"/>
        <v>77119.315093101017</v>
      </c>
      <c r="M66" s="8">
        <f t="shared" si="68"/>
        <v>77119.315093101017</v>
      </c>
      <c r="N66" s="8">
        <f t="shared" si="68"/>
        <v>77119.315093101017</v>
      </c>
      <c r="O66" s="8">
        <f t="shared" si="68"/>
        <v>77119.315093101017</v>
      </c>
      <c r="P66" s="8">
        <f t="shared" si="68"/>
        <v>77119.315093101017</v>
      </c>
      <c r="Q66" s="8">
        <f t="shared" si="68"/>
        <v>77119.315093101017</v>
      </c>
      <c r="R66" s="8">
        <f t="shared" si="68"/>
        <v>77119.315093101017</v>
      </c>
      <c r="S66" s="8">
        <f t="shared" si="68"/>
        <v>77119.315093101017</v>
      </c>
      <c r="T66" s="8">
        <f t="shared" si="68"/>
        <v>77119.315093101017</v>
      </c>
      <c r="U66" s="8">
        <f t="shared" si="68"/>
        <v>77119.315093101017</v>
      </c>
      <c r="V66" s="8">
        <f t="shared" si="68"/>
        <v>77119.315093101017</v>
      </c>
      <c r="W66" s="8">
        <f t="shared" si="68"/>
        <v>77119.315093101017</v>
      </c>
      <c r="X66" s="8">
        <f t="shared" si="68"/>
        <v>77119.315093101017</v>
      </c>
      <c r="Y66" s="8">
        <f t="shared" si="68"/>
        <v>77119.315093101017</v>
      </c>
      <c r="Z66" s="8">
        <f t="shared" si="68"/>
        <v>77119.315093101017</v>
      </c>
      <c r="AA66" s="8">
        <f t="shared" si="68"/>
        <v>77119.315093101017</v>
      </c>
      <c r="AB66" s="8">
        <f t="shared" si="68"/>
        <v>77119.315093101017</v>
      </c>
      <c r="AC66" s="8">
        <f t="shared" si="68"/>
        <v>77119.315093101017</v>
      </c>
      <c r="AD66" s="8">
        <f t="shared" si="68"/>
        <v>77119.315093101017</v>
      </c>
      <c r="AE66" s="8">
        <f t="shared" si="68"/>
        <v>77119.315093101017</v>
      </c>
      <c r="AF66" s="8">
        <f t="shared" si="68"/>
        <v>77119.315093101017</v>
      </c>
      <c r="AG66" s="8">
        <f t="shared" si="68"/>
        <v>77119.315093101017</v>
      </c>
      <c r="AH66" s="8">
        <f t="shared" si="68"/>
        <v>77119.315093101017</v>
      </c>
      <c r="AI66" s="8">
        <f t="shared" si="68"/>
        <v>77119.315093101017</v>
      </c>
      <c r="AJ66" s="8">
        <f t="shared" si="68"/>
        <v>77119.315093101017</v>
      </c>
      <c r="AK66" s="8">
        <f t="shared" si="68"/>
        <v>77119.315093101017</v>
      </c>
      <c r="AL66" s="8">
        <f t="shared" si="68"/>
        <v>77119.315093101017</v>
      </c>
      <c r="AM66" s="8">
        <f t="shared" si="68"/>
        <v>77119.315093101017</v>
      </c>
      <c r="AN66" s="8">
        <f t="shared" si="68"/>
        <v>77119.315093101017</v>
      </c>
      <c r="AO66" s="8">
        <f t="shared" si="68"/>
        <v>77119.315093101017</v>
      </c>
      <c r="AP66" s="8">
        <f t="shared" si="68"/>
        <v>77119.315093101017</v>
      </c>
      <c r="AQ66" s="8">
        <f t="shared" si="68"/>
        <v>77119.315093101017</v>
      </c>
      <c r="AR66" s="8">
        <f t="shared" si="68"/>
        <v>77119.315093101017</v>
      </c>
      <c r="AS66" s="8">
        <f t="shared" si="68"/>
        <v>77119.315093101017</v>
      </c>
      <c r="AT66" s="8">
        <f t="shared" si="68"/>
        <v>77119.315093101017</v>
      </c>
      <c r="AU66" s="8">
        <f t="shared" si="68"/>
        <v>77119.315093101017</v>
      </c>
      <c r="AV66" s="8">
        <f t="shared" si="68"/>
        <v>77119.315093101017</v>
      </c>
      <c r="AW66" s="8">
        <f t="shared" si="68"/>
        <v>77119.315093101017</v>
      </c>
      <c r="AX66" s="8">
        <f t="shared" si="68"/>
        <v>77119.315093101017</v>
      </c>
      <c r="AY66" s="8">
        <f t="shared" si="68"/>
        <v>77119.315093101017</v>
      </c>
      <c r="AZ66" s="8">
        <f t="shared" si="68"/>
        <v>77119.315093101017</v>
      </c>
      <c r="BA66" s="8">
        <f t="shared" si="68"/>
        <v>77119.315093101017</v>
      </c>
      <c r="BB66" s="8">
        <f t="shared" si="68"/>
        <v>77119.315093101017</v>
      </c>
      <c r="BC66" s="8">
        <f t="shared" si="68"/>
        <v>77119.315093101017</v>
      </c>
      <c r="BD66" s="8">
        <f t="shared" si="68"/>
        <v>77119.315093101017</v>
      </c>
      <c r="BE66" s="8">
        <f t="shared" si="68"/>
        <v>77119.315093101017</v>
      </c>
      <c r="BF66" s="8">
        <f t="shared" si="68"/>
        <v>77119.315093101017</v>
      </c>
      <c r="BG66" s="8">
        <f t="shared" si="68"/>
        <v>0</v>
      </c>
      <c r="BH66" s="8">
        <f t="shared" si="68"/>
        <v>0</v>
      </c>
      <c r="BI66" s="8">
        <f t="shared" si="68"/>
        <v>0</v>
      </c>
      <c r="BJ66" s="8">
        <f t="shared" si="68"/>
        <v>0</v>
      </c>
      <c r="BK66" s="8">
        <f t="shared" si="68"/>
        <v>0</v>
      </c>
      <c r="BL66" s="8">
        <f t="shared" si="68"/>
        <v>0</v>
      </c>
      <c r="BM66" s="8">
        <f t="shared" si="68"/>
        <v>0</v>
      </c>
      <c r="BN66" s="8">
        <f t="shared" si="68"/>
        <v>0</v>
      </c>
      <c r="BO66" s="8">
        <f t="shared" si="68"/>
        <v>0</v>
      </c>
      <c r="BP66" s="8">
        <f t="shared" si="68"/>
        <v>0</v>
      </c>
      <c r="BQ66" s="8">
        <f t="shared" si="68"/>
        <v>0</v>
      </c>
      <c r="BR66" s="8">
        <f t="shared" si="68"/>
        <v>0</v>
      </c>
      <c r="BS66" s="8">
        <f t="shared" si="68"/>
        <v>0</v>
      </c>
      <c r="BT66" s="8">
        <f t="shared" si="68"/>
        <v>0</v>
      </c>
      <c r="BU66" s="8">
        <f t="shared" si="68"/>
        <v>0</v>
      </c>
      <c r="BV66" s="8">
        <f t="shared" si="68"/>
        <v>0</v>
      </c>
      <c r="BW66" s="8">
        <f t="shared" ref="BW66:DA66" si="69">IF(BW64&lt;=$B$3,BV66,0)</f>
        <v>0</v>
      </c>
      <c r="BX66" s="8">
        <f t="shared" si="69"/>
        <v>0</v>
      </c>
      <c r="BY66" s="8">
        <f t="shared" si="69"/>
        <v>0</v>
      </c>
      <c r="BZ66" s="8">
        <f t="shared" si="69"/>
        <v>0</v>
      </c>
      <c r="CA66" s="8">
        <f t="shared" si="69"/>
        <v>0</v>
      </c>
      <c r="CB66" s="8">
        <f t="shared" si="69"/>
        <v>0</v>
      </c>
      <c r="CC66" s="8">
        <f t="shared" si="69"/>
        <v>0</v>
      </c>
      <c r="CD66" s="8">
        <f t="shared" si="69"/>
        <v>0</v>
      </c>
      <c r="CE66" s="8">
        <f t="shared" si="69"/>
        <v>0</v>
      </c>
      <c r="CF66" s="8">
        <f t="shared" si="69"/>
        <v>0</v>
      </c>
      <c r="CG66" s="8">
        <f t="shared" si="69"/>
        <v>0</v>
      </c>
      <c r="CH66" s="8">
        <f t="shared" si="69"/>
        <v>0</v>
      </c>
      <c r="CI66" s="8">
        <f t="shared" si="69"/>
        <v>0</v>
      </c>
      <c r="CJ66" s="8">
        <f t="shared" si="69"/>
        <v>0</v>
      </c>
      <c r="CK66" s="8">
        <f t="shared" si="69"/>
        <v>0</v>
      </c>
      <c r="CL66" s="8">
        <f t="shared" si="69"/>
        <v>0</v>
      </c>
      <c r="CM66" s="8">
        <f t="shared" si="69"/>
        <v>0</v>
      </c>
      <c r="CN66" s="8">
        <f t="shared" si="69"/>
        <v>0</v>
      </c>
      <c r="CO66" s="8">
        <f t="shared" si="69"/>
        <v>0</v>
      </c>
      <c r="CP66" s="8">
        <f t="shared" si="69"/>
        <v>0</v>
      </c>
      <c r="CQ66" s="8">
        <f t="shared" si="69"/>
        <v>0</v>
      </c>
      <c r="CR66" s="8">
        <f t="shared" si="69"/>
        <v>0</v>
      </c>
      <c r="CS66" s="8">
        <f t="shared" si="69"/>
        <v>0</v>
      </c>
      <c r="CT66" s="8">
        <f t="shared" si="69"/>
        <v>0</v>
      </c>
      <c r="CU66" s="8">
        <f t="shared" si="69"/>
        <v>0</v>
      </c>
      <c r="CV66" s="8">
        <f t="shared" si="69"/>
        <v>0</v>
      </c>
      <c r="CW66" s="8">
        <f t="shared" si="69"/>
        <v>0</v>
      </c>
      <c r="CX66" s="8">
        <f t="shared" si="69"/>
        <v>0</v>
      </c>
      <c r="CY66" s="8">
        <f t="shared" si="69"/>
        <v>0</v>
      </c>
      <c r="CZ66" s="8">
        <f t="shared" si="69"/>
        <v>0</v>
      </c>
      <c r="DA66" s="8">
        <f t="shared" si="69"/>
        <v>0</v>
      </c>
    </row>
    <row r="67" spans="3:105" x14ac:dyDescent="0.4">
      <c r="D67" t="s">
        <v>154</v>
      </c>
      <c r="H67" s="8">
        <f>HLOOKUP(I65,$F$3:$O$10,7,0)</f>
        <v>3855965.7546550506</v>
      </c>
      <c r="I67" s="8">
        <f>IF(ROUND(H68,4)=-ROUND(H67,4),0,H67)</f>
        <v>3855965.7546550506</v>
      </c>
      <c r="J67" s="8">
        <f t="shared" ref="J67:BU67" si="70">IF(ROUND(I68,4)=-ROUND(I67,4),0,I67)</f>
        <v>3855965.7546550506</v>
      </c>
      <c r="K67" s="8">
        <f t="shared" si="70"/>
        <v>3855965.7546550506</v>
      </c>
      <c r="L67" s="8">
        <f t="shared" si="70"/>
        <v>3855965.7546550506</v>
      </c>
      <c r="M67" s="8">
        <f t="shared" si="70"/>
        <v>3855965.7546550506</v>
      </c>
      <c r="N67" s="8">
        <f t="shared" si="70"/>
        <v>3855965.7546550506</v>
      </c>
      <c r="O67" s="8">
        <f t="shared" si="70"/>
        <v>3855965.7546550506</v>
      </c>
      <c r="P67" s="8">
        <f t="shared" si="70"/>
        <v>3855965.7546550506</v>
      </c>
      <c r="Q67" s="8">
        <f t="shared" si="70"/>
        <v>3855965.7546550506</v>
      </c>
      <c r="R67" s="8">
        <f t="shared" si="70"/>
        <v>3855965.7546550506</v>
      </c>
      <c r="S67" s="8">
        <f t="shared" si="70"/>
        <v>3855965.7546550506</v>
      </c>
      <c r="T67" s="8">
        <f t="shared" si="70"/>
        <v>3855965.7546550506</v>
      </c>
      <c r="U67" s="8">
        <f t="shared" si="70"/>
        <v>3855965.7546550506</v>
      </c>
      <c r="V67" s="8">
        <f t="shared" si="70"/>
        <v>3855965.7546550506</v>
      </c>
      <c r="W67" s="8">
        <f t="shared" si="70"/>
        <v>3855965.7546550506</v>
      </c>
      <c r="X67" s="8">
        <f t="shared" si="70"/>
        <v>3855965.7546550506</v>
      </c>
      <c r="Y67" s="8">
        <f t="shared" si="70"/>
        <v>3855965.7546550506</v>
      </c>
      <c r="Z67" s="8">
        <f t="shared" si="70"/>
        <v>3855965.7546550506</v>
      </c>
      <c r="AA67" s="8">
        <f t="shared" si="70"/>
        <v>3855965.7546550506</v>
      </c>
      <c r="AB67" s="8">
        <f t="shared" si="70"/>
        <v>3855965.7546550506</v>
      </c>
      <c r="AC67" s="8">
        <f t="shared" si="70"/>
        <v>3855965.7546550506</v>
      </c>
      <c r="AD67" s="8">
        <f t="shared" si="70"/>
        <v>3855965.7546550506</v>
      </c>
      <c r="AE67" s="8">
        <f t="shared" si="70"/>
        <v>3855965.7546550506</v>
      </c>
      <c r="AF67" s="8">
        <f t="shared" si="70"/>
        <v>3855965.7546550506</v>
      </c>
      <c r="AG67" s="8">
        <f t="shared" si="70"/>
        <v>3855965.7546550506</v>
      </c>
      <c r="AH67" s="8">
        <f t="shared" si="70"/>
        <v>3855965.7546550506</v>
      </c>
      <c r="AI67" s="8">
        <f t="shared" si="70"/>
        <v>3855965.7546550506</v>
      </c>
      <c r="AJ67" s="8">
        <f t="shared" si="70"/>
        <v>3855965.7546550506</v>
      </c>
      <c r="AK67" s="8">
        <f t="shared" si="70"/>
        <v>3855965.7546550506</v>
      </c>
      <c r="AL67" s="8">
        <f t="shared" si="70"/>
        <v>3855965.7546550506</v>
      </c>
      <c r="AM67" s="8">
        <f t="shared" si="70"/>
        <v>3855965.7546550506</v>
      </c>
      <c r="AN67" s="8">
        <f t="shared" si="70"/>
        <v>3855965.7546550506</v>
      </c>
      <c r="AO67" s="8">
        <f t="shared" si="70"/>
        <v>3855965.7546550506</v>
      </c>
      <c r="AP67" s="8">
        <f t="shared" si="70"/>
        <v>3855965.7546550506</v>
      </c>
      <c r="AQ67" s="8">
        <f t="shared" si="70"/>
        <v>3855965.7546550506</v>
      </c>
      <c r="AR67" s="8">
        <f t="shared" si="70"/>
        <v>3855965.7546550506</v>
      </c>
      <c r="AS67" s="8">
        <f t="shared" si="70"/>
        <v>3855965.7546550506</v>
      </c>
      <c r="AT67" s="8">
        <f t="shared" si="70"/>
        <v>3855965.7546550506</v>
      </c>
      <c r="AU67" s="8">
        <f t="shared" si="70"/>
        <v>3855965.7546550506</v>
      </c>
      <c r="AV67" s="8">
        <f t="shared" si="70"/>
        <v>3855965.7546550506</v>
      </c>
      <c r="AW67" s="8">
        <f t="shared" si="70"/>
        <v>3855965.7546550506</v>
      </c>
      <c r="AX67" s="8">
        <f t="shared" si="70"/>
        <v>3855965.7546550506</v>
      </c>
      <c r="AY67" s="8">
        <f t="shared" si="70"/>
        <v>3855965.7546550506</v>
      </c>
      <c r="AZ67" s="8">
        <f t="shared" si="70"/>
        <v>3855965.7546550506</v>
      </c>
      <c r="BA67" s="8">
        <f t="shared" si="70"/>
        <v>3855965.7546550506</v>
      </c>
      <c r="BB67" s="8">
        <f t="shared" si="70"/>
        <v>3855965.7546550506</v>
      </c>
      <c r="BC67" s="8">
        <f t="shared" si="70"/>
        <v>3855965.7546550506</v>
      </c>
      <c r="BD67" s="8">
        <f t="shared" si="70"/>
        <v>3855965.7546550506</v>
      </c>
      <c r="BE67" s="8">
        <f t="shared" si="70"/>
        <v>3855965.7546550506</v>
      </c>
      <c r="BF67" s="8">
        <f t="shared" si="70"/>
        <v>3855965.7546550506</v>
      </c>
      <c r="BG67" s="8">
        <f t="shared" si="70"/>
        <v>0</v>
      </c>
      <c r="BH67" s="8">
        <f t="shared" si="70"/>
        <v>0</v>
      </c>
      <c r="BI67" s="8">
        <f t="shared" si="70"/>
        <v>0</v>
      </c>
      <c r="BJ67" s="8">
        <f t="shared" si="70"/>
        <v>0</v>
      </c>
      <c r="BK67" s="8">
        <f t="shared" si="70"/>
        <v>0</v>
      </c>
      <c r="BL67" s="8">
        <f t="shared" si="70"/>
        <v>0</v>
      </c>
      <c r="BM67" s="8">
        <f t="shared" si="70"/>
        <v>0</v>
      </c>
      <c r="BN67" s="8">
        <f t="shared" si="70"/>
        <v>0</v>
      </c>
      <c r="BO67" s="8">
        <f t="shared" si="70"/>
        <v>0</v>
      </c>
      <c r="BP67" s="8">
        <f t="shared" si="70"/>
        <v>0</v>
      </c>
      <c r="BQ67" s="8">
        <f t="shared" si="70"/>
        <v>0</v>
      </c>
      <c r="BR67" s="8">
        <f t="shared" si="70"/>
        <v>0</v>
      </c>
      <c r="BS67" s="8">
        <f t="shared" si="70"/>
        <v>0</v>
      </c>
      <c r="BT67" s="8">
        <f t="shared" si="70"/>
        <v>0</v>
      </c>
      <c r="BU67" s="8">
        <f t="shared" si="70"/>
        <v>0</v>
      </c>
      <c r="BV67" s="8">
        <f t="shared" ref="BV67:DA67" si="71">IF(ROUND(BU68,4)=-ROUND(BU67,4),0,BU67)</f>
        <v>0</v>
      </c>
      <c r="BW67" s="8">
        <f t="shared" si="71"/>
        <v>0</v>
      </c>
      <c r="BX67" s="8">
        <f t="shared" si="71"/>
        <v>0</v>
      </c>
      <c r="BY67" s="8">
        <f t="shared" si="71"/>
        <v>0</v>
      </c>
      <c r="BZ67" s="8">
        <f t="shared" si="71"/>
        <v>0</v>
      </c>
      <c r="CA67" s="8">
        <f t="shared" si="71"/>
        <v>0</v>
      </c>
      <c r="CB67" s="8">
        <f t="shared" si="71"/>
        <v>0</v>
      </c>
      <c r="CC67" s="8">
        <f t="shared" si="71"/>
        <v>0</v>
      </c>
      <c r="CD67" s="8">
        <f t="shared" si="71"/>
        <v>0</v>
      </c>
      <c r="CE67" s="8">
        <f t="shared" si="71"/>
        <v>0</v>
      </c>
      <c r="CF67" s="8">
        <f t="shared" si="71"/>
        <v>0</v>
      </c>
      <c r="CG67" s="8">
        <f t="shared" si="71"/>
        <v>0</v>
      </c>
      <c r="CH67" s="8">
        <f t="shared" si="71"/>
        <v>0</v>
      </c>
      <c r="CI67" s="8">
        <f t="shared" si="71"/>
        <v>0</v>
      </c>
      <c r="CJ67" s="8">
        <f t="shared" si="71"/>
        <v>0</v>
      </c>
      <c r="CK67" s="8">
        <f t="shared" si="71"/>
        <v>0</v>
      </c>
      <c r="CL67" s="8">
        <f t="shared" si="71"/>
        <v>0</v>
      </c>
      <c r="CM67" s="8">
        <f t="shared" si="71"/>
        <v>0</v>
      </c>
      <c r="CN67" s="8">
        <f t="shared" si="71"/>
        <v>0</v>
      </c>
      <c r="CO67" s="8">
        <f t="shared" si="71"/>
        <v>0</v>
      </c>
      <c r="CP67" s="8">
        <f t="shared" si="71"/>
        <v>0</v>
      </c>
      <c r="CQ67" s="8">
        <f t="shared" si="71"/>
        <v>0</v>
      </c>
      <c r="CR67" s="8">
        <f t="shared" si="71"/>
        <v>0</v>
      </c>
      <c r="CS67" s="8">
        <f t="shared" si="71"/>
        <v>0</v>
      </c>
      <c r="CT67" s="8">
        <f t="shared" si="71"/>
        <v>0</v>
      </c>
      <c r="CU67" s="8">
        <f t="shared" si="71"/>
        <v>0</v>
      </c>
      <c r="CV67" s="8">
        <f t="shared" si="71"/>
        <v>0</v>
      </c>
      <c r="CW67" s="8">
        <f t="shared" si="71"/>
        <v>0</v>
      </c>
      <c r="CX67" s="8">
        <f t="shared" si="71"/>
        <v>0</v>
      </c>
      <c r="CY67" s="8">
        <f t="shared" si="71"/>
        <v>0</v>
      </c>
      <c r="CZ67" s="8">
        <f t="shared" si="71"/>
        <v>0</v>
      </c>
      <c r="DA67" s="8">
        <f t="shared" si="71"/>
        <v>0</v>
      </c>
    </row>
    <row r="68" spans="3:105" x14ac:dyDescent="0.4">
      <c r="D68" t="s">
        <v>208</v>
      </c>
      <c r="H68" s="8"/>
      <c r="I68" s="8">
        <f>IF(I64&lt;=$B$3,-SUM($E66:I66),0)</f>
        <v>-77119.315093101017</v>
      </c>
      <c r="J68" s="8">
        <f>IF(J64&lt;=$B$3,-SUM($E66:J66),0)</f>
        <v>-154238.63018620203</v>
      </c>
      <c r="K68" s="8">
        <f>IF(K64&lt;=$B$3,-SUM($E66:K66),0)</f>
        <v>-231357.94527930307</v>
      </c>
      <c r="L68" s="8">
        <f>IF(L64&lt;=$B$3,-SUM($E66:L66),0)</f>
        <v>-308477.26037240407</v>
      </c>
      <c r="M68" s="8">
        <f>IF(M64&lt;=$B$3,-SUM($E66:M66),0)</f>
        <v>-385596.57546550507</v>
      </c>
      <c r="N68" s="8">
        <f>IF(N64&lt;=$B$3,-SUM($E66:N66),0)</f>
        <v>-462715.89055860607</v>
      </c>
      <c r="O68" s="8">
        <f>IF(O64&lt;=$B$3,-SUM($E66:O66),0)</f>
        <v>-539835.20565170713</v>
      </c>
      <c r="P68" s="8">
        <f>IF(P64&lt;=$B$3,-SUM($E66:P66),0)</f>
        <v>-616954.52074480813</v>
      </c>
      <c r="Q68" s="8">
        <f>IF(Q64&lt;=$B$3,-SUM($E66:Q66),0)</f>
        <v>-694073.83583790914</v>
      </c>
      <c r="R68" s="8">
        <f>IF(R64&lt;=$B$3,-SUM($E66:R66),0)</f>
        <v>-771193.15093101014</v>
      </c>
      <c r="S68" s="8">
        <f>IF(S64&lt;=$B$3,-SUM($E66:S66),0)</f>
        <v>-848312.46602411114</v>
      </c>
      <c r="T68" s="8">
        <f>IF(T64&lt;=$B$3,-SUM($E66:T66),0)</f>
        <v>-925431.78111721214</v>
      </c>
      <c r="U68" s="8">
        <f>IF(U64&lt;=$B$3,-SUM($E66:U66),0)</f>
        <v>-1002551.0962103131</v>
      </c>
      <c r="V68" s="8">
        <f>IF(V64&lt;=$B$3,-SUM($E66:V66),0)</f>
        <v>-1079670.4113034143</v>
      </c>
      <c r="W68" s="8">
        <f>IF(W64&lt;=$B$3,-SUM($E66:W66),0)</f>
        <v>-1156789.7263965153</v>
      </c>
      <c r="X68" s="8">
        <f>IF(X64&lt;=$B$3,-SUM($E66:X66),0)</f>
        <v>-1233909.0414896163</v>
      </c>
      <c r="Y68" s="8">
        <f>IF(Y64&lt;=$B$3,-SUM($E66:Y66),0)</f>
        <v>-1311028.3565827173</v>
      </c>
      <c r="Z68" s="8">
        <f>IF(Z64&lt;=$B$3,-SUM($E66:Z66),0)</f>
        <v>-1388147.6716758183</v>
      </c>
      <c r="AA68" s="8">
        <f>IF(AA64&lt;=$B$3,-SUM($E66:AA66),0)</f>
        <v>-1465266.9867689193</v>
      </c>
      <c r="AB68" s="8">
        <f>IF(AB64&lt;=$B$3,-SUM($E66:AB66),0)</f>
        <v>-1542386.3018620203</v>
      </c>
      <c r="AC68" s="8">
        <f>IF(AC64&lt;=$B$3,-SUM($E66:AC66),0)</f>
        <v>-1619505.6169551213</v>
      </c>
      <c r="AD68" s="8">
        <f>IF(AD64&lt;=$B$3,-SUM($E66:AD66),0)</f>
        <v>-1696624.9320482223</v>
      </c>
      <c r="AE68" s="8">
        <f>IF(AE64&lt;=$B$3,-SUM($E66:AE66),0)</f>
        <v>-1773744.2471413233</v>
      </c>
      <c r="AF68" s="8">
        <f>IF(AF64&lt;=$B$3,-SUM($E66:AF66),0)</f>
        <v>-1850863.5622344243</v>
      </c>
      <c r="AG68" s="8">
        <f>IF(AG64&lt;=$B$3,-SUM($E66:AG66),0)</f>
        <v>-1927982.8773275253</v>
      </c>
      <c r="AH68" s="8">
        <f>IF(AH64&lt;=$B$3,-SUM($E66:AH66),0)</f>
        <v>-2005102.1924206263</v>
      </c>
      <c r="AI68" s="8">
        <f>IF(AI64&lt;=$B$3,-SUM($E66:AI66),0)</f>
        <v>-2082221.5075137273</v>
      </c>
      <c r="AJ68" s="8">
        <f>IF(AJ64&lt;=$B$3,-SUM($E66:AJ66),0)</f>
        <v>-2159340.8226068285</v>
      </c>
      <c r="AK68" s="8">
        <f>IF(AK64&lt;=$B$3,-SUM($E66:AK66),0)</f>
        <v>-2236460.1376999295</v>
      </c>
      <c r="AL68" s="8">
        <f>IF(AL64&lt;=$B$3,-SUM($E66:AL66),0)</f>
        <v>-2313579.4527930305</v>
      </c>
      <c r="AM68" s="8">
        <f>IF(AM64&lt;=$B$3,-SUM($E66:AM66),0)</f>
        <v>-2390698.7678861315</v>
      </c>
      <c r="AN68" s="8">
        <f>IF(AN64&lt;=$B$3,-SUM($E66:AN66),0)</f>
        <v>-2467818.0829792325</v>
      </c>
      <c r="AO68" s="8">
        <f>IF(AO64&lt;=$B$3,-SUM($E66:AO66),0)</f>
        <v>-2544937.3980723335</v>
      </c>
      <c r="AP68" s="8">
        <f>IF(AP64&lt;=$B$3,-SUM($E66:AP66),0)</f>
        <v>-2622056.7131654345</v>
      </c>
      <c r="AQ68" s="8">
        <f>IF(AQ64&lt;=$B$3,-SUM($E66:AQ66),0)</f>
        <v>-2699176.0282585355</v>
      </c>
      <c r="AR68" s="8">
        <f>IF(AR64&lt;=$B$3,-SUM($E66:AR66),0)</f>
        <v>-2776295.3433516365</v>
      </c>
      <c r="AS68" s="8">
        <f>IF(AS64&lt;=$B$3,-SUM($E66:AS66),0)</f>
        <v>-2853414.6584447375</v>
      </c>
      <c r="AT68" s="8">
        <f>IF(AT64&lt;=$B$3,-SUM($E66:AT66),0)</f>
        <v>-2930533.9735378386</v>
      </c>
      <c r="AU68" s="8">
        <f>IF(AU64&lt;=$B$3,-SUM($E66:AU66),0)</f>
        <v>-3007653.2886309396</v>
      </c>
      <c r="AV68" s="8">
        <f>IF(AV64&lt;=$B$3,-SUM($E66:AV66),0)</f>
        <v>-3084772.6037240406</v>
      </c>
      <c r="AW68" s="8">
        <f>IF(AW64&lt;=$B$3,-SUM($E66:AW66),0)</f>
        <v>-3161891.9188171416</v>
      </c>
      <c r="AX68" s="8">
        <f>IF(AX64&lt;=$B$3,-SUM($E66:AX66),0)</f>
        <v>-3239011.2339102426</v>
      </c>
      <c r="AY68" s="8">
        <f>IF(AY64&lt;=$B$3,-SUM($E66:AY66),0)</f>
        <v>-3316130.5490033436</v>
      </c>
      <c r="AZ68" s="8">
        <f>IF(AZ64&lt;=$B$3,-SUM($E66:AZ66),0)</f>
        <v>-3393249.8640964446</v>
      </c>
      <c r="BA68" s="8">
        <f>IF(BA64&lt;=$B$3,-SUM($E66:BA66),0)</f>
        <v>-3470369.1791895456</v>
      </c>
      <c r="BB68" s="8">
        <f>IF(BB64&lt;=$B$3,-SUM($E66:BB66),0)</f>
        <v>-3547488.4942826466</v>
      </c>
      <c r="BC68" s="8">
        <f>IF(BC64&lt;=$B$3,-SUM($E66:BC66),0)</f>
        <v>-3624607.8093757476</v>
      </c>
      <c r="BD68" s="8">
        <f>IF(BD64&lt;=$B$3,-SUM($E66:BD66),0)</f>
        <v>-3701727.1244688486</v>
      </c>
      <c r="BE68" s="8">
        <f>IF(BE64&lt;=$B$3,-SUM($E66:BE66),0)</f>
        <v>-3778846.4395619496</v>
      </c>
      <c r="BF68" s="8">
        <f>IF(BF64&lt;=$B$3,-SUM($E66:BF66),0)</f>
        <v>-3855965.7546550506</v>
      </c>
      <c r="BG68" s="8">
        <f>IF(BG64&lt;=$B$3,-SUM($E66:BG66),0)</f>
        <v>0</v>
      </c>
      <c r="BH68" s="8">
        <f>IF(BH64&lt;=$B$3,-SUM($E66:BH66),0)</f>
        <v>0</v>
      </c>
      <c r="BI68" s="8">
        <f>IF(BI64&lt;=$B$3,-SUM($E66:BI66),0)</f>
        <v>0</v>
      </c>
      <c r="BJ68" s="8">
        <f>IF(BJ64&lt;=$B$3,-SUM($E66:BJ66),0)</f>
        <v>0</v>
      </c>
      <c r="BK68" s="8">
        <f>IF(BK64&lt;=$B$3,-SUM($E66:BK66),0)</f>
        <v>0</v>
      </c>
      <c r="BL68" s="8">
        <f>IF(BL64&lt;=$B$3,-SUM($E66:BL66),0)</f>
        <v>0</v>
      </c>
      <c r="BM68" s="8">
        <f>IF(BM64&lt;=$B$3,-SUM($E66:BM66),0)</f>
        <v>0</v>
      </c>
      <c r="BN68" s="8">
        <f>IF(BN64&lt;=$B$3,-SUM($E66:BN66),0)</f>
        <v>0</v>
      </c>
      <c r="BO68" s="8">
        <f>IF(BO64&lt;=$B$3,-SUM($E66:BO66),0)</f>
        <v>0</v>
      </c>
      <c r="BP68" s="8">
        <f>IF(BP64&lt;=$B$3,-SUM($E66:BP66),0)</f>
        <v>0</v>
      </c>
      <c r="BQ68" s="8">
        <f>IF(BQ64&lt;=$B$3,-SUM($E66:BQ66),0)</f>
        <v>0</v>
      </c>
      <c r="BR68" s="8">
        <f>IF(BR64&lt;=$B$3,-SUM($E66:BR66),0)</f>
        <v>0</v>
      </c>
      <c r="BS68" s="8">
        <f>IF(BS64&lt;=$B$3,-SUM($E66:BS66),0)</f>
        <v>0</v>
      </c>
      <c r="BT68" s="8">
        <f>IF(BT64&lt;=$B$3,-SUM($E66:BT66),0)</f>
        <v>0</v>
      </c>
      <c r="BU68" s="8">
        <f>IF(BU64&lt;=$B$3,-SUM($E66:BU66),0)</f>
        <v>0</v>
      </c>
      <c r="BV68" s="8">
        <f>IF(BV64&lt;=$B$3,-SUM($E66:BV66),0)</f>
        <v>0</v>
      </c>
      <c r="BW68" s="8">
        <f>IF(BW64&lt;=$B$3,-SUM($E66:BW66),0)</f>
        <v>0</v>
      </c>
      <c r="BX68" s="8">
        <f>IF(BX64&lt;=$B$3,-SUM($E66:BX66),0)</f>
        <v>0</v>
      </c>
      <c r="BY68" s="8">
        <f>IF(BY64&lt;=$B$3,-SUM($E66:BY66),0)</f>
        <v>0</v>
      </c>
      <c r="BZ68" s="8">
        <f>IF(BZ64&lt;=$B$3,-SUM($E66:BZ66),0)</f>
        <v>0</v>
      </c>
      <c r="CA68" s="8">
        <f>IF(CA64&lt;=$B$3,-SUM($E66:CA66),0)</f>
        <v>0</v>
      </c>
      <c r="CB68" s="8">
        <f>IF(CB64&lt;=$B$3,-SUM($E66:CB66),0)</f>
        <v>0</v>
      </c>
      <c r="CC68" s="8">
        <f>IF(CC64&lt;=$B$3,-SUM($E66:CC66),0)</f>
        <v>0</v>
      </c>
      <c r="CD68" s="8">
        <f>IF(CD64&lt;=$B$3,-SUM($E66:CD66),0)</f>
        <v>0</v>
      </c>
      <c r="CE68" s="8">
        <f>IF(CE64&lt;=$B$3,-SUM($E66:CE66),0)</f>
        <v>0</v>
      </c>
      <c r="CF68" s="8">
        <f>IF(CF64&lt;=$B$3,-SUM($E66:CF66),0)</f>
        <v>0</v>
      </c>
      <c r="CG68" s="8">
        <f>IF(CG64&lt;=$B$3,-SUM($E66:CG66),0)</f>
        <v>0</v>
      </c>
      <c r="CH68" s="8">
        <f>IF(CH64&lt;=$B$3,-SUM($E66:CH66),0)</f>
        <v>0</v>
      </c>
      <c r="CI68" s="8">
        <f>IF(CI64&lt;=$B$3,-SUM($E66:CI66),0)</f>
        <v>0</v>
      </c>
      <c r="CJ68" s="8">
        <f>IF(CJ64&lt;=$B$3,-SUM($E66:CJ66),0)</f>
        <v>0</v>
      </c>
      <c r="CK68" s="8">
        <f>IF(CK64&lt;=$B$3,-SUM($E66:CK66),0)</f>
        <v>0</v>
      </c>
      <c r="CL68" s="8">
        <f>IF(CL64&lt;=$B$3,-SUM($E66:CL66),0)</f>
        <v>0</v>
      </c>
      <c r="CM68" s="8">
        <f>IF(CM64&lt;=$B$3,-SUM($E66:CM66),0)</f>
        <v>0</v>
      </c>
      <c r="CN68" s="8">
        <f>IF(CN64&lt;=$B$3,-SUM($E66:CN66),0)</f>
        <v>0</v>
      </c>
      <c r="CO68" s="8">
        <f>IF(CO64&lt;=$B$3,-SUM($E66:CO66),0)</f>
        <v>0</v>
      </c>
      <c r="CP68" s="8">
        <f>IF(CP64&lt;=$B$3,-SUM($E66:CP66),0)</f>
        <v>0</v>
      </c>
      <c r="CQ68" s="8">
        <f>IF(CQ64&lt;=$B$3,-SUM($E66:CQ66),0)</f>
        <v>0</v>
      </c>
      <c r="CR68" s="8">
        <f>IF(CR64&lt;=$B$3,-SUM($E66:CR66),0)</f>
        <v>0</v>
      </c>
      <c r="CS68" s="8">
        <f>IF(CS64&lt;=$B$3,-SUM($E66:CS66),0)</f>
        <v>0</v>
      </c>
      <c r="CT68" s="8">
        <f>IF(CT64&lt;=$B$3,-SUM($E66:CT66),0)</f>
        <v>0</v>
      </c>
      <c r="CU68" s="8">
        <f>IF(CU64&lt;=$B$3,-SUM($E66:CU66),0)</f>
        <v>0</v>
      </c>
      <c r="CV68" s="8">
        <f>IF(CV64&lt;=$B$3,-SUM($E66:CV66),0)</f>
        <v>0</v>
      </c>
      <c r="CW68" s="8">
        <f>IF(CW64&lt;=$B$3,-SUM($E66:CW66),0)</f>
        <v>0</v>
      </c>
      <c r="CX68" s="8">
        <f>IF(CX64&lt;=$B$3,-SUM($E66:CX66),0)</f>
        <v>0</v>
      </c>
      <c r="CY68" s="8">
        <f>IF(CY64&lt;=$B$3,-SUM($E66:CY66),0)</f>
        <v>0</v>
      </c>
      <c r="CZ68" s="8">
        <f>IF(CZ64&lt;=$B$3,-SUM($E66:CZ66),0)</f>
        <v>0</v>
      </c>
      <c r="DA68" s="8">
        <f>IF(DA64&lt;=$B$3,-SUM($E66:DA66),0)</f>
        <v>0</v>
      </c>
    </row>
    <row r="69" spans="3:105" x14ac:dyDescent="0.4">
      <c r="D69" t="s">
        <v>167</v>
      </c>
      <c r="H69" s="8"/>
      <c r="I69" s="8">
        <f>H70</f>
        <v>3855965.7546550506</v>
      </c>
      <c r="J69" s="8">
        <f t="shared" ref="J69:BU69" si="72">I70</f>
        <v>3778846.4395619496</v>
      </c>
      <c r="K69" s="8">
        <f t="shared" si="72"/>
        <v>3701727.1244688486</v>
      </c>
      <c r="L69" s="8">
        <f t="shared" si="72"/>
        <v>3624607.8093757476</v>
      </c>
      <c r="M69" s="8">
        <f t="shared" si="72"/>
        <v>3547488.4942826466</v>
      </c>
      <c r="N69" s="8">
        <f t="shared" si="72"/>
        <v>3470369.1791895456</v>
      </c>
      <c r="O69" s="8">
        <f t="shared" si="72"/>
        <v>3393249.8640964446</v>
      </c>
      <c r="P69" s="8">
        <f t="shared" si="72"/>
        <v>3316130.5490033436</v>
      </c>
      <c r="Q69" s="8">
        <f t="shared" si="72"/>
        <v>3239011.2339102426</v>
      </c>
      <c r="R69" s="8">
        <f t="shared" si="72"/>
        <v>3161891.9188171416</v>
      </c>
      <c r="S69" s="8">
        <f t="shared" si="72"/>
        <v>3084772.6037240406</v>
      </c>
      <c r="T69" s="8">
        <f t="shared" si="72"/>
        <v>3007653.2886309396</v>
      </c>
      <c r="U69" s="8">
        <f t="shared" si="72"/>
        <v>2930533.9735378386</v>
      </c>
      <c r="V69" s="8">
        <f t="shared" si="72"/>
        <v>2853414.6584447375</v>
      </c>
      <c r="W69" s="8">
        <f t="shared" si="72"/>
        <v>2776295.3433516361</v>
      </c>
      <c r="X69" s="8">
        <f t="shared" si="72"/>
        <v>2699176.0282585351</v>
      </c>
      <c r="Y69" s="8">
        <f t="shared" si="72"/>
        <v>2622056.7131654341</v>
      </c>
      <c r="Z69" s="8">
        <f t="shared" si="72"/>
        <v>2544937.3980723331</v>
      </c>
      <c r="AA69" s="8">
        <f t="shared" si="72"/>
        <v>2467818.0829792321</v>
      </c>
      <c r="AB69" s="8">
        <f t="shared" si="72"/>
        <v>2390698.7678861311</v>
      </c>
      <c r="AC69" s="8">
        <f t="shared" si="72"/>
        <v>2313579.4527930301</v>
      </c>
      <c r="AD69" s="8">
        <f t="shared" si="72"/>
        <v>2236460.1376999291</v>
      </c>
      <c r="AE69" s="8">
        <f t="shared" si="72"/>
        <v>2159340.8226068281</v>
      </c>
      <c r="AF69" s="8">
        <f t="shared" si="72"/>
        <v>2082221.5075137273</v>
      </c>
      <c r="AG69" s="8">
        <f t="shared" si="72"/>
        <v>2005102.1924206263</v>
      </c>
      <c r="AH69" s="8">
        <f t="shared" si="72"/>
        <v>1927982.8773275253</v>
      </c>
      <c r="AI69" s="8">
        <f t="shared" si="72"/>
        <v>1850863.5622344243</v>
      </c>
      <c r="AJ69" s="8">
        <f t="shared" si="72"/>
        <v>1773744.2471413233</v>
      </c>
      <c r="AK69" s="8">
        <f t="shared" si="72"/>
        <v>1696624.9320482221</v>
      </c>
      <c r="AL69" s="8">
        <f t="shared" si="72"/>
        <v>1619505.616955121</v>
      </c>
      <c r="AM69" s="8">
        <f t="shared" si="72"/>
        <v>1542386.30186202</v>
      </c>
      <c r="AN69" s="8">
        <f t="shared" si="72"/>
        <v>1465266.986768919</v>
      </c>
      <c r="AO69" s="8">
        <f t="shared" si="72"/>
        <v>1388147.671675818</v>
      </c>
      <c r="AP69" s="8">
        <f t="shared" si="72"/>
        <v>1311028.356582717</v>
      </c>
      <c r="AQ69" s="8">
        <f t="shared" si="72"/>
        <v>1233909.041489616</v>
      </c>
      <c r="AR69" s="8">
        <f t="shared" si="72"/>
        <v>1156789.726396515</v>
      </c>
      <c r="AS69" s="8">
        <f t="shared" si="72"/>
        <v>1079670.411303414</v>
      </c>
      <c r="AT69" s="8">
        <f t="shared" si="72"/>
        <v>1002551.096210313</v>
      </c>
      <c r="AU69" s="8">
        <f t="shared" si="72"/>
        <v>925431.78111721203</v>
      </c>
      <c r="AV69" s="8">
        <f t="shared" si="72"/>
        <v>848312.46602411103</v>
      </c>
      <c r="AW69" s="8">
        <f t="shared" si="72"/>
        <v>771193.15093101002</v>
      </c>
      <c r="AX69" s="8">
        <f t="shared" si="72"/>
        <v>694073.83583790902</v>
      </c>
      <c r="AY69" s="8">
        <f t="shared" si="72"/>
        <v>616954.52074480802</v>
      </c>
      <c r="AZ69" s="8">
        <f t="shared" si="72"/>
        <v>539835.20565170702</v>
      </c>
      <c r="BA69" s="8">
        <f t="shared" si="72"/>
        <v>462715.89055860601</v>
      </c>
      <c r="BB69" s="8">
        <f t="shared" si="72"/>
        <v>385596.57546550501</v>
      </c>
      <c r="BC69" s="8">
        <f t="shared" si="72"/>
        <v>308477.26037240401</v>
      </c>
      <c r="BD69" s="8">
        <f t="shared" si="72"/>
        <v>231357.94527930301</v>
      </c>
      <c r="BE69" s="8">
        <f t="shared" si="72"/>
        <v>154238.630186202</v>
      </c>
      <c r="BF69" s="8">
        <f t="shared" si="72"/>
        <v>77119.315093101002</v>
      </c>
      <c r="BG69" s="8">
        <f t="shared" si="72"/>
        <v>0</v>
      </c>
      <c r="BH69" s="8">
        <f t="shared" si="72"/>
        <v>0</v>
      </c>
      <c r="BI69" s="8">
        <f t="shared" si="72"/>
        <v>0</v>
      </c>
      <c r="BJ69" s="8">
        <f t="shared" si="72"/>
        <v>0</v>
      </c>
      <c r="BK69" s="8">
        <f t="shared" si="72"/>
        <v>0</v>
      </c>
      <c r="BL69" s="8">
        <f t="shared" si="72"/>
        <v>0</v>
      </c>
      <c r="BM69" s="8">
        <f t="shared" si="72"/>
        <v>0</v>
      </c>
      <c r="BN69" s="8">
        <f t="shared" si="72"/>
        <v>0</v>
      </c>
      <c r="BO69" s="8">
        <f t="shared" si="72"/>
        <v>0</v>
      </c>
      <c r="BP69" s="8">
        <f t="shared" si="72"/>
        <v>0</v>
      </c>
      <c r="BQ69" s="8">
        <f t="shared" si="72"/>
        <v>0</v>
      </c>
      <c r="BR69" s="8">
        <f t="shared" si="72"/>
        <v>0</v>
      </c>
      <c r="BS69" s="8">
        <f t="shared" si="72"/>
        <v>0</v>
      </c>
      <c r="BT69" s="8">
        <f t="shared" si="72"/>
        <v>0</v>
      </c>
      <c r="BU69" s="8">
        <f t="shared" si="72"/>
        <v>0</v>
      </c>
      <c r="BV69" s="8">
        <f t="shared" ref="BV69:DA69" si="73">BU70</f>
        <v>0</v>
      </c>
      <c r="BW69" s="8">
        <f t="shared" si="73"/>
        <v>0</v>
      </c>
      <c r="BX69" s="8">
        <f t="shared" si="73"/>
        <v>0</v>
      </c>
      <c r="BY69" s="8">
        <f t="shared" si="73"/>
        <v>0</v>
      </c>
      <c r="BZ69" s="8">
        <f t="shared" si="73"/>
        <v>0</v>
      </c>
      <c r="CA69" s="8">
        <f t="shared" si="73"/>
        <v>0</v>
      </c>
      <c r="CB69" s="8">
        <f t="shared" si="73"/>
        <v>0</v>
      </c>
      <c r="CC69" s="8">
        <f t="shared" si="73"/>
        <v>0</v>
      </c>
      <c r="CD69" s="8">
        <f t="shared" si="73"/>
        <v>0</v>
      </c>
      <c r="CE69" s="8">
        <f t="shared" si="73"/>
        <v>0</v>
      </c>
      <c r="CF69" s="8">
        <f t="shared" si="73"/>
        <v>0</v>
      </c>
      <c r="CG69" s="8">
        <f t="shared" si="73"/>
        <v>0</v>
      </c>
      <c r="CH69" s="8">
        <f t="shared" si="73"/>
        <v>0</v>
      </c>
      <c r="CI69" s="8">
        <f t="shared" si="73"/>
        <v>0</v>
      </c>
      <c r="CJ69" s="8">
        <f t="shared" si="73"/>
        <v>0</v>
      </c>
      <c r="CK69" s="8">
        <f t="shared" si="73"/>
        <v>0</v>
      </c>
      <c r="CL69" s="8">
        <f t="shared" si="73"/>
        <v>0</v>
      </c>
      <c r="CM69" s="8">
        <f t="shared" si="73"/>
        <v>0</v>
      </c>
      <c r="CN69" s="8">
        <f t="shared" si="73"/>
        <v>0</v>
      </c>
      <c r="CO69" s="8">
        <f t="shared" si="73"/>
        <v>0</v>
      </c>
      <c r="CP69" s="8">
        <f t="shared" si="73"/>
        <v>0</v>
      </c>
      <c r="CQ69" s="8">
        <f t="shared" si="73"/>
        <v>0</v>
      </c>
      <c r="CR69" s="8">
        <f t="shared" si="73"/>
        <v>0</v>
      </c>
      <c r="CS69" s="8">
        <f t="shared" si="73"/>
        <v>0</v>
      </c>
      <c r="CT69" s="8">
        <f t="shared" si="73"/>
        <v>0</v>
      </c>
      <c r="CU69" s="8">
        <f t="shared" si="73"/>
        <v>0</v>
      </c>
      <c r="CV69" s="8">
        <f t="shared" si="73"/>
        <v>0</v>
      </c>
      <c r="CW69" s="8">
        <f t="shared" si="73"/>
        <v>0</v>
      </c>
      <c r="CX69" s="8">
        <f t="shared" si="73"/>
        <v>0</v>
      </c>
      <c r="CY69" s="8">
        <f t="shared" si="73"/>
        <v>0</v>
      </c>
      <c r="CZ69" s="8">
        <f t="shared" si="73"/>
        <v>0</v>
      </c>
      <c r="DA69" s="8">
        <f t="shared" si="73"/>
        <v>0</v>
      </c>
    </row>
    <row r="70" spans="3:105" x14ac:dyDescent="0.4">
      <c r="D70" t="s">
        <v>168</v>
      </c>
      <c r="H70" s="8">
        <f>H67+H68</f>
        <v>3855965.7546550506</v>
      </c>
      <c r="I70" s="8">
        <f>I67+I68</f>
        <v>3778846.4395619496</v>
      </c>
      <c r="J70" s="8">
        <f t="shared" ref="J70:BU70" si="74">J67+J68</f>
        <v>3701727.1244688486</v>
      </c>
      <c r="K70" s="8">
        <f t="shared" si="74"/>
        <v>3624607.8093757476</v>
      </c>
      <c r="L70" s="8">
        <f t="shared" si="74"/>
        <v>3547488.4942826466</v>
      </c>
      <c r="M70" s="8">
        <f t="shared" si="74"/>
        <v>3470369.1791895456</v>
      </c>
      <c r="N70" s="8">
        <f t="shared" si="74"/>
        <v>3393249.8640964446</v>
      </c>
      <c r="O70" s="8">
        <f t="shared" si="74"/>
        <v>3316130.5490033436</v>
      </c>
      <c r="P70" s="8">
        <f t="shared" si="74"/>
        <v>3239011.2339102426</v>
      </c>
      <c r="Q70" s="8">
        <f t="shared" si="74"/>
        <v>3161891.9188171416</v>
      </c>
      <c r="R70" s="8">
        <f t="shared" si="74"/>
        <v>3084772.6037240406</v>
      </c>
      <c r="S70" s="8">
        <f t="shared" si="74"/>
        <v>3007653.2886309396</v>
      </c>
      <c r="T70" s="8">
        <f t="shared" si="74"/>
        <v>2930533.9735378386</v>
      </c>
      <c r="U70" s="8">
        <f t="shared" si="74"/>
        <v>2853414.6584447375</v>
      </c>
      <c r="V70" s="8">
        <f t="shared" si="74"/>
        <v>2776295.3433516361</v>
      </c>
      <c r="W70" s="8">
        <f t="shared" si="74"/>
        <v>2699176.0282585351</v>
      </c>
      <c r="X70" s="8">
        <f t="shared" si="74"/>
        <v>2622056.7131654341</v>
      </c>
      <c r="Y70" s="8">
        <f t="shared" si="74"/>
        <v>2544937.3980723331</v>
      </c>
      <c r="Z70" s="8">
        <f t="shared" si="74"/>
        <v>2467818.0829792321</v>
      </c>
      <c r="AA70" s="8">
        <f t="shared" si="74"/>
        <v>2390698.7678861311</v>
      </c>
      <c r="AB70" s="8">
        <f t="shared" si="74"/>
        <v>2313579.4527930301</v>
      </c>
      <c r="AC70" s="8">
        <f t="shared" si="74"/>
        <v>2236460.1376999291</v>
      </c>
      <c r="AD70" s="8">
        <f t="shared" si="74"/>
        <v>2159340.8226068281</v>
      </c>
      <c r="AE70" s="8">
        <f t="shared" si="74"/>
        <v>2082221.5075137273</v>
      </c>
      <c r="AF70" s="8">
        <f t="shared" si="74"/>
        <v>2005102.1924206263</v>
      </c>
      <c r="AG70" s="8">
        <f t="shared" si="74"/>
        <v>1927982.8773275253</v>
      </c>
      <c r="AH70" s="8">
        <f t="shared" si="74"/>
        <v>1850863.5622344243</v>
      </c>
      <c r="AI70" s="8">
        <f t="shared" si="74"/>
        <v>1773744.2471413233</v>
      </c>
      <c r="AJ70" s="8">
        <f t="shared" si="74"/>
        <v>1696624.9320482221</v>
      </c>
      <c r="AK70" s="8">
        <f t="shared" si="74"/>
        <v>1619505.616955121</v>
      </c>
      <c r="AL70" s="8">
        <f t="shared" si="74"/>
        <v>1542386.30186202</v>
      </c>
      <c r="AM70" s="8">
        <f t="shared" si="74"/>
        <v>1465266.986768919</v>
      </c>
      <c r="AN70" s="8">
        <f t="shared" si="74"/>
        <v>1388147.671675818</v>
      </c>
      <c r="AO70" s="8">
        <f t="shared" si="74"/>
        <v>1311028.356582717</v>
      </c>
      <c r="AP70" s="8">
        <f t="shared" si="74"/>
        <v>1233909.041489616</v>
      </c>
      <c r="AQ70" s="8">
        <f t="shared" si="74"/>
        <v>1156789.726396515</v>
      </c>
      <c r="AR70" s="8">
        <f t="shared" si="74"/>
        <v>1079670.411303414</v>
      </c>
      <c r="AS70" s="8">
        <f t="shared" si="74"/>
        <v>1002551.096210313</v>
      </c>
      <c r="AT70" s="8">
        <f t="shared" si="74"/>
        <v>925431.78111721203</v>
      </c>
      <c r="AU70" s="8">
        <f t="shared" si="74"/>
        <v>848312.46602411103</v>
      </c>
      <c r="AV70" s="8">
        <f t="shared" si="74"/>
        <v>771193.15093101002</v>
      </c>
      <c r="AW70" s="8">
        <f t="shared" si="74"/>
        <v>694073.83583790902</v>
      </c>
      <c r="AX70" s="8">
        <f t="shared" si="74"/>
        <v>616954.52074480802</v>
      </c>
      <c r="AY70" s="8">
        <f t="shared" si="74"/>
        <v>539835.20565170702</v>
      </c>
      <c r="AZ70" s="8">
        <f t="shared" si="74"/>
        <v>462715.89055860601</v>
      </c>
      <c r="BA70" s="8">
        <f t="shared" si="74"/>
        <v>385596.57546550501</v>
      </c>
      <c r="BB70" s="8">
        <f t="shared" si="74"/>
        <v>308477.26037240401</v>
      </c>
      <c r="BC70" s="8">
        <f t="shared" si="74"/>
        <v>231357.94527930301</v>
      </c>
      <c r="BD70" s="8">
        <f t="shared" si="74"/>
        <v>154238.630186202</v>
      </c>
      <c r="BE70" s="8">
        <f t="shared" si="74"/>
        <v>77119.315093101002</v>
      </c>
      <c r="BF70" s="8">
        <f t="shared" si="74"/>
        <v>0</v>
      </c>
      <c r="BG70" s="8">
        <f t="shared" si="74"/>
        <v>0</v>
      </c>
      <c r="BH70" s="8">
        <f t="shared" si="74"/>
        <v>0</v>
      </c>
      <c r="BI70" s="8">
        <f t="shared" si="74"/>
        <v>0</v>
      </c>
      <c r="BJ70" s="8">
        <f t="shared" si="74"/>
        <v>0</v>
      </c>
      <c r="BK70" s="8">
        <f t="shared" si="74"/>
        <v>0</v>
      </c>
      <c r="BL70" s="8">
        <f t="shared" si="74"/>
        <v>0</v>
      </c>
      <c r="BM70" s="8">
        <f t="shared" si="74"/>
        <v>0</v>
      </c>
      <c r="BN70" s="8">
        <f t="shared" si="74"/>
        <v>0</v>
      </c>
      <c r="BO70" s="8">
        <f t="shared" si="74"/>
        <v>0</v>
      </c>
      <c r="BP70" s="8">
        <f t="shared" si="74"/>
        <v>0</v>
      </c>
      <c r="BQ70" s="8">
        <f t="shared" si="74"/>
        <v>0</v>
      </c>
      <c r="BR70" s="8">
        <f t="shared" si="74"/>
        <v>0</v>
      </c>
      <c r="BS70" s="8">
        <f t="shared" si="74"/>
        <v>0</v>
      </c>
      <c r="BT70" s="8">
        <f t="shared" si="74"/>
        <v>0</v>
      </c>
      <c r="BU70" s="8">
        <f t="shared" si="74"/>
        <v>0</v>
      </c>
      <c r="BV70" s="8">
        <f t="shared" ref="BV70:DA70" si="75">BV67+BV68</f>
        <v>0</v>
      </c>
      <c r="BW70" s="8">
        <f t="shared" si="75"/>
        <v>0</v>
      </c>
      <c r="BX70" s="8">
        <f t="shared" si="75"/>
        <v>0</v>
      </c>
      <c r="BY70" s="8">
        <f t="shared" si="75"/>
        <v>0</v>
      </c>
      <c r="BZ70" s="8">
        <f t="shared" si="75"/>
        <v>0</v>
      </c>
      <c r="CA70" s="8">
        <f t="shared" si="75"/>
        <v>0</v>
      </c>
      <c r="CB70" s="8">
        <f t="shared" si="75"/>
        <v>0</v>
      </c>
      <c r="CC70" s="8">
        <f t="shared" si="75"/>
        <v>0</v>
      </c>
      <c r="CD70" s="8">
        <f t="shared" si="75"/>
        <v>0</v>
      </c>
      <c r="CE70" s="8">
        <f t="shared" si="75"/>
        <v>0</v>
      </c>
      <c r="CF70" s="8">
        <f t="shared" si="75"/>
        <v>0</v>
      </c>
      <c r="CG70" s="8">
        <f t="shared" si="75"/>
        <v>0</v>
      </c>
      <c r="CH70" s="8">
        <f t="shared" si="75"/>
        <v>0</v>
      </c>
      <c r="CI70" s="8">
        <f t="shared" si="75"/>
        <v>0</v>
      </c>
      <c r="CJ70" s="8">
        <f t="shared" si="75"/>
        <v>0</v>
      </c>
      <c r="CK70" s="8">
        <f t="shared" si="75"/>
        <v>0</v>
      </c>
      <c r="CL70" s="8">
        <f t="shared" si="75"/>
        <v>0</v>
      </c>
      <c r="CM70" s="8">
        <f t="shared" si="75"/>
        <v>0</v>
      </c>
      <c r="CN70" s="8">
        <f t="shared" si="75"/>
        <v>0</v>
      </c>
      <c r="CO70" s="8">
        <f t="shared" si="75"/>
        <v>0</v>
      </c>
      <c r="CP70" s="8">
        <f t="shared" si="75"/>
        <v>0</v>
      </c>
      <c r="CQ70" s="8">
        <f t="shared" si="75"/>
        <v>0</v>
      </c>
      <c r="CR70" s="8">
        <f t="shared" si="75"/>
        <v>0</v>
      </c>
      <c r="CS70" s="8">
        <f t="shared" si="75"/>
        <v>0</v>
      </c>
      <c r="CT70" s="8">
        <f t="shared" si="75"/>
        <v>0</v>
      </c>
      <c r="CU70" s="8">
        <f t="shared" si="75"/>
        <v>0</v>
      </c>
      <c r="CV70" s="8">
        <f t="shared" si="75"/>
        <v>0</v>
      </c>
      <c r="CW70" s="8">
        <f t="shared" si="75"/>
        <v>0</v>
      </c>
      <c r="CX70" s="8">
        <f t="shared" si="75"/>
        <v>0</v>
      </c>
      <c r="CY70" s="8">
        <f t="shared" si="75"/>
        <v>0</v>
      </c>
      <c r="CZ70" s="8">
        <f t="shared" si="75"/>
        <v>0</v>
      </c>
      <c r="DA70" s="8">
        <f t="shared" si="75"/>
        <v>0</v>
      </c>
    </row>
    <row r="71" spans="3:105" x14ac:dyDescent="0.4"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</row>
    <row r="72" spans="3:105" x14ac:dyDescent="0.4">
      <c r="D72" t="s">
        <v>169</v>
      </c>
      <c r="H72" s="8"/>
      <c r="I72" s="8">
        <f>IF(I64&lt;=$B$4+1,I67*VLOOKUP(I64,Assumptions!$A$70:$B$90,2,0),0)</f>
        <v>144598.71579956438</v>
      </c>
      <c r="J72" s="8">
        <f>IF(J64&lt;=$B$4+1,J67*VLOOKUP(J64,Assumptions!$A$70:$B$90,2,0),0)</f>
        <v>278362.16782854812</v>
      </c>
      <c r="K72" s="8">
        <f>IF(K64&lt;=$B$4+1,K67*VLOOKUP(K64,Assumptions!$A$70:$B$90,2,0),0)</f>
        <v>257462.8334383177</v>
      </c>
      <c r="L72" s="8">
        <f>IF(L64&lt;=$B$4+1,L67*VLOOKUP(L64,Assumptions!$A$70:$B$90,2,0),0)</f>
        <v>238183.00466504248</v>
      </c>
      <c r="M72" s="8">
        <f>IF(M64&lt;=$B$4+1,M67*VLOOKUP(M64,Assumptions!$A$70:$B$90,2,0),0)</f>
        <v>220291.32356344303</v>
      </c>
      <c r="N72" s="8">
        <f>IF(N64&lt;=$B$4+1,N67*VLOOKUP(N64,Assumptions!$A$70:$B$90,2,0),0)</f>
        <v>203787.79013351942</v>
      </c>
      <c r="O72" s="8">
        <f>IF(O64&lt;=$B$4+1,O67*VLOOKUP(O64,Assumptions!$A$70:$B$90,2,0),0)</f>
        <v>188479.60608753888</v>
      </c>
      <c r="P72" s="8">
        <f>IF(P64&lt;=$B$4+1,P67*VLOOKUP(P64,Assumptions!$A$70:$B$90,2,0),0)</f>
        <v>174366.77142550139</v>
      </c>
      <c r="Q72" s="8">
        <f>IF(Q64&lt;=$B$4+1,Q67*VLOOKUP(Q64,Assumptions!$A$70:$B$90,2,0),0)</f>
        <v>172053.19197270836</v>
      </c>
      <c r="R72" s="8">
        <f>IF(R64&lt;=$B$4+1,R67*VLOOKUP(R64,Assumptions!$A$70:$B$90,2,0),0)</f>
        <v>172014.63231516178</v>
      </c>
      <c r="S72" s="8">
        <f>IF(S64&lt;=$B$4+1,S67*VLOOKUP(S64,Assumptions!$A$70:$B$90,2,0),0)</f>
        <v>172053.19197270836</v>
      </c>
      <c r="T72" s="8">
        <f>IF(T64&lt;=$B$4+1,T67*VLOOKUP(T64,Assumptions!$A$70:$B$90,2,0),0)</f>
        <v>172014.63231516178</v>
      </c>
      <c r="U72" s="8">
        <f>IF(U64&lt;=$B$4+1,U67*VLOOKUP(U64,Assumptions!$A$70:$B$90,2,0),0)</f>
        <v>172053.19197270836</v>
      </c>
      <c r="V72" s="8">
        <f>IF(V64&lt;=$B$4+1,V67*VLOOKUP(V64,Assumptions!$A$70:$B$90,2,0),0)</f>
        <v>172014.63231516178</v>
      </c>
      <c r="W72" s="8">
        <f>IF(W64&lt;=$B$4+1,W67*VLOOKUP(W64,Assumptions!$A$70:$B$90,2,0),0)</f>
        <v>172053.19197270836</v>
      </c>
      <c r="X72" s="8">
        <f>IF(X64&lt;=$B$4+1,X67*VLOOKUP(X64,Assumptions!$A$70:$B$90,2,0),0)</f>
        <v>172014.63231516178</v>
      </c>
      <c r="Y72" s="8">
        <f>IF(Y64&lt;=$B$4+1,Y67*VLOOKUP(Y64,Assumptions!$A$70:$B$90,2,0),0)</f>
        <v>172053.19197270836</v>
      </c>
      <c r="Z72" s="8">
        <f>IF(Z64&lt;=$B$4+1,Z67*VLOOKUP(Z64,Assumptions!$A$70:$B$90,2,0),0)</f>
        <v>172014.63231516178</v>
      </c>
      <c r="AA72" s="8">
        <f>IF(AA64&lt;=$B$4+1,AA67*VLOOKUP(AA64,Assumptions!$A$70:$B$90,2,0),0)</f>
        <v>172053.19197270836</v>
      </c>
      <c r="AB72" s="8">
        <f>IF(AB64&lt;=$B$4+1,AB67*VLOOKUP(AB64,Assumptions!$A$70:$B$90,2,0),0)</f>
        <v>172014.63231516178</v>
      </c>
      <c r="AC72" s="8">
        <f>IF(AC64&lt;=$B$4+1,AC67*VLOOKUP(AC64,Assumptions!$A$70:$B$90,2,0),0)</f>
        <v>86026.595986354179</v>
      </c>
      <c r="AD72" s="8">
        <f>IF(AD64&lt;=$B$4+1,AD67*VLOOKUP(AD64,Assumptions!$A$70:$B$90,2,0),0)</f>
        <v>0</v>
      </c>
      <c r="AE72" s="8">
        <f>IF(AE64&lt;=$B$4+1,AE67*VLOOKUP(AE64,Assumptions!$A$70:$B$90,2,0),0)</f>
        <v>0</v>
      </c>
      <c r="AF72" s="8">
        <f>IF(AF64&lt;=$B$4+1,AF67*VLOOKUP(AF64,Assumptions!$A$70:$B$90,2,0),0)</f>
        <v>0</v>
      </c>
      <c r="AG72" s="8">
        <f>IF(AG64&lt;=$B$4+1,AG67*VLOOKUP(AG64,Assumptions!$A$70:$B$90,2,0),0)</f>
        <v>0</v>
      </c>
      <c r="AH72" s="8">
        <f>IF(AH64&lt;=$B$4+1,AH67*VLOOKUP(AH64,Assumptions!$A$70:$B$90,2,0),0)</f>
        <v>0</v>
      </c>
      <c r="AI72" s="8">
        <f>IF(AI64&lt;=$B$4+1,AI67*VLOOKUP(AI64,Assumptions!$A$70:$B$90,2,0),0)</f>
        <v>0</v>
      </c>
      <c r="AJ72" s="8">
        <f>IF(AJ64&lt;=$B$4+1,AJ67*VLOOKUP(AJ64,Assumptions!$A$70:$B$90,2,0),0)</f>
        <v>0</v>
      </c>
      <c r="AK72" s="8">
        <f>IF(AK64&lt;=$B$4+1,AK67*VLOOKUP(AK64,Assumptions!$A$70:$B$90,2,0),0)</f>
        <v>0</v>
      </c>
      <c r="AL72" s="8">
        <f>IF(AL64&lt;=$B$4+1,AL67*VLOOKUP(AL64,Assumptions!$A$70:$B$90,2,0),0)</f>
        <v>0</v>
      </c>
      <c r="AM72" s="8">
        <f>IF(AM64&lt;=$B$4+1,AM67*VLOOKUP(AM64,Assumptions!$A$70:$B$90,2,0),0)</f>
        <v>0</v>
      </c>
      <c r="AN72" s="8">
        <f>IF(AN64&lt;=$B$4+1,AN67*VLOOKUP(AN64,Assumptions!$A$70:$B$90,2,0),0)</f>
        <v>0</v>
      </c>
      <c r="AO72" s="8">
        <f>IF(AO64&lt;=$B$4+1,AO67*VLOOKUP(AO64,Assumptions!$A$70:$B$90,2,0),0)</f>
        <v>0</v>
      </c>
      <c r="AP72" s="8">
        <f>IF(AP64&lt;=$B$4+1,AP67*VLOOKUP(AP64,Assumptions!$A$70:$B$90,2,0),0)</f>
        <v>0</v>
      </c>
      <c r="AQ72" s="8">
        <f>IF(AQ64&lt;=$B$4+1,AQ67*VLOOKUP(AQ64,Assumptions!$A$70:$B$90,2,0),0)</f>
        <v>0</v>
      </c>
      <c r="AR72" s="8">
        <f>IF(AR64&lt;=$B$4+1,AR67*VLOOKUP(AR64,Assumptions!$A$70:$B$90,2,0),0)</f>
        <v>0</v>
      </c>
      <c r="AS72" s="8">
        <f>IF(AS64&lt;=$B$4+1,AS67*VLOOKUP(AS64,Assumptions!$A$70:$B$90,2,0),0)</f>
        <v>0</v>
      </c>
      <c r="AT72" s="8">
        <f>IF(AT64&lt;=$B$4+1,AT67*VLOOKUP(AT64,Assumptions!$A$70:$B$90,2,0),0)</f>
        <v>0</v>
      </c>
      <c r="AU72" s="8">
        <f>IF(AU64&lt;=$B$4+1,AU67*VLOOKUP(AU64,Assumptions!$A$70:$B$90,2,0),0)</f>
        <v>0</v>
      </c>
      <c r="AV72" s="8">
        <f>IF(AV64&lt;=$B$4+1,AV67*VLOOKUP(AV64,Assumptions!$A$70:$B$90,2,0),0)</f>
        <v>0</v>
      </c>
      <c r="AW72" s="8">
        <f>IF(AW64&lt;=$B$4+1,AW67*VLOOKUP(AW64,Assumptions!$A$70:$B$90,2,0),0)</f>
        <v>0</v>
      </c>
      <c r="AX72" s="8">
        <f>IF(AX64&lt;=$B$4+1,AX67*VLOOKUP(AX64,Assumptions!$A$70:$B$90,2,0),0)</f>
        <v>0</v>
      </c>
      <c r="AY72" s="8">
        <f>IF(AY64&lt;=$B$4+1,AY67*VLOOKUP(AY64,Assumptions!$A$70:$B$90,2,0),0)</f>
        <v>0</v>
      </c>
      <c r="AZ72" s="8">
        <f>IF(AZ64&lt;=$B$4+1,AZ67*VLOOKUP(AZ64,Assumptions!$A$70:$B$90,2,0),0)</f>
        <v>0</v>
      </c>
      <c r="BA72" s="8">
        <f>IF(BA64&lt;=$B$4+1,BA67*VLOOKUP(BA64,Assumptions!$A$70:$B$90,2,0),0)</f>
        <v>0</v>
      </c>
      <c r="BB72" s="8">
        <f>IF(BB64&lt;=$B$4+1,BB67*VLOOKUP(BB64,Assumptions!$A$70:$B$90,2,0),0)</f>
        <v>0</v>
      </c>
      <c r="BC72" s="8">
        <f>IF(BC64&lt;=$B$4+1,BC67*VLOOKUP(BC64,Assumptions!$A$70:$B$90,2,0),0)</f>
        <v>0</v>
      </c>
      <c r="BD72" s="8">
        <f>IF(BD64&lt;=$B$4+1,BD67*VLOOKUP(BD64,Assumptions!$A$70:$B$90,2,0),0)</f>
        <v>0</v>
      </c>
      <c r="BE72" s="8">
        <f>IF(BE64&lt;=$B$4+1,BE67*VLOOKUP(BE64,Assumptions!$A$70:$B$90,2,0),0)</f>
        <v>0</v>
      </c>
      <c r="BF72" s="8">
        <f>IF(BF64&lt;=$B$4+1,BF67*VLOOKUP(BF64,Assumptions!$A$70:$B$90,2,0),0)</f>
        <v>0</v>
      </c>
      <c r="BG72" s="8">
        <f>IF(BG64&lt;=$B$4+1,BG67*VLOOKUP(BG64,Assumptions!$A$70:$B$90,2,0),0)</f>
        <v>0</v>
      </c>
      <c r="BH72" s="8">
        <f>IF(BH64&lt;=$B$4+1,BH67*VLOOKUP(BH64,Assumptions!$A$70:$B$90,2,0),0)</f>
        <v>0</v>
      </c>
      <c r="BI72" s="8">
        <f>IF(BI64&lt;=$B$4+1,BI67*VLOOKUP(BI64,Assumptions!$A$70:$B$90,2,0),0)</f>
        <v>0</v>
      </c>
      <c r="BJ72" s="8">
        <f>IF(BJ64&lt;=$B$4+1,BJ67*VLOOKUP(BJ64,Assumptions!$A$70:$B$90,2,0),0)</f>
        <v>0</v>
      </c>
      <c r="BK72" s="8">
        <f>IF(BK64&lt;=$B$4+1,BK67*VLOOKUP(BK64,Assumptions!$A$70:$B$90,2,0),0)</f>
        <v>0</v>
      </c>
      <c r="BL72" s="8">
        <f>IF(BL64&lt;=$B$4+1,BL67*VLOOKUP(BL64,Assumptions!$A$70:$B$90,2,0),0)</f>
        <v>0</v>
      </c>
      <c r="BM72" s="8">
        <f>IF(BM64&lt;=$B$4+1,BM67*VLOOKUP(BM64,Assumptions!$A$70:$B$90,2,0),0)</f>
        <v>0</v>
      </c>
      <c r="BN72" s="8">
        <f>IF(BN64&lt;=$B$4+1,BN67*VLOOKUP(BN64,Assumptions!$A$70:$B$90,2,0),0)</f>
        <v>0</v>
      </c>
      <c r="BO72" s="8">
        <f>IF(BO64&lt;=$B$4+1,BO67*VLOOKUP(BO64,Assumptions!$A$70:$B$90,2,0),0)</f>
        <v>0</v>
      </c>
      <c r="BP72" s="8">
        <f>IF(BP64&lt;=$B$4+1,BP67*VLOOKUP(BP64,Assumptions!$A$70:$B$90,2,0),0)</f>
        <v>0</v>
      </c>
      <c r="BQ72" s="8">
        <f>IF(BQ64&lt;=$B$4+1,BQ67*VLOOKUP(BQ64,Assumptions!$A$70:$B$90,2,0),0)</f>
        <v>0</v>
      </c>
      <c r="BR72" s="8">
        <f>IF(BR64&lt;=$B$4+1,BR67*VLOOKUP(BR64,Assumptions!$A$70:$B$90,2,0),0)</f>
        <v>0</v>
      </c>
      <c r="BS72" s="8">
        <f>IF(BS64&lt;=$B$4+1,BS67*VLOOKUP(BS64,Assumptions!$A$70:$B$90,2,0),0)</f>
        <v>0</v>
      </c>
      <c r="BT72" s="8">
        <f>IF(BT64&lt;=$B$4+1,BT67*VLOOKUP(BT64,Assumptions!$A$70:$B$90,2,0),0)</f>
        <v>0</v>
      </c>
      <c r="BU72" s="8">
        <f>IF(BU64&lt;=$B$4+1,BU67*VLOOKUP(BU64,Assumptions!$A$70:$B$90,2,0),0)</f>
        <v>0</v>
      </c>
      <c r="BV72" s="8">
        <f>IF(BV64&lt;=$B$4+1,BV67*VLOOKUP(BV64,Assumptions!$A$70:$B$90,2,0),0)</f>
        <v>0</v>
      </c>
      <c r="BW72" s="8">
        <f>IF(BW64&lt;=$B$4+1,BW67*VLOOKUP(BW64,Assumptions!$A$70:$B$90,2,0),0)</f>
        <v>0</v>
      </c>
      <c r="BX72" s="8">
        <f>IF(BX64&lt;=$B$4+1,BX67*VLOOKUP(BX64,Assumptions!$A$70:$B$90,2,0),0)</f>
        <v>0</v>
      </c>
      <c r="BY72" s="8">
        <f>IF(BY64&lt;=$B$4+1,BY67*VLOOKUP(BY64,Assumptions!$A$70:$B$90,2,0),0)</f>
        <v>0</v>
      </c>
      <c r="BZ72" s="8">
        <f>IF(BZ64&lt;=$B$4+1,BZ67*VLOOKUP(BZ64,Assumptions!$A$70:$B$90,2,0),0)</f>
        <v>0</v>
      </c>
      <c r="CA72" s="8">
        <f>IF(CA64&lt;=$B$4+1,CA67*VLOOKUP(CA64,Assumptions!$A$70:$B$90,2,0),0)</f>
        <v>0</v>
      </c>
      <c r="CB72" s="8">
        <f>IF(CB64&lt;=$B$4+1,CB67*VLOOKUP(CB64,Assumptions!$A$70:$B$90,2,0),0)</f>
        <v>0</v>
      </c>
      <c r="CC72" s="8">
        <f>IF(CC64&lt;=$B$4+1,CC67*VLOOKUP(CC64,Assumptions!$A$70:$B$90,2,0),0)</f>
        <v>0</v>
      </c>
      <c r="CD72" s="8">
        <f>IF(CD64&lt;=$B$4+1,CD67*VLOOKUP(CD64,Assumptions!$A$70:$B$90,2,0),0)</f>
        <v>0</v>
      </c>
      <c r="CE72" s="8">
        <f>IF(CE64&lt;=$B$4+1,CE67*VLOOKUP(CE64,Assumptions!$A$70:$B$90,2,0),0)</f>
        <v>0</v>
      </c>
      <c r="CF72" s="8">
        <f>IF(CF64&lt;=$B$4+1,CF67*VLOOKUP(CF64,Assumptions!$A$70:$B$90,2,0),0)</f>
        <v>0</v>
      </c>
      <c r="CG72" s="8">
        <f>IF(CG64&lt;=$B$4+1,CG67*VLOOKUP(CG64,Assumptions!$A$70:$B$90,2,0),0)</f>
        <v>0</v>
      </c>
      <c r="CH72" s="8">
        <f>IF(CH64&lt;=$B$4+1,CH67*VLOOKUP(CH64,Assumptions!$A$70:$B$90,2,0),0)</f>
        <v>0</v>
      </c>
      <c r="CI72" s="8">
        <f>IF(CI64&lt;=$B$4+1,CI67*VLOOKUP(CI64,Assumptions!$A$70:$B$90,2,0),0)</f>
        <v>0</v>
      </c>
      <c r="CJ72" s="8">
        <f>IF(CJ64&lt;=$B$4+1,CJ67*VLOOKUP(CJ64,Assumptions!$A$70:$B$90,2,0),0)</f>
        <v>0</v>
      </c>
      <c r="CK72" s="8">
        <f>IF(CK64&lt;=$B$4+1,CK67*VLOOKUP(CK64,Assumptions!$A$70:$B$90,2,0),0)</f>
        <v>0</v>
      </c>
      <c r="CL72" s="8">
        <f>IF(CL64&lt;=$B$4+1,CL67*VLOOKUP(CL64,Assumptions!$A$70:$B$90,2,0),0)</f>
        <v>0</v>
      </c>
      <c r="CM72" s="8">
        <f>IF(CM64&lt;=$B$4+1,CM67*VLOOKUP(CM64,Assumptions!$A$70:$B$90,2,0),0)</f>
        <v>0</v>
      </c>
      <c r="CN72" s="8">
        <f>IF(CN64&lt;=$B$4+1,CN67*VLOOKUP(CN64,Assumptions!$A$70:$B$90,2,0),0)</f>
        <v>0</v>
      </c>
      <c r="CO72" s="8">
        <f>IF(CO64&lt;=$B$4+1,CO67*VLOOKUP(CO64,Assumptions!$A$70:$B$90,2,0),0)</f>
        <v>0</v>
      </c>
      <c r="CP72" s="8">
        <f>IF(CP64&lt;=$B$4+1,CP67*VLOOKUP(CP64,Assumptions!$A$70:$B$90,2,0),0)</f>
        <v>0</v>
      </c>
      <c r="CQ72" s="8">
        <f>IF(CQ64&lt;=$B$4+1,CQ67*VLOOKUP(CQ64,Assumptions!$A$70:$B$90,2,0),0)</f>
        <v>0</v>
      </c>
      <c r="CR72" s="8">
        <f>IF(CR64&lt;=$B$4+1,CR67*VLOOKUP(CR64,Assumptions!$A$70:$B$90,2,0),0)</f>
        <v>0</v>
      </c>
      <c r="CS72" s="8">
        <f>IF(CS64&lt;=$B$4+1,CS67*VLOOKUP(CS64,Assumptions!$A$70:$B$90,2,0),0)</f>
        <v>0</v>
      </c>
      <c r="CT72" s="8">
        <f>IF(CT64&lt;=$B$4+1,CT67*VLOOKUP(CT64,Assumptions!$A$70:$B$90,2,0),0)</f>
        <v>0</v>
      </c>
      <c r="CU72" s="8">
        <f>IF(CU64&lt;=$B$4+1,CU67*VLOOKUP(CU64,Assumptions!$A$70:$B$90,2,0),0)</f>
        <v>0</v>
      </c>
      <c r="CV72" s="8">
        <f>IF(CV64&lt;=$B$4+1,CV67*VLOOKUP(CV64,Assumptions!$A$70:$B$90,2,0),0)</f>
        <v>0</v>
      </c>
      <c r="CW72" s="8">
        <f>IF(CW64&lt;=$B$4+1,CW67*VLOOKUP(CW64,Assumptions!$A$70:$B$90,2,0),0)</f>
        <v>0</v>
      </c>
      <c r="CX72" s="8">
        <f>IF(CX64&lt;=$B$4+1,CX67*VLOOKUP(CX64,Assumptions!$A$70:$B$90,2,0),0)</f>
        <v>0</v>
      </c>
      <c r="CY72" s="8">
        <f>IF(CY64&lt;=$B$4+1,CY67*VLOOKUP(CY64,Assumptions!$A$70:$B$90,2,0),0)</f>
        <v>0</v>
      </c>
      <c r="CZ72" s="8">
        <f>IF(CZ64&lt;=$B$4+1,CZ67*VLOOKUP(CZ64,Assumptions!$A$70:$B$90,2,0),0)</f>
        <v>0</v>
      </c>
      <c r="DA72" s="8">
        <f>IF(DA64&lt;=$B$4+1,DA67*VLOOKUP(DA64,Assumptions!$A$70:$B$90,2,0),0)</f>
        <v>0</v>
      </c>
    </row>
    <row r="73" spans="3:105" x14ac:dyDescent="0.4">
      <c r="D73" t="s">
        <v>170</v>
      </c>
      <c r="H73" s="8"/>
      <c r="I73" s="8">
        <f>H74</f>
        <v>0</v>
      </c>
      <c r="J73" s="8">
        <f t="shared" ref="J73:BU73" si="76">I74</f>
        <v>-18701.915905796322</v>
      </c>
      <c r="K73" s="8">
        <f t="shared" si="76"/>
        <v>-74476.372541425488</v>
      </c>
      <c r="L73" s="8">
        <f t="shared" si="76"/>
        <v>-124458.57865080229</v>
      </c>
      <c r="M73" s="8">
        <f t="shared" si="76"/>
        <v>-169097.38021566585</v>
      </c>
      <c r="N73" s="8">
        <f t="shared" si="76"/>
        <v>-208777.50236322114</v>
      </c>
      <c r="O73" s="8">
        <f t="shared" si="76"/>
        <v>-243883.67022067308</v>
      </c>
      <c r="P73" s="8">
        <f t="shared" si="76"/>
        <v>-274747.17486978153</v>
      </c>
      <c r="Q73" s="8">
        <f t="shared" si="76"/>
        <v>-301699.30739230628</v>
      </c>
      <c r="R73" s="8">
        <f t="shared" si="76"/>
        <v>-328010.23136948945</v>
      </c>
      <c r="S73" s="8">
        <f t="shared" si="76"/>
        <v>-354310.4685375836</v>
      </c>
      <c r="T73" s="8">
        <f t="shared" si="76"/>
        <v>-380621.39251476678</v>
      </c>
      <c r="U73" s="8">
        <f t="shared" si="76"/>
        <v>-406921.62968286092</v>
      </c>
      <c r="V73" s="8">
        <f t="shared" si="76"/>
        <v>-433232.5536600441</v>
      </c>
      <c r="W73" s="8">
        <f t="shared" si="76"/>
        <v>-459532.79082813824</v>
      </c>
      <c r="X73" s="8">
        <f t="shared" si="76"/>
        <v>-485843.71480532142</v>
      </c>
      <c r="Y73" s="8">
        <f t="shared" si="76"/>
        <v>-512143.95197341556</v>
      </c>
      <c r="Z73" s="8">
        <f t="shared" si="76"/>
        <v>-538454.87595059874</v>
      </c>
      <c r="AA73" s="8">
        <f t="shared" si="76"/>
        <v>-564755.11311869288</v>
      </c>
      <c r="AB73" s="8">
        <f t="shared" si="76"/>
        <v>-591066.03709587606</v>
      </c>
      <c r="AC73" s="8">
        <f t="shared" si="76"/>
        <v>-617366.2742639702</v>
      </c>
      <c r="AD73" s="8">
        <f t="shared" si="76"/>
        <v>-619834.92716353526</v>
      </c>
      <c r="AE73" s="8">
        <f t="shared" si="76"/>
        <v>-598461.30898548232</v>
      </c>
      <c r="AF73" s="8">
        <f t="shared" si="76"/>
        <v>-577087.69080742938</v>
      </c>
      <c r="AG73" s="8">
        <f t="shared" si="76"/>
        <v>-555714.07262937643</v>
      </c>
      <c r="AH73" s="8">
        <f t="shared" si="76"/>
        <v>-534340.45445132349</v>
      </c>
      <c r="AI73" s="8">
        <f t="shared" si="76"/>
        <v>-512966.83627327054</v>
      </c>
      <c r="AJ73" s="8">
        <f t="shared" si="76"/>
        <v>-491593.2180952176</v>
      </c>
      <c r="AK73" s="8">
        <f t="shared" si="76"/>
        <v>-470219.59991716465</v>
      </c>
      <c r="AL73" s="8">
        <f t="shared" si="76"/>
        <v>-448845.98173911171</v>
      </c>
      <c r="AM73" s="8">
        <f t="shared" si="76"/>
        <v>-427472.36356105877</v>
      </c>
      <c r="AN73" s="8">
        <f t="shared" si="76"/>
        <v>-406098.74538300582</v>
      </c>
      <c r="AO73" s="8">
        <f t="shared" si="76"/>
        <v>-384725.12720495288</v>
      </c>
      <c r="AP73" s="8">
        <f t="shared" si="76"/>
        <v>-363351.50902689993</v>
      </c>
      <c r="AQ73" s="8">
        <f t="shared" si="76"/>
        <v>-341977.89084884699</v>
      </c>
      <c r="AR73" s="8">
        <f t="shared" si="76"/>
        <v>-320604.27267079405</v>
      </c>
      <c r="AS73" s="8">
        <f t="shared" si="76"/>
        <v>-299230.6544927411</v>
      </c>
      <c r="AT73" s="8">
        <f t="shared" si="76"/>
        <v>-277857.03631468816</v>
      </c>
      <c r="AU73" s="8">
        <f t="shared" si="76"/>
        <v>-256483.41813663521</v>
      </c>
      <c r="AV73" s="8">
        <f t="shared" si="76"/>
        <v>-235109.79995858227</v>
      </c>
      <c r="AW73" s="8">
        <f t="shared" si="76"/>
        <v>-213736.18178052932</v>
      </c>
      <c r="AX73" s="8">
        <f t="shared" si="76"/>
        <v>-192362.56360247638</v>
      </c>
      <c r="AY73" s="8">
        <f t="shared" si="76"/>
        <v>-170988.94542442344</v>
      </c>
      <c r="AZ73" s="8">
        <f t="shared" si="76"/>
        <v>-149615.32724637049</v>
      </c>
      <c r="BA73" s="8">
        <f t="shared" si="76"/>
        <v>-128241.70906831755</v>
      </c>
      <c r="BB73" s="8">
        <f t="shared" si="76"/>
        <v>-106868.0908902646</v>
      </c>
      <c r="BC73" s="8">
        <f t="shared" si="76"/>
        <v>-85494.47271221166</v>
      </c>
      <c r="BD73" s="8">
        <f t="shared" si="76"/>
        <v>-64120.854534158716</v>
      </c>
      <c r="BE73" s="8">
        <f t="shared" si="76"/>
        <v>-42747.236356105772</v>
      </c>
      <c r="BF73" s="8">
        <f t="shared" si="76"/>
        <v>-21373.618178052824</v>
      </c>
      <c r="BG73" s="8">
        <f t="shared" si="76"/>
        <v>1.2369127944111824E-10</v>
      </c>
      <c r="BH73" s="8">
        <f t="shared" si="76"/>
        <v>1.2369127944111824E-10</v>
      </c>
      <c r="BI73" s="8">
        <f t="shared" si="76"/>
        <v>1.2369127944111824E-10</v>
      </c>
      <c r="BJ73" s="8">
        <f t="shared" si="76"/>
        <v>1.2369127944111824E-10</v>
      </c>
      <c r="BK73" s="8">
        <f t="shared" si="76"/>
        <v>1.2369127944111824E-10</v>
      </c>
      <c r="BL73" s="8">
        <f t="shared" si="76"/>
        <v>1.2369127944111824E-10</v>
      </c>
      <c r="BM73" s="8">
        <f t="shared" si="76"/>
        <v>1.2369127944111824E-10</v>
      </c>
      <c r="BN73" s="8">
        <f t="shared" si="76"/>
        <v>1.2369127944111824E-10</v>
      </c>
      <c r="BO73" s="8">
        <f t="shared" si="76"/>
        <v>1.2369127944111824E-10</v>
      </c>
      <c r="BP73" s="8">
        <f t="shared" si="76"/>
        <v>1.2369127944111824E-10</v>
      </c>
      <c r="BQ73" s="8">
        <f t="shared" si="76"/>
        <v>1.2369127944111824E-10</v>
      </c>
      <c r="BR73" s="8">
        <f t="shared" si="76"/>
        <v>1.2369127944111824E-10</v>
      </c>
      <c r="BS73" s="8">
        <f t="shared" si="76"/>
        <v>1.2369127944111824E-10</v>
      </c>
      <c r="BT73" s="8">
        <f t="shared" si="76"/>
        <v>1.2369127944111824E-10</v>
      </c>
      <c r="BU73" s="8">
        <f t="shared" si="76"/>
        <v>1.2369127944111824E-10</v>
      </c>
      <c r="BV73" s="8">
        <f t="shared" ref="BV73:DA73" si="77">BU74</f>
        <v>1.2369127944111824E-10</v>
      </c>
      <c r="BW73" s="8">
        <f t="shared" si="77"/>
        <v>1.2369127944111824E-10</v>
      </c>
      <c r="BX73" s="8">
        <f t="shared" si="77"/>
        <v>1.2369127944111824E-10</v>
      </c>
      <c r="BY73" s="8">
        <f t="shared" si="77"/>
        <v>1.2369127944111824E-10</v>
      </c>
      <c r="BZ73" s="8">
        <f t="shared" si="77"/>
        <v>1.2369127944111824E-10</v>
      </c>
      <c r="CA73" s="8">
        <f t="shared" si="77"/>
        <v>1.2369127944111824E-10</v>
      </c>
      <c r="CB73" s="8">
        <f t="shared" si="77"/>
        <v>1.2369127944111824E-10</v>
      </c>
      <c r="CC73" s="8">
        <f t="shared" si="77"/>
        <v>1.2369127944111824E-10</v>
      </c>
      <c r="CD73" s="8">
        <f t="shared" si="77"/>
        <v>1.2369127944111824E-10</v>
      </c>
      <c r="CE73" s="8">
        <f t="shared" si="77"/>
        <v>1.2369127944111824E-10</v>
      </c>
      <c r="CF73" s="8">
        <f t="shared" si="77"/>
        <v>1.2369127944111824E-10</v>
      </c>
      <c r="CG73" s="8">
        <f t="shared" si="77"/>
        <v>1.2369127944111824E-10</v>
      </c>
      <c r="CH73" s="8">
        <f t="shared" si="77"/>
        <v>1.2369127944111824E-10</v>
      </c>
      <c r="CI73" s="8">
        <f t="shared" si="77"/>
        <v>1.2369127944111824E-10</v>
      </c>
      <c r="CJ73" s="8">
        <f t="shared" si="77"/>
        <v>1.2369127944111824E-10</v>
      </c>
      <c r="CK73" s="8">
        <f t="shared" si="77"/>
        <v>1.2369127944111824E-10</v>
      </c>
      <c r="CL73" s="8">
        <f t="shared" si="77"/>
        <v>1.2369127944111824E-10</v>
      </c>
      <c r="CM73" s="8">
        <f t="shared" si="77"/>
        <v>1.2369127944111824E-10</v>
      </c>
      <c r="CN73" s="8">
        <f t="shared" si="77"/>
        <v>1.2369127944111824E-10</v>
      </c>
      <c r="CO73" s="8">
        <f t="shared" si="77"/>
        <v>1.2369127944111824E-10</v>
      </c>
      <c r="CP73" s="8">
        <f t="shared" si="77"/>
        <v>1.2369127944111824E-10</v>
      </c>
      <c r="CQ73" s="8">
        <f t="shared" si="77"/>
        <v>1.2369127944111824E-10</v>
      </c>
      <c r="CR73" s="8">
        <f t="shared" si="77"/>
        <v>1.2369127944111824E-10</v>
      </c>
      <c r="CS73" s="8">
        <f t="shared" si="77"/>
        <v>1.2369127944111824E-10</v>
      </c>
      <c r="CT73" s="8">
        <f t="shared" si="77"/>
        <v>1.2369127944111824E-10</v>
      </c>
      <c r="CU73" s="8">
        <f t="shared" si="77"/>
        <v>1.2369127944111824E-10</v>
      </c>
      <c r="CV73" s="8">
        <f t="shared" si="77"/>
        <v>1.2369127944111824E-10</v>
      </c>
      <c r="CW73" s="8">
        <f t="shared" si="77"/>
        <v>1.2369127944111824E-10</v>
      </c>
      <c r="CX73" s="8">
        <f t="shared" si="77"/>
        <v>1.2369127944111824E-10</v>
      </c>
      <c r="CY73" s="8">
        <f t="shared" si="77"/>
        <v>1.2369127944111824E-10</v>
      </c>
      <c r="CZ73" s="8">
        <f t="shared" si="77"/>
        <v>1.2369127944111824E-10</v>
      </c>
      <c r="DA73" s="8">
        <f t="shared" si="77"/>
        <v>1.2369127944111824E-10</v>
      </c>
    </row>
    <row r="74" spans="3:105" x14ac:dyDescent="0.4">
      <c r="D74" t="s">
        <v>171</v>
      </c>
      <c r="H74" s="8"/>
      <c r="I74" s="8">
        <f t="shared" ref="I74:AN74" si="78">H74+((I66-I72)*INC_TAX_RATE)</f>
        <v>-18701.915905796322</v>
      </c>
      <c r="J74" s="8">
        <f t="shared" si="78"/>
        <v>-74476.372541425488</v>
      </c>
      <c r="K74" s="8">
        <f t="shared" si="78"/>
        <v>-124458.57865080229</v>
      </c>
      <c r="L74" s="8">
        <f t="shared" si="78"/>
        <v>-169097.38021566585</v>
      </c>
      <c r="M74" s="8">
        <f t="shared" si="78"/>
        <v>-208777.50236322114</v>
      </c>
      <c r="N74" s="8">
        <f t="shared" si="78"/>
        <v>-243883.67022067308</v>
      </c>
      <c r="O74" s="8">
        <f t="shared" si="78"/>
        <v>-274747.17486978153</v>
      </c>
      <c r="P74" s="8">
        <f t="shared" si="78"/>
        <v>-301699.30739230628</v>
      </c>
      <c r="Q74" s="8">
        <f t="shared" si="78"/>
        <v>-328010.23136948945</v>
      </c>
      <c r="R74" s="8">
        <f t="shared" si="78"/>
        <v>-354310.4685375836</v>
      </c>
      <c r="S74" s="8">
        <f t="shared" si="78"/>
        <v>-380621.39251476678</v>
      </c>
      <c r="T74" s="8">
        <f t="shared" si="78"/>
        <v>-406921.62968286092</v>
      </c>
      <c r="U74" s="8">
        <f t="shared" si="78"/>
        <v>-433232.5536600441</v>
      </c>
      <c r="V74" s="8">
        <f t="shared" si="78"/>
        <v>-459532.79082813824</v>
      </c>
      <c r="W74" s="8">
        <f t="shared" si="78"/>
        <v>-485843.71480532142</v>
      </c>
      <c r="X74" s="8">
        <f t="shared" si="78"/>
        <v>-512143.95197341556</v>
      </c>
      <c r="Y74" s="8">
        <f t="shared" si="78"/>
        <v>-538454.87595059874</v>
      </c>
      <c r="Z74" s="8">
        <f t="shared" si="78"/>
        <v>-564755.11311869288</v>
      </c>
      <c r="AA74" s="8">
        <f t="shared" si="78"/>
        <v>-591066.03709587606</v>
      </c>
      <c r="AB74" s="8">
        <f t="shared" si="78"/>
        <v>-617366.2742639702</v>
      </c>
      <c r="AC74" s="8">
        <f t="shared" si="78"/>
        <v>-619834.92716353526</v>
      </c>
      <c r="AD74" s="8">
        <f t="shared" si="78"/>
        <v>-598461.30898548232</v>
      </c>
      <c r="AE74" s="8">
        <f t="shared" si="78"/>
        <v>-577087.69080742938</v>
      </c>
      <c r="AF74" s="8">
        <f t="shared" si="78"/>
        <v>-555714.07262937643</v>
      </c>
      <c r="AG74" s="8">
        <f t="shared" si="78"/>
        <v>-534340.45445132349</v>
      </c>
      <c r="AH74" s="8">
        <f t="shared" si="78"/>
        <v>-512966.83627327054</v>
      </c>
      <c r="AI74" s="8">
        <f t="shared" si="78"/>
        <v>-491593.2180952176</v>
      </c>
      <c r="AJ74" s="8">
        <f t="shared" si="78"/>
        <v>-470219.59991716465</v>
      </c>
      <c r="AK74" s="8">
        <f t="shared" si="78"/>
        <v>-448845.98173911171</v>
      </c>
      <c r="AL74" s="8">
        <f t="shared" si="78"/>
        <v>-427472.36356105877</v>
      </c>
      <c r="AM74" s="8">
        <f t="shared" si="78"/>
        <v>-406098.74538300582</v>
      </c>
      <c r="AN74" s="8">
        <f t="shared" si="78"/>
        <v>-384725.12720495288</v>
      </c>
      <c r="AO74" s="8">
        <f t="shared" ref="AO74:BT74" si="79">AN74+((AO66-AO72)*INC_TAX_RATE)</f>
        <v>-363351.50902689993</v>
      </c>
      <c r="AP74" s="8">
        <f t="shared" si="79"/>
        <v>-341977.89084884699</v>
      </c>
      <c r="AQ74" s="8">
        <f t="shared" si="79"/>
        <v>-320604.27267079405</v>
      </c>
      <c r="AR74" s="8">
        <f t="shared" si="79"/>
        <v>-299230.6544927411</v>
      </c>
      <c r="AS74" s="8">
        <f t="shared" si="79"/>
        <v>-277857.03631468816</v>
      </c>
      <c r="AT74" s="8">
        <f t="shared" si="79"/>
        <v>-256483.41813663521</v>
      </c>
      <c r="AU74" s="8">
        <f t="shared" si="79"/>
        <v>-235109.79995858227</v>
      </c>
      <c r="AV74" s="8">
        <f t="shared" si="79"/>
        <v>-213736.18178052932</v>
      </c>
      <c r="AW74" s="8">
        <f t="shared" si="79"/>
        <v>-192362.56360247638</v>
      </c>
      <c r="AX74" s="8">
        <f t="shared" si="79"/>
        <v>-170988.94542442344</v>
      </c>
      <c r="AY74" s="8">
        <f t="shared" si="79"/>
        <v>-149615.32724637049</v>
      </c>
      <c r="AZ74" s="8">
        <f t="shared" si="79"/>
        <v>-128241.70906831755</v>
      </c>
      <c r="BA74" s="8">
        <f t="shared" si="79"/>
        <v>-106868.0908902646</v>
      </c>
      <c r="BB74" s="8">
        <f t="shared" si="79"/>
        <v>-85494.47271221166</v>
      </c>
      <c r="BC74" s="8">
        <f t="shared" si="79"/>
        <v>-64120.854534158716</v>
      </c>
      <c r="BD74" s="8">
        <f t="shared" si="79"/>
        <v>-42747.236356105772</v>
      </c>
      <c r="BE74" s="8">
        <f t="shared" si="79"/>
        <v>-21373.618178052824</v>
      </c>
      <c r="BF74" s="8">
        <f t="shared" si="79"/>
        <v>1.2369127944111824E-10</v>
      </c>
      <c r="BG74" s="8">
        <f t="shared" si="79"/>
        <v>1.2369127944111824E-10</v>
      </c>
      <c r="BH74" s="8">
        <f t="shared" si="79"/>
        <v>1.2369127944111824E-10</v>
      </c>
      <c r="BI74" s="8">
        <f t="shared" si="79"/>
        <v>1.2369127944111824E-10</v>
      </c>
      <c r="BJ74" s="8">
        <f t="shared" si="79"/>
        <v>1.2369127944111824E-10</v>
      </c>
      <c r="BK74" s="8">
        <f t="shared" si="79"/>
        <v>1.2369127944111824E-10</v>
      </c>
      <c r="BL74" s="8">
        <f t="shared" si="79"/>
        <v>1.2369127944111824E-10</v>
      </c>
      <c r="BM74" s="8">
        <f t="shared" si="79"/>
        <v>1.2369127944111824E-10</v>
      </c>
      <c r="BN74" s="8">
        <f t="shared" si="79"/>
        <v>1.2369127944111824E-10</v>
      </c>
      <c r="BO74" s="8">
        <f t="shared" si="79"/>
        <v>1.2369127944111824E-10</v>
      </c>
      <c r="BP74" s="8">
        <f t="shared" si="79"/>
        <v>1.2369127944111824E-10</v>
      </c>
      <c r="BQ74" s="8">
        <f t="shared" si="79"/>
        <v>1.2369127944111824E-10</v>
      </c>
      <c r="BR74" s="8">
        <f t="shared" si="79"/>
        <v>1.2369127944111824E-10</v>
      </c>
      <c r="BS74" s="8">
        <f t="shared" si="79"/>
        <v>1.2369127944111824E-10</v>
      </c>
      <c r="BT74" s="8">
        <f t="shared" si="79"/>
        <v>1.2369127944111824E-10</v>
      </c>
      <c r="BU74" s="8">
        <f t="shared" ref="BU74:DA74" si="80">BT74+((BU66-BU72)*INC_TAX_RATE)</f>
        <v>1.2369127944111824E-10</v>
      </c>
      <c r="BV74" s="8">
        <f t="shared" si="80"/>
        <v>1.2369127944111824E-10</v>
      </c>
      <c r="BW74" s="8">
        <f t="shared" si="80"/>
        <v>1.2369127944111824E-10</v>
      </c>
      <c r="BX74" s="8">
        <f t="shared" si="80"/>
        <v>1.2369127944111824E-10</v>
      </c>
      <c r="BY74" s="8">
        <f t="shared" si="80"/>
        <v>1.2369127944111824E-10</v>
      </c>
      <c r="BZ74" s="8">
        <f t="shared" si="80"/>
        <v>1.2369127944111824E-10</v>
      </c>
      <c r="CA74" s="8">
        <f t="shared" si="80"/>
        <v>1.2369127944111824E-10</v>
      </c>
      <c r="CB74" s="8">
        <f t="shared" si="80"/>
        <v>1.2369127944111824E-10</v>
      </c>
      <c r="CC74" s="8">
        <f t="shared" si="80"/>
        <v>1.2369127944111824E-10</v>
      </c>
      <c r="CD74" s="8">
        <f t="shared" si="80"/>
        <v>1.2369127944111824E-10</v>
      </c>
      <c r="CE74" s="8">
        <f t="shared" si="80"/>
        <v>1.2369127944111824E-10</v>
      </c>
      <c r="CF74" s="8">
        <f t="shared" si="80"/>
        <v>1.2369127944111824E-10</v>
      </c>
      <c r="CG74" s="8">
        <f t="shared" si="80"/>
        <v>1.2369127944111824E-10</v>
      </c>
      <c r="CH74" s="8">
        <f t="shared" si="80"/>
        <v>1.2369127944111824E-10</v>
      </c>
      <c r="CI74" s="8">
        <f t="shared" si="80"/>
        <v>1.2369127944111824E-10</v>
      </c>
      <c r="CJ74" s="8">
        <f t="shared" si="80"/>
        <v>1.2369127944111824E-10</v>
      </c>
      <c r="CK74" s="8">
        <f t="shared" si="80"/>
        <v>1.2369127944111824E-10</v>
      </c>
      <c r="CL74" s="8">
        <f t="shared" si="80"/>
        <v>1.2369127944111824E-10</v>
      </c>
      <c r="CM74" s="8">
        <f t="shared" si="80"/>
        <v>1.2369127944111824E-10</v>
      </c>
      <c r="CN74" s="8">
        <f t="shared" si="80"/>
        <v>1.2369127944111824E-10</v>
      </c>
      <c r="CO74" s="8">
        <f t="shared" si="80"/>
        <v>1.2369127944111824E-10</v>
      </c>
      <c r="CP74" s="8">
        <f t="shared" si="80"/>
        <v>1.2369127944111824E-10</v>
      </c>
      <c r="CQ74" s="8">
        <f t="shared" si="80"/>
        <v>1.2369127944111824E-10</v>
      </c>
      <c r="CR74" s="8">
        <f t="shared" si="80"/>
        <v>1.2369127944111824E-10</v>
      </c>
      <c r="CS74" s="8">
        <f t="shared" si="80"/>
        <v>1.2369127944111824E-10</v>
      </c>
      <c r="CT74" s="8">
        <f t="shared" si="80"/>
        <v>1.2369127944111824E-10</v>
      </c>
      <c r="CU74" s="8">
        <f t="shared" si="80"/>
        <v>1.2369127944111824E-10</v>
      </c>
      <c r="CV74" s="8">
        <f t="shared" si="80"/>
        <v>1.2369127944111824E-10</v>
      </c>
      <c r="CW74" s="8">
        <f t="shared" si="80"/>
        <v>1.2369127944111824E-10</v>
      </c>
      <c r="CX74" s="8">
        <f t="shared" si="80"/>
        <v>1.2369127944111824E-10</v>
      </c>
      <c r="CY74" s="8">
        <f t="shared" si="80"/>
        <v>1.2369127944111824E-10</v>
      </c>
      <c r="CZ74" s="8">
        <f t="shared" si="80"/>
        <v>1.2369127944111824E-10</v>
      </c>
      <c r="DA74" s="8">
        <f t="shared" si="80"/>
        <v>1.2369127944111824E-10</v>
      </c>
    </row>
    <row r="75" spans="3:105" x14ac:dyDescent="0.4"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</row>
    <row r="76" spans="3:105" x14ac:dyDescent="0.4">
      <c r="D76" t="s">
        <v>158</v>
      </c>
      <c r="H76" s="8"/>
      <c r="I76" s="8">
        <f>AVERAGE(I69:I70)+AVERAGE(I73:I74)</f>
        <v>3808055.1391556021</v>
      </c>
      <c r="J76" s="8">
        <f t="shared" ref="J76:BU76" si="81">AVERAGE(J69:J70)+AVERAGE(J73:J74)</f>
        <v>3693697.6377917882</v>
      </c>
      <c r="K76" s="8">
        <f t="shared" si="81"/>
        <v>3563699.991326184</v>
      </c>
      <c r="L76" s="8">
        <f t="shared" si="81"/>
        <v>3439270.1723959632</v>
      </c>
      <c r="M76" s="8">
        <f t="shared" si="81"/>
        <v>3319991.3954466525</v>
      </c>
      <c r="N76" s="8">
        <f t="shared" si="81"/>
        <v>3205478.9353510481</v>
      </c>
      <c r="O76" s="8">
        <f t="shared" si="81"/>
        <v>3095374.7840046668</v>
      </c>
      <c r="P76" s="8">
        <f t="shared" si="81"/>
        <v>2989347.6503257491</v>
      </c>
      <c r="Q76" s="8">
        <f t="shared" si="81"/>
        <v>2885596.8069827943</v>
      </c>
      <c r="R76" s="8">
        <f t="shared" si="81"/>
        <v>2782171.9113170546</v>
      </c>
      <c r="S76" s="8">
        <f t="shared" si="81"/>
        <v>2678747.015651315</v>
      </c>
      <c r="T76" s="8">
        <f t="shared" si="81"/>
        <v>2575322.1199855753</v>
      </c>
      <c r="U76" s="8">
        <f t="shared" si="81"/>
        <v>2471897.2243198357</v>
      </c>
      <c r="V76" s="8">
        <f t="shared" si="81"/>
        <v>2368472.328654096</v>
      </c>
      <c r="W76" s="8">
        <f t="shared" si="81"/>
        <v>2265047.4329883559</v>
      </c>
      <c r="X76" s="8">
        <f t="shared" si="81"/>
        <v>2161622.5373226162</v>
      </c>
      <c r="Y76" s="8">
        <f t="shared" si="81"/>
        <v>2058197.6416568765</v>
      </c>
      <c r="Z76" s="8">
        <f t="shared" si="81"/>
        <v>1954772.7459911369</v>
      </c>
      <c r="AA76" s="8">
        <f t="shared" si="81"/>
        <v>1851347.8503253972</v>
      </c>
      <c r="AB76" s="8">
        <f t="shared" si="81"/>
        <v>1747922.9546596576</v>
      </c>
      <c r="AC76" s="8">
        <f t="shared" si="81"/>
        <v>1656419.1945327269</v>
      </c>
      <c r="AD76" s="8">
        <f t="shared" si="81"/>
        <v>1588752.3620788697</v>
      </c>
      <c r="AE76" s="8">
        <f t="shared" si="81"/>
        <v>1533006.6651638218</v>
      </c>
      <c r="AF76" s="8">
        <f t="shared" si="81"/>
        <v>1477260.9682487738</v>
      </c>
      <c r="AG76" s="8">
        <f t="shared" si="81"/>
        <v>1421515.2713337259</v>
      </c>
      <c r="AH76" s="8">
        <f t="shared" si="81"/>
        <v>1365769.5744186777</v>
      </c>
      <c r="AI76" s="8">
        <f t="shared" si="81"/>
        <v>1310023.8775036298</v>
      </c>
      <c r="AJ76" s="8">
        <f t="shared" si="81"/>
        <v>1254278.1805885814</v>
      </c>
      <c r="AK76" s="8">
        <f t="shared" si="81"/>
        <v>1198532.4836735334</v>
      </c>
      <c r="AL76" s="8">
        <f t="shared" si="81"/>
        <v>1142786.7867584853</v>
      </c>
      <c r="AM76" s="8">
        <f t="shared" si="81"/>
        <v>1087041.0898434373</v>
      </c>
      <c r="AN76" s="8">
        <f t="shared" si="81"/>
        <v>1031295.3929283891</v>
      </c>
      <c r="AO76" s="8">
        <f t="shared" si="81"/>
        <v>975549.69601334119</v>
      </c>
      <c r="AP76" s="8">
        <f t="shared" si="81"/>
        <v>919803.99909829302</v>
      </c>
      <c r="AQ76" s="8">
        <f t="shared" si="81"/>
        <v>864058.30218324508</v>
      </c>
      <c r="AR76" s="8">
        <f t="shared" si="81"/>
        <v>808312.6052681969</v>
      </c>
      <c r="AS76" s="8">
        <f t="shared" si="81"/>
        <v>752566.90835314896</v>
      </c>
      <c r="AT76" s="8">
        <f t="shared" si="81"/>
        <v>696821.21143810079</v>
      </c>
      <c r="AU76" s="8">
        <f t="shared" si="81"/>
        <v>641075.51452305284</v>
      </c>
      <c r="AV76" s="8">
        <f t="shared" si="81"/>
        <v>585329.81760800467</v>
      </c>
      <c r="AW76" s="8">
        <f t="shared" si="81"/>
        <v>529584.12069295673</v>
      </c>
      <c r="AX76" s="8">
        <f t="shared" si="81"/>
        <v>473838.42377790861</v>
      </c>
      <c r="AY76" s="8">
        <f t="shared" si="81"/>
        <v>418092.72686286055</v>
      </c>
      <c r="AZ76" s="8">
        <f t="shared" si="81"/>
        <v>362347.02994781249</v>
      </c>
      <c r="BA76" s="8">
        <f t="shared" si="81"/>
        <v>306601.33303276444</v>
      </c>
      <c r="BB76" s="8">
        <f t="shared" si="81"/>
        <v>250855.63611771638</v>
      </c>
      <c r="BC76" s="8">
        <f t="shared" si="81"/>
        <v>195109.93920266832</v>
      </c>
      <c r="BD76" s="8">
        <f t="shared" si="81"/>
        <v>139364.24228762026</v>
      </c>
      <c r="BE76" s="8">
        <f t="shared" si="81"/>
        <v>83618.545372572204</v>
      </c>
      <c r="BF76" s="8">
        <f t="shared" si="81"/>
        <v>27872.848457524153</v>
      </c>
      <c r="BG76" s="8">
        <f t="shared" si="81"/>
        <v>1.2369127944111824E-10</v>
      </c>
      <c r="BH76" s="8">
        <f t="shared" si="81"/>
        <v>1.2369127944111824E-10</v>
      </c>
      <c r="BI76" s="8">
        <f t="shared" si="81"/>
        <v>1.2369127944111824E-10</v>
      </c>
      <c r="BJ76" s="8">
        <f t="shared" si="81"/>
        <v>1.2369127944111824E-10</v>
      </c>
      <c r="BK76" s="8">
        <f t="shared" si="81"/>
        <v>1.2369127944111824E-10</v>
      </c>
      <c r="BL76" s="8">
        <f t="shared" si="81"/>
        <v>1.2369127944111824E-10</v>
      </c>
      <c r="BM76" s="8">
        <f t="shared" si="81"/>
        <v>1.2369127944111824E-10</v>
      </c>
      <c r="BN76" s="8">
        <f t="shared" si="81"/>
        <v>1.2369127944111824E-10</v>
      </c>
      <c r="BO76" s="8">
        <f t="shared" si="81"/>
        <v>1.2369127944111824E-10</v>
      </c>
      <c r="BP76" s="8">
        <f t="shared" si="81"/>
        <v>1.2369127944111824E-10</v>
      </c>
      <c r="BQ76" s="8">
        <f t="shared" si="81"/>
        <v>1.2369127944111824E-10</v>
      </c>
      <c r="BR76" s="8">
        <f t="shared" si="81"/>
        <v>1.2369127944111824E-10</v>
      </c>
      <c r="BS76" s="8">
        <f t="shared" si="81"/>
        <v>1.2369127944111824E-10</v>
      </c>
      <c r="BT76" s="8">
        <f t="shared" si="81"/>
        <v>1.2369127944111824E-10</v>
      </c>
      <c r="BU76" s="8">
        <f t="shared" si="81"/>
        <v>1.2369127944111824E-10</v>
      </c>
      <c r="BV76" s="8">
        <f t="shared" ref="BV76:DA76" si="82">AVERAGE(BV69:BV70)+AVERAGE(BV73:BV74)</f>
        <v>1.2369127944111824E-10</v>
      </c>
      <c r="BW76" s="8">
        <f t="shared" si="82"/>
        <v>1.2369127944111824E-10</v>
      </c>
      <c r="BX76" s="8">
        <f t="shared" si="82"/>
        <v>1.2369127944111824E-10</v>
      </c>
      <c r="BY76" s="8">
        <f t="shared" si="82"/>
        <v>1.2369127944111824E-10</v>
      </c>
      <c r="BZ76" s="8">
        <f t="shared" si="82"/>
        <v>1.2369127944111824E-10</v>
      </c>
      <c r="CA76" s="8">
        <f t="shared" si="82"/>
        <v>1.2369127944111824E-10</v>
      </c>
      <c r="CB76" s="8">
        <f t="shared" si="82"/>
        <v>1.2369127944111824E-10</v>
      </c>
      <c r="CC76" s="8">
        <f t="shared" si="82"/>
        <v>1.2369127944111824E-10</v>
      </c>
      <c r="CD76" s="8">
        <f t="shared" si="82"/>
        <v>1.2369127944111824E-10</v>
      </c>
      <c r="CE76" s="8">
        <f t="shared" si="82"/>
        <v>1.2369127944111824E-10</v>
      </c>
      <c r="CF76" s="8">
        <f t="shared" si="82"/>
        <v>1.2369127944111824E-10</v>
      </c>
      <c r="CG76" s="8">
        <f t="shared" si="82"/>
        <v>1.2369127944111824E-10</v>
      </c>
      <c r="CH76" s="8">
        <f t="shared" si="82"/>
        <v>1.2369127944111824E-10</v>
      </c>
      <c r="CI76" s="8">
        <f t="shared" si="82"/>
        <v>1.2369127944111824E-10</v>
      </c>
      <c r="CJ76" s="8">
        <f t="shared" si="82"/>
        <v>1.2369127944111824E-10</v>
      </c>
      <c r="CK76" s="8">
        <f t="shared" si="82"/>
        <v>1.2369127944111824E-10</v>
      </c>
      <c r="CL76" s="8">
        <f t="shared" si="82"/>
        <v>1.2369127944111824E-10</v>
      </c>
      <c r="CM76" s="8">
        <f t="shared" si="82"/>
        <v>1.2369127944111824E-10</v>
      </c>
      <c r="CN76" s="8">
        <f t="shared" si="82"/>
        <v>1.2369127944111824E-10</v>
      </c>
      <c r="CO76" s="8">
        <f t="shared" si="82"/>
        <v>1.2369127944111824E-10</v>
      </c>
      <c r="CP76" s="8">
        <f t="shared" si="82"/>
        <v>1.2369127944111824E-10</v>
      </c>
      <c r="CQ76" s="8">
        <f t="shared" si="82"/>
        <v>1.2369127944111824E-10</v>
      </c>
      <c r="CR76" s="8">
        <f t="shared" si="82"/>
        <v>1.2369127944111824E-10</v>
      </c>
      <c r="CS76" s="8">
        <f t="shared" si="82"/>
        <v>1.2369127944111824E-10</v>
      </c>
      <c r="CT76" s="8">
        <f t="shared" si="82"/>
        <v>1.2369127944111824E-10</v>
      </c>
      <c r="CU76" s="8">
        <f t="shared" si="82"/>
        <v>1.2369127944111824E-10</v>
      </c>
      <c r="CV76" s="8">
        <f t="shared" si="82"/>
        <v>1.2369127944111824E-10</v>
      </c>
      <c r="CW76" s="8">
        <f t="shared" si="82"/>
        <v>1.2369127944111824E-10</v>
      </c>
      <c r="CX76" s="8">
        <f t="shared" si="82"/>
        <v>1.2369127944111824E-10</v>
      </c>
      <c r="CY76" s="8">
        <f t="shared" si="82"/>
        <v>1.2369127944111824E-10</v>
      </c>
      <c r="CZ76" s="8">
        <f t="shared" si="82"/>
        <v>1.2369127944111824E-10</v>
      </c>
      <c r="DA76" s="8">
        <f t="shared" si="82"/>
        <v>1.2369127944111824E-10</v>
      </c>
    </row>
    <row r="77" spans="3:105" x14ac:dyDescent="0.4"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</row>
    <row r="78" spans="3:105" x14ac:dyDescent="0.4">
      <c r="D78" t="s">
        <v>209</v>
      </c>
      <c r="H78" s="8"/>
      <c r="I78" s="8">
        <f t="shared" ref="I78:AN78" si="83">I76*AVG_PRE_TAX_RATE</f>
        <v>340059.32392659527</v>
      </c>
      <c r="J78" s="8">
        <f t="shared" si="83"/>
        <v>329847.19905480673</v>
      </c>
      <c r="K78" s="8">
        <f t="shared" si="83"/>
        <v>318238.40922542824</v>
      </c>
      <c r="L78" s="8">
        <f t="shared" si="83"/>
        <v>307126.82639495953</v>
      </c>
      <c r="M78" s="8">
        <f t="shared" si="83"/>
        <v>296475.23161338607</v>
      </c>
      <c r="N78" s="8">
        <f t="shared" si="83"/>
        <v>286249.2689268486</v>
      </c>
      <c r="O78" s="8">
        <f t="shared" si="83"/>
        <v>276416.96821161674</v>
      </c>
      <c r="P78" s="8">
        <f t="shared" si="83"/>
        <v>266948.74517408939</v>
      </c>
      <c r="Q78" s="8">
        <f t="shared" si="83"/>
        <v>257683.79486356355</v>
      </c>
      <c r="R78" s="8">
        <f t="shared" si="83"/>
        <v>248447.95168061298</v>
      </c>
      <c r="S78" s="8">
        <f t="shared" si="83"/>
        <v>239212.10849766244</v>
      </c>
      <c r="T78" s="8">
        <f t="shared" si="83"/>
        <v>229976.2653147119</v>
      </c>
      <c r="U78" s="8">
        <f t="shared" si="83"/>
        <v>220740.42213176133</v>
      </c>
      <c r="V78" s="8">
        <f t="shared" si="83"/>
        <v>211504.57894881078</v>
      </c>
      <c r="W78" s="8">
        <f t="shared" si="83"/>
        <v>202268.73576586018</v>
      </c>
      <c r="X78" s="8">
        <f t="shared" si="83"/>
        <v>193032.89258290964</v>
      </c>
      <c r="Y78" s="8">
        <f t="shared" si="83"/>
        <v>183797.0493999591</v>
      </c>
      <c r="Z78" s="8">
        <f t="shared" si="83"/>
        <v>174561.20621700853</v>
      </c>
      <c r="AA78" s="8">
        <f t="shared" si="83"/>
        <v>165325.36303405798</v>
      </c>
      <c r="AB78" s="8">
        <f t="shared" si="83"/>
        <v>156089.51985110744</v>
      </c>
      <c r="AC78" s="8">
        <f t="shared" si="83"/>
        <v>147918.23407177252</v>
      </c>
      <c r="AD78" s="8">
        <f t="shared" si="83"/>
        <v>141875.58593364307</v>
      </c>
      <c r="AE78" s="8">
        <f t="shared" si="83"/>
        <v>136897.49519912931</v>
      </c>
      <c r="AF78" s="8">
        <f t="shared" si="83"/>
        <v>131919.40446461551</v>
      </c>
      <c r="AG78" s="8">
        <f t="shared" si="83"/>
        <v>126941.31373010173</v>
      </c>
      <c r="AH78" s="8">
        <f t="shared" si="83"/>
        <v>121963.22299558793</v>
      </c>
      <c r="AI78" s="8">
        <f t="shared" si="83"/>
        <v>116985.13226107415</v>
      </c>
      <c r="AJ78" s="8">
        <f t="shared" si="83"/>
        <v>112007.04152656032</v>
      </c>
      <c r="AK78" s="8">
        <f t="shared" si="83"/>
        <v>107028.95079204654</v>
      </c>
      <c r="AL78" s="8">
        <f t="shared" si="83"/>
        <v>102050.86005753274</v>
      </c>
      <c r="AM78" s="8">
        <f t="shared" si="83"/>
        <v>97072.769323018962</v>
      </c>
      <c r="AN78" s="8">
        <f t="shared" si="83"/>
        <v>92094.67858850515</v>
      </c>
      <c r="AO78" s="8">
        <f t="shared" ref="AO78:BT78" si="84">AO76*AVG_PRE_TAX_RATE</f>
        <v>87116.587853991368</v>
      </c>
      <c r="AP78" s="8">
        <f t="shared" si="84"/>
        <v>82138.497119477572</v>
      </c>
      <c r="AQ78" s="8">
        <f t="shared" si="84"/>
        <v>77160.40638496379</v>
      </c>
      <c r="AR78" s="8">
        <f t="shared" si="84"/>
        <v>72182.315650449993</v>
      </c>
      <c r="AS78" s="8">
        <f t="shared" si="84"/>
        <v>67204.224915936211</v>
      </c>
      <c r="AT78" s="8">
        <f t="shared" si="84"/>
        <v>62226.1341814224</v>
      </c>
      <c r="AU78" s="8">
        <f t="shared" si="84"/>
        <v>57248.043446908625</v>
      </c>
      <c r="AV78" s="8">
        <f t="shared" si="84"/>
        <v>52269.952712394821</v>
      </c>
      <c r="AW78" s="8">
        <f t="shared" si="84"/>
        <v>47291.861977881039</v>
      </c>
      <c r="AX78" s="8">
        <f t="shared" si="84"/>
        <v>42313.771243367242</v>
      </c>
      <c r="AY78" s="8">
        <f t="shared" si="84"/>
        <v>37335.680508853446</v>
      </c>
      <c r="AZ78" s="8">
        <f t="shared" si="84"/>
        <v>32357.589774339656</v>
      </c>
      <c r="BA78" s="8">
        <f t="shared" si="84"/>
        <v>27379.499039825867</v>
      </c>
      <c r="BB78" s="8">
        <f t="shared" si="84"/>
        <v>22401.408305312074</v>
      </c>
      <c r="BC78" s="8">
        <f t="shared" si="84"/>
        <v>17423.317570798281</v>
      </c>
      <c r="BD78" s="8">
        <f t="shared" si="84"/>
        <v>12445.22683628449</v>
      </c>
      <c r="BE78" s="8">
        <f t="shared" si="84"/>
        <v>7467.1361017706986</v>
      </c>
      <c r="BF78" s="8">
        <f t="shared" si="84"/>
        <v>2489.045367256907</v>
      </c>
      <c r="BG78" s="8">
        <f t="shared" si="84"/>
        <v>1.1045631254091859E-11</v>
      </c>
      <c r="BH78" s="8">
        <f t="shared" si="84"/>
        <v>1.1045631254091859E-11</v>
      </c>
      <c r="BI78" s="8">
        <f t="shared" si="84"/>
        <v>1.1045631254091859E-11</v>
      </c>
      <c r="BJ78" s="8">
        <f t="shared" si="84"/>
        <v>1.1045631254091859E-11</v>
      </c>
      <c r="BK78" s="8">
        <f t="shared" si="84"/>
        <v>1.1045631254091859E-11</v>
      </c>
      <c r="BL78" s="8">
        <f t="shared" si="84"/>
        <v>1.1045631254091859E-11</v>
      </c>
      <c r="BM78" s="8">
        <f t="shared" si="84"/>
        <v>1.1045631254091859E-11</v>
      </c>
      <c r="BN78" s="8">
        <f t="shared" si="84"/>
        <v>1.1045631254091859E-11</v>
      </c>
      <c r="BO78" s="8">
        <f t="shared" si="84"/>
        <v>1.1045631254091859E-11</v>
      </c>
      <c r="BP78" s="8">
        <f t="shared" si="84"/>
        <v>1.1045631254091859E-11</v>
      </c>
      <c r="BQ78" s="8">
        <f t="shared" si="84"/>
        <v>1.1045631254091859E-11</v>
      </c>
      <c r="BR78" s="8">
        <f t="shared" si="84"/>
        <v>1.1045631254091859E-11</v>
      </c>
      <c r="BS78" s="8">
        <f t="shared" si="84"/>
        <v>1.1045631254091859E-11</v>
      </c>
      <c r="BT78" s="8">
        <f t="shared" si="84"/>
        <v>1.1045631254091859E-11</v>
      </c>
      <c r="BU78" s="8">
        <f t="shared" ref="BU78:DA78" si="85">BU76*AVG_PRE_TAX_RATE</f>
        <v>1.1045631254091859E-11</v>
      </c>
      <c r="BV78" s="8">
        <f t="shared" si="85"/>
        <v>1.1045631254091859E-11</v>
      </c>
      <c r="BW78" s="8">
        <f t="shared" si="85"/>
        <v>1.1045631254091859E-11</v>
      </c>
      <c r="BX78" s="8">
        <f t="shared" si="85"/>
        <v>1.1045631254091859E-11</v>
      </c>
      <c r="BY78" s="8">
        <f t="shared" si="85"/>
        <v>1.1045631254091859E-11</v>
      </c>
      <c r="BZ78" s="8">
        <f t="shared" si="85"/>
        <v>1.1045631254091859E-11</v>
      </c>
      <c r="CA78" s="8">
        <f t="shared" si="85"/>
        <v>1.1045631254091859E-11</v>
      </c>
      <c r="CB78" s="8">
        <f t="shared" si="85"/>
        <v>1.1045631254091859E-11</v>
      </c>
      <c r="CC78" s="8">
        <f t="shared" si="85"/>
        <v>1.1045631254091859E-11</v>
      </c>
      <c r="CD78" s="8">
        <f t="shared" si="85"/>
        <v>1.1045631254091859E-11</v>
      </c>
      <c r="CE78" s="8">
        <f t="shared" si="85"/>
        <v>1.1045631254091859E-11</v>
      </c>
      <c r="CF78" s="8">
        <f t="shared" si="85"/>
        <v>1.1045631254091859E-11</v>
      </c>
      <c r="CG78" s="8">
        <f t="shared" si="85"/>
        <v>1.1045631254091859E-11</v>
      </c>
      <c r="CH78" s="8">
        <f t="shared" si="85"/>
        <v>1.1045631254091859E-11</v>
      </c>
      <c r="CI78" s="8">
        <f t="shared" si="85"/>
        <v>1.1045631254091859E-11</v>
      </c>
      <c r="CJ78" s="8">
        <f t="shared" si="85"/>
        <v>1.1045631254091859E-11</v>
      </c>
      <c r="CK78" s="8">
        <f t="shared" si="85"/>
        <v>1.1045631254091859E-11</v>
      </c>
      <c r="CL78" s="8">
        <f t="shared" si="85"/>
        <v>1.1045631254091859E-11</v>
      </c>
      <c r="CM78" s="8">
        <f t="shared" si="85"/>
        <v>1.1045631254091859E-11</v>
      </c>
      <c r="CN78" s="8">
        <f t="shared" si="85"/>
        <v>1.1045631254091859E-11</v>
      </c>
      <c r="CO78" s="8">
        <f t="shared" si="85"/>
        <v>1.1045631254091859E-11</v>
      </c>
      <c r="CP78" s="8">
        <f t="shared" si="85"/>
        <v>1.1045631254091859E-11</v>
      </c>
      <c r="CQ78" s="8">
        <f t="shared" si="85"/>
        <v>1.1045631254091859E-11</v>
      </c>
      <c r="CR78" s="8">
        <f t="shared" si="85"/>
        <v>1.1045631254091859E-11</v>
      </c>
      <c r="CS78" s="8">
        <f t="shared" si="85"/>
        <v>1.1045631254091859E-11</v>
      </c>
      <c r="CT78" s="8">
        <f t="shared" si="85"/>
        <v>1.1045631254091859E-11</v>
      </c>
      <c r="CU78" s="8">
        <f t="shared" si="85"/>
        <v>1.1045631254091859E-11</v>
      </c>
      <c r="CV78" s="8">
        <f t="shared" si="85"/>
        <v>1.1045631254091859E-11</v>
      </c>
      <c r="CW78" s="8">
        <f t="shared" si="85"/>
        <v>1.1045631254091859E-11</v>
      </c>
      <c r="CX78" s="8">
        <f t="shared" si="85"/>
        <v>1.1045631254091859E-11</v>
      </c>
      <c r="CY78" s="8">
        <f t="shared" si="85"/>
        <v>1.1045631254091859E-11</v>
      </c>
      <c r="CZ78" s="8">
        <f t="shared" si="85"/>
        <v>1.1045631254091859E-11</v>
      </c>
      <c r="DA78" s="8">
        <f t="shared" si="85"/>
        <v>1.1045631254091859E-11</v>
      </c>
    </row>
    <row r="81" spans="3:106" x14ac:dyDescent="0.4">
      <c r="C81" s="58" t="str">
        <f>C64</f>
        <v>Investment year in service</v>
      </c>
      <c r="E81" t="str">
        <f>IF(E82&lt;$C82,"",E82-$C82)</f>
        <v/>
      </c>
      <c r="F81" t="str">
        <f>IF(F82&lt;$C82,"",F82-$C82)</f>
        <v/>
      </c>
      <c r="G81" t="str">
        <f t="shared" ref="G81:BR81" si="86">IF(G82&lt;$C82,"",G82-$C82)</f>
        <v/>
      </c>
      <c r="H81" t="str">
        <f t="shared" si="86"/>
        <v/>
      </c>
      <c r="I81">
        <f t="shared" si="86"/>
        <v>0</v>
      </c>
      <c r="J81">
        <f t="shared" si="86"/>
        <v>1</v>
      </c>
      <c r="K81">
        <f t="shared" si="86"/>
        <v>2</v>
      </c>
      <c r="L81">
        <f t="shared" si="86"/>
        <v>3</v>
      </c>
      <c r="M81">
        <f t="shared" si="86"/>
        <v>4</v>
      </c>
      <c r="N81">
        <f t="shared" si="86"/>
        <v>5</v>
      </c>
      <c r="O81">
        <f t="shared" si="86"/>
        <v>6</v>
      </c>
      <c r="P81">
        <f t="shared" si="86"/>
        <v>7</v>
      </c>
      <c r="Q81">
        <f t="shared" si="86"/>
        <v>8</v>
      </c>
      <c r="R81">
        <f t="shared" si="86"/>
        <v>9</v>
      </c>
      <c r="S81">
        <f t="shared" si="86"/>
        <v>10</v>
      </c>
      <c r="T81">
        <f t="shared" si="86"/>
        <v>11</v>
      </c>
      <c r="U81">
        <f t="shared" si="86"/>
        <v>12</v>
      </c>
      <c r="V81">
        <f t="shared" si="86"/>
        <v>13</v>
      </c>
      <c r="W81">
        <f t="shared" si="86"/>
        <v>14</v>
      </c>
      <c r="X81">
        <f t="shared" si="86"/>
        <v>15</v>
      </c>
      <c r="Y81">
        <f t="shared" si="86"/>
        <v>16</v>
      </c>
      <c r="Z81">
        <f t="shared" si="86"/>
        <v>17</v>
      </c>
      <c r="AA81">
        <f t="shared" si="86"/>
        <v>18</v>
      </c>
      <c r="AB81">
        <f t="shared" si="86"/>
        <v>19</v>
      </c>
      <c r="AC81">
        <f t="shared" si="86"/>
        <v>20</v>
      </c>
      <c r="AD81">
        <f t="shared" si="86"/>
        <v>21</v>
      </c>
      <c r="AE81">
        <f t="shared" si="86"/>
        <v>22</v>
      </c>
      <c r="AF81">
        <f t="shared" si="86"/>
        <v>23</v>
      </c>
      <c r="AG81">
        <f t="shared" si="86"/>
        <v>24</v>
      </c>
      <c r="AH81">
        <f t="shared" si="86"/>
        <v>25</v>
      </c>
      <c r="AI81">
        <f t="shared" si="86"/>
        <v>26</v>
      </c>
      <c r="AJ81">
        <f t="shared" si="86"/>
        <v>27</v>
      </c>
      <c r="AK81">
        <f t="shared" si="86"/>
        <v>28</v>
      </c>
      <c r="AL81">
        <f t="shared" si="86"/>
        <v>29</v>
      </c>
      <c r="AM81">
        <f t="shared" si="86"/>
        <v>30</v>
      </c>
      <c r="AN81">
        <f t="shared" si="86"/>
        <v>31</v>
      </c>
      <c r="AO81">
        <f t="shared" si="86"/>
        <v>32</v>
      </c>
      <c r="AP81">
        <f t="shared" si="86"/>
        <v>33</v>
      </c>
      <c r="AQ81">
        <f t="shared" si="86"/>
        <v>34</v>
      </c>
      <c r="AR81">
        <f t="shared" si="86"/>
        <v>35</v>
      </c>
      <c r="AS81">
        <f t="shared" si="86"/>
        <v>36</v>
      </c>
      <c r="AT81">
        <f t="shared" si="86"/>
        <v>37</v>
      </c>
      <c r="AU81">
        <f t="shared" si="86"/>
        <v>38</v>
      </c>
      <c r="AV81">
        <f t="shared" si="86"/>
        <v>39</v>
      </c>
      <c r="AW81">
        <f t="shared" si="86"/>
        <v>40</v>
      </c>
      <c r="AX81">
        <f t="shared" si="86"/>
        <v>41</v>
      </c>
      <c r="AY81">
        <f t="shared" si="86"/>
        <v>42</v>
      </c>
      <c r="AZ81">
        <f t="shared" si="86"/>
        <v>43</v>
      </c>
      <c r="BA81">
        <f t="shared" si="86"/>
        <v>44</v>
      </c>
      <c r="BB81">
        <f t="shared" si="86"/>
        <v>45</v>
      </c>
      <c r="BC81">
        <f t="shared" si="86"/>
        <v>46</v>
      </c>
      <c r="BD81">
        <f t="shared" si="86"/>
        <v>47</v>
      </c>
      <c r="BE81">
        <f t="shared" si="86"/>
        <v>48</v>
      </c>
      <c r="BF81">
        <f t="shared" si="86"/>
        <v>49</v>
      </c>
      <c r="BG81">
        <f t="shared" si="86"/>
        <v>50</v>
      </c>
      <c r="BH81">
        <f t="shared" si="86"/>
        <v>51</v>
      </c>
      <c r="BI81">
        <f t="shared" si="86"/>
        <v>52</v>
      </c>
      <c r="BJ81">
        <f t="shared" si="86"/>
        <v>53</v>
      </c>
      <c r="BK81">
        <f t="shared" si="86"/>
        <v>54</v>
      </c>
      <c r="BL81">
        <f t="shared" si="86"/>
        <v>55</v>
      </c>
      <c r="BM81">
        <f t="shared" si="86"/>
        <v>56</v>
      </c>
      <c r="BN81">
        <f t="shared" si="86"/>
        <v>57</v>
      </c>
      <c r="BO81">
        <f t="shared" si="86"/>
        <v>58</v>
      </c>
      <c r="BP81">
        <f t="shared" si="86"/>
        <v>59</v>
      </c>
      <c r="BQ81">
        <f t="shared" si="86"/>
        <v>60</v>
      </c>
      <c r="BR81">
        <f t="shared" si="86"/>
        <v>61</v>
      </c>
      <c r="BS81">
        <f t="shared" ref="BS81:DA81" si="87">IF(BS82&lt;$C82,"",BS82-$C82)</f>
        <v>62</v>
      </c>
      <c r="BT81">
        <f t="shared" si="87"/>
        <v>63</v>
      </c>
      <c r="BU81">
        <f t="shared" si="87"/>
        <v>64</v>
      </c>
      <c r="BV81">
        <f t="shared" si="87"/>
        <v>65</v>
      </c>
      <c r="BW81">
        <f t="shared" si="87"/>
        <v>66</v>
      </c>
      <c r="BX81">
        <f t="shared" si="87"/>
        <v>67</v>
      </c>
      <c r="BY81">
        <f t="shared" si="87"/>
        <v>68</v>
      </c>
      <c r="BZ81">
        <f t="shared" si="87"/>
        <v>69</v>
      </c>
      <c r="CA81">
        <f t="shared" si="87"/>
        <v>70</v>
      </c>
      <c r="CB81">
        <f t="shared" si="87"/>
        <v>71</v>
      </c>
      <c r="CC81">
        <f t="shared" si="87"/>
        <v>72</v>
      </c>
      <c r="CD81">
        <f t="shared" si="87"/>
        <v>73</v>
      </c>
      <c r="CE81">
        <f t="shared" si="87"/>
        <v>74</v>
      </c>
      <c r="CF81">
        <f t="shared" si="87"/>
        <v>75</v>
      </c>
      <c r="CG81">
        <f t="shared" si="87"/>
        <v>76</v>
      </c>
      <c r="CH81">
        <f t="shared" si="87"/>
        <v>77</v>
      </c>
      <c r="CI81">
        <f t="shared" si="87"/>
        <v>78</v>
      </c>
      <c r="CJ81">
        <f t="shared" si="87"/>
        <v>79</v>
      </c>
      <c r="CK81">
        <f t="shared" si="87"/>
        <v>80</v>
      </c>
      <c r="CL81">
        <f t="shared" si="87"/>
        <v>81</v>
      </c>
      <c r="CM81">
        <f t="shared" si="87"/>
        <v>82</v>
      </c>
      <c r="CN81">
        <f t="shared" si="87"/>
        <v>83</v>
      </c>
      <c r="CO81">
        <f t="shared" si="87"/>
        <v>84</v>
      </c>
      <c r="CP81">
        <f t="shared" si="87"/>
        <v>85</v>
      </c>
      <c r="CQ81">
        <f t="shared" si="87"/>
        <v>86</v>
      </c>
      <c r="CR81">
        <f t="shared" si="87"/>
        <v>87</v>
      </c>
      <c r="CS81">
        <f t="shared" si="87"/>
        <v>88</v>
      </c>
      <c r="CT81">
        <f t="shared" si="87"/>
        <v>89</v>
      </c>
      <c r="CU81">
        <f t="shared" si="87"/>
        <v>90</v>
      </c>
      <c r="CV81">
        <f t="shared" si="87"/>
        <v>91</v>
      </c>
      <c r="CW81">
        <f t="shared" si="87"/>
        <v>92</v>
      </c>
      <c r="CX81">
        <f t="shared" si="87"/>
        <v>93</v>
      </c>
      <c r="CY81">
        <f t="shared" si="87"/>
        <v>94</v>
      </c>
      <c r="CZ81">
        <f t="shared" si="87"/>
        <v>95</v>
      </c>
      <c r="DA81">
        <f t="shared" si="87"/>
        <v>96</v>
      </c>
    </row>
    <row r="82" spans="3:106" x14ac:dyDescent="0.4">
      <c r="C82">
        <f>C65+1</f>
        <v>2031</v>
      </c>
      <c r="D82" s="5" t="s">
        <v>434</v>
      </c>
      <c r="E82" s="5">
        <v>2027</v>
      </c>
      <c r="F82" s="5">
        <v>2028</v>
      </c>
      <c r="G82" s="5">
        <v>2029</v>
      </c>
      <c r="H82" s="5">
        <v>2030</v>
      </c>
      <c r="I82" s="5">
        <v>2031</v>
      </c>
      <c r="J82" s="5">
        <v>2032</v>
      </c>
      <c r="K82" s="5">
        <v>2033</v>
      </c>
      <c r="L82" s="5">
        <v>2034</v>
      </c>
      <c r="M82" s="5">
        <v>2035</v>
      </c>
      <c r="N82" s="5">
        <v>2036</v>
      </c>
      <c r="O82" s="5">
        <v>2037</v>
      </c>
      <c r="P82" s="5">
        <v>2038</v>
      </c>
      <c r="Q82" s="5">
        <v>2039</v>
      </c>
      <c r="R82" s="5">
        <v>2040</v>
      </c>
      <c r="S82" s="5">
        <v>2041</v>
      </c>
      <c r="T82" s="5">
        <v>2042</v>
      </c>
      <c r="U82" s="5">
        <v>2043</v>
      </c>
      <c r="V82" s="5">
        <v>2044</v>
      </c>
      <c r="W82" s="5">
        <v>2045</v>
      </c>
      <c r="X82" s="5">
        <v>2046</v>
      </c>
      <c r="Y82" s="5">
        <v>2047</v>
      </c>
      <c r="Z82" s="5">
        <v>2048</v>
      </c>
      <c r="AA82" s="5">
        <v>2049</v>
      </c>
      <c r="AB82" s="5">
        <v>2050</v>
      </c>
      <c r="AC82" s="5">
        <v>2051</v>
      </c>
      <c r="AD82" s="5">
        <v>2052</v>
      </c>
      <c r="AE82" s="5">
        <v>2053</v>
      </c>
      <c r="AF82" s="5">
        <v>2054</v>
      </c>
      <c r="AG82" s="5">
        <v>2055</v>
      </c>
      <c r="AH82" s="5">
        <v>2056</v>
      </c>
      <c r="AI82" s="5">
        <v>2057</v>
      </c>
      <c r="AJ82" s="5">
        <v>2058</v>
      </c>
      <c r="AK82" s="5">
        <v>2059</v>
      </c>
      <c r="AL82" s="5">
        <v>2060</v>
      </c>
      <c r="AM82" s="5">
        <v>2061</v>
      </c>
      <c r="AN82" s="5">
        <v>2062</v>
      </c>
      <c r="AO82" s="5">
        <v>2063</v>
      </c>
      <c r="AP82" s="5">
        <v>2064</v>
      </c>
      <c r="AQ82" s="5">
        <v>2065</v>
      </c>
      <c r="AR82" s="5">
        <v>2066</v>
      </c>
      <c r="AS82" s="5">
        <v>2067</v>
      </c>
      <c r="AT82" s="5">
        <v>2068</v>
      </c>
      <c r="AU82" s="5">
        <v>2069</v>
      </c>
      <c r="AV82" s="5">
        <v>2070</v>
      </c>
      <c r="AW82" s="5">
        <v>2071</v>
      </c>
      <c r="AX82" s="5">
        <v>2072</v>
      </c>
      <c r="AY82" s="5">
        <v>2073</v>
      </c>
      <c r="AZ82" s="5">
        <v>2074</v>
      </c>
      <c r="BA82" s="5">
        <v>2075</v>
      </c>
      <c r="BB82" s="5">
        <v>2076</v>
      </c>
      <c r="BC82" s="5">
        <v>2077</v>
      </c>
      <c r="BD82" s="5">
        <v>2078</v>
      </c>
      <c r="BE82" s="5">
        <v>2079</v>
      </c>
      <c r="BF82" s="5">
        <v>2080</v>
      </c>
      <c r="BG82" s="5">
        <v>2081</v>
      </c>
      <c r="BH82" s="5">
        <v>2082</v>
      </c>
      <c r="BI82" s="5">
        <v>2083</v>
      </c>
      <c r="BJ82" s="5">
        <v>2084</v>
      </c>
      <c r="BK82" s="5">
        <v>2085</v>
      </c>
      <c r="BL82" s="5">
        <v>2086</v>
      </c>
      <c r="BM82" s="5">
        <v>2087</v>
      </c>
      <c r="BN82" s="5">
        <v>2088</v>
      </c>
      <c r="BO82" s="5">
        <v>2089</v>
      </c>
      <c r="BP82" s="5">
        <v>2090</v>
      </c>
      <c r="BQ82" s="5">
        <v>2091</v>
      </c>
      <c r="BR82" s="5">
        <v>2092</v>
      </c>
      <c r="BS82" s="5">
        <v>2093</v>
      </c>
      <c r="BT82" s="5">
        <v>2094</v>
      </c>
      <c r="BU82" s="5">
        <v>2095</v>
      </c>
      <c r="BV82" s="5">
        <v>2096</v>
      </c>
      <c r="BW82" s="5">
        <v>2097</v>
      </c>
      <c r="BX82" s="5">
        <v>2098</v>
      </c>
      <c r="BY82" s="5">
        <v>2099</v>
      </c>
      <c r="BZ82" s="5">
        <v>2100</v>
      </c>
      <c r="CA82" s="5">
        <v>2101</v>
      </c>
      <c r="CB82" s="5">
        <v>2102</v>
      </c>
      <c r="CC82" s="5">
        <v>2103</v>
      </c>
      <c r="CD82" s="5">
        <v>2104</v>
      </c>
      <c r="CE82" s="5">
        <v>2105</v>
      </c>
      <c r="CF82" s="5">
        <v>2106</v>
      </c>
      <c r="CG82" s="5">
        <v>2107</v>
      </c>
      <c r="CH82" s="5">
        <v>2108</v>
      </c>
      <c r="CI82" s="5">
        <v>2109</v>
      </c>
      <c r="CJ82" s="5">
        <v>2110</v>
      </c>
      <c r="CK82" s="5">
        <v>2111</v>
      </c>
      <c r="CL82" s="5">
        <v>2112</v>
      </c>
      <c r="CM82" s="5">
        <v>2113</v>
      </c>
      <c r="CN82" s="5">
        <v>2114</v>
      </c>
      <c r="CO82" s="5">
        <v>2115</v>
      </c>
      <c r="CP82" s="5">
        <v>2116</v>
      </c>
      <c r="CQ82" s="5">
        <v>2117</v>
      </c>
      <c r="CR82" s="5">
        <v>2118</v>
      </c>
      <c r="CS82" s="5">
        <v>2119</v>
      </c>
      <c r="CT82" s="5">
        <v>2120</v>
      </c>
      <c r="CU82" s="5">
        <v>2121</v>
      </c>
      <c r="CV82" s="5">
        <v>2122</v>
      </c>
      <c r="CW82" s="5">
        <v>2123</v>
      </c>
      <c r="CX82" s="5">
        <v>2124</v>
      </c>
      <c r="CY82" s="5">
        <v>2125</v>
      </c>
      <c r="CZ82" s="5">
        <v>2126</v>
      </c>
      <c r="DA82" s="5">
        <v>2127</v>
      </c>
    </row>
    <row r="83" spans="3:106" x14ac:dyDescent="0.4">
      <c r="D83" t="s">
        <v>207</v>
      </c>
      <c r="J83" s="8">
        <f>IF(J$13&lt;=$B$3,J84/$B$3,0)</f>
        <v>78815.940025149233</v>
      </c>
      <c r="K83" s="8">
        <f>IF(K81&lt;=$B$3,J83,0)</f>
        <v>78815.940025149233</v>
      </c>
      <c r="L83" s="8">
        <f t="shared" ref="L83:BW83" si="88">IF(L81&lt;=$B$3,K83,0)</f>
        <v>78815.940025149233</v>
      </c>
      <c r="M83" s="8">
        <f t="shared" si="88"/>
        <v>78815.940025149233</v>
      </c>
      <c r="N83" s="8">
        <f t="shared" si="88"/>
        <v>78815.940025149233</v>
      </c>
      <c r="O83" s="8">
        <f t="shared" si="88"/>
        <v>78815.940025149233</v>
      </c>
      <c r="P83" s="8">
        <f t="shared" si="88"/>
        <v>78815.940025149233</v>
      </c>
      <c r="Q83" s="8">
        <f t="shared" si="88"/>
        <v>78815.940025149233</v>
      </c>
      <c r="R83" s="8">
        <f t="shared" si="88"/>
        <v>78815.940025149233</v>
      </c>
      <c r="S83" s="8">
        <f t="shared" si="88"/>
        <v>78815.940025149233</v>
      </c>
      <c r="T83" s="8">
        <f t="shared" si="88"/>
        <v>78815.940025149233</v>
      </c>
      <c r="U83" s="8">
        <f t="shared" si="88"/>
        <v>78815.940025149233</v>
      </c>
      <c r="V83" s="8">
        <f t="shared" si="88"/>
        <v>78815.940025149233</v>
      </c>
      <c r="W83" s="8">
        <f t="shared" si="88"/>
        <v>78815.940025149233</v>
      </c>
      <c r="X83" s="8">
        <f t="shared" si="88"/>
        <v>78815.940025149233</v>
      </c>
      <c r="Y83" s="8">
        <f t="shared" si="88"/>
        <v>78815.940025149233</v>
      </c>
      <c r="Z83" s="8">
        <f t="shared" si="88"/>
        <v>78815.940025149233</v>
      </c>
      <c r="AA83" s="8">
        <f t="shared" si="88"/>
        <v>78815.940025149233</v>
      </c>
      <c r="AB83" s="8">
        <f t="shared" si="88"/>
        <v>78815.940025149233</v>
      </c>
      <c r="AC83" s="8">
        <f t="shared" si="88"/>
        <v>78815.940025149233</v>
      </c>
      <c r="AD83" s="8">
        <f t="shared" si="88"/>
        <v>78815.940025149233</v>
      </c>
      <c r="AE83" s="8">
        <f t="shared" si="88"/>
        <v>78815.940025149233</v>
      </c>
      <c r="AF83" s="8">
        <f t="shared" si="88"/>
        <v>78815.940025149233</v>
      </c>
      <c r="AG83" s="8">
        <f t="shared" si="88"/>
        <v>78815.940025149233</v>
      </c>
      <c r="AH83" s="8">
        <f t="shared" si="88"/>
        <v>78815.940025149233</v>
      </c>
      <c r="AI83" s="8">
        <f t="shared" si="88"/>
        <v>78815.940025149233</v>
      </c>
      <c r="AJ83" s="8">
        <f t="shared" si="88"/>
        <v>78815.940025149233</v>
      </c>
      <c r="AK83" s="8">
        <f t="shared" si="88"/>
        <v>78815.940025149233</v>
      </c>
      <c r="AL83" s="8">
        <f t="shared" si="88"/>
        <v>78815.940025149233</v>
      </c>
      <c r="AM83" s="8">
        <f t="shared" si="88"/>
        <v>78815.940025149233</v>
      </c>
      <c r="AN83" s="8">
        <f t="shared" si="88"/>
        <v>78815.940025149233</v>
      </c>
      <c r="AO83" s="8">
        <f t="shared" si="88"/>
        <v>78815.940025149233</v>
      </c>
      <c r="AP83" s="8">
        <f t="shared" si="88"/>
        <v>78815.940025149233</v>
      </c>
      <c r="AQ83" s="8">
        <f t="shared" si="88"/>
        <v>78815.940025149233</v>
      </c>
      <c r="AR83" s="8">
        <f t="shared" si="88"/>
        <v>78815.940025149233</v>
      </c>
      <c r="AS83" s="8">
        <f t="shared" si="88"/>
        <v>78815.940025149233</v>
      </c>
      <c r="AT83" s="8">
        <f t="shared" si="88"/>
        <v>78815.940025149233</v>
      </c>
      <c r="AU83" s="8">
        <f t="shared" si="88"/>
        <v>78815.940025149233</v>
      </c>
      <c r="AV83" s="8">
        <f t="shared" si="88"/>
        <v>78815.940025149233</v>
      </c>
      <c r="AW83" s="8">
        <f t="shared" si="88"/>
        <v>78815.940025149233</v>
      </c>
      <c r="AX83" s="8">
        <f t="shared" si="88"/>
        <v>78815.940025149233</v>
      </c>
      <c r="AY83" s="8">
        <f t="shared" si="88"/>
        <v>78815.940025149233</v>
      </c>
      <c r="AZ83" s="8">
        <f t="shared" si="88"/>
        <v>78815.940025149233</v>
      </c>
      <c r="BA83" s="8">
        <f t="shared" si="88"/>
        <v>78815.940025149233</v>
      </c>
      <c r="BB83" s="8">
        <f t="shared" si="88"/>
        <v>78815.940025149233</v>
      </c>
      <c r="BC83" s="8">
        <f t="shared" si="88"/>
        <v>78815.940025149233</v>
      </c>
      <c r="BD83" s="8">
        <f t="shared" si="88"/>
        <v>78815.940025149233</v>
      </c>
      <c r="BE83" s="8">
        <f t="shared" si="88"/>
        <v>78815.940025149233</v>
      </c>
      <c r="BF83" s="8">
        <f t="shared" si="88"/>
        <v>78815.940025149233</v>
      </c>
      <c r="BG83" s="8">
        <f t="shared" si="88"/>
        <v>78815.940025149233</v>
      </c>
      <c r="BH83" s="8">
        <f t="shared" si="88"/>
        <v>0</v>
      </c>
      <c r="BI83" s="8">
        <f t="shared" si="88"/>
        <v>0</v>
      </c>
      <c r="BJ83" s="8">
        <f t="shared" si="88"/>
        <v>0</v>
      </c>
      <c r="BK83" s="8">
        <f t="shared" si="88"/>
        <v>0</v>
      </c>
      <c r="BL83" s="8">
        <f t="shared" si="88"/>
        <v>0</v>
      </c>
      <c r="BM83" s="8">
        <f t="shared" si="88"/>
        <v>0</v>
      </c>
      <c r="BN83" s="8">
        <f t="shared" si="88"/>
        <v>0</v>
      </c>
      <c r="BO83" s="8">
        <f t="shared" si="88"/>
        <v>0</v>
      </c>
      <c r="BP83" s="8">
        <f t="shared" si="88"/>
        <v>0</v>
      </c>
      <c r="BQ83" s="8">
        <f t="shared" si="88"/>
        <v>0</v>
      </c>
      <c r="BR83" s="8">
        <f t="shared" si="88"/>
        <v>0</v>
      </c>
      <c r="BS83" s="8">
        <f t="shared" si="88"/>
        <v>0</v>
      </c>
      <c r="BT83" s="8">
        <f t="shared" si="88"/>
        <v>0</v>
      </c>
      <c r="BU83" s="8">
        <f t="shared" si="88"/>
        <v>0</v>
      </c>
      <c r="BV83" s="8">
        <f t="shared" si="88"/>
        <v>0</v>
      </c>
      <c r="BW83" s="8">
        <f t="shared" si="88"/>
        <v>0</v>
      </c>
      <c r="BX83" s="8">
        <f t="shared" ref="BX83:DA83" si="89">IF(BX81&lt;=$B$3,BW83,0)</f>
        <v>0</v>
      </c>
      <c r="BY83" s="8">
        <f t="shared" si="89"/>
        <v>0</v>
      </c>
      <c r="BZ83" s="8">
        <f t="shared" si="89"/>
        <v>0</v>
      </c>
      <c r="CA83" s="8">
        <f t="shared" si="89"/>
        <v>0</v>
      </c>
      <c r="CB83" s="8">
        <f t="shared" si="89"/>
        <v>0</v>
      </c>
      <c r="CC83" s="8">
        <f t="shared" si="89"/>
        <v>0</v>
      </c>
      <c r="CD83" s="8">
        <f t="shared" si="89"/>
        <v>0</v>
      </c>
      <c r="CE83" s="8">
        <f t="shared" si="89"/>
        <v>0</v>
      </c>
      <c r="CF83" s="8">
        <f t="shared" si="89"/>
        <v>0</v>
      </c>
      <c r="CG83" s="8">
        <f t="shared" si="89"/>
        <v>0</v>
      </c>
      <c r="CH83" s="8">
        <f t="shared" si="89"/>
        <v>0</v>
      </c>
      <c r="CI83" s="8">
        <f t="shared" si="89"/>
        <v>0</v>
      </c>
      <c r="CJ83" s="8">
        <f t="shared" si="89"/>
        <v>0</v>
      </c>
      <c r="CK83" s="8">
        <f t="shared" si="89"/>
        <v>0</v>
      </c>
      <c r="CL83" s="8">
        <f t="shared" si="89"/>
        <v>0</v>
      </c>
      <c r="CM83" s="8">
        <f t="shared" si="89"/>
        <v>0</v>
      </c>
      <c r="CN83" s="8">
        <f t="shared" si="89"/>
        <v>0</v>
      </c>
      <c r="CO83" s="8">
        <f t="shared" si="89"/>
        <v>0</v>
      </c>
      <c r="CP83" s="8">
        <f t="shared" si="89"/>
        <v>0</v>
      </c>
      <c r="CQ83" s="8">
        <f t="shared" si="89"/>
        <v>0</v>
      </c>
      <c r="CR83" s="8">
        <f t="shared" si="89"/>
        <v>0</v>
      </c>
      <c r="CS83" s="8">
        <f t="shared" si="89"/>
        <v>0</v>
      </c>
      <c r="CT83" s="8">
        <f t="shared" si="89"/>
        <v>0</v>
      </c>
      <c r="CU83" s="8">
        <f t="shared" si="89"/>
        <v>0</v>
      </c>
      <c r="CV83" s="8">
        <f t="shared" si="89"/>
        <v>0</v>
      </c>
      <c r="CW83" s="8">
        <f t="shared" si="89"/>
        <v>0</v>
      </c>
      <c r="CX83" s="8">
        <f t="shared" si="89"/>
        <v>0</v>
      </c>
      <c r="CY83" s="8">
        <f t="shared" si="89"/>
        <v>0</v>
      </c>
      <c r="CZ83" s="8">
        <f t="shared" si="89"/>
        <v>0</v>
      </c>
      <c r="DA83" s="8">
        <f t="shared" si="89"/>
        <v>0</v>
      </c>
      <c r="DB83" s="8"/>
    </row>
    <row r="84" spans="3:106" x14ac:dyDescent="0.4">
      <c r="D84" t="s">
        <v>154</v>
      </c>
      <c r="I84" s="8">
        <f>HLOOKUP(J82,$F$3:$O$10,7,0)</f>
        <v>3940797.001257462</v>
      </c>
      <c r="J84" s="8">
        <f>IF(ROUND(I85,4)=-ROUND(I84,4),0,I84)</f>
        <v>3940797.001257462</v>
      </c>
      <c r="K84" s="8">
        <f t="shared" ref="K84:BV84" si="90">IF(ROUND(J85,4)=-ROUND(J84,4),0,J84)</f>
        <v>3940797.001257462</v>
      </c>
      <c r="L84" s="8">
        <f t="shared" si="90"/>
        <v>3940797.001257462</v>
      </c>
      <c r="M84" s="8">
        <f t="shared" si="90"/>
        <v>3940797.001257462</v>
      </c>
      <c r="N84" s="8">
        <f t="shared" si="90"/>
        <v>3940797.001257462</v>
      </c>
      <c r="O84" s="8">
        <f t="shared" si="90"/>
        <v>3940797.001257462</v>
      </c>
      <c r="P84" s="8">
        <f t="shared" si="90"/>
        <v>3940797.001257462</v>
      </c>
      <c r="Q84" s="8">
        <f t="shared" si="90"/>
        <v>3940797.001257462</v>
      </c>
      <c r="R84" s="8">
        <f t="shared" si="90"/>
        <v>3940797.001257462</v>
      </c>
      <c r="S84" s="8">
        <f t="shared" si="90"/>
        <v>3940797.001257462</v>
      </c>
      <c r="T84" s="8">
        <f t="shared" si="90"/>
        <v>3940797.001257462</v>
      </c>
      <c r="U84" s="8">
        <f t="shared" si="90"/>
        <v>3940797.001257462</v>
      </c>
      <c r="V84" s="8">
        <f t="shared" si="90"/>
        <v>3940797.001257462</v>
      </c>
      <c r="W84" s="8">
        <f t="shared" si="90"/>
        <v>3940797.001257462</v>
      </c>
      <c r="X84" s="8">
        <f t="shared" si="90"/>
        <v>3940797.001257462</v>
      </c>
      <c r="Y84" s="8">
        <f t="shared" si="90"/>
        <v>3940797.001257462</v>
      </c>
      <c r="Z84" s="8">
        <f t="shared" si="90"/>
        <v>3940797.001257462</v>
      </c>
      <c r="AA84" s="8">
        <f t="shared" si="90"/>
        <v>3940797.001257462</v>
      </c>
      <c r="AB84" s="8">
        <f t="shared" si="90"/>
        <v>3940797.001257462</v>
      </c>
      <c r="AC84" s="8">
        <f t="shared" si="90"/>
        <v>3940797.001257462</v>
      </c>
      <c r="AD84" s="8">
        <f t="shared" si="90"/>
        <v>3940797.001257462</v>
      </c>
      <c r="AE84" s="8">
        <f t="shared" si="90"/>
        <v>3940797.001257462</v>
      </c>
      <c r="AF84" s="8">
        <f t="shared" si="90"/>
        <v>3940797.001257462</v>
      </c>
      <c r="AG84" s="8">
        <f t="shared" si="90"/>
        <v>3940797.001257462</v>
      </c>
      <c r="AH84" s="8">
        <f t="shared" si="90"/>
        <v>3940797.001257462</v>
      </c>
      <c r="AI84" s="8">
        <f t="shared" si="90"/>
        <v>3940797.001257462</v>
      </c>
      <c r="AJ84" s="8">
        <f t="shared" si="90"/>
        <v>3940797.001257462</v>
      </c>
      <c r="AK84" s="8">
        <f t="shared" si="90"/>
        <v>3940797.001257462</v>
      </c>
      <c r="AL84" s="8">
        <f t="shared" si="90"/>
        <v>3940797.001257462</v>
      </c>
      <c r="AM84" s="8">
        <f t="shared" si="90"/>
        <v>3940797.001257462</v>
      </c>
      <c r="AN84" s="8">
        <f t="shared" si="90"/>
        <v>3940797.001257462</v>
      </c>
      <c r="AO84" s="8">
        <f t="shared" si="90"/>
        <v>3940797.001257462</v>
      </c>
      <c r="AP84" s="8">
        <f t="shared" si="90"/>
        <v>3940797.001257462</v>
      </c>
      <c r="AQ84" s="8">
        <f t="shared" si="90"/>
        <v>3940797.001257462</v>
      </c>
      <c r="AR84" s="8">
        <f t="shared" si="90"/>
        <v>3940797.001257462</v>
      </c>
      <c r="AS84" s="8">
        <f t="shared" si="90"/>
        <v>3940797.001257462</v>
      </c>
      <c r="AT84" s="8">
        <f t="shared" si="90"/>
        <v>3940797.001257462</v>
      </c>
      <c r="AU84" s="8">
        <f t="shared" si="90"/>
        <v>3940797.001257462</v>
      </c>
      <c r="AV84" s="8">
        <f t="shared" si="90"/>
        <v>3940797.001257462</v>
      </c>
      <c r="AW84" s="8">
        <f t="shared" si="90"/>
        <v>3940797.001257462</v>
      </c>
      <c r="AX84" s="8">
        <f t="shared" si="90"/>
        <v>3940797.001257462</v>
      </c>
      <c r="AY84" s="8">
        <f t="shared" si="90"/>
        <v>3940797.001257462</v>
      </c>
      <c r="AZ84" s="8">
        <f t="shared" si="90"/>
        <v>3940797.001257462</v>
      </c>
      <c r="BA84" s="8">
        <f t="shared" si="90"/>
        <v>3940797.001257462</v>
      </c>
      <c r="BB84" s="8">
        <f t="shared" si="90"/>
        <v>3940797.001257462</v>
      </c>
      <c r="BC84" s="8">
        <f t="shared" si="90"/>
        <v>3940797.001257462</v>
      </c>
      <c r="BD84" s="8">
        <f t="shared" si="90"/>
        <v>3940797.001257462</v>
      </c>
      <c r="BE84" s="8">
        <f t="shared" si="90"/>
        <v>3940797.001257462</v>
      </c>
      <c r="BF84" s="8">
        <f t="shared" si="90"/>
        <v>3940797.001257462</v>
      </c>
      <c r="BG84" s="8">
        <f t="shared" si="90"/>
        <v>3940797.001257462</v>
      </c>
      <c r="BH84" s="8">
        <f t="shared" si="90"/>
        <v>0</v>
      </c>
      <c r="BI84" s="8">
        <f t="shared" si="90"/>
        <v>0</v>
      </c>
      <c r="BJ84" s="8">
        <f t="shared" si="90"/>
        <v>0</v>
      </c>
      <c r="BK84" s="8">
        <f t="shared" si="90"/>
        <v>0</v>
      </c>
      <c r="BL84" s="8">
        <f t="shared" si="90"/>
        <v>0</v>
      </c>
      <c r="BM84" s="8">
        <f t="shared" si="90"/>
        <v>0</v>
      </c>
      <c r="BN84" s="8">
        <f t="shared" si="90"/>
        <v>0</v>
      </c>
      <c r="BO84" s="8">
        <f t="shared" si="90"/>
        <v>0</v>
      </c>
      <c r="BP84" s="8">
        <f t="shared" si="90"/>
        <v>0</v>
      </c>
      <c r="BQ84" s="8">
        <f t="shared" si="90"/>
        <v>0</v>
      </c>
      <c r="BR84" s="8">
        <f t="shared" si="90"/>
        <v>0</v>
      </c>
      <c r="BS84" s="8">
        <f t="shared" si="90"/>
        <v>0</v>
      </c>
      <c r="BT84" s="8">
        <f t="shared" si="90"/>
        <v>0</v>
      </c>
      <c r="BU84" s="8">
        <f t="shared" si="90"/>
        <v>0</v>
      </c>
      <c r="BV84" s="8">
        <f t="shared" si="90"/>
        <v>0</v>
      </c>
      <c r="BW84" s="8">
        <f t="shared" ref="BW84:DA84" si="91">IF(ROUND(BV85,4)=-ROUND(BV84,4),0,BV84)</f>
        <v>0</v>
      </c>
      <c r="BX84" s="8">
        <f t="shared" si="91"/>
        <v>0</v>
      </c>
      <c r="BY84" s="8">
        <f t="shared" si="91"/>
        <v>0</v>
      </c>
      <c r="BZ84" s="8">
        <f t="shared" si="91"/>
        <v>0</v>
      </c>
      <c r="CA84" s="8">
        <f t="shared" si="91"/>
        <v>0</v>
      </c>
      <c r="CB84" s="8">
        <f t="shared" si="91"/>
        <v>0</v>
      </c>
      <c r="CC84" s="8">
        <f t="shared" si="91"/>
        <v>0</v>
      </c>
      <c r="CD84" s="8">
        <f t="shared" si="91"/>
        <v>0</v>
      </c>
      <c r="CE84" s="8">
        <f t="shared" si="91"/>
        <v>0</v>
      </c>
      <c r="CF84" s="8">
        <f t="shared" si="91"/>
        <v>0</v>
      </c>
      <c r="CG84" s="8">
        <f t="shared" si="91"/>
        <v>0</v>
      </c>
      <c r="CH84" s="8">
        <f t="shared" si="91"/>
        <v>0</v>
      </c>
      <c r="CI84" s="8">
        <f t="shared" si="91"/>
        <v>0</v>
      </c>
      <c r="CJ84" s="8">
        <f t="shared" si="91"/>
        <v>0</v>
      </c>
      <c r="CK84" s="8">
        <f t="shared" si="91"/>
        <v>0</v>
      </c>
      <c r="CL84" s="8">
        <f t="shared" si="91"/>
        <v>0</v>
      </c>
      <c r="CM84" s="8">
        <f t="shared" si="91"/>
        <v>0</v>
      </c>
      <c r="CN84" s="8">
        <f t="shared" si="91"/>
        <v>0</v>
      </c>
      <c r="CO84" s="8">
        <f t="shared" si="91"/>
        <v>0</v>
      </c>
      <c r="CP84" s="8">
        <f t="shared" si="91"/>
        <v>0</v>
      </c>
      <c r="CQ84" s="8">
        <f t="shared" si="91"/>
        <v>0</v>
      </c>
      <c r="CR84" s="8">
        <f t="shared" si="91"/>
        <v>0</v>
      </c>
      <c r="CS84" s="8">
        <f t="shared" si="91"/>
        <v>0</v>
      </c>
      <c r="CT84" s="8">
        <f t="shared" si="91"/>
        <v>0</v>
      </c>
      <c r="CU84" s="8">
        <f t="shared" si="91"/>
        <v>0</v>
      </c>
      <c r="CV84" s="8">
        <f t="shared" si="91"/>
        <v>0</v>
      </c>
      <c r="CW84" s="8">
        <f t="shared" si="91"/>
        <v>0</v>
      </c>
      <c r="CX84" s="8">
        <f t="shared" si="91"/>
        <v>0</v>
      </c>
      <c r="CY84" s="8">
        <f t="shared" si="91"/>
        <v>0</v>
      </c>
      <c r="CZ84" s="8">
        <f t="shared" si="91"/>
        <v>0</v>
      </c>
      <c r="DA84" s="8">
        <f t="shared" si="91"/>
        <v>0</v>
      </c>
      <c r="DB84" s="8"/>
    </row>
    <row r="85" spans="3:106" x14ac:dyDescent="0.4">
      <c r="D85" t="s">
        <v>208</v>
      </c>
      <c r="I85" s="8"/>
      <c r="J85" s="8">
        <f>IF(J81&lt;=$B$3,-SUM($E83:J83),0)</f>
        <v>-78815.940025149233</v>
      </c>
      <c r="K85" s="8">
        <f>IF(K81&lt;=$B$3,-SUM($E83:K83),0)</f>
        <v>-157631.88005029847</v>
      </c>
      <c r="L85" s="8">
        <f>IF(L81&lt;=$B$3,-SUM($E83:L83),0)</f>
        <v>-236447.8200754477</v>
      </c>
      <c r="M85" s="8">
        <f>IF(M81&lt;=$B$3,-SUM($E83:M83),0)</f>
        <v>-315263.76010059693</v>
      </c>
      <c r="N85" s="8">
        <f>IF(N81&lt;=$B$3,-SUM($E83:N83),0)</f>
        <v>-394079.7001257462</v>
      </c>
      <c r="O85" s="8">
        <f>IF(O81&lt;=$B$3,-SUM($E83:O83),0)</f>
        <v>-472895.64015089546</v>
      </c>
      <c r="P85" s="8">
        <f>IF(P81&lt;=$B$3,-SUM($E83:P83),0)</f>
        <v>-551711.58017604472</v>
      </c>
      <c r="Q85" s="8">
        <f>IF(Q81&lt;=$B$3,-SUM($E83:Q83),0)</f>
        <v>-630527.52020119398</v>
      </c>
      <c r="R85" s="8">
        <f>IF(R81&lt;=$B$3,-SUM($E83:R83),0)</f>
        <v>-709343.46022634325</v>
      </c>
      <c r="S85" s="8">
        <f>IF(S81&lt;=$B$3,-SUM($E83:S83),0)</f>
        <v>-788159.40025149251</v>
      </c>
      <c r="T85" s="8">
        <f>IF(T81&lt;=$B$3,-SUM($E83:T83),0)</f>
        <v>-866975.34027664177</v>
      </c>
      <c r="U85" s="8">
        <f>IF(U81&lt;=$B$3,-SUM($E83:U83),0)</f>
        <v>-945791.28030179103</v>
      </c>
      <c r="V85" s="8">
        <f>IF(V81&lt;=$B$3,-SUM($E83:V83),0)</f>
        <v>-1024607.2203269403</v>
      </c>
      <c r="W85" s="8">
        <f>IF(W81&lt;=$B$3,-SUM($E83:W83),0)</f>
        <v>-1103423.1603520894</v>
      </c>
      <c r="X85" s="8">
        <f>IF(X81&lt;=$B$3,-SUM($E83:X83),0)</f>
        <v>-1182239.1003772386</v>
      </c>
      <c r="Y85" s="8">
        <f>IF(Y81&lt;=$B$3,-SUM($E83:Y83),0)</f>
        <v>-1261055.0404023877</v>
      </c>
      <c r="Z85" s="8">
        <f>IF(Z81&lt;=$B$3,-SUM($E83:Z83),0)</f>
        <v>-1339870.9804275369</v>
      </c>
      <c r="AA85" s="8">
        <f>IF(AA81&lt;=$B$3,-SUM($E83:AA83),0)</f>
        <v>-1418686.920452686</v>
      </c>
      <c r="AB85" s="8">
        <f>IF(AB81&lt;=$B$3,-SUM($E83:AB83),0)</f>
        <v>-1497502.8604778352</v>
      </c>
      <c r="AC85" s="8">
        <f>IF(AC81&lt;=$B$3,-SUM($E83:AC83),0)</f>
        <v>-1576318.8005029843</v>
      </c>
      <c r="AD85" s="8">
        <f>IF(AD81&lt;=$B$3,-SUM($E83:AD83),0)</f>
        <v>-1655134.7405281335</v>
      </c>
      <c r="AE85" s="8">
        <f>IF(AE81&lt;=$B$3,-SUM($E83:AE83),0)</f>
        <v>-1733950.6805532826</v>
      </c>
      <c r="AF85" s="8">
        <f>IF(AF81&lt;=$B$3,-SUM($E83:AF83),0)</f>
        <v>-1812766.6205784318</v>
      </c>
      <c r="AG85" s="8">
        <f>IF(AG81&lt;=$B$3,-SUM($E83:AG83),0)</f>
        <v>-1891582.5606035809</v>
      </c>
      <c r="AH85" s="8">
        <f>IF(AH81&lt;=$B$3,-SUM($E83:AH83),0)</f>
        <v>-1970398.50062873</v>
      </c>
      <c r="AI85" s="8">
        <f>IF(AI81&lt;=$B$3,-SUM($E83:AI83),0)</f>
        <v>-2049214.4406538792</v>
      </c>
      <c r="AJ85" s="8">
        <f>IF(AJ81&lt;=$B$3,-SUM($E83:AJ83),0)</f>
        <v>-2128030.3806790286</v>
      </c>
      <c r="AK85" s="8">
        <f>IF(AK81&lt;=$B$3,-SUM($E83:AK83),0)</f>
        <v>-2206846.320704178</v>
      </c>
      <c r="AL85" s="8">
        <f>IF(AL81&lt;=$B$3,-SUM($E83:AL83),0)</f>
        <v>-2285662.2607293273</v>
      </c>
      <c r="AM85" s="8">
        <f>IF(AM81&lt;=$B$3,-SUM($E83:AM83),0)</f>
        <v>-2364478.2007544767</v>
      </c>
      <c r="AN85" s="8">
        <f>IF(AN81&lt;=$B$3,-SUM($E83:AN83),0)</f>
        <v>-2443294.1407796261</v>
      </c>
      <c r="AO85" s="8">
        <f>IF(AO81&lt;=$B$3,-SUM($E83:AO83),0)</f>
        <v>-2522110.0808047755</v>
      </c>
      <c r="AP85" s="8">
        <f>IF(AP81&lt;=$B$3,-SUM($E83:AP83),0)</f>
        <v>-2600926.0208299248</v>
      </c>
      <c r="AQ85" s="8">
        <f>IF(AQ81&lt;=$B$3,-SUM($E83:AQ83),0)</f>
        <v>-2679741.9608550742</v>
      </c>
      <c r="AR85" s="8">
        <f>IF(AR81&lt;=$B$3,-SUM($E83:AR83),0)</f>
        <v>-2758557.9008802236</v>
      </c>
      <c r="AS85" s="8">
        <f>IF(AS81&lt;=$B$3,-SUM($E83:AS83),0)</f>
        <v>-2837373.840905373</v>
      </c>
      <c r="AT85" s="8">
        <f>IF(AT81&lt;=$B$3,-SUM($E83:AT83),0)</f>
        <v>-2916189.7809305224</v>
      </c>
      <c r="AU85" s="8">
        <f>IF(AU81&lt;=$B$3,-SUM($E83:AU83),0)</f>
        <v>-2995005.7209556717</v>
      </c>
      <c r="AV85" s="8">
        <f>IF(AV81&lt;=$B$3,-SUM($E83:AV83),0)</f>
        <v>-3073821.6609808211</v>
      </c>
      <c r="AW85" s="8">
        <f>IF(AW81&lt;=$B$3,-SUM($E83:AW83),0)</f>
        <v>-3152637.6010059705</v>
      </c>
      <c r="AX85" s="8">
        <f>IF(AX81&lt;=$B$3,-SUM($E83:AX83),0)</f>
        <v>-3231453.5410311199</v>
      </c>
      <c r="AY85" s="8">
        <f>IF(AY81&lt;=$B$3,-SUM($E83:AY83),0)</f>
        <v>-3310269.4810562693</v>
      </c>
      <c r="AZ85" s="8">
        <f>IF(AZ81&lt;=$B$3,-SUM($E83:AZ83),0)</f>
        <v>-3389085.4210814186</v>
      </c>
      <c r="BA85" s="8">
        <f>IF(BA81&lt;=$B$3,-SUM($E83:BA83),0)</f>
        <v>-3467901.361106568</v>
      </c>
      <c r="BB85" s="8">
        <f>IF(BB81&lt;=$B$3,-SUM($E83:BB83),0)</f>
        <v>-3546717.3011317174</v>
      </c>
      <c r="BC85" s="8">
        <f>IF(BC81&lt;=$B$3,-SUM($E83:BC83),0)</f>
        <v>-3625533.2411568668</v>
      </c>
      <c r="BD85" s="8">
        <f>IF(BD81&lt;=$B$3,-SUM($E83:BD83),0)</f>
        <v>-3704349.1811820162</v>
      </c>
      <c r="BE85" s="8">
        <f>IF(BE81&lt;=$B$3,-SUM($E83:BE83),0)</f>
        <v>-3783165.1212071655</v>
      </c>
      <c r="BF85" s="8">
        <f>IF(BF81&lt;=$B$3,-SUM($E83:BF83),0)</f>
        <v>-3861981.0612323149</v>
      </c>
      <c r="BG85" s="8">
        <f>IF(BG81&lt;=$B$3,-SUM($E83:BG83),0)</f>
        <v>-3940797.0012574643</v>
      </c>
      <c r="BH85" s="8">
        <f>IF(BH81&lt;=$B$3,-SUM($E83:BH83),0)</f>
        <v>0</v>
      </c>
      <c r="BI85" s="8">
        <f>IF(BI81&lt;=$B$3,-SUM($E83:BI83),0)</f>
        <v>0</v>
      </c>
      <c r="BJ85" s="8">
        <f>IF(BJ81&lt;=$B$3,-SUM($E83:BJ83),0)</f>
        <v>0</v>
      </c>
      <c r="BK85" s="8">
        <f>IF(BK81&lt;=$B$3,-SUM($E83:BK83),0)</f>
        <v>0</v>
      </c>
      <c r="BL85" s="8">
        <f>IF(BL81&lt;=$B$3,-SUM($E83:BL83),0)</f>
        <v>0</v>
      </c>
      <c r="BM85" s="8">
        <f>IF(BM81&lt;=$B$3,-SUM($E83:BM83),0)</f>
        <v>0</v>
      </c>
      <c r="BN85" s="8">
        <f>IF(BN81&lt;=$B$3,-SUM($E83:BN83),0)</f>
        <v>0</v>
      </c>
      <c r="BO85" s="8">
        <f>IF(BO81&lt;=$B$3,-SUM($E83:BO83),0)</f>
        <v>0</v>
      </c>
      <c r="BP85" s="8">
        <f>IF(BP81&lt;=$B$3,-SUM($E83:BP83),0)</f>
        <v>0</v>
      </c>
      <c r="BQ85" s="8">
        <f>IF(BQ81&lt;=$B$3,-SUM($E83:BQ83),0)</f>
        <v>0</v>
      </c>
      <c r="BR85" s="8">
        <f>IF(BR81&lt;=$B$3,-SUM($E83:BR83),0)</f>
        <v>0</v>
      </c>
      <c r="BS85" s="8">
        <f>IF(BS81&lt;=$B$3,-SUM($E83:BS83),0)</f>
        <v>0</v>
      </c>
      <c r="BT85" s="8">
        <f>IF(BT81&lt;=$B$3,-SUM($E83:BT83),0)</f>
        <v>0</v>
      </c>
      <c r="BU85" s="8">
        <f>IF(BU81&lt;=$B$3,-SUM($E83:BU83),0)</f>
        <v>0</v>
      </c>
      <c r="BV85" s="8">
        <f>IF(BV81&lt;=$B$3,-SUM($E83:BV83),0)</f>
        <v>0</v>
      </c>
      <c r="BW85" s="8">
        <f>IF(BW81&lt;=$B$3,-SUM($E83:BW83),0)</f>
        <v>0</v>
      </c>
      <c r="BX85" s="8">
        <f>IF(BX81&lt;=$B$3,-SUM($E83:BX83),0)</f>
        <v>0</v>
      </c>
      <c r="BY85" s="8">
        <f>IF(BY81&lt;=$B$3,-SUM($E83:BY83),0)</f>
        <v>0</v>
      </c>
      <c r="BZ85" s="8">
        <f>IF(BZ81&lt;=$B$3,-SUM($E83:BZ83),0)</f>
        <v>0</v>
      </c>
      <c r="CA85" s="8">
        <f>IF(CA81&lt;=$B$3,-SUM($E83:CA83),0)</f>
        <v>0</v>
      </c>
      <c r="CB85" s="8">
        <f>IF(CB81&lt;=$B$3,-SUM($E83:CB83),0)</f>
        <v>0</v>
      </c>
      <c r="CC85" s="8">
        <f>IF(CC81&lt;=$B$3,-SUM($E83:CC83),0)</f>
        <v>0</v>
      </c>
      <c r="CD85" s="8">
        <f>IF(CD81&lt;=$B$3,-SUM($E83:CD83),0)</f>
        <v>0</v>
      </c>
      <c r="CE85" s="8">
        <f>IF(CE81&lt;=$B$3,-SUM($E83:CE83),0)</f>
        <v>0</v>
      </c>
      <c r="CF85" s="8">
        <f>IF(CF81&lt;=$B$3,-SUM($E83:CF83),0)</f>
        <v>0</v>
      </c>
      <c r="CG85" s="8">
        <f>IF(CG81&lt;=$B$3,-SUM($E83:CG83),0)</f>
        <v>0</v>
      </c>
      <c r="CH85" s="8">
        <f>IF(CH81&lt;=$B$3,-SUM($E83:CH83),0)</f>
        <v>0</v>
      </c>
      <c r="CI85" s="8">
        <f>IF(CI81&lt;=$B$3,-SUM($E83:CI83),0)</f>
        <v>0</v>
      </c>
      <c r="CJ85" s="8">
        <f>IF(CJ81&lt;=$B$3,-SUM($E83:CJ83),0)</f>
        <v>0</v>
      </c>
      <c r="CK85" s="8">
        <f>IF(CK81&lt;=$B$3,-SUM($E83:CK83),0)</f>
        <v>0</v>
      </c>
      <c r="CL85" s="8">
        <f>IF(CL81&lt;=$B$3,-SUM($E83:CL83),0)</f>
        <v>0</v>
      </c>
      <c r="CM85" s="8">
        <f>IF(CM81&lt;=$B$3,-SUM($E83:CM83),0)</f>
        <v>0</v>
      </c>
      <c r="CN85" s="8">
        <f>IF(CN81&lt;=$B$3,-SUM($E83:CN83),0)</f>
        <v>0</v>
      </c>
      <c r="CO85" s="8">
        <f>IF(CO81&lt;=$B$3,-SUM($E83:CO83),0)</f>
        <v>0</v>
      </c>
      <c r="CP85" s="8">
        <f>IF(CP81&lt;=$B$3,-SUM($E83:CP83),0)</f>
        <v>0</v>
      </c>
      <c r="CQ85" s="8">
        <f>IF(CQ81&lt;=$B$3,-SUM($E83:CQ83),0)</f>
        <v>0</v>
      </c>
      <c r="CR85" s="8">
        <f>IF(CR81&lt;=$B$3,-SUM($E83:CR83),0)</f>
        <v>0</v>
      </c>
      <c r="CS85" s="8">
        <f>IF(CS81&lt;=$B$3,-SUM($E83:CS83),0)</f>
        <v>0</v>
      </c>
      <c r="CT85" s="8">
        <f>IF(CT81&lt;=$B$3,-SUM($E83:CT83),0)</f>
        <v>0</v>
      </c>
      <c r="CU85" s="8">
        <f>IF(CU81&lt;=$B$3,-SUM($E83:CU83),0)</f>
        <v>0</v>
      </c>
      <c r="CV85" s="8">
        <f>IF(CV81&lt;=$B$3,-SUM($E83:CV83),0)</f>
        <v>0</v>
      </c>
      <c r="CW85" s="8">
        <f>IF(CW81&lt;=$B$3,-SUM($E83:CW83),0)</f>
        <v>0</v>
      </c>
      <c r="CX85" s="8">
        <f>IF(CX81&lt;=$B$3,-SUM($E83:CX83),0)</f>
        <v>0</v>
      </c>
      <c r="CY85" s="8">
        <f>IF(CY81&lt;=$B$3,-SUM($E83:CY83),0)</f>
        <v>0</v>
      </c>
      <c r="CZ85" s="8">
        <f>IF(CZ81&lt;=$B$3,-SUM($E83:CZ83),0)</f>
        <v>0</v>
      </c>
      <c r="DA85" s="8">
        <f>IF(DA81&lt;=$B$3,-SUM($E83:DA83),0)</f>
        <v>0</v>
      </c>
      <c r="DB85" s="8"/>
    </row>
    <row r="86" spans="3:106" x14ac:dyDescent="0.4">
      <c r="D86" t="s">
        <v>167</v>
      </c>
      <c r="I86" s="8"/>
      <c r="J86" s="8">
        <f>I87</f>
        <v>3940797.001257462</v>
      </c>
      <c r="K86" s="8">
        <f t="shared" ref="K86:BV86" si="92">J87</f>
        <v>3861981.0612323126</v>
      </c>
      <c r="L86" s="8">
        <f t="shared" si="92"/>
        <v>3783165.1212071637</v>
      </c>
      <c r="M86" s="8">
        <f t="shared" si="92"/>
        <v>3704349.1811820143</v>
      </c>
      <c r="N86" s="8">
        <f t="shared" si="92"/>
        <v>3625533.2411568649</v>
      </c>
      <c r="O86" s="8">
        <f t="shared" si="92"/>
        <v>3546717.301131716</v>
      </c>
      <c r="P86" s="8">
        <f t="shared" si="92"/>
        <v>3467901.3611065666</v>
      </c>
      <c r="Q86" s="8">
        <f t="shared" si="92"/>
        <v>3389085.4210814172</v>
      </c>
      <c r="R86" s="8">
        <f t="shared" si="92"/>
        <v>3310269.4810562679</v>
      </c>
      <c r="S86" s="8">
        <f t="shared" si="92"/>
        <v>3231453.5410311185</v>
      </c>
      <c r="T86" s="8">
        <f t="shared" si="92"/>
        <v>3152637.6010059696</v>
      </c>
      <c r="U86" s="8">
        <f t="shared" si="92"/>
        <v>3073821.6609808202</v>
      </c>
      <c r="V86" s="8">
        <f t="shared" si="92"/>
        <v>2995005.7209556708</v>
      </c>
      <c r="W86" s="8">
        <f t="shared" si="92"/>
        <v>2916189.7809305219</v>
      </c>
      <c r="X86" s="8">
        <f t="shared" si="92"/>
        <v>2837373.8409053725</v>
      </c>
      <c r="Y86" s="8">
        <f t="shared" si="92"/>
        <v>2758557.9008802231</v>
      </c>
      <c r="Z86" s="8">
        <f t="shared" si="92"/>
        <v>2679741.9608550742</v>
      </c>
      <c r="AA86" s="8">
        <f t="shared" si="92"/>
        <v>2600926.0208299253</v>
      </c>
      <c r="AB86" s="8">
        <f t="shared" si="92"/>
        <v>2522110.0808047759</v>
      </c>
      <c r="AC86" s="8">
        <f t="shared" si="92"/>
        <v>2443294.1407796266</v>
      </c>
      <c r="AD86" s="8">
        <f t="shared" si="92"/>
        <v>2364478.2007544776</v>
      </c>
      <c r="AE86" s="8">
        <f t="shared" si="92"/>
        <v>2285662.2607293287</v>
      </c>
      <c r="AF86" s="8">
        <f t="shared" si="92"/>
        <v>2206846.3207041794</v>
      </c>
      <c r="AG86" s="8">
        <f t="shared" si="92"/>
        <v>2128030.38067903</v>
      </c>
      <c r="AH86" s="8">
        <f t="shared" si="92"/>
        <v>2049214.4406538811</v>
      </c>
      <c r="AI86" s="8">
        <f t="shared" si="92"/>
        <v>1970398.5006287319</v>
      </c>
      <c r="AJ86" s="8">
        <f t="shared" si="92"/>
        <v>1891582.5606035828</v>
      </c>
      <c r="AK86" s="8">
        <f t="shared" si="92"/>
        <v>1812766.6205784334</v>
      </c>
      <c r="AL86" s="8">
        <f t="shared" si="92"/>
        <v>1733950.680553284</v>
      </c>
      <c r="AM86" s="8">
        <f t="shared" si="92"/>
        <v>1655134.7405281346</v>
      </c>
      <c r="AN86" s="8">
        <f t="shared" si="92"/>
        <v>1576318.8005029853</v>
      </c>
      <c r="AO86" s="8">
        <f t="shared" si="92"/>
        <v>1497502.8604778359</v>
      </c>
      <c r="AP86" s="8">
        <f t="shared" si="92"/>
        <v>1418686.9204526865</v>
      </c>
      <c r="AQ86" s="8">
        <f t="shared" si="92"/>
        <v>1339870.9804275371</v>
      </c>
      <c r="AR86" s="8">
        <f t="shared" si="92"/>
        <v>1261055.0404023877</v>
      </c>
      <c r="AS86" s="8">
        <f t="shared" si="92"/>
        <v>1182239.1003772384</v>
      </c>
      <c r="AT86" s="8">
        <f t="shared" si="92"/>
        <v>1103423.160352089</v>
      </c>
      <c r="AU86" s="8">
        <f t="shared" si="92"/>
        <v>1024607.2203269396</v>
      </c>
      <c r="AV86" s="8">
        <f t="shared" si="92"/>
        <v>945791.28030179022</v>
      </c>
      <c r="AW86" s="8">
        <f t="shared" si="92"/>
        <v>866975.34027664084</v>
      </c>
      <c r="AX86" s="8">
        <f t="shared" si="92"/>
        <v>788159.40025149146</v>
      </c>
      <c r="AY86" s="8">
        <f t="shared" si="92"/>
        <v>709343.46022634208</v>
      </c>
      <c r="AZ86" s="8">
        <f t="shared" si="92"/>
        <v>630527.5202011927</v>
      </c>
      <c r="BA86" s="8">
        <f t="shared" si="92"/>
        <v>551711.58017604332</v>
      </c>
      <c r="BB86" s="8">
        <f t="shared" si="92"/>
        <v>472895.64015089395</v>
      </c>
      <c r="BC86" s="8">
        <f t="shared" si="92"/>
        <v>394079.70012574457</v>
      </c>
      <c r="BD86" s="8">
        <f t="shared" si="92"/>
        <v>315263.76010059519</v>
      </c>
      <c r="BE86" s="8">
        <f t="shared" si="92"/>
        <v>236447.82007544581</v>
      </c>
      <c r="BF86" s="8">
        <f t="shared" si="92"/>
        <v>157631.88005029643</v>
      </c>
      <c r="BG86" s="8">
        <f t="shared" si="92"/>
        <v>78815.940025147051</v>
      </c>
      <c r="BH86" s="8">
        <f t="shared" si="92"/>
        <v>0</v>
      </c>
      <c r="BI86" s="8">
        <f t="shared" si="92"/>
        <v>0</v>
      </c>
      <c r="BJ86" s="8">
        <f t="shared" si="92"/>
        <v>0</v>
      </c>
      <c r="BK86" s="8">
        <f t="shared" si="92"/>
        <v>0</v>
      </c>
      <c r="BL86" s="8">
        <f t="shared" si="92"/>
        <v>0</v>
      </c>
      <c r="BM86" s="8">
        <f t="shared" si="92"/>
        <v>0</v>
      </c>
      <c r="BN86" s="8">
        <f t="shared" si="92"/>
        <v>0</v>
      </c>
      <c r="BO86" s="8">
        <f t="shared" si="92"/>
        <v>0</v>
      </c>
      <c r="BP86" s="8">
        <f t="shared" si="92"/>
        <v>0</v>
      </c>
      <c r="BQ86" s="8">
        <f t="shared" si="92"/>
        <v>0</v>
      </c>
      <c r="BR86" s="8">
        <f t="shared" si="92"/>
        <v>0</v>
      </c>
      <c r="BS86" s="8">
        <f t="shared" si="92"/>
        <v>0</v>
      </c>
      <c r="BT86" s="8">
        <f t="shared" si="92"/>
        <v>0</v>
      </c>
      <c r="BU86" s="8">
        <f t="shared" si="92"/>
        <v>0</v>
      </c>
      <c r="BV86" s="8">
        <f t="shared" si="92"/>
        <v>0</v>
      </c>
      <c r="BW86" s="8">
        <f t="shared" ref="BW86:DA86" si="93">BV87</f>
        <v>0</v>
      </c>
      <c r="BX86" s="8">
        <f t="shared" si="93"/>
        <v>0</v>
      </c>
      <c r="BY86" s="8">
        <f t="shared" si="93"/>
        <v>0</v>
      </c>
      <c r="BZ86" s="8">
        <f t="shared" si="93"/>
        <v>0</v>
      </c>
      <c r="CA86" s="8">
        <f t="shared" si="93"/>
        <v>0</v>
      </c>
      <c r="CB86" s="8">
        <f t="shared" si="93"/>
        <v>0</v>
      </c>
      <c r="CC86" s="8">
        <f t="shared" si="93"/>
        <v>0</v>
      </c>
      <c r="CD86" s="8">
        <f t="shared" si="93"/>
        <v>0</v>
      </c>
      <c r="CE86" s="8">
        <f t="shared" si="93"/>
        <v>0</v>
      </c>
      <c r="CF86" s="8">
        <f t="shared" si="93"/>
        <v>0</v>
      </c>
      <c r="CG86" s="8">
        <f t="shared" si="93"/>
        <v>0</v>
      </c>
      <c r="CH86" s="8">
        <f t="shared" si="93"/>
        <v>0</v>
      </c>
      <c r="CI86" s="8">
        <f t="shared" si="93"/>
        <v>0</v>
      </c>
      <c r="CJ86" s="8">
        <f t="shared" si="93"/>
        <v>0</v>
      </c>
      <c r="CK86" s="8">
        <f t="shared" si="93"/>
        <v>0</v>
      </c>
      <c r="CL86" s="8">
        <f t="shared" si="93"/>
        <v>0</v>
      </c>
      <c r="CM86" s="8">
        <f t="shared" si="93"/>
        <v>0</v>
      </c>
      <c r="CN86" s="8">
        <f t="shared" si="93"/>
        <v>0</v>
      </c>
      <c r="CO86" s="8">
        <f t="shared" si="93"/>
        <v>0</v>
      </c>
      <c r="CP86" s="8">
        <f t="shared" si="93"/>
        <v>0</v>
      </c>
      <c r="CQ86" s="8">
        <f t="shared" si="93"/>
        <v>0</v>
      </c>
      <c r="CR86" s="8">
        <f t="shared" si="93"/>
        <v>0</v>
      </c>
      <c r="CS86" s="8">
        <f t="shared" si="93"/>
        <v>0</v>
      </c>
      <c r="CT86" s="8">
        <f t="shared" si="93"/>
        <v>0</v>
      </c>
      <c r="CU86" s="8">
        <f t="shared" si="93"/>
        <v>0</v>
      </c>
      <c r="CV86" s="8">
        <f t="shared" si="93"/>
        <v>0</v>
      </c>
      <c r="CW86" s="8">
        <f t="shared" si="93"/>
        <v>0</v>
      </c>
      <c r="CX86" s="8">
        <f t="shared" si="93"/>
        <v>0</v>
      </c>
      <c r="CY86" s="8">
        <f t="shared" si="93"/>
        <v>0</v>
      </c>
      <c r="CZ86" s="8">
        <f t="shared" si="93"/>
        <v>0</v>
      </c>
      <c r="DA86" s="8">
        <f t="shared" si="93"/>
        <v>0</v>
      </c>
      <c r="DB86" s="8"/>
    </row>
    <row r="87" spans="3:106" x14ac:dyDescent="0.4">
      <c r="D87" t="s">
        <v>168</v>
      </c>
      <c r="I87" s="8">
        <f>I84+I85</f>
        <v>3940797.001257462</v>
      </c>
      <c r="J87" s="8">
        <f>J84+J85</f>
        <v>3861981.0612323126</v>
      </c>
      <c r="K87" s="8">
        <f t="shared" ref="K87:BV87" si="94">K84+K85</f>
        <v>3783165.1212071637</v>
      </c>
      <c r="L87" s="8">
        <f t="shared" si="94"/>
        <v>3704349.1811820143</v>
      </c>
      <c r="M87" s="8">
        <f t="shared" si="94"/>
        <v>3625533.2411568649</v>
      </c>
      <c r="N87" s="8">
        <f t="shared" si="94"/>
        <v>3546717.301131716</v>
      </c>
      <c r="O87" s="8">
        <f t="shared" si="94"/>
        <v>3467901.3611065666</v>
      </c>
      <c r="P87" s="8">
        <f t="shared" si="94"/>
        <v>3389085.4210814172</v>
      </c>
      <c r="Q87" s="8">
        <f t="shared" si="94"/>
        <v>3310269.4810562679</v>
      </c>
      <c r="R87" s="8">
        <f t="shared" si="94"/>
        <v>3231453.5410311185</v>
      </c>
      <c r="S87" s="8">
        <f t="shared" si="94"/>
        <v>3152637.6010059696</v>
      </c>
      <c r="T87" s="8">
        <f t="shared" si="94"/>
        <v>3073821.6609808202</v>
      </c>
      <c r="U87" s="8">
        <f t="shared" si="94"/>
        <v>2995005.7209556708</v>
      </c>
      <c r="V87" s="8">
        <f t="shared" si="94"/>
        <v>2916189.7809305219</v>
      </c>
      <c r="W87" s="8">
        <f t="shared" si="94"/>
        <v>2837373.8409053725</v>
      </c>
      <c r="X87" s="8">
        <f t="shared" si="94"/>
        <v>2758557.9008802231</v>
      </c>
      <c r="Y87" s="8">
        <f t="shared" si="94"/>
        <v>2679741.9608550742</v>
      </c>
      <c r="Z87" s="8">
        <f t="shared" si="94"/>
        <v>2600926.0208299253</v>
      </c>
      <c r="AA87" s="8">
        <f t="shared" si="94"/>
        <v>2522110.0808047759</v>
      </c>
      <c r="AB87" s="8">
        <f t="shared" si="94"/>
        <v>2443294.1407796266</v>
      </c>
      <c r="AC87" s="8">
        <f t="shared" si="94"/>
        <v>2364478.2007544776</v>
      </c>
      <c r="AD87" s="8">
        <f t="shared" si="94"/>
        <v>2285662.2607293287</v>
      </c>
      <c r="AE87" s="8">
        <f t="shared" si="94"/>
        <v>2206846.3207041794</v>
      </c>
      <c r="AF87" s="8">
        <f t="shared" si="94"/>
        <v>2128030.38067903</v>
      </c>
      <c r="AG87" s="8">
        <f t="shared" si="94"/>
        <v>2049214.4406538811</v>
      </c>
      <c r="AH87" s="8">
        <f t="shared" si="94"/>
        <v>1970398.5006287319</v>
      </c>
      <c r="AI87" s="8">
        <f t="shared" si="94"/>
        <v>1891582.5606035828</v>
      </c>
      <c r="AJ87" s="8">
        <f t="shared" si="94"/>
        <v>1812766.6205784334</v>
      </c>
      <c r="AK87" s="8">
        <f t="shared" si="94"/>
        <v>1733950.680553284</v>
      </c>
      <c r="AL87" s="8">
        <f t="shared" si="94"/>
        <v>1655134.7405281346</v>
      </c>
      <c r="AM87" s="8">
        <f t="shared" si="94"/>
        <v>1576318.8005029853</v>
      </c>
      <c r="AN87" s="8">
        <f t="shared" si="94"/>
        <v>1497502.8604778359</v>
      </c>
      <c r="AO87" s="8">
        <f t="shared" si="94"/>
        <v>1418686.9204526865</v>
      </c>
      <c r="AP87" s="8">
        <f t="shared" si="94"/>
        <v>1339870.9804275371</v>
      </c>
      <c r="AQ87" s="8">
        <f t="shared" si="94"/>
        <v>1261055.0404023877</v>
      </c>
      <c r="AR87" s="8">
        <f t="shared" si="94"/>
        <v>1182239.1003772384</v>
      </c>
      <c r="AS87" s="8">
        <f t="shared" si="94"/>
        <v>1103423.160352089</v>
      </c>
      <c r="AT87" s="8">
        <f t="shared" si="94"/>
        <v>1024607.2203269396</v>
      </c>
      <c r="AU87" s="8">
        <f t="shared" si="94"/>
        <v>945791.28030179022</v>
      </c>
      <c r="AV87" s="8">
        <f t="shared" si="94"/>
        <v>866975.34027664084</v>
      </c>
      <c r="AW87" s="8">
        <f t="shared" si="94"/>
        <v>788159.40025149146</v>
      </c>
      <c r="AX87" s="8">
        <f t="shared" si="94"/>
        <v>709343.46022634208</v>
      </c>
      <c r="AY87" s="8">
        <f t="shared" si="94"/>
        <v>630527.5202011927</v>
      </c>
      <c r="AZ87" s="8">
        <f t="shared" si="94"/>
        <v>551711.58017604332</v>
      </c>
      <c r="BA87" s="8">
        <f t="shared" si="94"/>
        <v>472895.64015089395</v>
      </c>
      <c r="BB87" s="8">
        <f t="shared" si="94"/>
        <v>394079.70012574457</v>
      </c>
      <c r="BC87" s="8">
        <f t="shared" si="94"/>
        <v>315263.76010059519</v>
      </c>
      <c r="BD87" s="8">
        <f t="shared" si="94"/>
        <v>236447.82007544581</v>
      </c>
      <c r="BE87" s="8">
        <f t="shared" si="94"/>
        <v>157631.88005029643</v>
      </c>
      <c r="BF87" s="8">
        <f t="shared" si="94"/>
        <v>78815.940025147051</v>
      </c>
      <c r="BG87" s="8">
        <f t="shared" si="94"/>
        <v>0</v>
      </c>
      <c r="BH87" s="8">
        <f t="shared" si="94"/>
        <v>0</v>
      </c>
      <c r="BI87" s="8">
        <f t="shared" si="94"/>
        <v>0</v>
      </c>
      <c r="BJ87" s="8">
        <f t="shared" si="94"/>
        <v>0</v>
      </c>
      <c r="BK87" s="8">
        <f t="shared" si="94"/>
        <v>0</v>
      </c>
      <c r="BL87" s="8">
        <f t="shared" si="94"/>
        <v>0</v>
      </c>
      <c r="BM87" s="8">
        <f t="shared" si="94"/>
        <v>0</v>
      </c>
      <c r="BN87" s="8">
        <f t="shared" si="94"/>
        <v>0</v>
      </c>
      <c r="BO87" s="8">
        <f t="shared" si="94"/>
        <v>0</v>
      </c>
      <c r="BP87" s="8">
        <f t="shared" si="94"/>
        <v>0</v>
      </c>
      <c r="BQ87" s="8">
        <f t="shared" si="94"/>
        <v>0</v>
      </c>
      <c r="BR87" s="8">
        <f t="shared" si="94"/>
        <v>0</v>
      </c>
      <c r="BS87" s="8">
        <f t="shared" si="94"/>
        <v>0</v>
      </c>
      <c r="BT87" s="8">
        <f t="shared" si="94"/>
        <v>0</v>
      </c>
      <c r="BU87" s="8">
        <f t="shared" si="94"/>
        <v>0</v>
      </c>
      <c r="BV87" s="8">
        <f t="shared" si="94"/>
        <v>0</v>
      </c>
      <c r="BW87" s="8">
        <f t="shared" ref="BW87:DA87" si="95">BW84+BW85</f>
        <v>0</v>
      </c>
      <c r="BX87" s="8">
        <f t="shared" si="95"/>
        <v>0</v>
      </c>
      <c r="BY87" s="8">
        <f t="shared" si="95"/>
        <v>0</v>
      </c>
      <c r="BZ87" s="8">
        <f t="shared" si="95"/>
        <v>0</v>
      </c>
      <c r="CA87" s="8">
        <f t="shared" si="95"/>
        <v>0</v>
      </c>
      <c r="CB87" s="8">
        <f t="shared" si="95"/>
        <v>0</v>
      </c>
      <c r="CC87" s="8">
        <f t="shared" si="95"/>
        <v>0</v>
      </c>
      <c r="CD87" s="8">
        <f t="shared" si="95"/>
        <v>0</v>
      </c>
      <c r="CE87" s="8">
        <f t="shared" si="95"/>
        <v>0</v>
      </c>
      <c r="CF87" s="8">
        <f t="shared" si="95"/>
        <v>0</v>
      </c>
      <c r="CG87" s="8">
        <f t="shared" si="95"/>
        <v>0</v>
      </c>
      <c r="CH87" s="8">
        <f t="shared" si="95"/>
        <v>0</v>
      </c>
      <c r="CI87" s="8">
        <f t="shared" si="95"/>
        <v>0</v>
      </c>
      <c r="CJ87" s="8">
        <f t="shared" si="95"/>
        <v>0</v>
      </c>
      <c r="CK87" s="8">
        <f t="shared" si="95"/>
        <v>0</v>
      </c>
      <c r="CL87" s="8">
        <f t="shared" si="95"/>
        <v>0</v>
      </c>
      <c r="CM87" s="8">
        <f t="shared" si="95"/>
        <v>0</v>
      </c>
      <c r="CN87" s="8">
        <f t="shared" si="95"/>
        <v>0</v>
      </c>
      <c r="CO87" s="8">
        <f t="shared" si="95"/>
        <v>0</v>
      </c>
      <c r="CP87" s="8">
        <f t="shared" si="95"/>
        <v>0</v>
      </c>
      <c r="CQ87" s="8">
        <f t="shared" si="95"/>
        <v>0</v>
      </c>
      <c r="CR87" s="8">
        <f t="shared" si="95"/>
        <v>0</v>
      </c>
      <c r="CS87" s="8">
        <f t="shared" si="95"/>
        <v>0</v>
      </c>
      <c r="CT87" s="8">
        <f t="shared" si="95"/>
        <v>0</v>
      </c>
      <c r="CU87" s="8">
        <f t="shared" si="95"/>
        <v>0</v>
      </c>
      <c r="CV87" s="8">
        <f t="shared" si="95"/>
        <v>0</v>
      </c>
      <c r="CW87" s="8">
        <f t="shared" si="95"/>
        <v>0</v>
      </c>
      <c r="CX87" s="8">
        <f t="shared" si="95"/>
        <v>0</v>
      </c>
      <c r="CY87" s="8">
        <f t="shared" si="95"/>
        <v>0</v>
      </c>
      <c r="CZ87" s="8">
        <f t="shared" si="95"/>
        <v>0</v>
      </c>
      <c r="DA87" s="8">
        <f t="shared" si="95"/>
        <v>0</v>
      </c>
      <c r="DB87" s="8"/>
    </row>
    <row r="88" spans="3:106" x14ac:dyDescent="0.4"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</row>
    <row r="89" spans="3:106" x14ac:dyDescent="0.4">
      <c r="D89" t="s">
        <v>169</v>
      </c>
      <c r="I89" s="8"/>
      <c r="J89" s="8">
        <f>IF(J81&lt;=$B$4+1,J84*VLOOKUP(J81,Assumptions!$A$70:$B$90,2,0),0)</f>
        <v>147779.88754715482</v>
      </c>
      <c r="K89" s="8">
        <f>IF(K81&lt;=$B$4+1,K84*VLOOKUP(K81,Assumptions!$A$70:$B$90,2,0),0)</f>
        <v>284486.13552077621</v>
      </c>
      <c r="L89" s="8">
        <f>IF(L81&lt;=$B$4+1,L84*VLOOKUP(L81,Assumptions!$A$70:$B$90,2,0),0)</f>
        <v>263127.01577396074</v>
      </c>
      <c r="M89" s="8">
        <f>IF(M81&lt;=$B$4+1,M84*VLOOKUP(M81,Assumptions!$A$70:$B$90,2,0),0)</f>
        <v>243423.03076767342</v>
      </c>
      <c r="N89" s="8">
        <f>IF(N81&lt;=$B$4+1,N84*VLOOKUP(N81,Assumptions!$A$70:$B$90,2,0),0)</f>
        <v>225137.7326818388</v>
      </c>
      <c r="O89" s="8">
        <f>IF(O81&lt;=$B$4+1,O84*VLOOKUP(O81,Assumptions!$A$70:$B$90,2,0),0)</f>
        <v>208271.12151645686</v>
      </c>
      <c r="P89" s="8">
        <f>IF(P81&lt;=$B$4+1,P84*VLOOKUP(P81,Assumptions!$A$70:$B$90,2,0),0)</f>
        <v>192626.15742146474</v>
      </c>
      <c r="Q89" s="8">
        <f>IF(Q81&lt;=$B$4+1,Q84*VLOOKUP(Q81,Assumptions!$A$70:$B$90,2,0),0)</f>
        <v>178202.84039686245</v>
      </c>
      <c r="R89" s="8">
        <f>IF(R81&lt;=$B$4+1,R84*VLOOKUP(R81,Assumptions!$A$70:$B$90,2,0),0)</f>
        <v>175838.36219610795</v>
      </c>
      <c r="S89" s="8">
        <f>IF(S81&lt;=$B$4+1,S84*VLOOKUP(S81,Assumptions!$A$70:$B$90,2,0),0)</f>
        <v>175798.95422609537</v>
      </c>
      <c r="T89" s="8">
        <f>IF(T81&lt;=$B$4+1,T84*VLOOKUP(T81,Assumptions!$A$70:$B$90,2,0),0)</f>
        <v>175838.36219610795</v>
      </c>
      <c r="U89" s="8">
        <f>IF(U81&lt;=$B$4+1,U84*VLOOKUP(U81,Assumptions!$A$70:$B$90,2,0),0)</f>
        <v>175798.95422609537</v>
      </c>
      <c r="V89" s="8">
        <f>IF(V81&lt;=$B$4+1,V84*VLOOKUP(V81,Assumptions!$A$70:$B$90,2,0),0)</f>
        <v>175838.36219610795</v>
      </c>
      <c r="W89" s="8">
        <f>IF(W81&lt;=$B$4+1,W84*VLOOKUP(W81,Assumptions!$A$70:$B$90,2,0),0)</f>
        <v>175798.95422609537</v>
      </c>
      <c r="X89" s="8">
        <f>IF(X81&lt;=$B$4+1,X84*VLOOKUP(X81,Assumptions!$A$70:$B$90,2,0),0)</f>
        <v>175838.36219610795</v>
      </c>
      <c r="Y89" s="8">
        <f>IF(Y81&lt;=$B$4+1,Y84*VLOOKUP(Y81,Assumptions!$A$70:$B$90,2,0),0)</f>
        <v>175798.95422609537</v>
      </c>
      <c r="Z89" s="8">
        <f>IF(Z81&lt;=$B$4+1,Z84*VLOOKUP(Z81,Assumptions!$A$70:$B$90,2,0),0)</f>
        <v>175838.36219610795</v>
      </c>
      <c r="AA89" s="8">
        <f>IF(AA81&lt;=$B$4+1,AA84*VLOOKUP(AA81,Assumptions!$A$70:$B$90,2,0),0)</f>
        <v>175798.95422609537</v>
      </c>
      <c r="AB89" s="8">
        <f>IF(AB81&lt;=$B$4+1,AB84*VLOOKUP(AB81,Assumptions!$A$70:$B$90,2,0),0)</f>
        <v>175838.36219610795</v>
      </c>
      <c r="AC89" s="8">
        <f>IF(AC81&lt;=$B$4+1,AC84*VLOOKUP(AC81,Assumptions!$A$70:$B$90,2,0),0)</f>
        <v>175798.95422609537</v>
      </c>
      <c r="AD89" s="8">
        <f>IF(AD81&lt;=$B$4+1,AD84*VLOOKUP(AD81,Assumptions!$A$70:$B$90,2,0),0)</f>
        <v>87919.181098053974</v>
      </c>
      <c r="AE89" s="8">
        <f>IF(AE81&lt;=$B$4+1,AE84*VLOOKUP(AE81,Assumptions!$A$70:$B$90,2,0),0)</f>
        <v>0</v>
      </c>
      <c r="AF89" s="8">
        <f>IF(AF81&lt;=$B$4+1,AF84*VLOOKUP(AF81,Assumptions!$A$70:$B$90,2,0),0)</f>
        <v>0</v>
      </c>
      <c r="AG89" s="8">
        <f>IF(AG81&lt;=$B$4+1,AG84*VLOOKUP(AG81,Assumptions!$A$70:$B$90,2,0),0)</f>
        <v>0</v>
      </c>
      <c r="AH89" s="8">
        <f>IF(AH81&lt;=$B$4+1,AH84*VLOOKUP(AH81,Assumptions!$A$70:$B$90,2,0),0)</f>
        <v>0</v>
      </c>
      <c r="AI89" s="8">
        <f>IF(AI81&lt;=$B$4+1,AI84*VLOOKUP(AI81,Assumptions!$A$70:$B$90,2,0),0)</f>
        <v>0</v>
      </c>
      <c r="AJ89" s="8">
        <f>IF(AJ81&lt;=$B$4+1,AJ84*VLOOKUP(AJ81,Assumptions!$A$70:$B$90,2,0),0)</f>
        <v>0</v>
      </c>
      <c r="AK89" s="8">
        <f>IF(AK81&lt;=$B$4+1,AK84*VLOOKUP(AK81,Assumptions!$A$70:$B$90,2,0),0)</f>
        <v>0</v>
      </c>
      <c r="AL89" s="8">
        <f>IF(AL81&lt;=$B$4+1,AL84*VLOOKUP(AL81,Assumptions!$A$70:$B$90,2,0),0)</f>
        <v>0</v>
      </c>
      <c r="AM89" s="8">
        <f>IF(AM81&lt;=$B$4+1,AM84*VLOOKUP(AM81,Assumptions!$A$70:$B$90,2,0),0)</f>
        <v>0</v>
      </c>
      <c r="AN89" s="8">
        <f>IF(AN81&lt;=$B$4+1,AN84*VLOOKUP(AN81,Assumptions!$A$70:$B$90,2,0),0)</f>
        <v>0</v>
      </c>
      <c r="AO89" s="8">
        <f>IF(AO81&lt;=$B$4+1,AO84*VLOOKUP(AO81,Assumptions!$A$70:$B$90,2,0),0)</f>
        <v>0</v>
      </c>
      <c r="AP89" s="8">
        <f>IF(AP81&lt;=$B$4+1,AP84*VLOOKUP(AP81,Assumptions!$A$70:$B$90,2,0),0)</f>
        <v>0</v>
      </c>
      <c r="AQ89" s="8">
        <f>IF(AQ81&lt;=$B$4+1,AQ84*VLOOKUP(AQ81,Assumptions!$A$70:$B$90,2,0),0)</f>
        <v>0</v>
      </c>
      <c r="AR89" s="8">
        <f>IF(AR81&lt;=$B$4+1,AR84*VLOOKUP(AR81,Assumptions!$A$70:$B$90,2,0),0)</f>
        <v>0</v>
      </c>
      <c r="AS89" s="8">
        <f>IF(AS81&lt;=$B$4+1,AS84*VLOOKUP(AS81,Assumptions!$A$70:$B$90,2,0),0)</f>
        <v>0</v>
      </c>
      <c r="AT89" s="8">
        <f>IF(AT81&lt;=$B$4+1,AT84*VLOOKUP(AT81,Assumptions!$A$70:$B$90,2,0),0)</f>
        <v>0</v>
      </c>
      <c r="AU89" s="8">
        <f>IF(AU81&lt;=$B$4+1,AU84*VLOOKUP(AU81,Assumptions!$A$70:$B$90,2,0),0)</f>
        <v>0</v>
      </c>
      <c r="AV89" s="8">
        <f>IF(AV81&lt;=$B$4+1,AV84*VLOOKUP(AV81,Assumptions!$A$70:$B$90,2,0),0)</f>
        <v>0</v>
      </c>
      <c r="AW89" s="8">
        <f>IF(AW81&lt;=$B$4+1,AW84*VLOOKUP(AW81,Assumptions!$A$70:$B$90,2,0),0)</f>
        <v>0</v>
      </c>
      <c r="AX89" s="8">
        <f>IF(AX81&lt;=$B$4+1,AX84*VLOOKUP(AX81,Assumptions!$A$70:$B$90,2,0),0)</f>
        <v>0</v>
      </c>
      <c r="AY89" s="8">
        <f>IF(AY81&lt;=$B$4+1,AY84*VLOOKUP(AY81,Assumptions!$A$70:$B$90,2,0),0)</f>
        <v>0</v>
      </c>
      <c r="AZ89" s="8">
        <f>IF(AZ81&lt;=$B$4+1,AZ84*VLOOKUP(AZ81,Assumptions!$A$70:$B$90,2,0),0)</f>
        <v>0</v>
      </c>
      <c r="BA89" s="8">
        <f>IF(BA81&lt;=$B$4+1,BA84*VLOOKUP(BA81,Assumptions!$A$70:$B$90,2,0),0)</f>
        <v>0</v>
      </c>
      <c r="BB89" s="8">
        <f>IF(BB81&lt;=$B$4+1,BB84*VLOOKUP(BB81,Assumptions!$A$70:$B$90,2,0),0)</f>
        <v>0</v>
      </c>
      <c r="BC89" s="8">
        <f>IF(BC81&lt;=$B$4+1,BC84*VLOOKUP(BC81,Assumptions!$A$70:$B$90,2,0),0)</f>
        <v>0</v>
      </c>
      <c r="BD89" s="8">
        <f>IF(BD81&lt;=$B$4+1,BD84*VLOOKUP(BD81,Assumptions!$A$70:$B$90,2,0),0)</f>
        <v>0</v>
      </c>
      <c r="BE89" s="8">
        <f>IF(BE81&lt;=$B$4+1,BE84*VLOOKUP(BE81,Assumptions!$A$70:$B$90,2,0),0)</f>
        <v>0</v>
      </c>
      <c r="BF89" s="8">
        <f>IF(BF81&lt;=$B$4+1,BF84*VLOOKUP(BF81,Assumptions!$A$70:$B$90,2,0),0)</f>
        <v>0</v>
      </c>
      <c r="BG89" s="8">
        <f>IF(BG81&lt;=$B$4+1,BG84*VLOOKUP(BG81,Assumptions!$A$70:$B$90,2,0),0)</f>
        <v>0</v>
      </c>
      <c r="BH89" s="8">
        <f>IF(BH81&lt;=$B$4+1,BH84*VLOOKUP(BH81,Assumptions!$A$70:$B$90,2,0),0)</f>
        <v>0</v>
      </c>
      <c r="BI89" s="8">
        <f>IF(BI81&lt;=$B$4+1,BI84*VLOOKUP(BI81,Assumptions!$A$70:$B$90,2,0),0)</f>
        <v>0</v>
      </c>
      <c r="BJ89" s="8">
        <f>IF(BJ81&lt;=$B$4+1,BJ84*VLOOKUP(BJ81,Assumptions!$A$70:$B$90,2,0),0)</f>
        <v>0</v>
      </c>
      <c r="BK89" s="8">
        <f>IF(BK81&lt;=$B$4+1,BK84*VLOOKUP(BK81,Assumptions!$A$70:$B$90,2,0),0)</f>
        <v>0</v>
      </c>
      <c r="BL89" s="8">
        <f>IF(BL81&lt;=$B$4+1,BL84*VLOOKUP(BL81,Assumptions!$A$70:$B$90,2,0),0)</f>
        <v>0</v>
      </c>
      <c r="BM89" s="8">
        <f>IF(BM81&lt;=$B$4+1,BM84*VLOOKUP(BM81,Assumptions!$A$70:$B$90,2,0),0)</f>
        <v>0</v>
      </c>
      <c r="BN89" s="8">
        <f>IF(BN81&lt;=$B$4+1,BN84*VLOOKUP(BN81,Assumptions!$A$70:$B$90,2,0),0)</f>
        <v>0</v>
      </c>
      <c r="BO89" s="8">
        <f>IF(BO81&lt;=$B$4+1,BO84*VLOOKUP(BO81,Assumptions!$A$70:$B$90,2,0),0)</f>
        <v>0</v>
      </c>
      <c r="BP89" s="8">
        <f>IF(BP81&lt;=$B$4+1,BP84*VLOOKUP(BP81,Assumptions!$A$70:$B$90,2,0),0)</f>
        <v>0</v>
      </c>
      <c r="BQ89" s="8">
        <f>IF(BQ81&lt;=$B$4+1,BQ84*VLOOKUP(BQ81,Assumptions!$A$70:$B$90,2,0),0)</f>
        <v>0</v>
      </c>
      <c r="BR89" s="8">
        <f>IF(BR81&lt;=$B$4+1,BR84*VLOOKUP(BR81,Assumptions!$A$70:$B$90,2,0),0)</f>
        <v>0</v>
      </c>
      <c r="BS89" s="8">
        <f>IF(BS81&lt;=$B$4+1,BS84*VLOOKUP(BS81,Assumptions!$A$70:$B$90,2,0),0)</f>
        <v>0</v>
      </c>
      <c r="BT89" s="8">
        <f>IF(BT81&lt;=$B$4+1,BT84*VLOOKUP(BT81,Assumptions!$A$70:$B$90,2,0),0)</f>
        <v>0</v>
      </c>
      <c r="BU89" s="8">
        <f>IF(BU81&lt;=$B$4+1,BU84*VLOOKUP(BU81,Assumptions!$A$70:$B$90,2,0),0)</f>
        <v>0</v>
      </c>
      <c r="BV89" s="8">
        <f>IF(BV81&lt;=$B$4+1,BV84*VLOOKUP(BV81,Assumptions!$A$70:$B$90,2,0),0)</f>
        <v>0</v>
      </c>
      <c r="BW89" s="8">
        <f>IF(BW81&lt;=$B$4+1,BW84*VLOOKUP(BW81,Assumptions!$A$70:$B$90,2,0),0)</f>
        <v>0</v>
      </c>
      <c r="BX89" s="8">
        <f>IF(BX81&lt;=$B$4+1,BX84*VLOOKUP(BX81,Assumptions!$A$70:$B$90,2,0),0)</f>
        <v>0</v>
      </c>
      <c r="BY89" s="8">
        <f>IF(BY81&lt;=$B$4+1,BY84*VLOOKUP(BY81,Assumptions!$A$70:$B$90,2,0),0)</f>
        <v>0</v>
      </c>
      <c r="BZ89" s="8">
        <f>IF(BZ81&lt;=$B$4+1,BZ84*VLOOKUP(BZ81,Assumptions!$A$70:$B$90,2,0),0)</f>
        <v>0</v>
      </c>
      <c r="CA89" s="8">
        <f>IF(CA81&lt;=$B$4+1,CA84*VLOOKUP(CA81,Assumptions!$A$70:$B$90,2,0),0)</f>
        <v>0</v>
      </c>
      <c r="CB89" s="8">
        <f>IF(CB81&lt;=$B$4+1,CB84*VLOOKUP(CB81,Assumptions!$A$70:$B$90,2,0),0)</f>
        <v>0</v>
      </c>
      <c r="CC89" s="8">
        <f>IF(CC81&lt;=$B$4+1,CC84*VLOOKUP(CC81,Assumptions!$A$70:$B$90,2,0),0)</f>
        <v>0</v>
      </c>
      <c r="CD89" s="8">
        <f>IF(CD81&lt;=$B$4+1,CD84*VLOOKUP(CD81,Assumptions!$A$70:$B$90,2,0),0)</f>
        <v>0</v>
      </c>
      <c r="CE89" s="8">
        <f>IF(CE81&lt;=$B$4+1,CE84*VLOOKUP(CE81,Assumptions!$A$70:$B$90,2,0),0)</f>
        <v>0</v>
      </c>
      <c r="CF89" s="8">
        <f>IF(CF81&lt;=$B$4+1,CF84*VLOOKUP(CF81,Assumptions!$A$70:$B$90,2,0),0)</f>
        <v>0</v>
      </c>
      <c r="CG89" s="8">
        <f>IF(CG81&lt;=$B$4+1,CG84*VLOOKUP(CG81,Assumptions!$A$70:$B$90,2,0),0)</f>
        <v>0</v>
      </c>
      <c r="CH89" s="8">
        <f>IF(CH81&lt;=$B$4+1,CH84*VLOOKUP(CH81,Assumptions!$A$70:$B$90,2,0),0)</f>
        <v>0</v>
      </c>
      <c r="CI89" s="8">
        <f>IF(CI81&lt;=$B$4+1,CI84*VLOOKUP(CI81,Assumptions!$A$70:$B$90,2,0),0)</f>
        <v>0</v>
      </c>
      <c r="CJ89" s="8">
        <f>IF(CJ81&lt;=$B$4+1,CJ84*VLOOKUP(CJ81,Assumptions!$A$70:$B$90,2,0),0)</f>
        <v>0</v>
      </c>
      <c r="CK89" s="8">
        <f>IF(CK81&lt;=$B$4+1,CK84*VLOOKUP(CK81,Assumptions!$A$70:$B$90,2,0),0)</f>
        <v>0</v>
      </c>
      <c r="CL89" s="8">
        <f>IF(CL81&lt;=$B$4+1,CL84*VLOOKUP(CL81,Assumptions!$A$70:$B$90,2,0),0)</f>
        <v>0</v>
      </c>
      <c r="CM89" s="8">
        <f>IF(CM81&lt;=$B$4+1,CM84*VLOOKUP(CM81,Assumptions!$A$70:$B$90,2,0),0)</f>
        <v>0</v>
      </c>
      <c r="CN89" s="8">
        <f>IF(CN81&lt;=$B$4+1,CN84*VLOOKUP(CN81,Assumptions!$A$70:$B$90,2,0),0)</f>
        <v>0</v>
      </c>
      <c r="CO89" s="8">
        <f>IF(CO81&lt;=$B$4+1,CO84*VLOOKUP(CO81,Assumptions!$A$70:$B$90,2,0),0)</f>
        <v>0</v>
      </c>
      <c r="CP89" s="8">
        <f>IF(CP81&lt;=$B$4+1,CP84*VLOOKUP(CP81,Assumptions!$A$70:$B$90,2,0),0)</f>
        <v>0</v>
      </c>
      <c r="CQ89" s="8">
        <f>IF(CQ81&lt;=$B$4+1,CQ84*VLOOKUP(CQ81,Assumptions!$A$70:$B$90,2,0),0)</f>
        <v>0</v>
      </c>
      <c r="CR89" s="8">
        <f>IF(CR81&lt;=$B$4+1,CR84*VLOOKUP(CR81,Assumptions!$A$70:$B$90,2,0),0)</f>
        <v>0</v>
      </c>
      <c r="CS89" s="8">
        <f>IF(CS81&lt;=$B$4+1,CS84*VLOOKUP(CS81,Assumptions!$A$70:$B$90,2,0),0)</f>
        <v>0</v>
      </c>
      <c r="CT89" s="8">
        <f>IF(CT81&lt;=$B$4+1,CT84*VLOOKUP(CT81,Assumptions!$A$70:$B$90,2,0),0)</f>
        <v>0</v>
      </c>
      <c r="CU89" s="8">
        <f>IF(CU81&lt;=$B$4+1,CU84*VLOOKUP(CU81,Assumptions!$A$70:$B$90,2,0),0)</f>
        <v>0</v>
      </c>
      <c r="CV89" s="8">
        <f>IF(CV81&lt;=$B$4+1,CV84*VLOOKUP(CV81,Assumptions!$A$70:$B$90,2,0),0)</f>
        <v>0</v>
      </c>
      <c r="CW89" s="8">
        <f>IF(CW81&lt;=$B$4+1,CW84*VLOOKUP(CW81,Assumptions!$A$70:$B$90,2,0),0)</f>
        <v>0</v>
      </c>
      <c r="CX89" s="8">
        <f>IF(CX81&lt;=$B$4+1,CX84*VLOOKUP(CX81,Assumptions!$A$70:$B$90,2,0),0)</f>
        <v>0</v>
      </c>
      <c r="CY89" s="8">
        <f>IF(CY81&lt;=$B$4+1,CY84*VLOOKUP(CY81,Assumptions!$A$70:$B$90,2,0),0)</f>
        <v>0</v>
      </c>
      <c r="CZ89" s="8">
        <f>IF(CZ81&lt;=$B$4+1,CZ84*VLOOKUP(CZ81,Assumptions!$A$70:$B$90,2,0),0)</f>
        <v>0</v>
      </c>
      <c r="DA89" s="8">
        <f>IF(DA81&lt;=$B$4+1,DA84*VLOOKUP(DA81,Assumptions!$A$70:$B$90,2,0),0)</f>
        <v>0</v>
      </c>
      <c r="DB89" s="8"/>
    </row>
    <row r="90" spans="3:106" x14ac:dyDescent="0.4">
      <c r="D90" t="s">
        <v>170</v>
      </c>
      <c r="I90" s="8"/>
      <c r="J90" s="8">
        <f>I91</f>
        <v>0</v>
      </c>
      <c r="K90" s="8">
        <f t="shared" ref="K90:BV90" si="96">J91</f>
        <v>-19113.358055723849</v>
      </c>
      <c r="L90" s="8">
        <f t="shared" si="96"/>
        <v>-76114.852737336871</v>
      </c>
      <c r="M90" s="8">
        <f t="shared" si="96"/>
        <v>-127196.66738111997</v>
      </c>
      <c r="N90" s="8">
        <f t="shared" si="96"/>
        <v>-172817.52258041056</v>
      </c>
      <c r="O90" s="8">
        <f t="shared" si="96"/>
        <v>-213370.60741521209</v>
      </c>
      <c r="P90" s="8">
        <f t="shared" si="96"/>
        <v>-249249.110965528</v>
      </c>
      <c r="Q90" s="8">
        <f t="shared" si="96"/>
        <v>-280791.61271691683</v>
      </c>
      <c r="R90" s="8">
        <f t="shared" si="96"/>
        <v>-308336.69215493713</v>
      </c>
      <c r="S90" s="8">
        <f t="shared" si="96"/>
        <v>-335226.45645961835</v>
      </c>
      <c r="T90" s="8">
        <f t="shared" si="96"/>
        <v>-362105.29884541058</v>
      </c>
      <c r="U90" s="8">
        <f t="shared" si="96"/>
        <v>-388995.0631500918</v>
      </c>
      <c r="V90" s="8">
        <f t="shared" si="96"/>
        <v>-415873.90553588403</v>
      </c>
      <c r="W90" s="8">
        <f t="shared" si="96"/>
        <v>-442763.66984056524</v>
      </c>
      <c r="X90" s="8">
        <f t="shared" si="96"/>
        <v>-469642.51222635747</v>
      </c>
      <c r="Y90" s="8">
        <f t="shared" si="96"/>
        <v>-496532.27653103869</v>
      </c>
      <c r="Z90" s="8">
        <f t="shared" si="96"/>
        <v>-523411.11891683092</v>
      </c>
      <c r="AA90" s="8">
        <f t="shared" si="96"/>
        <v>-550300.88322151208</v>
      </c>
      <c r="AB90" s="8">
        <f t="shared" si="96"/>
        <v>-577179.72560730425</v>
      </c>
      <c r="AC90" s="8">
        <f t="shared" si="96"/>
        <v>-604069.48991198547</v>
      </c>
      <c r="AD90" s="8">
        <f t="shared" si="96"/>
        <v>-630948.33229777764</v>
      </c>
      <c r="AE90" s="8">
        <f t="shared" si="96"/>
        <v>-633471.29556113319</v>
      </c>
      <c r="AF90" s="8">
        <f t="shared" si="96"/>
        <v>-611627.45778316306</v>
      </c>
      <c r="AG90" s="8">
        <f t="shared" si="96"/>
        <v>-589783.62000519293</v>
      </c>
      <c r="AH90" s="8">
        <f t="shared" si="96"/>
        <v>-567939.78222722281</v>
      </c>
      <c r="AI90" s="8">
        <f t="shared" si="96"/>
        <v>-546095.94444925268</v>
      </c>
      <c r="AJ90" s="8">
        <f t="shared" si="96"/>
        <v>-524252.10667128256</v>
      </c>
      <c r="AK90" s="8">
        <f t="shared" si="96"/>
        <v>-502408.26889331243</v>
      </c>
      <c r="AL90" s="8">
        <f t="shared" si="96"/>
        <v>-480564.4311153423</v>
      </c>
      <c r="AM90" s="8">
        <f t="shared" si="96"/>
        <v>-458720.59333737218</v>
      </c>
      <c r="AN90" s="8">
        <f t="shared" si="96"/>
        <v>-436876.75555940205</v>
      </c>
      <c r="AO90" s="8">
        <f t="shared" si="96"/>
        <v>-415032.91778143193</v>
      </c>
      <c r="AP90" s="8">
        <f t="shared" si="96"/>
        <v>-393189.0800034618</v>
      </c>
      <c r="AQ90" s="8">
        <f t="shared" si="96"/>
        <v>-371345.24222549167</v>
      </c>
      <c r="AR90" s="8">
        <f t="shared" si="96"/>
        <v>-349501.40444752155</v>
      </c>
      <c r="AS90" s="8">
        <f t="shared" si="96"/>
        <v>-327657.56666955142</v>
      </c>
      <c r="AT90" s="8">
        <f t="shared" si="96"/>
        <v>-305813.7288915813</v>
      </c>
      <c r="AU90" s="8">
        <f t="shared" si="96"/>
        <v>-283969.89111361117</v>
      </c>
      <c r="AV90" s="8">
        <f t="shared" si="96"/>
        <v>-262126.05333564105</v>
      </c>
      <c r="AW90" s="8">
        <f t="shared" si="96"/>
        <v>-240282.21555767092</v>
      </c>
      <c r="AX90" s="8">
        <f t="shared" si="96"/>
        <v>-218438.37777970079</v>
      </c>
      <c r="AY90" s="8">
        <f t="shared" si="96"/>
        <v>-196594.54000173067</v>
      </c>
      <c r="AZ90" s="8">
        <f t="shared" si="96"/>
        <v>-174750.70222376054</v>
      </c>
      <c r="BA90" s="8">
        <f t="shared" si="96"/>
        <v>-152906.86444579042</v>
      </c>
      <c r="BB90" s="8">
        <f t="shared" si="96"/>
        <v>-131063.0266678203</v>
      </c>
      <c r="BC90" s="8">
        <f t="shared" si="96"/>
        <v>-109219.18888985019</v>
      </c>
      <c r="BD90" s="8">
        <f t="shared" si="96"/>
        <v>-87375.351111880082</v>
      </c>
      <c r="BE90" s="8">
        <f t="shared" si="96"/>
        <v>-65531.51333390997</v>
      </c>
      <c r="BF90" s="8">
        <f t="shared" si="96"/>
        <v>-43687.675555939859</v>
      </c>
      <c r="BG90" s="8">
        <f t="shared" si="96"/>
        <v>-21843.837777969748</v>
      </c>
      <c r="BH90" s="8">
        <f t="shared" si="96"/>
        <v>3.637978807091713E-10</v>
      </c>
      <c r="BI90" s="8">
        <f t="shared" si="96"/>
        <v>3.637978807091713E-10</v>
      </c>
      <c r="BJ90" s="8">
        <f t="shared" si="96"/>
        <v>3.637978807091713E-10</v>
      </c>
      <c r="BK90" s="8">
        <f t="shared" si="96"/>
        <v>3.637978807091713E-10</v>
      </c>
      <c r="BL90" s="8">
        <f t="shared" si="96"/>
        <v>3.637978807091713E-10</v>
      </c>
      <c r="BM90" s="8">
        <f t="shared" si="96"/>
        <v>3.637978807091713E-10</v>
      </c>
      <c r="BN90" s="8">
        <f t="shared" si="96"/>
        <v>3.637978807091713E-10</v>
      </c>
      <c r="BO90" s="8">
        <f t="shared" si="96"/>
        <v>3.637978807091713E-10</v>
      </c>
      <c r="BP90" s="8">
        <f t="shared" si="96"/>
        <v>3.637978807091713E-10</v>
      </c>
      <c r="BQ90" s="8">
        <f t="shared" si="96"/>
        <v>3.637978807091713E-10</v>
      </c>
      <c r="BR90" s="8">
        <f t="shared" si="96"/>
        <v>3.637978807091713E-10</v>
      </c>
      <c r="BS90" s="8">
        <f t="shared" si="96"/>
        <v>3.637978807091713E-10</v>
      </c>
      <c r="BT90" s="8">
        <f t="shared" si="96"/>
        <v>3.637978807091713E-10</v>
      </c>
      <c r="BU90" s="8">
        <f t="shared" si="96"/>
        <v>3.637978807091713E-10</v>
      </c>
      <c r="BV90" s="8">
        <f t="shared" si="96"/>
        <v>3.637978807091713E-10</v>
      </c>
      <c r="BW90" s="8">
        <f t="shared" ref="BW90:DA90" si="97">BV91</f>
        <v>3.637978807091713E-10</v>
      </c>
      <c r="BX90" s="8">
        <f t="shared" si="97"/>
        <v>3.637978807091713E-10</v>
      </c>
      <c r="BY90" s="8">
        <f t="shared" si="97"/>
        <v>3.637978807091713E-10</v>
      </c>
      <c r="BZ90" s="8">
        <f t="shared" si="97"/>
        <v>3.637978807091713E-10</v>
      </c>
      <c r="CA90" s="8">
        <f t="shared" si="97"/>
        <v>3.637978807091713E-10</v>
      </c>
      <c r="CB90" s="8">
        <f t="shared" si="97"/>
        <v>3.637978807091713E-10</v>
      </c>
      <c r="CC90" s="8">
        <f t="shared" si="97"/>
        <v>3.637978807091713E-10</v>
      </c>
      <c r="CD90" s="8">
        <f t="shared" si="97"/>
        <v>3.637978807091713E-10</v>
      </c>
      <c r="CE90" s="8">
        <f t="shared" si="97"/>
        <v>3.637978807091713E-10</v>
      </c>
      <c r="CF90" s="8">
        <f t="shared" si="97"/>
        <v>3.637978807091713E-10</v>
      </c>
      <c r="CG90" s="8">
        <f t="shared" si="97"/>
        <v>3.637978807091713E-10</v>
      </c>
      <c r="CH90" s="8">
        <f t="shared" si="97"/>
        <v>3.637978807091713E-10</v>
      </c>
      <c r="CI90" s="8">
        <f t="shared" si="97"/>
        <v>3.637978807091713E-10</v>
      </c>
      <c r="CJ90" s="8">
        <f t="shared" si="97"/>
        <v>3.637978807091713E-10</v>
      </c>
      <c r="CK90" s="8">
        <f t="shared" si="97"/>
        <v>3.637978807091713E-10</v>
      </c>
      <c r="CL90" s="8">
        <f t="shared" si="97"/>
        <v>3.637978807091713E-10</v>
      </c>
      <c r="CM90" s="8">
        <f t="shared" si="97"/>
        <v>3.637978807091713E-10</v>
      </c>
      <c r="CN90" s="8">
        <f t="shared" si="97"/>
        <v>3.637978807091713E-10</v>
      </c>
      <c r="CO90" s="8">
        <f t="shared" si="97"/>
        <v>3.637978807091713E-10</v>
      </c>
      <c r="CP90" s="8">
        <f t="shared" si="97"/>
        <v>3.637978807091713E-10</v>
      </c>
      <c r="CQ90" s="8">
        <f t="shared" si="97"/>
        <v>3.637978807091713E-10</v>
      </c>
      <c r="CR90" s="8">
        <f t="shared" si="97"/>
        <v>3.637978807091713E-10</v>
      </c>
      <c r="CS90" s="8">
        <f t="shared" si="97"/>
        <v>3.637978807091713E-10</v>
      </c>
      <c r="CT90" s="8">
        <f t="shared" si="97"/>
        <v>3.637978807091713E-10</v>
      </c>
      <c r="CU90" s="8">
        <f t="shared" si="97"/>
        <v>3.637978807091713E-10</v>
      </c>
      <c r="CV90" s="8">
        <f t="shared" si="97"/>
        <v>3.637978807091713E-10</v>
      </c>
      <c r="CW90" s="8">
        <f t="shared" si="97"/>
        <v>3.637978807091713E-10</v>
      </c>
      <c r="CX90" s="8">
        <f t="shared" si="97"/>
        <v>3.637978807091713E-10</v>
      </c>
      <c r="CY90" s="8">
        <f t="shared" si="97"/>
        <v>3.637978807091713E-10</v>
      </c>
      <c r="CZ90" s="8">
        <f t="shared" si="97"/>
        <v>3.637978807091713E-10</v>
      </c>
      <c r="DA90" s="8">
        <f t="shared" si="97"/>
        <v>3.637978807091713E-10</v>
      </c>
      <c r="DB90" s="8"/>
    </row>
    <row r="91" spans="3:106" x14ac:dyDescent="0.4">
      <c r="D91" t="s">
        <v>171</v>
      </c>
      <c r="I91" s="8"/>
      <c r="J91" s="8">
        <f t="shared" ref="J91:AO91" si="98">I91+((J83-J89)*INC_TAX_RATE)</f>
        <v>-19113.358055723849</v>
      </c>
      <c r="K91" s="8">
        <f t="shared" si="98"/>
        <v>-76114.852737336871</v>
      </c>
      <c r="L91" s="8">
        <f t="shared" si="98"/>
        <v>-127196.66738111997</v>
      </c>
      <c r="M91" s="8">
        <f t="shared" si="98"/>
        <v>-172817.52258041056</v>
      </c>
      <c r="N91" s="8">
        <f t="shared" si="98"/>
        <v>-213370.60741521209</v>
      </c>
      <c r="O91" s="8">
        <f t="shared" si="98"/>
        <v>-249249.110965528</v>
      </c>
      <c r="P91" s="8">
        <f t="shared" si="98"/>
        <v>-280791.61271691683</v>
      </c>
      <c r="Q91" s="8">
        <f t="shared" si="98"/>
        <v>-308336.69215493713</v>
      </c>
      <c r="R91" s="8">
        <f t="shared" si="98"/>
        <v>-335226.45645961835</v>
      </c>
      <c r="S91" s="8">
        <f t="shared" si="98"/>
        <v>-362105.29884541058</v>
      </c>
      <c r="T91" s="8">
        <f t="shared" si="98"/>
        <v>-388995.0631500918</v>
      </c>
      <c r="U91" s="8">
        <f t="shared" si="98"/>
        <v>-415873.90553588403</v>
      </c>
      <c r="V91" s="8">
        <f t="shared" si="98"/>
        <v>-442763.66984056524</v>
      </c>
      <c r="W91" s="8">
        <f t="shared" si="98"/>
        <v>-469642.51222635747</v>
      </c>
      <c r="X91" s="8">
        <f t="shared" si="98"/>
        <v>-496532.27653103869</v>
      </c>
      <c r="Y91" s="8">
        <f t="shared" si="98"/>
        <v>-523411.11891683092</v>
      </c>
      <c r="Z91" s="8">
        <f t="shared" si="98"/>
        <v>-550300.88322151208</v>
      </c>
      <c r="AA91" s="8">
        <f t="shared" si="98"/>
        <v>-577179.72560730425</v>
      </c>
      <c r="AB91" s="8">
        <f t="shared" si="98"/>
        <v>-604069.48991198547</v>
      </c>
      <c r="AC91" s="8">
        <f t="shared" si="98"/>
        <v>-630948.33229777764</v>
      </c>
      <c r="AD91" s="8">
        <f t="shared" si="98"/>
        <v>-633471.29556113319</v>
      </c>
      <c r="AE91" s="8">
        <f t="shared" si="98"/>
        <v>-611627.45778316306</v>
      </c>
      <c r="AF91" s="8">
        <f t="shared" si="98"/>
        <v>-589783.62000519293</v>
      </c>
      <c r="AG91" s="8">
        <f t="shared" si="98"/>
        <v>-567939.78222722281</v>
      </c>
      <c r="AH91" s="8">
        <f t="shared" si="98"/>
        <v>-546095.94444925268</v>
      </c>
      <c r="AI91" s="8">
        <f t="shared" si="98"/>
        <v>-524252.10667128256</v>
      </c>
      <c r="AJ91" s="8">
        <f t="shared" si="98"/>
        <v>-502408.26889331243</v>
      </c>
      <c r="AK91" s="8">
        <f t="shared" si="98"/>
        <v>-480564.4311153423</v>
      </c>
      <c r="AL91" s="8">
        <f t="shared" si="98"/>
        <v>-458720.59333737218</v>
      </c>
      <c r="AM91" s="8">
        <f t="shared" si="98"/>
        <v>-436876.75555940205</v>
      </c>
      <c r="AN91" s="8">
        <f t="shared" si="98"/>
        <v>-415032.91778143193</v>
      </c>
      <c r="AO91" s="8">
        <f t="shared" si="98"/>
        <v>-393189.0800034618</v>
      </c>
      <c r="AP91" s="8">
        <f t="shared" ref="AP91:BU91" si="99">AO91+((AP83-AP89)*INC_TAX_RATE)</f>
        <v>-371345.24222549167</v>
      </c>
      <c r="AQ91" s="8">
        <f t="shared" si="99"/>
        <v>-349501.40444752155</v>
      </c>
      <c r="AR91" s="8">
        <f t="shared" si="99"/>
        <v>-327657.56666955142</v>
      </c>
      <c r="AS91" s="8">
        <f t="shared" si="99"/>
        <v>-305813.7288915813</v>
      </c>
      <c r="AT91" s="8">
        <f t="shared" si="99"/>
        <v>-283969.89111361117</v>
      </c>
      <c r="AU91" s="8">
        <f t="shared" si="99"/>
        <v>-262126.05333564105</v>
      </c>
      <c r="AV91" s="8">
        <f t="shared" si="99"/>
        <v>-240282.21555767092</v>
      </c>
      <c r="AW91" s="8">
        <f t="shared" si="99"/>
        <v>-218438.37777970079</v>
      </c>
      <c r="AX91" s="8">
        <f t="shared" si="99"/>
        <v>-196594.54000173067</v>
      </c>
      <c r="AY91" s="8">
        <f t="shared" si="99"/>
        <v>-174750.70222376054</v>
      </c>
      <c r="AZ91" s="8">
        <f t="shared" si="99"/>
        <v>-152906.86444579042</v>
      </c>
      <c r="BA91" s="8">
        <f t="shared" si="99"/>
        <v>-131063.0266678203</v>
      </c>
      <c r="BB91" s="8">
        <f t="shared" si="99"/>
        <v>-109219.18888985019</v>
      </c>
      <c r="BC91" s="8">
        <f t="shared" si="99"/>
        <v>-87375.351111880082</v>
      </c>
      <c r="BD91" s="8">
        <f t="shared" si="99"/>
        <v>-65531.51333390997</v>
      </c>
      <c r="BE91" s="8">
        <f t="shared" si="99"/>
        <v>-43687.675555939859</v>
      </c>
      <c r="BF91" s="8">
        <f t="shared" si="99"/>
        <v>-21843.837777969748</v>
      </c>
      <c r="BG91" s="8">
        <f t="shared" si="99"/>
        <v>3.637978807091713E-10</v>
      </c>
      <c r="BH91" s="8">
        <f t="shared" si="99"/>
        <v>3.637978807091713E-10</v>
      </c>
      <c r="BI91" s="8">
        <f t="shared" si="99"/>
        <v>3.637978807091713E-10</v>
      </c>
      <c r="BJ91" s="8">
        <f t="shared" si="99"/>
        <v>3.637978807091713E-10</v>
      </c>
      <c r="BK91" s="8">
        <f t="shared" si="99"/>
        <v>3.637978807091713E-10</v>
      </c>
      <c r="BL91" s="8">
        <f t="shared" si="99"/>
        <v>3.637978807091713E-10</v>
      </c>
      <c r="BM91" s="8">
        <f t="shared" si="99"/>
        <v>3.637978807091713E-10</v>
      </c>
      <c r="BN91" s="8">
        <f t="shared" si="99"/>
        <v>3.637978807091713E-10</v>
      </c>
      <c r="BO91" s="8">
        <f t="shared" si="99"/>
        <v>3.637978807091713E-10</v>
      </c>
      <c r="BP91" s="8">
        <f t="shared" si="99"/>
        <v>3.637978807091713E-10</v>
      </c>
      <c r="BQ91" s="8">
        <f t="shared" si="99"/>
        <v>3.637978807091713E-10</v>
      </c>
      <c r="BR91" s="8">
        <f t="shared" si="99"/>
        <v>3.637978807091713E-10</v>
      </c>
      <c r="BS91" s="8">
        <f t="shared" si="99"/>
        <v>3.637978807091713E-10</v>
      </c>
      <c r="BT91" s="8">
        <f t="shared" si="99"/>
        <v>3.637978807091713E-10</v>
      </c>
      <c r="BU91" s="8">
        <f t="shared" si="99"/>
        <v>3.637978807091713E-10</v>
      </c>
      <c r="BV91" s="8">
        <f t="shared" ref="BV91:DA91" si="100">BU91+((BV83-BV89)*INC_TAX_RATE)</f>
        <v>3.637978807091713E-10</v>
      </c>
      <c r="BW91" s="8">
        <f t="shared" si="100"/>
        <v>3.637978807091713E-10</v>
      </c>
      <c r="BX91" s="8">
        <f t="shared" si="100"/>
        <v>3.637978807091713E-10</v>
      </c>
      <c r="BY91" s="8">
        <f t="shared" si="100"/>
        <v>3.637978807091713E-10</v>
      </c>
      <c r="BZ91" s="8">
        <f t="shared" si="100"/>
        <v>3.637978807091713E-10</v>
      </c>
      <c r="CA91" s="8">
        <f t="shared" si="100"/>
        <v>3.637978807091713E-10</v>
      </c>
      <c r="CB91" s="8">
        <f t="shared" si="100"/>
        <v>3.637978807091713E-10</v>
      </c>
      <c r="CC91" s="8">
        <f t="shared" si="100"/>
        <v>3.637978807091713E-10</v>
      </c>
      <c r="CD91" s="8">
        <f t="shared" si="100"/>
        <v>3.637978807091713E-10</v>
      </c>
      <c r="CE91" s="8">
        <f t="shared" si="100"/>
        <v>3.637978807091713E-10</v>
      </c>
      <c r="CF91" s="8">
        <f t="shared" si="100"/>
        <v>3.637978807091713E-10</v>
      </c>
      <c r="CG91" s="8">
        <f t="shared" si="100"/>
        <v>3.637978807091713E-10</v>
      </c>
      <c r="CH91" s="8">
        <f t="shared" si="100"/>
        <v>3.637978807091713E-10</v>
      </c>
      <c r="CI91" s="8">
        <f t="shared" si="100"/>
        <v>3.637978807091713E-10</v>
      </c>
      <c r="CJ91" s="8">
        <f t="shared" si="100"/>
        <v>3.637978807091713E-10</v>
      </c>
      <c r="CK91" s="8">
        <f t="shared" si="100"/>
        <v>3.637978807091713E-10</v>
      </c>
      <c r="CL91" s="8">
        <f t="shared" si="100"/>
        <v>3.637978807091713E-10</v>
      </c>
      <c r="CM91" s="8">
        <f t="shared" si="100"/>
        <v>3.637978807091713E-10</v>
      </c>
      <c r="CN91" s="8">
        <f t="shared" si="100"/>
        <v>3.637978807091713E-10</v>
      </c>
      <c r="CO91" s="8">
        <f t="shared" si="100"/>
        <v>3.637978807091713E-10</v>
      </c>
      <c r="CP91" s="8">
        <f t="shared" si="100"/>
        <v>3.637978807091713E-10</v>
      </c>
      <c r="CQ91" s="8">
        <f t="shared" si="100"/>
        <v>3.637978807091713E-10</v>
      </c>
      <c r="CR91" s="8">
        <f t="shared" si="100"/>
        <v>3.637978807091713E-10</v>
      </c>
      <c r="CS91" s="8">
        <f t="shared" si="100"/>
        <v>3.637978807091713E-10</v>
      </c>
      <c r="CT91" s="8">
        <f t="shared" si="100"/>
        <v>3.637978807091713E-10</v>
      </c>
      <c r="CU91" s="8">
        <f t="shared" si="100"/>
        <v>3.637978807091713E-10</v>
      </c>
      <c r="CV91" s="8">
        <f t="shared" si="100"/>
        <v>3.637978807091713E-10</v>
      </c>
      <c r="CW91" s="8">
        <f t="shared" si="100"/>
        <v>3.637978807091713E-10</v>
      </c>
      <c r="CX91" s="8">
        <f t="shared" si="100"/>
        <v>3.637978807091713E-10</v>
      </c>
      <c r="CY91" s="8">
        <f t="shared" si="100"/>
        <v>3.637978807091713E-10</v>
      </c>
      <c r="CZ91" s="8">
        <f t="shared" si="100"/>
        <v>3.637978807091713E-10</v>
      </c>
      <c r="DA91" s="8">
        <f t="shared" si="100"/>
        <v>3.637978807091713E-10</v>
      </c>
      <c r="DB91" s="8"/>
    </row>
    <row r="92" spans="3:106" x14ac:dyDescent="0.4"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</row>
    <row r="93" spans="3:106" x14ac:dyDescent="0.4">
      <c r="D93" t="s">
        <v>158</v>
      </c>
      <c r="I93" s="8"/>
      <c r="J93" s="8">
        <f>AVERAGE(J86:J87)+AVERAGE(J90:J91)</f>
        <v>3891832.3522170251</v>
      </c>
      <c r="K93" s="8">
        <f t="shared" ref="K93:BV93" si="101">AVERAGE(K86:K87)+AVERAGE(K90:K91)</f>
        <v>3774958.9858232075</v>
      </c>
      <c r="L93" s="8">
        <f t="shared" si="101"/>
        <v>3642101.3911353606</v>
      </c>
      <c r="M93" s="8">
        <f t="shared" si="101"/>
        <v>3514934.1161886742</v>
      </c>
      <c r="N93" s="8">
        <f t="shared" si="101"/>
        <v>3393031.2061464791</v>
      </c>
      <c r="O93" s="8">
        <f t="shared" si="101"/>
        <v>3275999.4719287716</v>
      </c>
      <c r="P93" s="8">
        <f t="shared" si="101"/>
        <v>3163473.0292527694</v>
      </c>
      <c r="Q93" s="8">
        <f t="shared" si="101"/>
        <v>3055113.2986329161</v>
      </c>
      <c r="R93" s="8">
        <f t="shared" si="101"/>
        <v>2949079.9367364151</v>
      </c>
      <c r="S93" s="8">
        <f t="shared" si="101"/>
        <v>2843379.6933660293</v>
      </c>
      <c r="T93" s="8">
        <f t="shared" si="101"/>
        <v>2737679.4499956439</v>
      </c>
      <c r="U93" s="8">
        <f t="shared" si="101"/>
        <v>2631979.2066252576</v>
      </c>
      <c r="V93" s="8">
        <f t="shared" si="101"/>
        <v>2526278.9632548718</v>
      </c>
      <c r="W93" s="8">
        <f t="shared" si="101"/>
        <v>2420578.7198844859</v>
      </c>
      <c r="X93" s="8">
        <f t="shared" si="101"/>
        <v>2314878.4765140996</v>
      </c>
      <c r="Y93" s="8">
        <f t="shared" si="101"/>
        <v>2209178.2331437138</v>
      </c>
      <c r="Z93" s="8">
        <f t="shared" si="101"/>
        <v>2103477.9897733284</v>
      </c>
      <c r="AA93" s="8">
        <f t="shared" si="101"/>
        <v>1997777.7464029426</v>
      </c>
      <c r="AB93" s="8">
        <f t="shared" si="101"/>
        <v>1892077.5030325563</v>
      </c>
      <c r="AC93" s="8">
        <f t="shared" si="101"/>
        <v>1786377.2596621704</v>
      </c>
      <c r="AD93" s="8">
        <f t="shared" si="101"/>
        <v>1692860.4168124478</v>
      </c>
      <c r="AE93" s="8">
        <f t="shared" si="101"/>
        <v>1623704.914044606</v>
      </c>
      <c r="AF93" s="8">
        <f t="shared" si="101"/>
        <v>1566732.8117974265</v>
      </c>
      <c r="AG93" s="8">
        <f t="shared" si="101"/>
        <v>1509760.7095502475</v>
      </c>
      <c r="AH93" s="8">
        <f t="shared" si="101"/>
        <v>1452788.607303069</v>
      </c>
      <c r="AI93" s="8">
        <f t="shared" si="101"/>
        <v>1395816.5050558895</v>
      </c>
      <c r="AJ93" s="8">
        <f t="shared" si="101"/>
        <v>1338844.4028087105</v>
      </c>
      <c r="AK93" s="8">
        <f t="shared" si="101"/>
        <v>1281872.3005615314</v>
      </c>
      <c r="AL93" s="8">
        <f t="shared" si="101"/>
        <v>1224900.198314352</v>
      </c>
      <c r="AM93" s="8">
        <f t="shared" si="101"/>
        <v>1167928.0960671729</v>
      </c>
      <c r="AN93" s="8">
        <f t="shared" si="101"/>
        <v>1110955.9938199935</v>
      </c>
      <c r="AO93" s="8">
        <f t="shared" si="101"/>
        <v>1053983.8915728144</v>
      </c>
      <c r="AP93" s="8">
        <f t="shared" si="101"/>
        <v>997011.78932563507</v>
      </c>
      <c r="AQ93" s="8">
        <f t="shared" si="101"/>
        <v>940039.68707845581</v>
      </c>
      <c r="AR93" s="8">
        <f t="shared" si="101"/>
        <v>883067.58483127656</v>
      </c>
      <c r="AS93" s="8">
        <f t="shared" si="101"/>
        <v>826095.48258409731</v>
      </c>
      <c r="AT93" s="8">
        <f t="shared" si="101"/>
        <v>769123.38033691805</v>
      </c>
      <c r="AU93" s="8">
        <f t="shared" si="101"/>
        <v>712151.2780897388</v>
      </c>
      <c r="AV93" s="8">
        <f t="shared" si="101"/>
        <v>655179.17584255955</v>
      </c>
      <c r="AW93" s="8">
        <f t="shared" si="101"/>
        <v>598207.07359538029</v>
      </c>
      <c r="AX93" s="8">
        <f t="shared" si="101"/>
        <v>541234.97134820104</v>
      </c>
      <c r="AY93" s="8">
        <f t="shared" si="101"/>
        <v>484262.86910102179</v>
      </c>
      <c r="AZ93" s="8">
        <f t="shared" si="101"/>
        <v>427290.76685384254</v>
      </c>
      <c r="BA93" s="8">
        <f t="shared" si="101"/>
        <v>370318.66460666328</v>
      </c>
      <c r="BB93" s="8">
        <f t="shared" si="101"/>
        <v>313346.56235948403</v>
      </c>
      <c r="BC93" s="8">
        <f t="shared" si="101"/>
        <v>256374.46011230475</v>
      </c>
      <c r="BD93" s="8">
        <f t="shared" si="101"/>
        <v>199402.35786512546</v>
      </c>
      <c r="BE93" s="8">
        <f t="shared" si="101"/>
        <v>142430.25561794621</v>
      </c>
      <c r="BF93" s="8">
        <f t="shared" si="101"/>
        <v>85458.15337076693</v>
      </c>
      <c r="BG93" s="8">
        <f t="shared" si="101"/>
        <v>28486.051123588833</v>
      </c>
      <c r="BH93" s="8">
        <f t="shared" si="101"/>
        <v>3.637978807091713E-10</v>
      </c>
      <c r="BI93" s="8">
        <f t="shared" si="101"/>
        <v>3.637978807091713E-10</v>
      </c>
      <c r="BJ93" s="8">
        <f t="shared" si="101"/>
        <v>3.637978807091713E-10</v>
      </c>
      <c r="BK93" s="8">
        <f t="shared" si="101"/>
        <v>3.637978807091713E-10</v>
      </c>
      <c r="BL93" s="8">
        <f t="shared" si="101"/>
        <v>3.637978807091713E-10</v>
      </c>
      <c r="BM93" s="8">
        <f t="shared" si="101"/>
        <v>3.637978807091713E-10</v>
      </c>
      <c r="BN93" s="8">
        <f t="shared" si="101"/>
        <v>3.637978807091713E-10</v>
      </c>
      <c r="BO93" s="8">
        <f t="shared" si="101"/>
        <v>3.637978807091713E-10</v>
      </c>
      <c r="BP93" s="8">
        <f t="shared" si="101"/>
        <v>3.637978807091713E-10</v>
      </c>
      <c r="BQ93" s="8">
        <f t="shared" si="101"/>
        <v>3.637978807091713E-10</v>
      </c>
      <c r="BR93" s="8">
        <f t="shared" si="101"/>
        <v>3.637978807091713E-10</v>
      </c>
      <c r="BS93" s="8">
        <f t="shared" si="101"/>
        <v>3.637978807091713E-10</v>
      </c>
      <c r="BT93" s="8">
        <f t="shared" si="101"/>
        <v>3.637978807091713E-10</v>
      </c>
      <c r="BU93" s="8">
        <f t="shared" si="101"/>
        <v>3.637978807091713E-10</v>
      </c>
      <c r="BV93" s="8">
        <f t="shared" si="101"/>
        <v>3.637978807091713E-10</v>
      </c>
      <c r="BW93" s="8">
        <f t="shared" ref="BW93:DA93" si="102">AVERAGE(BW86:BW87)+AVERAGE(BW90:BW91)</f>
        <v>3.637978807091713E-10</v>
      </c>
      <c r="BX93" s="8">
        <f t="shared" si="102"/>
        <v>3.637978807091713E-10</v>
      </c>
      <c r="BY93" s="8">
        <f t="shared" si="102"/>
        <v>3.637978807091713E-10</v>
      </c>
      <c r="BZ93" s="8">
        <f t="shared" si="102"/>
        <v>3.637978807091713E-10</v>
      </c>
      <c r="CA93" s="8">
        <f t="shared" si="102"/>
        <v>3.637978807091713E-10</v>
      </c>
      <c r="CB93" s="8">
        <f t="shared" si="102"/>
        <v>3.637978807091713E-10</v>
      </c>
      <c r="CC93" s="8">
        <f t="shared" si="102"/>
        <v>3.637978807091713E-10</v>
      </c>
      <c r="CD93" s="8">
        <f t="shared" si="102"/>
        <v>3.637978807091713E-10</v>
      </c>
      <c r="CE93" s="8">
        <f t="shared" si="102"/>
        <v>3.637978807091713E-10</v>
      </c>
      <c r="CF93" s="8">
        <f t="shared" si="102"/>
        <v>3.637978807091713E-10</v>
      </c>
      <c r="CG93" s="8">
        <f t="shared" si="102"/>
        <v>3.637978807091713E-10</v>
      </c>
      <c r="CH93" s="8">
        <f t="shared" si="102"/>
        <v>3.637978807091713E-10</v>
      </c>
      <c r="CI93" s="8">
        <f t="shared" si="102"/>
        <v>3.637978807091713E-10</v>
      </c>
      <c r="CJ93" s="8">
        <f t="shared" si="102"/>
        <v>3.637978807091713E-10</v>
      </c>
      <c r="CK93" s="8">
        <f t="shared" si="102"/>
        <v>3.637978807091713E-10</v>
      </c>
      <c r="CL93" s="8">
        <f t="shared" si="102"/>
        <v>3.637978807091713E-10</v>
      </c>
      <c r="CM93" s="8">
        <f t="shared" si="102"/>
        <v>3.637978807091713E-10</v>
      </c>
      <c r="CN93" s="8">
        <f t="shared" si="102"/>
        <v>3.637978807091713E-10</v>
      </c>
      <c r="CO93" s="8">
        <f t="shared" si="102"/>
        <v>3.637978807091713E-10</v>
      </c>
      <c r="CP93" s="8">
        <f t="shared" si="102"/>
        <v>3.637978807091713E-10</v>
      </c>
      <c r="CQ93" s="8">
        <f t="shared" si="102"/>
        <v>3.637978807091713E-10</v>
      </c>
      <c r="CR93" s="8">
        <f t="shared" si="102"/>
        <v>3.637978807091713E-10</v>
      </c>
      <c r="CS93" s="8">
        <f t="shared" si="102"/>
        <v>3.637978807091713E-10</v>
      </c>
      <c r="CT93" s="8">
        <f t="shared" si="102"/>
        <v>3.637978807091713E-10</v>
      </c>
      <c r="CU93" s="8">
        <f t="shared" si="102"/>
        <v>3.637978807091713E-10</v>
      </c>
      <c r="CV93" s="8">
        <f t="shared" si="102"/>
        <v>3.637978807091713E-10</v>
      </c>
      <c r="CW93" s="8">
        <f t="shared" si="102"/>
        <v>3.637978807091713E-10</v>
      </c>
      <c r="CX93" s="8">
        <f t="shared" si="102"/>
        <v>3.637978807091713E-10</v>
      </c>
      <c r="CY93" s="8">
        <f t="shared" si="102"/>
        <v>3.637978807091713E-10</v>
      </c>
      <c r="CZ93" s="8">
        <f t="shared" si="102"/>
        <v>3.637978807091713E-10</v>
      </c>
      <c r="DA93" s="8">
        <f t="shared" si="102"/>
        <v>3.637978807091713E-10</v>
      </c>
      <c r="DB93" s="8"/>
    </row>
    <row r="94" spans="3:106" x14ac:dyDescent="0.4"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</row>
    <row r="95" spans="3:106" x14ac:dyDescent="0.4">
      <c r="D95" t="s">
        <v>209</v>
      </c>
      <c r="I95" s="8"/>
      <c r="J95" s="8">
        <f t="shared" ref="J95:AO95" si="103">J93*AVG_PRE_TAX_RATE</f>
        <v>347540.62905298034</v>
      </c>
      <c r="K95" s="8">
        <f t="shared" si="103"/>
        <v>337103.83743401244</v>
      </c>
      <c r="L95" s="8">
        <f t="shared" si="103"/>
        <v>325239.65422838769</v>
      </c>
      <c r="M95" s="8">
        <f t="shared" si="103"/>
        <v>313883.6165756486</v>
      </c>
      <c r="N95" s="8">
        <f t="shared" si="103"/>
        <v>302997.68670888059</v>
      </c>
      <c r="O95" s="8">
        <f t="shared" si="103"/>
        <v>292546.75284323934</v>
      </c>
      <c r="P95" s="8">
        <f t="shared" si="103"/>
        <v>282498.1415122723</v>
      </c>
      <c r="Q95" s="8">
        <f t="shared" si="103"/>
        <v>272821.61756791943</v>
      </c>
      <c r="R95" s="8">
        <f t="shared" si="103"/>
        <v>263352.83835056191</v>
      </c>
      <c r="S95" s="8">
        <f t="shared" si="103"/>
        <v>253913.80661758644</v>
      </c>
      <c r="T95" s="8">
        <f t="shared" si="103"/>
        <v>244474.77488461102</v>
      </c>
      <c r="U95" s="8">
        <f t="shared" si="103"/>
        <v>235035.74315163551</v>
      </c>
      <c r="V95" s="8">
        <f t="shared" si="103"/>
        <v>225596.71141866007</v>
      </c>
      <c r="W95" s="8">
        <f t="shared" si="103"/>
        <v>216157.67968568459</v>
      </c>
      <c r="X95" s="8">
        <f t="shared" si="103"/>
        <v>206718.64795270911</v>
      </c>
      <c r="Y95" s="8">
        <f t="shared" si="103"/>
        <v>197279.61621973364</v>
      </c>
      <c r="Z95" s="8">
        <f t="shared" si="103"/>
        <v>187840.58448675825</v>
      </c>
      <c r="AA95" s="8">
        <f t="shared" si="103"/>
        <v>178401.55275378277</v>
      </c>
      <c r="AB95" s="8">
        <f t="shared" si="103"/>
        <v>168962.5210208073</v>
      </c>
      <c r="AC95" s="8">
        <f t="shared" si="103"/>
        <v>159523.48928783182</v>
      </c>
      <c r="AD95" s="8">
        <f t="shared" si="103"/>
        <v>151172.4352213516</v>
      </c>
      <c r="AE95" s="8">
        <f t="shared" si="103"/>
        <v>144996.84882418334</v>
      </c>
      <c r="AF95" s="8">
        <f t="shared" si="103"/>
        <v>139909.24009351019</v>
      </c>
      <c r="AG95" s="8">
        <f t="shared" si="103"/>
        <v>134821.6313628371</v>
      </c>
      <c r="AH95" s="8">
        <f t="shared" si="103"/>
        <v>129734.02263216407</v>
      </c>
      <c r="AI95" s="8">
        <f t="shared" si="103"/>
        <v>124646.41390149093</v>
      </c>
      <c r="AJ95" s="8">
        <f t="shared" si="103"/>
        <v>119558.80517081785</v>
      </c>
      <c r="AK95" s="8">
        <f t="shared" si="103"/>
        <v>114471.19644014476</v>
      </c>
      <c r="AL95" s="8">
        <f t="shared" si="103"/>
        <v>109383.58770947164</v>
      </c>
      <c r="AM95" s="8">
        <f t="shared" si="103"/>
        <v>104295.97897879855</v>
      </c>
      <c r="AN95" s="8">
        <f t="shared" si="103"/>
        <v>99208.370248125415</v>
      </c>
      <c r="AO95" s="8">
        <f t="shared" si="103"/>
        <v>94120.761517452338</v>
      </c>
      <c r="AP95" s="8">
        <f t="shared" ref="AP95:BU95" si="104">AP93*AVG_PRE_TAX_RATE</f>
        <v>89033.152786779217</v>
      </c>
      <c r="AQ95" s="8">
        <f t="shared" si="104"/>
        <v>83945.544056106111</v>
      </c>
      <c r="AR95" s="8">
        <f t="shared" si="104"/>
        <v>78857.935325433005</v>
      </c>
      <c r="AS95" s="8">
        <f t="shared" si="104"/>
        <v>73770.326594759899</v>
      </c>
      <c r="AT95" s="8">
        <f t="shared" si="104"/>
        <v>68682.717864086779</v>
      </c>
      <c r="AU95" s="8">
        <f t="shared" si="104"/>
        <v>63595.10913341368</v>
      </c>
      <c r="AV95" s="8">
        <f t="shared" si="104"/>
        <v>58507.500402740574</v>
      </c>
      <c r="AW95" s="8">
        <f t="shared" si="104"/>
        <v>53419.891672067461</v>
      </c>
      <c r="AX95" s="8">
        <f t="shared" si="104"/>
        <v>48332.282941394355</v>
      </c>
      <c r="AY95" s="8">
        <f t="shared" si="104"/>
        <v>43244.674210721249</v>
      </c>
      <c r="AZ95" s="8">
        <f t="shared" si="104"/>
        <v>38157.065480048142</v>
      </c>
      <c r="BA95" s="8">
        <f t="shared" si="104"/>
        <v>33069.456749375029</v>
      </c>
      <c r="BB95" s="8">
        <f t="shared" si="104"/>
        <v>27981.848018701927</v>
      </c>
      <c r="BC95" s="8">
        <f t="shared" si="104"/>
        <v>22894.239288028813</v>
      </c>
      <c r="BD95" s="8">
        <f t="shared" si="104"/>
        <v>17806.630557355704</v>
      </c>
      <c r="BE95" s="8">
        <f t="shared" si="104"/>
        <v>12719.021826682598</v>
      </c>
      <c r="BF95" s="8">
        <f t="shared" si="104"/>
        <v>7631.4130960094872</v>
      </c>
      <c r="BG95" s="8">
        <f t="shared" si="104"/>
        <v>2543.804365336483</v>
      </c>
      <c r="BH95" s="8">
        <f t="shared" si="104"/>
        <v>3.2487150747328996E-11</v>
      </c>
      <c r="BI95" s="8">
        <f t="shared" si="104"/>
        <v>3.2487150747328996E-11</v>
      </c>
      <c r="BJ95" s="8">
        <f t="shared" si="104"/>
        <v>3.2487150747328996E-11</v>
      </c>
      <c r="BK95" s="8">
        <f t="shared" si="104"/>
        <v>3.2487150747328996E-11</v>
      </c>
      <c r="BL95" s="8">
        <f t="shared" si="104"/>
        <v>3.2487150747328996E-11</v>
      </c>
      <c r="BM95" s="8">
        <f t="shared" si="104"/>
        <v>3.2487150747328996E-11</v>
      </c>
      <c r="BN95" s="8">
        <f t="shared" si="104"/>
        <v>3.2487150747328996E-11</v>
      </c>
      <c r="BO95" s="8">
        <f t="shared" si="104"/>
        <v>3.2487150747328996E-11</v>
      </c>
      <c r="BP95" s="8">
        <f t="shared" si="104"/>
        <v>3.2487150747328996E-11</v>
      </c>
      <c r="BQ95" s="8">
        <f t="shared" si="104"/>
        <v>3.2487150747328996E-11</v>
      </c>
      <c r="BR95" s="8">
        <f t="shared" si="104"/>
        <v>3.2487150747328996E-11</v>
      </c>
      <c r="BS95" s="8">
        <f t="shared" si="104"/>
        <v>3.2487150747328996E-11</v>
      </c>
      <c r="BT95" s="8">
        <f t="shared" si="104"/>
        <v>3.2487150747328996E-11</v>
      </c>
      <c r="BU95" s="8">
        <f t="shared" si="104"/>
        <v>3.2487150747328996E-11</v>
      </c>
      <c r="BV95" s="8">
        <f t="shared" ref="BV95:DA95" si="105">BV93*AVG_PRE_TAX_RATE</f>
        <v>3.2487150747328996E-11</v>
      </c>
      <c r="BW95" s="8">
        <f t="shared" si="105"/>
        <v>3.2487150747328996E-11</v>
      </c>
      <c r="BX95" s="8">
        <f t="shared" si="105"/>
        <v>3.2487150747328996E-11</v>
      </c>
      <c r="BY95" s="8">
        <f t="shared" si="105"/>
        <v>3.2487150747328996E-11</v>
      </c>
      <c r="BZ95" s="8">
        <f t="shared" si="105"/>
        <v>3.2487150747328996E-11</v>
      </c>
      <c r="CA95" s="8">
        <f t="shared" si="105"/>
        <v>3.2487150747328996E-11</v>
      </c>
      <c r="CB95" s="8">
        <f t="shared" si="105"/>
        <v>3.2487150747328996E-11</v>
      </c>
      <c r="CC95" s="8">
        <f t="shared" si="105"/>
        <v>3.2487150747328996E-11</v>
      </c>
      <c r="CD95" s="8">
        <f t="shared" si="105"/>
        <v>3.2487150747328996E-11</v>
      </c>
      <c r="CE95" s="8">
        <f t="shared" si="105"/>
        <v>3.2487150747328996E-11</v>
      </c>
      <c r="CF95" s="8">
        <f t="shared" si="105"/>
        <v>3.2487150747328996E-11</v>
      </c>
      <c r="CG95" s="8">
        <f t="shared" si="105"/>
        <v>3.2487150747328996E-11</v>
      </c>
      <c r="CH95" s="8">
        <f t="shared" si="105"/>
        <v>3.2487150747328996E-11</v>
      </c>
      <c r="CI95" s="8">
        <f t="shared" si="105"/>
        <v>3.2487150747328996E-11</v>
      </c>
      <c r="CJ95" s="8">
        <f t="shared" si="105"/>
        <v>3.2487150747328996E-11</v>
      </c>
      <c r="CK95" s="8">
        <f t="shared" si="105"/>
        <v>3.2487150747328996E-11</v>
      </c>
      <c r="CL95" s="8">
        <f t="shared" si="105"/>
        <v>3.2487150747328996E-11</v>
      </c>
      <c r="CM95" s="8">
        <f t="shared" si="105"/>
        <v>3.2487150747328996E-11</v>
      </c>
      <c r="CN95" s="8">
        <f t="shared" si="105"/>
        <v>3.2487150747328996E-11</v>
      </c>
      <c r="CO95" s="8">
        <f t="shared" si="105"/>
        <v>3.2487150747328996E-11</v>
      </c>
      <c r="CP95" s="8">
        <f t="shared" si="105"/>
        <v>3.2487150747328996E-11</v>
      </c>
      <c r="CQ95" s="8">
        <f t="shared" si="105"/>
        <v>3.2487150747328996E-11</v>
      </c>
      <c r="CR95" s="8">
        <f t="shared" si="105"/>
        <v>3.2487150747328996E-11</v>
      </c>
      <c r="CS95" s="8">
        <f t="shared" si="105"/>
        <v>3.2487150747328996E-11</v>
      </c>
      <c r="CT95" s="8">
        <f t="shared" si="105"/>
        <v>3.2487150747328996E-11</v>
      </c>
      <c r="CU95" s="8">
        <f t="shared" si="105"/>
        <v>3.2487150747328996E-11</v>
      </c>
      <c r="CV95" s="8">
        <f t="shared" si="105"/>
        <v>3.2487150747328996E-11</v>
      </c>
      <c r="CW95" s="8">
        <f t="shared" si="105"/>
        <v>3.2487150747328996E-11</v>
      </c>
      <c r="CX95" s="8">
        <f t="shared" si="105"/>
        <v>3.2487150747328996E-11</v>
      </c>
      <c r="CY95" s="8">
        <f t="shared" si="105"/>
        <v>3.2487150747328996E-11</v>
      </c>
      <c r="CZ95" s="8">
        <f t="shared" si="105"/>
        <v>3.2487150747328996E-11</v>
      </c>
      <c r="DA95" s="8">
        <f t="shared" si="105"/>
        <v>3.2487150747328996E-11</v>
      </c>
      <c r="DB95" s="8"/>
    </row>
    <row r="98" spans="3:107" x14ac:dyDescent="0.4">
      <c r="C98" s="58" t="str">
        <f>C81</f>
        <v>Investment year in service</v>
      </c>
      <c r="E98" t="str">
        <f>IF(E99&lt;$C99,"",E99-$C99)</f>
        <v/>
      </c>
      <c r="F98" t="str">
        <f>IF(F99&lt;$C99,"",F99-$C99)</f>
        <v/>
      </c>
      <c r="G98" t="str">
        <f t="shared" ref="G98:BR98" si="106">IF(G99&lt;$C99,"",G99-$C99)</f>
        <v/>
      </c>
      <c r="H98" t="str">
        <f t="shared" si="106"/>
        <v/>
      </c>
      <c r="I98" t="str">
        <f t="shared" si="106"/>
        <v/>
      </c>
      <c r="J98">
        <f t="shared" si="106"/>
        <v>0</v>
      </c>
      <c r="K98">
        <f t="shared" si="106"/>
        <v>1</v>
      </c>
      <c r="L98">
        <f t="shared" si="106"/>
        <v>2</v>
      </c>
      <c r="M98">
        <f t="shared" si="106"/>
        <v>3</v>
      </c>
      <c r="N98">
        <f t="shared" si="106"/>
        <v>4</v>
      </c>
      <c r="O98">
        <f t="shared" si="106"/>
        <v>5</v>
      </c>
      <c r="P98">
        <f t="shared" si="106"/>
        <v>6</v>
      </c>
      <c r="Q98">
        <f t="shared" si="106"/>
        <v>7</v>
      </c>
      <c r="R98">
        <f t="shared" si="106"/>
        <v>8</v>
      </c>
      <c r="S98">
        <f t="shared" si="106"/>
        <v>9</v>
      </c>
      <c r="T98">
        <f t="shared" si="106"/>
        <v>10</v>
      </c>
      <c r="U98">
        <f t="shared" si="106"/>
        <v>11</v>
      </c>
      <c r="V98">
        <f t="shared" si="106"/>
        <v>12</v>
      </c>
      <c r="W98">
        <f t="shared" si="106"/>
        <v>13</v>
      </c>
      <c r="X98">
        <f t="shared" si="106"/>
        <v>14</v>
      </c>
      <c r="Y98">
        <f t="shared" si="106"/>
        <v>15</v>
      </c>
      <c r="Z98">
        <f t="shared" si="106"/>
        <v>16</v>
      </c>
      <c r="AA98">
        <f t="shared" si="106"/>
        <v>17</v>
      </c>
      <c r="AB98">
        <f t="shared" si="106"/>
        <v>18</v>
      </c>
      <c r="AC98">
        <f t="shared" si="106"/>
        <v>19</v>
      </c>
      <c r="AD98">
        <f t="shared" si="106"/>
        <v>20</v>
      </c>
      <c r="AE98">
        <f t="shared" si="106"/>
        <v>21</v>
      </c>
      <c r="AF98">
        <f t="shared" si="106"/>
        <v>22</v>
      </c>
      <c r="AG98">
        <f t="shared" si="106"/>
        <v>23</v>
      </c>
      <c r="AH98">
        <f t="shared" si="106"/>
        <v>24</v>
      </c>
      <c r="AI98">
        <f t="shared" si="106"/>
        <v>25</v>
      </c>
      <c r="AJ98">
        <f t="shared" si="106"/>
        <v>26</v>
      </c>
      <c r="AK98">
        <f t="shared" si="106"/>
        <v>27</v>
      </c>
      <c r="AL98">
        <f t="shared" si="106"/>
        <v>28</v>
      </c>
      <c r="AM98">
        <f t="shared" si="106"/>
        <v>29</v>
      </c>
      <c r="AN98">
        <f t="shared" si="106"/>
        <v>30</v>
      </c>
      <c r="AO98">
        <f t="shared" si="106"/>
        <v>31</v>
      </c>
      <c r="AP98">
        <f t="shared" si="106"/>
        <v>32</v>
      </c>
      <c r="AQ98">
        <f t="shared" si="106"/>
        <v>33</v>
      </c>
      <c r="AR98">
        <f t="shared" si="106"/>
        <v>34</v>
      </c>
      <c r="AS98">
        <f t="shared" si="106"/>
        <v>35</v>
      </c>
      <c r="AT98">
        <f t="shared" si="106"/>
        <v>36</v>
      </c>
      <c r="AU98">
        <f t="shared" si="106"/>
        <v>37</v>
      </c>
      <c r="AV98">
        <f t="shared" si="106"/>
        <v>38</v>
      </c>
      <c r="AW98">
        <f t="shared" si="106"/>
        <v>39</v>
      </c>
      <c r="AX98">
        <f t="shared" si="106"/>
        <v>40</v>
      </c>
      <c r="AY98">
        <f t="shared" si="106"/>
        <v>41</v>
      </c>
      <c r="AZ98">
        <f t="shared" si="106"/>
        <v>42</v>
      </c>
      <c r="BA98">
        <f t="shared" si="106"/>
        <v>43</v>
      </c>
      <c r="BB98">
        <f t="shared" si="106"/>
        <v>44</v>
      </c>
      <c r="BC98">
        <f t="shared" si="106"/>
        <v>45</v>
      </c>
      <c r="BD98">
        <f t="shared" si="106"/>
        <v>46</v>
      </c>
      <c r="BE98">
        <f t="shared" si="106"/>
        <v>47</v>
      </c>
      <c r="BF98">
        <f t="shared" si="106"/>
        <v>48</v>
      </c>
      <c r="BG98">
        <f t="shared" si="106"/>
        <v>49</v>
      </c>
      <c r="BH98">
        <f t="shared" si="106"/>
        <v>50</v>
      </c>
      <c r="BI98">
        <f t="shared" si="106"/>
        <v>51</v>
      </c>
      <c r="BJ98">
        <f t="shared" si="106"/>
        <v>52</v>
      </c>
      <c r="BK98">
        <f t="shared" si="106"/>
        <v>53</v>
      </c>
      <c r="BL98">
        <f t="shared" si="106"/>
        <v>54</v>
      </c>
      <c r="BM98">
        <f t="shared" si="106"/>
        <v>55</v>
      </c>
      <c r="BN98">
        <f t="shared" si="106"/>
        <v>56</v>
      </c>
      <c r="BO98">
        <f t="shared" si="106"/>
        <v>57</v>
      </c>
      <c r="BP98">
        <f t="shared" si="106"/>
        <v>58</v>
      </c>
      <c r="BQ98">
        <f t="shared" si="106"/>
        <v>59</v>
      </c>
      <c r="BR98">
        <f t="shared" si="106"/>
        <v>60</v>
      </c>
      <c r="BS98">
        <f t="shared" ref="BS98:DA98" si="107">IF(BS99&lt;$C99,"",BS99-$C99)</f>
        <v>61</v>
      </c>
      <c r="BT98">
        <f t="shared" si="107"/>
        <v>62</v>
      </c>
      <c r="BU98">
        <f t="shared" si="107"/>
        <v>63</v>
      </c>
      <c r="BV98">
        <f t="shared" si="107"/>
        <v>64</v>
      </c>
      <c r="BW98">
        <f t="shared" si="107"/>
        <v>65</v>
      </c>
      <c r="BX98">
        <f t="shared" si="107"/>
        <v>66</v>
      </c>
      <c r="BY98">
        <f t="shared" si="107"/>
        <v>67</v>
      </c>
      <c r="BZ98">
        <f t="shared" si="107"/>
        <v>68</v>
      </c>
      <c r="CA98">
        <f t="shared" si="107"/>
        <v>69</v>
      </c>
      <c r="CB98">
        <f t="shared" si="107"/>
        <v>70</v>
      </c>
      <c r="CC98">
        <f t="shared" si="107"/>
        <v>71</v>
      </c>
      <c r="CD98">
        <f t="shared" si="107"/>
        <v>72</v>
      </c>
      <c r="CE98">
        <f t="shared" si="107"/>
        <v>73</v>
      </c>
      <c r="CF98">
        <f t="shared" si="107"/>
        <v>74</v>
      </c>
      <c r="CG98">
        <f t="shared" si="107"/>
        <v>75</v>
      </c>
      <c r="CH98">
        <f t="shared" si="107"/>
        <v>76</v>
      </c>
      <c r="CI98">
        <f t="shared" si="107"/>
        <v>77</v>
      </c>
      <c r="CJ98">
        <f t="shared" si="107"/>
        <v>78</v>
      </c>
      <c r="CK98">
        <f t="shared" si="107"/>
        <v>79</v>
      </c>
      <c r="CL98">
        <f t="shared" si="107"/>
        <v>80</v>
      </c>
      <c r="CM98">
        <f t="shared" si="107"/>
        <v>81</v>
      </c>
      <c r="CN98">
        <f t="shared" si="107"/>
        <v>82</v>
      </c>
      <c r="CO98">
        <f t="shared" si="107"/>
        <v>83</v>
      </c>
      <c r="CP98">
        <f t="shared" si="107"/>
        <v>84</v>
      </c>
      <c r="CQ98">
        <f t="shared" si="107"/>
        <v>85</v>
      </c>
      <c r="CR98">
        <f t="shared" si="107"/>
        <v>86</v>
      </c>
      <c r="CS98">
        <f t="shared" si="107"/>
        <v>87</v>
      </c>
      <c r="CT98">
        <f t="shared" si="107"/>
        <v>88</v>
      </c>
      <c r="CU98">
        <f t="shared" si="107"/>
        <v>89</v>
      </c>
      <c r="CV98">
        <f t="shared" si="107"/>
        <v>90</v>
      </c>
      <c r="CW98">
        <f t="shared" si="107"/>
        <v>91</v>
      </c>
      <c r="CX98">
        <f t="shared" si="107"/>
        <v>92</v>
      </c>
      <c r="CY98">
        <f t="shared" si="107"/>
        <v>93</v>
      </c>
      <c r="CZ98">
        <f t="shared" si="107"/>
        <v>94</v>
      </c>
      <c r="DA98">
        <f t="shared" si="107"/>
        <v>95</v>
      </c>
    </row>
    <row r="99" spans="3:107" x14ac:dyDescent="0.4">
      <c r="C99">
        <f>C82+1</f>
        <v>2032</v>
      </c>
      <c r="D99" s="5" t="s">
        <v>434</v>
      </c>
      <c r="E99" s="5">
        <v>2027</v>
      </c>
      <c r="F99" s="5">
        <v>2028</v>
      </c>
      <c r="G99" s="5">
        <v>2029</v>
      </c>
      <c r="H99" s="5">
        <v>2030</v>
      </c>
      <c r="I99" s="5">
        <v>2031</v>
      </c>
      <c r="J99" s="5">
        <v>2032</v>
      </c>
      <c r="K99" s="5">
        <v>2033</v>
      </c>
      <c r="L99" s="5">
        <v>2034</v>
      </c>
      <c r="M99" s="5">
        <v>2035</v>
      </c>
      <c r="N99" s="5">
        <v>2036</v>
      </c>
      <c r="O99" s="5">
        <v>2037</v>
      </c>
      <c r="P99" s="5">
        <v>2038</v>
      </c>
      <c r="Q99" s="5">
        <v>2039</v>
      </c>
      <c r="R99" s="5">
        <v>2040</v>
      </c>
      <c r="S99" s="5">
        <v>2041</v>
      </c>
      <c r="T99" s="5">
        <v>2042</v>
      </c>
      <c r="U99" s="5">
        <v>2043</v>
      </c>
      <c r="V99" s="5">
        <v>2044</v>
      </c>
      <c r="W99" s="5">
        <v>2045</v>
      </c>
      <c r="X99" s="5">
        <v>2046</v>
      </c>
      <c r="Y99" s="5">
        <v>2047</v>
      </c>
      <c r="Z99" s="5">
        <v>2048</v>
      </c>
      <c r="AA99" s="5">
        <v>2049</v>
      </c>
      <c r="AB99" s="5">
        <v>2050</v>
      </c>
      <c r="AC99" s="5">
        <v>2051</v>
      </c>
      <c r="AD99" s="5">
        <v>2052</v>
      </c>
      <c r="AE99" s="5">
        <v>2053</v>
      </c>
      <c r="AF99" s="5">
        <v>2054</v>
      </c>
      <c r="AG99" s="5">
        <v>2055</v>
      </c>
      <c r="AH99" s="5">
        <v>2056</v>
      </c>
      <c r="AI99" s="5">
        <v>2057</v>
      </c>
      <c r="AJ99" s="5">
        <v>2058</v>
      </c>
      <c r="AK99" s="5">
        <v>2059</v>
      </c>
      <c r="AL99" s="5">
        <v>2060</v>
      </c>
      <c r="AM99" s="5">
        <v>2061</v>
      </c>
      <c r="AN99" s="5">
        <v>2062</v>
      </c>
      <c r="AO99" s="5">
        <v>2063</v>
      </c>
      <c r="AP99" s="5">
        <v>2064</v>
      </c>
      <c r="AQ99" s="5">
        <v>2065</v>
      </c>
      <c r="AR99" s="5">
        <v>2066</v>
      </c>
      <c r="AS99" s="5">
        <v>2067</v>
      </c>
      <c r="AT99" s="5">
        <v>2068</v>
      </c>
      <c r="AU99" s="5">
        <v>2069</v>
      </c>
      <c r="AV99" s="5">
        <v>2070</v>
      </c>
      <c r="AW99" s="5">
        <v>2071</v>
      </c>
      <c r="AX99" s="5">
        <v>2072</v>
      </c>
      <c r="AY99" s="5">
        <v>2073</v>
      </c>
      <c r="AZ99" s="5">
        <v>2074</v>
      </c>
      <c r="BA99" s="5">
        <v>2075</v>
      </c>
      <c r="BB99" s="5">
        <v>2076</v>
      </c>
      <c r="BC99" s="5">
        <v>2077</v>
      </c>
      <c r="BD99" s="5">
        <v>2078</v>
      </c>
      <c r="BE99" s="5">
        <v>2079</v>
      </c>
      <c r="BF99" s="5">
        <v>2080</v>
      </c>
      <c r="BG99" s="5">
        <v>2081</v>
      </c>
      <c r="BH99" s="5">
        <v>2082</v>
      </c>
      <c r="BI99" s="5">
        <v>2083</v>
      </c>
      <c r="BJ99" s="5">
        <v>2084</v>
      </c>
      <c r="BK99" s="5">
        <v>2085</v>
      </c>
      <c r="BL99" s="5">
        <v>2086</v>
      </c>
      <c r="BM99" s="5">
        <v>2087</v>
      </c>
      <c r="BN99" s="5">
        <v>2088</v>
      </c>
      <c r="BO99" s="5">
        <v>2089</v>
      </c>
      <c r="BP99" s="5">
        <v>2090</v>
      </c>
      <c r="BQ99" s="5">
        <v>2091</v>
      </c>
      <c r="BR99" s="5">
        <v>2092</v>
      </c>
      <c r="BS99" s="5">
        <v>2093</v>
      </c>
      <c r="BT99" s="5">
        <v>2094</v>
      </c>
      <c r="BU99" s="5">
        <v>2095</v>
      </c>
      <c r="BV99" s="5">
        <v>2096</v>
      </c>
      <c r="BW99" s="5">
        <v>2097</v>
      </c>
      <c r="BX99" s="5">
        <v>2098</v>
      </c>
      <c r="BY99" s="5">
        <v>2099</v>
      </c>
      <c r="BZ99" s="5">
        <v>2100</v>
      </c>
      <c r="CA99" s="5">
        <v>2101</v>
      </c>
      <c r="CB99" s="5">
        <v>2102</v>
      </c>
      <c r="CC99" s="5">
        <v>2103</v>
      </c>
      <c r="CD99" s="5">
        <v>2104</v>
      </c>
      <c r="CE99" s="5">
        <v>2105</v>
      </c>
      <c r="CF99" s="5">
        <v>2106</v>
      </c>
      <c r="CG99" s="5">
        <v>2107</v>
      </c>
      <c r="CH99" s="5">
        <v>2108</v>
      </c>
      <c r="CI99" s="5">
        <v>2109</v>
      </c>
      <c r="CJ99" s="5">
        <v>2110</v>
      </c>
      <c r="CK99" s="5">
        <v>2111</v>
      </c>
      <c r="CL99" s="5">
        <v>2112</v>
      </c>
      <c r="CM99" s="5">
        <v>2113</v>
      </c>
      <c r="CN99" s="5">
        <v>2114</v>
      </c>
      <c r="CO99" s="5">
        <v>2115</v>
      </c>
      <c r="CP99" s="5">
        <v>2116</v>
      </c>
      <c r="CQ99" s="5">
        <v>2117</v>
      </c>
      <c r="CR99" s="5">
        <v>2118</v>
      </c>
      <c r="CS99" s="5">
        <v>2119</v>
      </c>
      <c r="CT99" s="5">
        <v>2120</v>
      </c>
      <c r="CU99" s="5">
        <v>2121</v>
      </c>
      <c r="CV99" s="5">
        <v>2122</v>
      </c>
      <c r="CW99" s="5">
        <v>2123</v>
      </c>
      <c r="CX99" s="5">
        <v>2124</v>
      </c>
      <c r="CY99" s="5">
        <v>2125</v>
      </c>
      <c r="CZ99" s="5">
        <v>2126</v>
      </c>
      <c r="DA99" s="5">
        <v>2127</v>
      </c>
    </row>
    <row r="100" spans="3:107" x14ac:dyDescent="0.4">
      <c r="D100" t="s">
        <v>207</v>
      </c>
      <c r="K100" s="8">
        <f>IF(K$13&lt;=$B$3,K101/$B$3,0)</f>
        <v>80549.890705702521</v>
      </c>
      <c r="L100" s="8">
        <f>IF(L98&lt;=$B$3,K100,0)</f>
        <v>80549.890705702521</v>
      </c>
      <c r="M100" s="8">
        <f t="shared" ref="M100:BX100" si="108">IF(M98&lt;=$B$3,L100,0)</f>
        <v>80549.890705702521</v>
      </c>
      <c r="N100" s="8">
        <f t="shared" si="108"/>
        <v>80549.890705702521</v>
      </c>
      <c r="O100" s="8">
        <f t="shared" si="108"/>
        <v>80549.890705702521</v>
      </c>
      <c r="P100" s="8">
        <f t="shared" si="108"/>
        <v>80549.890705702521</v>
      </c>
      <c r="Q100" s="8">
        <f t="shared" si="108"/>
        <v>80549.890705702521</v>
      </c>
      <c r="R100" s="8">
        <f t="shared" si="108"/>
        <v>80549.890705702521</v>
      </c>
      <c r="S100" s="8">
        <f t="shared" si="108"/>
        <v>80549.890705702521</v>
      </c>
      <c r="T100" s="8">
        <f t="shared" si="108"/>
        <v>80549.890705702521</v>
      </c>
      <c r="U100" s="8">
        <f t="shared" si="108"/>
        <v>80549.890705702521</v>
      </c>
      <c r="V100" s="8">
        <f t="shared" si="108"/>
        <v>80549.890705702521</v>
      </c>
      <c r="W100" s="8">
        <f t="shared" si="108"/>
        <v>80549.890705702521</v>
      </c>
      <c r="X100" s="8">
        <f t="shared" si="108"/>
        <v>80549.890705702521</v>
      </c>
      <c r="Y100" s="8">
        <f t="shared" si="108"/>
        <v>80549.890705702521</v>
      </c>
      <c r="Z100" s="8">
        <f t="shared" si="108"/>
        <v>80549.890705702521</v>
      </c>
      <c r="AA100" s="8">
        <f t="shared" si="108"/>
        <v>80549.890705702521</v>
      </c>
      <c r="AB100" s="8">
        <f t="shared" si="108"/>
        <v>80549.890705702521</v>
      </c>
      <c r="AC100" s="8">
        <f t="shared" si="108"/>
        <v>80549.890705702521</v>
      </c>
      <c r="AD100" s="8">
        <f t="shared" si="108"/>
        <v>80549.890705702521</v>
      </c>
      <c r="AE100" s="8">
        <f t="shared" si="108"/>
        <v>80549.890705702521</v>
      </c>
      <c r="AF100" s="8">
        <f t="shared" si="108"/>
        <v>80549.890705702521</v>
      </c>
      <c r="AG100" s="8">
        <f t="shared" si="108"/>
        <v>80549.890705702521</v>
      </c>
      <c r="AH100" s="8">
        <f t="shared" si="108"/>
        <v>80549.890705702521</v>
      </c>
      <c r="AI100" s="8">
        <f t="shared" si="108"/>
        <v>80549.890705702521</v>
      </c>
      <c r="AJ100" s="8">
        <f t="shared" si="108"/>
        <v>80549.890705702521</v>
      </c>
      <c r="AK100" s="8">
        <f t="shared" si="108"/>
        <v>80549.890705702521</v>
      </c>
      <c r="AL100" s="8">
        <f t="shared" si="108"/>
        <v>80549.890705702521</v>
      </c>
      <c r="AM100" s="8">
        <f t="shared" si="108"/>
        <v>80549.890705702521</v>
      </c>
      <c r="AN100" s="8">
        <f t="shared" si="108"/>
        <v>80549.890705702521</v>
      </c>
      <c r="AO100" s="8">
        <f t="shared" si="108"/>
        <v>80549.890705702521</v>
      </c>
      <c r="AP100" s="8">
        <f t="shared" si="108"/>
        <v>80549.890705702521</v>
      </c>
      <c r="AQ100" s="8">
        <f t="shared" si="108"/>
        <v>80549.890705702521</v>
      </c>
      <c r="AR100" s="8">
        <f t="shared" si="108"/>
        <v>80549.890705702521</v>
      </c>
      <c r="AS100" s="8">
        <f t="shared" si="108"/>
        <v>80549.890705702521</v>
      </c>
      <c r="AT100" s="8">
        <f t="shared" si="108"/>
        <v>80549.890705702521</v>
      </c>
      <c r="AU100" s="8">
        <f t="shared" si="108"/>
        <v>80549.890705702521</v>
      </c>
      <c r="AV100" s="8">
        <f t="shared" si="108"/>
        <v>80549.890705702521</v>
      </c>
      <c r="AW100" s="8">
        <f t="shared" si="108"/>
        <v>80549.890705702521</v>
      </c>
      <c r="AX100" s="8">
        <f t="shared" si="108"/>
        <v>80549.890705702521</v>
      </c>
      <c r="AY100" s="8">
        <f t="shared" si="108"/>
        <v>80549.890705702521</v>
      </c>
      <c r="AZ100" s="8">
        <f t="shared" si="108"/>
        <v>80549.890705702521</v>
      </c>
      <c r="BA100" s="8">
        <f t="shared" si="108"/>
        <v>80549.890705702521</v>
      </c>
      <c r="BB100" s="8">
        <f t="shared" si="108"/>
        <v>80549.890705702521</v>
      </c>
      <c r="BC100" s="8">
        <f t="shared" si="108"/>
        <v>80549.890705702521</v>
      </c>
      <c r="BD100" s="8">
        <f t="shared" si="108"/>
        <v>80549.890705702521</v>
      </c>
      <c r="BE100" s="8">
        <f t="shared" si="108"/>
        <v>80549.890705702521</v>
      </c>
      <c r="BF100" s="8">
        <f t="shared" si="108"/>
        <v>80549.890705702521</v>
      </c>
      <c r="BG100" s="8">
        <f t="shared" si="108"/>
        <v>80549.890705702521</v>
      </c>
      <c r="BH100" s="8">
        <f t="shared" si="108"/>
        <v>80549.890705702521</v>
      </c>
      <c r="BI100" s="8">
        <f t="shared" si="108"/>
        <v>0</v>
      </c>
      <c r="BJ100" s="8">
        <f t="shared" si="108"/>
        <v>0</v>
      </c>
      <c r="BK100" s="8">
        <f t="shared" si="108"/>
        <v>0</v>
      </c>
      <c r="BL100" s="8">
        <f t="shared" si="108"/>
        <v>0</v>
      </c>
      <c r="BM100" s="8">
        <f t="shared" si="108"/>
        <v>0</v>
      </c>
      <c r="BN100" s="8">
        <f t="shared" si="108"/>
        <v>0</v>
      </c>
      <c r="BO100" s="8">
        <f t="shared" si="108"/>
        <v>0</v>
      </c>
      <c r="BP100" s="8">
        <f t="shared" si="108"/>
        <v>0</v>
      </c>
      <c r="BQ100" s="8">
        <f t="shared" si="108"/>
        <v>0</v>
      </c>
      <c r="BR100" s="8">
        <f t="shared" si="108"/>
        <v>0</v>
      </c>
      <c r="BS100" s="8">
        <f t="shared" si="108"/>
        <v>0</v>
      </c>
      <c r="BT100" s="8">
        <f t="shared" si="108"/>
        <v>0</v>
      </c>
      <c r="BU100" s="8">
        <f t="shared" si="108"/>
        <v>0</v>
      </c>
      <c r="BV100" s="8">
        <f t="shared" si="108"/>
        <v>0</v>
      </c>
      <c r="BW100" s="8">
        <f t="shared" si="108"/>
        <v>0</v>
      </c>
      <c r="BX100" s="8">
        <f t="shared" si="108"/>
        <v>0</v>
      </c>
      <c r="BY100" s="8">
        <f t="shared" ref="BY100:DA100" si="109">IF(BY98&lt;=$B$3,BX100,0)</f>
        <v>0</v>
      </c>
      <c r="BZ100" s="8">
        <f t="shared" si="109"/>
        <v>0</v>
      </c>
      <c r="CA100" s="8">
        <f t="shared" si="109"/>
        <v>0</v>
      </c>
      <c r="CB100" s="8">
        <f t="shared" si="109"/>
        <v>0</v>
      </c>
      <c r="CC100" s="8">
        <f t="shared" si="109"/>
        <v>0</v>
      </c>
      <c r="CD100" s="8">
        <f t="shared" si="109"/>
        <v>0</v>
      </c>
      <c r="CE100" s="8">
        <f t="shared" si="109"/>
        <v>0</v>
      </c>
      <c r="CF100" s="8">
        <f t="shared" si="109"/>
        <v>0</v>
      </c>
      <c r="CG100" s="8">
        <f t="shared" si="109"/>
        <v>0</v>
      </c>
      <c r="CH100" s="8">
        <f t="shared" si="109"/>
        <v>0</v>
      </c>
      <c r="CI100" s="8">
        <f t="shared" si="109"/>
        <v>0</v>
      </c>
      <c r="CJ100" s="8">
        <f t="shared" si="109"/>
        <v>0</v>
      </c>
      <c r="CK100" s="8">
        <f t="shared" si="109"/>
        <v>0</v>
      </c>
      <c r="CL100" s="8">
        <f t="shared" si="109"/>
        <v>0</v>
      </c>
      <c r="CM100" s="8">
        <f t="shared" si="109"/>
        <v>0</v>
      </c>
      <c r="CN100" s="8">
        <f t="shared" si="109"/>
        <v>0</v>
      </c>
      <c r="CO100" s="8">
        <f t="shared" si="109"/>
        <v>0</v>
      </c>
      <c r="CP100" s="8">
        <f t="shared" si="109"/>
        <v>0</v>
      </c>
      <c r="CQ100" s="8">
        <f t="shared" si="109"/>
        <v>0</v>
      </c>
      <c r="CR100" s="8">
        <f t="shared" si="109"/>
        <v>0</v>
      </c>
      <c r="CS100" s="8">
        <f t="shared" si="109"/>
        <v>0</v>
      </c>
      <c r="CT100" s="8">
        <f t="shared" si="109"/>
        <v>0</v>
      </c>
      <c r="CU100" s="8">
        <f t="shared" si="109"/>
        <v>0</v>
      </c>
      <c r="CV100" s="8">
        <f t="shared" si="109"/>
        <v>0</v>
      </c>
      <c r="CW100" s="8">
        <f t="shared" si="109"/>
        <v>0</v>
      </c>
      <c r="CX100" s="8">
        <f t="shared" si="109"/>
        <v>0</v>
      </c>
      <c r="CY100" s="8">
        <f t="shared" si="109"/>
        <v>0</v>
      </c>
      <c r="CZ100" s="8">
        <f t="shared" si="109"/>
        <v>0</v>
      </c>
      <c r="DA100" s="8">
        <f t="shared" si="109"/>
        <v>0</v>
      </c>
      <c r="DB100" s="8"/>
      <c r="DC100" s="8"/>
    </row>
    <row r="101" spans="3:107" x14ac:dyDescent="0.4">
      <c r="D101" t="s">
        <v>154</v>
      </c>
      <c r="J101" s="8">
        <f>HLOOKUP(K99,$F$3:$O$10,7,0)</f>
        <v>4027494.535285126</v>
      </c>
      <c r="K101" s="8">
        <f>IF(ROUND(J102,4)=-ROUND(J101,4),0,J101)</f>
        <v>4027494.535285126</v>
      </c>
      <c r="L101" s="8">
        <f t="shared" ref="L101:BW101" si="110">IF(ROUND(K102,4)=-ROUND(K101,4),0,K101)</f>
        <v>4027494.535285126</v>
      </c>
      <c r="M101" s="8">
        <f t="shared" si="110"/>
        <v>4027494.535285126</v>
      </c>
      <c r="N101" s="8">
        <f t="shared" si="110"/>
        <v>4027494.535285126</v>
      </c>
      <c r="O101" s="8">
        <f t="shared" si="110"/>
        <v>4027494.535285126</v>
      </c>
      <c r="P101" s="8">
        <f t="shared" si="110"/>
        <v>4027494.535285126</v>
      </c>
      <c r="Q101" s="8">
        <f t="shared" si="110"/>
        <v>4027494.535285126</v>
      </c>
      <c r="R101" s="8">
        <f t="shared" si="110"/>
        <v>4027494.535285126</v>
      </c>
      <c r="S101" s="8">
        <f t="shared" si="110"/>
        <v>4027494.535285126</v>
      </c>
      <c r="T101" s="8">
        <f t="shared" si="110"/>
        <v>4027494.535285126</v>
      </c>
      <c r="U101" s="8">
        <f t="shared" si="110"/>
        <v>4027494.535285126</v>
      </c>
      <c r="V101" s="8">
        <f t="shared" si="110"/>
        <v>4027494.535285126</v>
      </c>
      <c r="W101" s="8">
        <f t="shared" si="110"/>
        <v>4027494.535285126</v>
      </c>
      <c r="X101" s="8">
        <f t="shared" si="110"/>
        <v>4027494.535285126</v>
      </c>
      <c r="Y101" s="8">
        <f t="shared" si="110"/>
        <v>4027494.535285126</v>
      </c>
      <c r="Z101" s="8">
        <f t="shared" si="110"/>
        <v>4027494.535285126</v>
      </c>
      <c r="AA101" s="8">
        <f t="shared" si="110"/>
        <v>4027494.535285126</v>
      </c>
      <c r="AB101" s="8">
        <f t="shared" si="110"/>
        <v>4027494.535285126</v>
      </c>
      <c r="AC101" s="8">
        <f t="shared" si="110"/>
        <v>4027494.535285126</v>
      </c>
      <c r="AD101" s="8">
        <f t="shared" si="110"/>
        <v>4027494.535285126</v>
      </c>
      <c r="AE101" s="8">
        <f t="shared" si="110"/>
        <v>4027494.535285126</v>
      </c>
      <c r="AF101" s="8">
        <f t="shared" si="110"/>
        <v>4027494.535285126</v>
      </c>
      <c r="AG101" s="8">
        <f t="shared" si="110"/>
        <v>4027494.535285126</v>
      </c>
      <c r="AH101" s="8">
        <f t="shared" si="110"/>
        <v>4027494.535285126</v>
      </c>
      <c r="AI101" s="8">
        <f t="shared" si="110"/>
        <v>4027494.535285126</v>
      </c>
      <c r="AJ101" s="8">
        <f t="shared" si="110"/>
        <v>4027494.535285126</v>
      </c>
      <c r="AK101" s="8">
        <f t="shared" si="110"/>
        <v>4027494.535285126</v>
      </c>
      <c r="AL101" s="8">
        <f t="shared" si="110"/>
        <v>4027494.535285126</v>
      </c>
      <c r="AM101" s="8">
        <f t="shared" si="110"/>
        <v>4027494.535285126</v>
      </c>
      <c r="AN101" s="8">
        <f t="shared" si="110"/>
        <v>4027494.535285126</v>
      </c>
      <c r="AO101" s="8">
        <f t="shared" si="110"/>
        <v>4027494.535285126</v>
      </c>
      <c r="AP101" s="8">
        <f t="shared" si="110"/>
        <v>4027494.535285126</v>
      </c>
      <c r="AQ101" s="8">
        <f t="shared" si="110"/>
        <v>4027494.535285126</v>
      </c>
      <c r="AR101" s="8">
        <f t="shared" si="110"/>
        <v>4027494.535285126</v>
      </c>
      <c r="AS101" s="8">
        <f t="shared" si="110"/>
        <v>4027494.535285126</v>
      </c>
      <c r="AT101" s="8">
        <f t="shared" si="110"/>
        <v>4027494.535285126</v>
      </c>
      <c r="AU101" s="8">
        <f t="shared" si="110"/>
        <v>4027494.535285126</v>
      </c>
      <c r="AV101" s="8">
        <f t="shared" si="110"/>
        <v>4027494.535285126</v>
      </c>
      <c r="AW101" s="8">
        <f t="shared" si="110"/>
        <v>4027494.535285126</v>
      </c>
      <c r="AX101" s="8">
        <f t="shared" si="110"/>
        <v>4027494.535285126</v>
      </c>
      <c r="AY101" s="8">
        <f t="shared" si="110"/>
        <v>4027494.535285126</v>
      </c>
      <c r="AZ101" s="8">
        <f t="shared" si="110"/>
        <v>4027494.535285126</v>
      </c>
      <c r="BA101" s="8">
        <f t="shared" si="110"/>
        <v>4027494.535285126</v>
      </c>
      <c r="BB101" s="8">
        <f t="shared" si="110"/>
        <v>4027494.535285126</v>
      </c>
      <c r="BC101" s="8">
        <f t="shared" si="110"/>
        <v>4027494.535285126</v>
      </c>
      <c r="BD101" s="8">
        <f t="shared" si="110"/>
        <v>4027494.535285126</v>
      </c>
      <c r="BE101" s="8">
        <f t="shared" si="110"/>
        <v>4027494.535285126</v>
      </c>
      <c r="BF101" s="8">
        <f t="shared" si="110"/>
        <v>4027494.535285126</v>
      </c>
      <c r="BG101" s="8">
        <f t="shared" si="110"/>
        <v>4027494.535285126</v>
      </c>
      <c r="BH101" s="8">
        <f t="shared" si="110"/>
        <v>4027494.535285126</v>
      </c>
      <c r="BI101" s="8">
        <f t="shared" si="110"/>
        <v>0</v>
      </c>
      <c r="BJ101" s="8">
        <f t="shared" si="110"/>
        <v>0</v>
      </c>
      <c r="BK101" s="8">
        <f t="shared" si="110"/>
        <v>0</v>
      </c>
      <c r="BL101" s="8">
        <f t="shared" si="110"/>
        <v>0</v>
      </c>
      <c r="BM101" s="8">
        <f t="shared" si="110"/>
        <v>0</v>
      </c>
      <c r="BN101" s="8">
        <f t="shared" si="110"/>
        <v>0</v>
      </c>
      <c r="BO101" s="8">
        <f t="shared" si="110"/>
        <v>0</v>
      </c>
      <c r="BP101" s="8">
        <f t="shared" si="110"/>
        <v>0</v>
      </c>
      <c r="BQ101" s="8">
        <f t="shared" si="110"/>
        <v>0</v>
      </c>
      <c r="BR101" s="8">
        <f t="shared" si="110"/>
        <v>0</v>
      </c>
      <c r="BS101" s="8">
        <f t="shared" si="110"/>
        <v>0</v>
      </c>
      <c r="BT101" s="8">
        <f t="shared" si="110"/>
        <v>0</v>
      </c>
      <c r="BU101" s="8">
        <f t="shared" si="110"/>
        <v>0</v>
      </c>
      <c r="BV101" s="8">
        <f t="shared" si="110"/>
        <v>0</v>
      </c>
      <c r="BW101" s="8">
        <f t="shared" si="110"/>
        <v>0</v>
      </c>
      <c r="BX101" s="8">
        <f t="shared" ref="BX101:DA101" si="111">IF(ROUND(BW102,4)=-ROUND(BW101,4),0,BW101)</f>
        <v>0</v>
      </c>
      <c r="BY101" s="8">
        <f t="shared" si="111"/>
        <v>0</v>
      </c>
      <c r="BZ101" s="8">
        <f t="shared" si="111"/>
        <v>0</v>
      </c>
      <c r="CA101" s="8">
        <f t="shared" si="111"/>
        <v>0</v>
      </c>
      <c r="CB101" s="8">
        <f t="shared" si="111"/>
        <v>0</v>
      </c>
      <c r="CC101" s="8">
        <f t="shared" si="111"/>
        <v>0</v>
      </c>
      <c r="CD101" s="8">
        <f t="shared" si="111"/>
        <v>0</v>
      </c>
      <c r="CE101" s="8">
        <f t="shared" si="111"/>
        <v>0</v>
      </c>
      <c r="CF101" s="8">
        <f t="shared" si="111"/>
        <v>0</v>
      </c>
      <c r="CG101" s="8">
        <f t="shared" si="111"/>
        <v>0</v>
      </c>
      <c r="CH101" s="8">
        <f t="shared" si="111"/>
        <v>0</v>
      </c>
      <c r="CI101" s="8">
        <f t="shared" si="111"/>
        <v>0</v>
      </c>
      <c r="CJ101" s="8">
        <f t="shared" si="111"/>
        <v>0</v>
      </c>
      <c r="CK101" s="8">
        <f t="shared" si="111"/>
        <v>0</v>
      </c>
      <c r="CL101" s="8">
        <f t="shared" si="111"/>
        <v>0</v>
      </c>
      <c r="CM101" s="8">
        <f t="shared" si="111"/>
        <v>0</v>
      </c>
      <c r="CN101" s="8">
        <f t="shared" si="111"/>
        <v>0</v>
      </c>
      <c r="CO101" s="8">
        <f t="shared" si="111"/>
        <v>0</v>
      </c>
      <c r="CP101" s="8">
        <f t="shared" si="111"/>
        <v>0</v>
      </c>
      <c r="CQ101" s="8">
        <f t="shared" si="111"/>
        <v>0</v>
      </c>
      <c r="CR101" s="8">
        <f t="shared" si="111"/>
        <v>0</v>
      </c>
      <c r="CS101" s="8">
        <f t="shared" si="111"/>
        <v>0</v>
      </c>
      <c r="CT101" s="8">
        <f t="shared" si="111"/>
        <v>0</v>
      </c>
      <c r="CU101" s="8">
        <f t="shared" si="111"/>
        <v>0</v>
      </c>
      <c r="CV101" s="8">
        <f t="shared" si="111"/>
        <v>0</v>
      </c>
      <c r="CW101" s="8">
        <f t="shared" si="111"/>
        <v>0</v>
      </c>
      <c r="CX101" s="8">
        <f t="shared" si="111"/>
        <v>0</v>
      </c>
      <c r="CY101" s="8">
        <f t="shared" si="111"/>
        <v>0</v>
      </c>
      <c r="CZ101" s="8">
        <f t="shared" si="111"/>
        <v>0</v>
      </c>
      <c r="DA101" s="8">
        <f t="shared" si="111"/>
        <v>0</v>
      </c>
      <c r="DB101" s="8"/>
      <c r="DC101" s="8"/>
    </row>
    <row r="102" spans="3:107" x14ac:dyDescent="0.4">
      <c r="D102" t="s">
        <v>208</v>
      </c>
      <c r="J102" s="8"/>
      <c r="K102" s="8">
        <f>IF(K98&lt;=$B$3,-SUM($E100:K100),0)</f>
        <v>-80549.890705702521</v>
      </c>
      <c r="L102" s="8">
        <f>IF(L98&lt;=$B$3,-SUM($E100:L100),0)</f>
        <v>-161099.78141140504</v>
      </c>
      <c r="M102" s="8">
        <f>IF(M98&lt;=$B$3,-SUM($E100:M100),0)</f>
        <v>-241649.67211710755</v>
      </c>
      <c r="N102" s="8">
        <f>IF(N98&lt;=$B$3,-SUM($E100:N100),0)</f>
        <v>-322199.56282281008</v>
      </c>
      <c r="O102" s="8">
        <f>IF(O98&lt;=$B$3,-SUM($E100:O100),0)</f>
        <v>-402749.45352851262</v>
      </c>
      <c r="P102" s="8">
        <f>IF(P98&lt;=$B$3,-SUM($E100:P100),0)</f>
        <v>-483299.34423421515</v>
      </c>
      <c r="Q102" s="8">
        <f>IF(Q98&lt;=$B$3,-SUM($E100:Q100),0)</f>
        <v>-563849.23493991769</v>
      </c>
      <c r="R102" s="8">
        <f>IF(R98&lt;=$B$3,-SUM($E100:R100),0)</f>
        <v>-644399.12564562017</v>
      </c>
      <c r="S102" s="8">
        <f>IF(S98&lt;=$B$3,-SUM($E100:S100),0)</f>
        <v>-724949.01635132264</v>
      </c>
      <c r="T102" s="8">
        <f>IF(T98&lt;=$B$3,-SUM($E100:T100),0)</f>
        <v>-805498.90705702512</v>
      </c>
      <c r="U102" s="8">
        <f>IF(U98&lt;=$B$3,-SUM($E100:U100),0)</f>
        <v>-886048.7977627276</v>
      </c>
      <c r="V102" s="8">
        <f>IF(V98&lt;=$B$3,-SUM($E100:V100),0)</f>
        <v>-966598.68846843007</v>
      </c>
      <c r="W102" s="8">
        <f>IF(W98&lt;=$B$3,-SUM($E100:W100),0)</f>
        <v>-1047148.5791741326</v>
      </c>
      <c r="X102" s="8">
        <f>IF(X98&lt;=$B$3,-SUM($E100:X100),0)</f>
        <v>-1127698.4698798351</v>
      </c>
      <c r="Y102" s="8">
        <f>IF(Y98&lt;=$B$3,-SUM($E100:Y100),0)</f>
        <v>-1208248.3605855377</v>
      </c>
      <c r="Z102" s="8">
        <f>IF(Z98&lt;=$B$3,-SUM($E100:Z100),0)</f>
        <v>-1288798.2512912403</v>
      </c>
      <c r="AA102" s="8">
        <f>IF(AA98&lt;=$B$3,-SUM($E100:AA100),0)</f>
        <v>-1369348.1419969429</v>
      </c>
      <c r="AB102" s="8">
        <f>IF(AB98&lt;=$B$3,-SUM($E100:AB100),0)</f>
        <v>-1449898.0327026455</v>
      </c>
      <c r="AC102" s="8">
        <f>IF(AC98&lt;=$B$3,-SUM($E100:AC100),0)</f>
        <v>-1530447.9234083481</v>
      </c>
      <c r="AD102" s="8">
        <f>IF(AD98&lt;=$B$3,-SUM($E100:AD100),0)</f>
        <v>-1610997.8141140507</v>
      </c>
      <c r="AE102" s="8">
        <f>IF(AE98&lt;=$B$3,-SUM($E100:AE100),0)</f>
        <v>-1691547.7048197533</v>
      </c>
      <c r="AF102" s="8">
        <f>IF(AF98&lt;=$B$3,-SUM($E100:AF100),0)</f>
        <v>-1772097.5955254559</v>
      </c>
      <c r="AG102" s="8">
        <f>IF(AG98&lt;=$B$3,-SUM($E100:AG100),0)</f>
        <v>-1852647.4862311585</v>
      </c>
      <c r="AH102" s="8">
        <f>IF(AH98&lt;=$B$3,-SUM($E100:AH100),0)</f>
        <v>-1933197.3769368611</v>
      </c>
      <c r="AI102" s="8">
        <f>IF(AI98&lt;=$B$3,-SUM($E100:AI100),0)</f>
        <v>-2013747.2676425637</v>
      </c>
      <c r="AJ102" s="8">
        <f>IF(AJ98&lt;=$B$3,-SUM($E100:AJ100),0)</f>
        <v>-2094297.1583482663</v>
      </c>
      <c r="AK102" s="8">
        <f>IF(AK98&lt;=$B$3,-SUM($E100:AK100),0)</f>
        <v>-2174847.0490539689</v>
      </c>
      <c r="AL102" s="8">
        <f>IF(AL98&lt;=$B$3,-SUM($E100:AL100),0)</f>
        <v>-2255396.9397596712</v>
      </c>
      <c r="AM102" s="8">
        <f>IF(AM98&lt;=$B$3,-SUM($E100:AM100),0)</f>
        <v>-2335946.8304653736</v>
      </c>
      <c r="AN102" s="8">
        <f>IF(AN98&lt;=$B$3,-SUM($E100:AN100),0)</f>
        <v>-2416496.7211710759</v>
      </c>
      <c r="AO102" s="8">
        <f>IF(AO98&lt;=$B$3,-SUM($E100:AO100),0)</f>
        <v>-2497046.6118767783</v>
      </c>
      <c r="AP102" s="8">
        <f>IF(AP98&lt;=$B$3,-SUM($E100:AP100),0)</f>
        <v>-2577596.5025824807</v>
      </c>
      <c r="AQ102" s="8">
        <f>IF(AQ98&lt;=$B$3,-SUM($E100:AQ100),0)</f>
        <v>-2658146.393288183</v>
      </c>
      <c r="AR102" s="8">
        <f>IF(AR98&lt;=$B$3,-SUM($E100:AR100),0)</f>
        <v>-2738696.2839938854</v>
      </c>
      <c r="AS102" s="8">
        <f>IF(AS98&lt;=$B$3,-SUM($E100:AS100),0)</f>
        <v>-2819246.1746995877</v>
      </c>
      <c r="AT102" s="8">
        <f>IF(AT98&lt;=$B$3,-SUM($E100:AT100),0)</f>
        <v>-2899796.0654052901</v>
      </c>
      <c r="AU102" s="8">
        <f>IF(AU98&lt;=$B$3,-SUM($E100:AU100),0)</f>
        <v>-2980345.9561109925</v>
      </c>
      <c r="AV102" s="8">
        <f>IF(AV98&lt;=$B$3,-SUM($E100:AV100),0)</f>
        <v>-3060895.8468166948</v>
      </c>
      <c r="AW102" s="8">
        <f>IF(AW98&lt;=$B$3,-SUM($E100:AW100),0)</f>
        <v>-3141445.7375223972</v>
      </c>
      <c r="AX102" s="8">
        <f>IF(AX98&lt;=$B$3,-SUM($E100:AX100),0)</f>
        <v>-3221995.6282280996</v>
      </c>
      <c r="AY102" s="8">
        <f>IF(AY98&lt;=$B$3,-SUM($E100:AY100),0)</f>
        <v>-3302545.5189338019</v>
      </c>
      <c r="AZ102" s="8">
        <f>IF(AZ98&lt;=$B$3,-SUM($E100:AZ100),0)</f>
        <v>-3383095.4096395043</v>
      </c>
      <c r="BA102" s="8">
        <f>IF(BA98&lt;=$B$3,-SUM($E100:BA100),0)</f>
        <v>-3463645.3003452066</v>
      </c>
      <c r="BB102" s="8">
        <f>IF(BB98&lt;=$B$3,-SUM($E100:BB100),0)</f>
        <v>-3544195.191050909</v>
      </c>
      <c r="BC102" s="8">
        <f>IF(BC98&lt;=$B$3,-SUM($E100:BC100),0)</f>
        <v>-3624745.0817566114</v>
      </c>
      <c r="BD102" s="8">
        <f>IF(BD98&lt;=$B$3,-SUM($E100:BD100),0)</f>
        <v>-3705294.9724623137</v>
      </c>
      <c r="BE102" s="8">
        <f>IF(BE98&lt;=$B$3,-SUM($E100:BE100),0)</f>
        <v>-3785844.8631680161</v>
      </c>
      <c r="BF102" s="8">
        <f>IF(BF98&lt;=$B$3,-SUM($E100:BF100),0)</f>
        <v>-3866394.7538737184</v>
      </c>
      <c r="BG102" s="8">
        <f>IF(BG98&lt;=$B$3,-SUM($E100:BG100),0)</f>
        <v>-3946944.6445794208</v>
      </c>
      <c r="BH102" s="8">
        <f>IF(BH98&lt;=$B$3,-SUM($E100:BH100),0)</f>
        <v>-4027494.5352851232</v>
      </c>
      <c r="BI102" s="8">
        <f>IF(BI98&lt;=$B$3,-SUM($E100:BI100),0)</f>
        <v>0</v>
      </c>
      <c r="BJ102" s="8">
        <f>IF(BJ98&lt;=$B$3,-SUM($E100:BJ100),0)</f>
        <v>0</v>
      </c>
      <c r="BK102" s="8">
        <f>IF(BK98&lt;=$B$3,-SUM($E100:BK100),0)</f>
        <v>0</v>
      </c>
      <c r="BL102" s="8">
        <f>IF(BL98&lt;=$B$3,-SUM($E100:BL100),0)</f>
        <v>0</v>
      </c>
      <c r="BM102" s="8">
        <f>IF(BM98&lt;=$B$3,-SUM($E100:BM100),0)</f>
        <v>0</v>
      </c>
      <c r="BN102" s="8">
        <f>IF(BN98&lt;=$B$3,-SUM($E100:BN100),0)</f>
        <v>0</v>
      </c>
      <c r="BO102" s="8">
        <f>IF(BO98&lt;=$B$3,-SUM($E100:BO100),0)</f>
        <v>0</v>
      </c>
      <c r="BP102" s="8">
        <f>IF(BP98&lt;=$B$3,-SUM($E100:BP100),0)</f>
        <v>0</v>
      </c>
      <c r="BQ102" s="8">
        <f>IF(BQ98&lt;=$B$3,-SUM($E100:BQ100),0)</f>
        <v>0</v>
      </c>
      <c r="BR102" s="8">
        <f>IF(BR98&lt;=$B$3,-SUM($E100:BR100),0)</f>
        <v>0</v>
      </c>
      <c r="BS102" s="8">
        <f>IF(BS98&lt;=$B$3,-SUM($E100:BS100),0)</f>
        <v>0</v>
      </c>
      <c r="BT102" s="8">
        <f>IF(BT98&lt;=$B$3,-SUM($E100:BT100),0)</f>
        <v>0</v>
      </c>
      <c r="BU102" s="8">
        <f>IF(BU98&lt;=$B$3,-SUM($E100:BU100),0)</f>
        <v>0</v>
      </c>
      <c r="BV102" s="8">
        <f>IF(BV98&lt;=$B$3,-SUM($E100:BV100),0)</f>
        <v>0</v>
      </c>
      <c r="BW102" s="8">
        <f>IF(BW98&lt;=$B$3,-SUM($E100:BW100),0)</f>
        <v>0</v>
      </c>
      <c r="BX102" s="8">
        <f>IF(BX98&lt;=$B$3,-SUM($E100:BX100),0)</f>
        <v>0</v>
      </c>
      <c r="BY102" s="8">
        <f>IF(BY98&lt;=$B$3,-SUM($E100:BY100),0)</f>
        <v>0</v>
      </c>
      <c r="BZ102" s="8">
        <f>IF(BZ98&lt;=$B$3,-SUM($E100:BZ100),0)</f>
        <v>0</v>
      </c>
      <c r="CA102" s="8">
        <f>IF(CA98&lt;=$B$3,-SUM($E100:CA100),0)</f>
        <v>0</v>
      </c>
      <c r="CB102" s="8">
        <f>IF(CB98&lt;=$B$3,-SUM($E100:CB100),0)</f>
        <v>0</v>
      </c>
      <c r="CC102" s="8">
        <f>IF(CC98&lt;=$B$3,-SUM($E100:CC100),0)</f>
        <v>0</v>
      </c>
      <c r="CD102" s="8">
        <f>IF(CD98&lt;=$B$3,-SUM($E100:CD100),0)</f>
        <v>0</v>
      </c>
      <c r="CE102" s="8">
        <f>IF(CE98&lt;=$B$3,-SUM($E100:CE100),0)</f>
        <v>0</v>
      </c>
      <c r="CF102" s="8">
        <f>IF(CF98&lt;=$B$3,-SUM($E100:CF100),0)</f>
        <v>0</v>
      </c>
      <c r="CG102" s="8">
        <f>IF(CG98&lt;=$B$3,-SUM($E100:CG100),0)</f>
        <v>0</v>
      </c>
      <c r="CH102" s="8">
        <f>IF(CH98&lt;=$B$3,-SUM($E100:CH100),0)</f>
        <v>0</v>
      </c>
      <c r="CI102" s="8">
        <f>IF(CI98&lt;=$B$3,-SUM($E100:CI100),0)</f>
        <v>0</v>
      </c>
      <c r="CJ102" s="8">
        <f>IF(CJ98&lt;=$B$3,-SUM($E100:CJ100),0)</f>
        <v>0</v>
      </c>
      <c r="CK102" s="8">
        <f>IF(CK98&lt;=$B$3,-SUM($E100:CK100),0)</f>
        <v>0</v>
      </c>
      <c r="CL102" s="8">
        <f>IF(CL98&lt;=$B$3,-SUM($E100:CL100),0)</f>
        <v>0</v>
      </c>
      <c r="CM102" s="8">
        <f>IF(CM98&lt;=$B$3,-SUM($E100:CM100),0)</f>
        <v>0</v>
      </c>
      <c r="CN102" s="8">
        <f>IF(CN98&lt;=$B$3,-SUM($E100:CN100),0)</f>
        <v>0</v>
      </c>
      <c r="CO102" s="8">
        <f>IF(CO98&lt;=$B$3,-SUM($E100:CO100),0)</f>
        <v>0</v>
      </c>
      <c r="CP102" s="8">
        <f>IF(CP98&lt;=$B$3,-SUM($E100:CP100),0)</f>
        <v>0</v>
      </c>
      <c r="CQ102" s="8">
        <f>IF(CQ98&lt;=$B$3,-SUM($E100:CQ100),0)</f>
        <v>0</v>
      </c>
      <c r="CR102" s="8">
        <f>IF(CR98&lt;=$B$3,-SUM($E100:CR100),0)</f>
        <v>0</v>
      </c>
      <c r="CS102" s="8">
        <f>IF(CS98&lt;=$B$3,-SUM($E100:CS100),0)</f>
        <v>0</v>
      </c>
      <c r="CT102" s="8">
        <f>IF(CT98&lt;=$B$3,-SUM($E100:CT100),0)</f>
        <v>0</v>
      </c>
      <c r="CU102" s="8">
        <f>IF(CU98&lt;=$B$3,-SUM($E100:CU100),0)</f>
        <v>0</v>
      </c>
      <c r="CV102" s="8">
        <f>IF(CV98&lt;=$B$3,-SUM($E100:CV100),0)</f>
        <v>0</v>
      </c>
      <c r="CW102" s="8">
        <f>IF(CW98&lt;=$B$3,-SUM($E100:CW100),0)</f>
        <v>0</v>
      </c>
      <c r="CX102" s="8">
        <f>IF(CX98&lt;=$B$3,-SUM($E100:CX100),0)</f>
        <v>0</v>
      </c>
      <c r="CY102" s="8">
        <f>IF(CY98&lt;=$B$3,-SUM($E100:CY100),0)</f>
        <v>0</v>
      </c>
      <c r="CZ102" s="8">
        <f>IF(CZ98&lt;=$B$3,-SUM($E100:CZ100),0)</f>
        <v>0</v>
      </c>
      <c r="DA102" s="8">
        <f>IF(DA98&lt;=$B$3,-SUM($E100:DA100),0)</f>
        <v>0</v>
      </c>
      <c r="DB102" s="8"/>
      <c r="DC102" s="8"/>
    </row>
    <row r="103" spans="3:107" x14ac:dyDescent="0.4">
      <c r="D103" t="s">
        <v>167</v>
      </c>
      <c r="J103" s="8"/>
      <c r="K103" s="8">
        <f>J104</f>
        <v>4027494.535285126</v>
      </c>
      <c r="L103" s="8">
        <f t="shared" ref="L103:BW103" si="112">K104</f>
        <v>3946944.6445794236</v>
      </c>
      <c r="M103" s="8">
        <f t="shared" si="112"/>
        <v>3866394.7538737208</v>
      </c>
      <c r="N103" s="8">
        <f t="shared" si="112"/>
        <v>3785844.8631680184</v>
      </c>
      <c r="O103" s="8">
        <f t="shared" si="112"/>
        <v>3705294.972462316</v>
      </c>
      <c r="P103" s="8">
        <f t="shared" si="112"/>
        <v>3624745.0817566132</v>
      </c>
      <c r="Q103" s="8">
        <f t="shared" si="112"/>
        <v>3544195.1910509109</v>
      </c>
      <c r="R103" s="8">
        <f t="shared" si="112"/>
        <v>3463645.3003452085</v>
      </c>
      <c r="S103" s="8">
        <f t="shared" si="112"/>
        <v>3383095.4096395057</v>
      </c>
      <c r="T103" s="8">
        <f t="shared" si="112"/>
        <v>3302545.5189338033</v>
      </c>
      <c r="U103" s="8">
        <f t="shared" si="112"/>
        <v>3221995.6282281009</v>
      </c>
      <c r="V103" s="8">
        <f t="shared" si="112"/>
        <v>3141445.7375223981</v>
      </c>
      <c r="W103" s="8">
        <f t="shared" si="112"/>
        <v>3060895.8468166958</v>
      </c>
      <c r="X103" s="8">
        <f t="shared" si="112"/>
        <v>2980345.9561109934</v>
      </c>
      <c r="Y103" s="8">
        <f t="shared" si="112"/>
        <v>2899796.0654052906</v>
      </c>
      <c r="Z103" s="8">
        <f t="shared" si="112"/>
        <v>2819246.1746995882</v>
      </c>
      <c r="AA103" s="8">
        <f t="shared" si="112"/>
        <v>2738696.2839938859</v>
      </c>
      <c r="AB103" s="8">
        <f t="shared" si="112"/>
        <v>2658146.393288183</v>
      </c>
      <c r="AC103" s="8">
        <f t="shared" si="112"/>
        <v>2577596.5025824802</v>
      </c>
      <c r="AD103" s="8">
        <f t="shared" si="112"/>
        <v>2497046.6118767778</v>
      </c>
      <c r="AE103" s="8">
        <f t="shared" si="112"/>
        <v>2416496.7211710755</v>
      </c>
      <c r="AF103" s="8">
        <f t="shared" si="112"/>
        <v>2335946.8304653727</v>
      </c>
      <c r="AG103" s="8">
        <f t="shared" si="112"/>
        <v>2255396.9397596698</v>
      </c>
      <c r="AH103" s="8">
        <f t="shared" si="112"/>
        <v>2174847.0490539675</v>
      </c>
      <c r="AI103" s="8">
        <f t="shared" si="112"/>
        <v>2094297.1583482649</v>
      </c>
      <c r="AJ103" s="8">
        <f t="shared" si="112"/>
        <v>2013747.2676425623</v>
      </c>
      <c r="AK103" s="8">
        <f t="shared" si="112"/>
        <v>1933197.3769368597</v>
      </c>
      <c r="AL103" s="8">
        <f t="shared" si="112"/>
        <v>1852647.4862311571</v>
      </c>
      <c r="AM103" s="8">
        <f t="shared" si="112"/>
        <v>1772097.5955254547</v>
      </c>
      <c r="AN103" s="8">
        <f t="shared" si="112"/>
        <v>1691547.7048197524</v>
      </c>
      <c r="AO103" s="8">
        <f t="shared" si="112"/>
        <v>1610997.81411405</v>
      </c>
      <c r="AP103" s="8">
        <f t="shared" si="112"/>
        <v>1530447.9234083476</v>
      </c>
      <c r="AQ103" s="8">
        <f t="shared" si="112"/>
        <v>1449898.0327026453</v>
      </c>
      <c r="AR103" s="8">
        <f t="shared" si="112"/>
        <v>1369348.1419969429</v>
      </c>
      <c r="AS103" s="8">
        <f t="shared" si="112"/>
        <v>1288798.2512912406</v>
      </c>
      <c r="AT103" s="8">
        <f t="shared" si="112"/>
        <v>1208248.3605855382</v>
      </c>
      <c r="AU103" s="8">
        <f t="shared" si="112"/>
        <v>1127698.4698798358</v>
      </c>
      <c r="AV103" s="8">
        <f t="shared" si="112"/>
        <v>1047148.5791741335</v>
      </c>
      <c r="AW103" s="8">
        <f t="shared" si="112"/>
        <v>966598.68846843112</v>
      </c>
      <c r="AX103" s="8">
        <f t="shared" si="112"/>
        <v>886048.79776272876</v>
      </c>
      <c r="AY103" s="8">
        <f t="shared" si="112"/>
        <v>805498.9070570264</v>
      </c>
      <c r="AZ103" s="8">
        <f t="shared" si="112"/>
        <v>724949.01635132404</v>
      </c>
      <c r="BA103" s="8">
        <f t="shared" si="112"/>
        <v>644399.12564562168</v>
      </c>
      <c r="BB103" s="8">
        <f t="shared" si="112"/>
        <v>563849.23493991932</v>
      </c>
      <c r="BC103" s="8">
        <f t="shared" si="112"/>
        <v>483299.34423421696</v>
      </c>
      <c r="BD103" s="8">
        <f t="shared" si="112"/>
        <v>402749.4535285146</v>
      </c>
      <c r="BE103" s="8">
        <f t="shared" si="112"/>
        <v>322199.56282281224</v>
      </c>
      <c r="BF103" s="8">
        <f t="shared" si="112"/>
        <v>241649.67211710988</v>
      </c>
      <c r="BG103" s="8">
        <f t="shared" si="112"/>
        <v>161099.78141140752</v>
      </c>
      <c r="BH103" s="8">
        <f t="shared" si="112"/>
        <v>80549.890705705155</v>
      </c>
      <c r="BI103" s="8">
        <f t="shared" si="112"/>
        <v>0</v>
      </c>
      <c r="BJ103" s="8">
        <f t="shared" si="112"/>
        <v>0</v>
      </c>
      <c r="BK103" s="8">
        <f t="shared" si="112"/>
        <v>0</v>
      </c>
      <c r="BL103" s="8">
        <f t="shared" si="112"/>
        <v>0</v>
      </c>
      <c r="BM103" s="8">
        <f t="shared" si="112"/>
        <v>0</v>
      </c>
      <c r="BN103" s="8">
        <f t="shared" si="112"/>
        <v>0</v>
      </c>
      <c r="BO103" s="8">
        <f t="shared" si="112"/>
        <v>0</v>
      </c>
      <c r="BP103" s="8">
        <f t="shared" si="112"/>
        <v>0</v>
      </c>
      <c r="BQ103" s="8">
        <f t="shared" si="112"/>
        <v>0</v>
      </c>
      <c r="BR103" s="8">
        <f t="shared" si="112"/>
        <v>0</v>
      </c>
      <c r="BS103" s="8">
        <f t="shared" si="112"/>
        <v>0</v>
      </c>
      <c r="BT103" s="8">
        <f t="shared" si="112"/>
        <v>0</v>
      </c>
      <c r="BU103" s="8">
        <f t="shared" si="112"/>
        <v>0</v>
      </c>
      <c r="BV103" s="8">
        <f t="shared" si="112"/>
        <v>0</v>
      </c>
      <c r="BW103" s="8">
        <f t="shared" si="112"/>
        <v>0</v>
      </c>
      <c r="BX103" s="8">
        <f t="shared" ref="BX103:DA103" si="113">BW104</f>
        <v>0</v>
      </c>
      <c r="BY103" s="8">
        <f t="shared" si="113"/>
        <v>0</v>
      </c>
      <c r="BZ103" s="8">
        <f t="shared" si="113"/>
        <v>0</v>
      </c>
      <c r="CA103" s="8">
        <f t="shared" si="113"/>
        <v>0</v>
      </c>
      <c r="CB103" s="8">
        <f t="shared" si="113"/>
        <v>0</v>
      </c>
      <c r="CC103" s="8">
        <f t="shared" si="113"/>
        <v>0</v>
      </c>
      <c r="CD103" s="8">
        <f t="shared" si="113"/>
        <v>0</v>
      </c>
      <c r="CE103" s="8">
        <f t="shared" si="113"/>
        <v>0</v>
      </c>
      <c r="CF103" s="8">
        <f t="shared" si="113"/>
        <v>0</v>
      </c>
      <c r="CG103" s="8">
        <f t="shared" si="113"/>
        <v>0</v>
      </c>
      <c r="CH103" s="8">
        <f t="shared" si="113"/>
        <v>0</v>
      </c>
      <c r="CI103" s="8">
        <f t="shared" si="113"/>
        <v>0</v>
      </c>
      <c r="CJ103" s="8">
        <f t="shared" si="113"/>
        <v>0</v>
      </c>
      <c r="CK103" s="8">
        <f t="shared" si="113"/>
        <v>0</v>
      </c>
      <c r="CL103" s="8">
        <f t="shared" si="113"/>
        <v>0</v>
      </c>
      <c r="CM103" s="8">
        <f t="shared" si="113"/>
        <v>0</v>
      </c>
      <c r="CN103" s="8">
        <f t="shared" si="113"/>
        <v>0</v>
      </c>
      <c r="CO103" s="8">
        <f t="shared" si="113"/>
        <v>0</v>
      </c>
      <c r="CP103" s="8">
        <f t="shared" si="113"/>
        <v>0</v>
      </c>
      <c r="CQ103" s="8">
        <f t="shared" si="113"/>
        <v>0</v>
      </c>
      <c r="CR103" s="8">
        <f t="shared" si="113"/>
        <v>0</v>
      </c>
      <c r="CS103" s="8">
        <f t="shared" si="113"/>
        <v>0</v>
      </c>
      <c r="CT103" s="8">
        <f t="shared" si="113"/>
        <v>0</v>
      </c>
      <c r="CU103" s="8">
        <f t="shared" si="113"/>
        <v>0</v>
      </c>
      <c r="CV103" s="8">
        <f t="shared" si="113"/>
        <v>0</v>
      </c>
      <c r="CW103" s="8">
        <f t="shared" si="113"/>
        <v>0</v>
      </c>
      <c r="CX103" s="8">
        <f t="shared" si="113"/>
        <v>0</v>
      </c>
      <c r="CY103" s="8">
        <f t="shared" si="113"/>
        <v>0</v>
      </c>
      <c r="CZ103" s="8">
        <f t="shared" si="113"/>
        <v>0</v>
      </c>
      <c r="DA103" s="8">
        <f t="shared" si="113"/>
        <v>0</v>
      </c>
      <c r="DB103" s="8"/>
      <c r="DC103" s="8"/>
    </row>
    <row r="104" spans="3:107" x14ac:dyDescent="0.4">
      <c r="D104" t="s">
        <v>168</v>
      </c>
      <c r="J104" s="8">
        <f>J101+J102</f>
        <v>4027494.535285126</v>
      </c>
      <c r="K104" s="8">
        <f>K101+K102</f>
        <v>3946944.6445794236</v>
      </c>
      <c r="L104" s="8">
        <f t="shared" ref="L104:BW104" si="114">L101+L102</f>
        <v>3866394.7538737208</v>
      </c>
      <c r="M104" s="8">
        <f t="shared" si="114"/>
        <v>3785844.8631680184</v>
      </c>
      <c r="N104" s="8">
        <f t="shared" si="114"/>
        <v>3705294.972462316</v>
      </c>
      <c r="O104" s="8">
        <f t="shared" si="114"/>
        <v>3624745.0817566132</v>
      </c>
      <c r="P104" s="8">
        <f t="shared" si="114"/>
        <v>3544195.1910509109</v>
      </c>
      <c r="Q104" s="8">
        <f t="shared" si="114"/>
        <v>3463645.3003452085</v>
      </c>
      <c r="R104" s="8">
        <f t="shared" si="114"/>
        <v>3383095.4096395057</v>
      </c>
      <c r="S104" s="8">
        <f t="shared" si="114"/>
        <v>3302545.5189338033</v>
      </c>
      <c r="T104" s="8">
        <f t="shared" si="114"/>
        <v>3221995.6282281009</v>
      </c>
      <c r="U104" s="8">
        <f t="shared" si="114"/>
        <v>3141445.7375223981</v>
      </c>
      <c r="V104" s="8">
        <f t="shared" si="114"/>
        <v>3060895.8468166958</v>
      </c>
      <c r="W104" s="8">
        <f t="shared" si="114"/>
        <v>2980345.9561109934</v>
      </c>
      <c r="X104" s="8">
        <f t="shared" si="114"/>
        <v>2899796.0654052906</v>
      </c>
      <c r="Y104" s="8">
        <f t="shared" si="114"/>
        <v>2819246.1746995882</v>
      </c>
      <c r="Z104" s="8">
        <f t="shared" si="114"/>
        <v>2738696.2839938859</v>
      </c>
      <c r="AA104" s="8">
        <f t="shared" si="114"/>
        <v>2658146.393288183</v>
      </c>
      <c r="AB104" s="8">
        <f t="shared" si="114"/>
        <v>2577596.5025824802</v>
      </c>
      <c r="AC104" s="8">
        <f t="shared" si="114"/>
        <v>2497046.6118767778</v>
      </c>
      <c r="AD104" s="8">
        <f t="shared" si="114"/>
        <v>2416496.7211710755</v>
      </c>
      <c r="AE104" s="8">
        <f t="shared" si="114"/>
        <v>2335946.8304653727</v>
      </c>
      <c r="AF104" s="8">
        <f t="shared" si="114"/>
        <v>2255396.9397596698</v>
      </c>
      <c r="AG104" s="8">
        <f t="shared" si="114"/>
        <v>2174847.0490539675</v>
      </c>
      <c r="AH104" s="8">
        <f t="shared" si="114"/>
        <v>2094297.1583482649</v>
      </c>
      <c r="AI104" s="8">
        <f t="shared" si="114"/>
        <v>2013747.2676425623</v>
      </c>
      <c r="AJ104" s="8">
        <f t="shared" si="114"/>
        <v>1933197.3769368597</v>
      </c>
      <c r="AK104" s="8">
        <f t="shared" si="114"/>
        <v>1852647.4862311571</v>
      </c>
      <c r="AL104" s="8">
        <f t="shared" si="114"/>
        <v>1772097.5955254547</v>
      </c>
      <c r="AM104" s="8">
        <f t="shared" si="114"/>
        <v>1691547.7048197524</v>
      </c>
      <c r="AN104" s="8">
        <f t="shared" si="114"/>
        <v>1610997.81411405</v>
      </c>
      <c r="AO104" s="8">
        <f t="shared" si="114"/>
        <v>1530447.9234083476</v>
      </c>
      <c r="AP104" s="8">
        <f t="shared" si="114"/>
        <v>1449898.0327026453</v>
      </c>
      <c r="AQ104" s="8">
        <f t="shared" si="114"/>
        <v>1369348.1419969429</v>
      </c>
      <c r="AR104" s="8">
        <f t="shared" si="114"/>
        <v>1288798.2512912406</v>
      </c>
      <c r="AS104" s="8">
        <f t="shared" si="114"/>
        <v>1208248.3605855382</v>
      </c>
      <c r="AT104" s="8">
        <f t="shared" si="114"/>
        <v>1127698.4698798358</v>
      </c>
      <c r="AU104" s="8">
        <f t="shared" si="114"/>
        <v>1047148.5791741335</v>
      </c>
      <c r="AV104" s="8">
        <f t="shared" si="114"/>
        <v>966598.68846843112</v>
      </c>
      <c r="AW104" s="8">
        <f t="shared" si="114"/>
        <v>886048.79776272876</v>
      </c>
      <c r="AX104" s="8">
        <f t="shared" si="114"/>
        <v>805498.9070570264</v>
      </c>
      <c r="AY104" s="8">
        <f t="shared" si="114"/>
        <v>724949.01635132404</v>
      </c>
      <c r="AZ104" s="8">
        <f t="shared" si="114"/>
        <v>644399.12564562168</v>
      </c>
      <c r="BA104" s="8">
        <f t="shared" si="114"/>
        <v>563849.23493991932</v>
      </c>
      <c r="BB104" s="8">
        <f t="shared" si="114"/>
        <v>483299.34423421696</v>
      </c>
      <c r="BC104" s="8">
        <f t="shared" si="114"/>
        <v>402749.4535285146</v>
      </c>
      <c r="BD104" s="8">
        <f t="shared" si="114"/>
        <v>322199.56282281224</v>
      </c>
      <c r="BE104" s="8">
        <f t="shared" si="114"/>
        <v>241649.67211710988</v>
      </c>
      <c r="BF104" s="8">
        <f t="shared" si="114"/>
        <v>161099.78141140752</v>
      </c>
      <c r="BG104" s="8">
        <f t="shared" si="114"/>
        <v>80549.890705705155</v>
      </c>
      <c r="BH104" s="8">
        <f t="shared" si="114"/>
        <v>0</v>
      </c>
      <c r="BI104" s="8">
        <f t="shared" si="114"/>
        <v>0</v>
      </c>
      <c r="BJ104" s="8">
        <f t="shared" si="114"/>
        <v>0</v>
      </c>
      <c r="BK104" s="8">
        <f t="shared" si="114"/>
        <v>0</v>
      </c>
      <c r="BL104" s="8">
        <f t="shared" si="114"/>
        <v>0</v>
      </c>
      <c r="BM104" s="8">
        <f t="shared" si="114"/>
        <v>0</v>
      </c>
      <c r="BN104" s="8">
        <f t="shared" si="114"/>
        <v>0</v>
      </c>
      <c r="BO104" s="8">
        <f t="shared" si="114"/>
        <v>0</v>
      </c>
      <c r="BP104" s="8">
        <f t="shared" si="114"/>
        <v>0</v>
      </c>
      <c r="BQ104" s="8">
        <f t="shared" si="114"/>
        <v>0</v>
      </c>
      <c r="BR104" s="8">
        <f t="shared" si="114"/>
        <v>0</v>
      </c>
      <c r="BS104" s="8">
        <f t="shared" si="114"/>
        <v>0</v>
      </c>
      <c r="BT104" s="8">
        <f t="shared" si="114"/>
        <v>0</v>
      </c>
      <c r="BU104" s="8">
        <f t="shared" si="114"/>
        <v>0</v>
      </c>
      <c r="BV104" s="8">
        <f t="shared" si="114"/>
        <v>0</v>
      </c>
      <c r="BW104" s="8">
        <f t="shared" si="114"/>
        <v>0</v>
      </c>
      <c r="BX104" s="8">
        <f t="shared" ref="BX104:DA104" si="115">BX101+BX102</f>
        <v>0</v>
      </c>
      <c r="BY104" s="8">
        <f t="shared" si="115"/>
        <v>0</v>
      </c>
      <c r="BZ104" s="8">
        <f t="shared" si="115"/>
        <v>0</v>
      </c>
      <c r="CA104" s="8">
        <f t="shared" si="115"/>
        <v>0</v>
      </c>
      <c r="CB104" s="8">
        <f t="shared" si="115"/>
        <v>0</v>
      </c>
      <c r="CC104" s="8">
        <f t="shared" si="115"/>
        <v>0</v>
      </c>
      <c r="CD104" s="8">
        <f t="shared" si="115"/>
        <v>0</v>
      </c>
      <c r="CE104" s="8">
        <f t="shared" si="115"/>
        <v>0</v>
      </c>
      <c r="CF104" s="8">
        <f t="shared" si="115"/>
        <v>0</v>
      </c>
      <c r="CG104" s="8">
        <f t="shared" si="115"/>
        <v>0</v>
      </c>
      <c r="CH104" s="8">
        <f t="shared" si="115"/>
        <v>0</v>
      </c>
      <c r="CI104" s="8">
        <f t="shared" si="115"/>
        <v>0</v>
      </c>
      <c r="CJ104" s="8">
        <f t="shared" si="115"/>
        <v>0</v>
      </c>
      <c r="CK104" s="8">
        <f t="shared" si="115"/>
        <v>0</v>
      </c>
      <c r="CL104" s="8">
        <f t="shared" si="115"/>
        <v>0</v>
      </c>
      <c r="CM104" s="8">
        <f t="shared" si="115"/>
        <v>0</v>
      </c>
      <c r="CN104" s="8">
        <f t="shared" si="115"/>
        <v>0</v>
      </c>
      <c r="CO104" s="8">
        <f t="shared" si="115"/>
        <v>0</v>
      </c>
      <c r="CP104" s="8">
        <f t="shared" si="115"/>
        <v>0</v>
      </c>
      <c r="CQ104" s="8">
        <f t="shared" si="115"/>
        <v>0</v>
      </c>
      <c r="CR104" s="8">
        <f t="shared" si="115"/>
        <v>0</v>
      </c>
      <c r="CS104" s="8">
        <f t="shared" si="115"/>
        <v>0</v>
      </c>
      <c r="CT104" s="8">
        <f t="shared" si="115"/>
        <v>0</v>
      </c>
      <c r="CU104" s="8">
        <f t="shared" si="115"/>
        <v>0</v>
      </c>
      <c r="CV104" s="8">
        <f t="shared" si="115"/>
        <v>0</v>
      </c>
      <c r="CW104" s="8">
        <f t="shared" si="115"/>
        <v>0</v>
      </c>
      <c r="CX104" s="8">
        <f t="shared" si="115"/>
        <v>0</v>
      </c>
      <c r="CY104" s="8">
        <f t="shared" si="115"/>
        <v>0</v>
      </c>
      <c r="CZ104" s="8">
        <f t="shared" si="115"/>
        <v>0</v>
      </c>
      <c r="DA104" s="8">
        <f t="shared" si="115"/>
        <v>0</v>
      </c>
      <c r="DB104" s="8"/>
      <c r="DC104" s="8"/>
    </row>
    <row r="105" spans="3:107" x14ac:dyDescent="0.4"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</row>
    <row r="106" spans="3:107" x14ac:dyDescent="0.4">
      <c r="D106" t="s">
        <v>169</v>
      </c>
      <c r="J106" s="8"/>
      <c r="K106" s="8">
        <f>IF(K98&lt;=$B$4+1,K101*VLOOKUP(K98,Assumptions!$A$70:$B$90,2,0),0)</f>
        <v>151031.04507319222</v>
      </c>
      <c r="L106" s="8">
        <f>IF(L98&lt;=$B$4+1,L101*VLOOKUP(L98,Assumptions!$A$70:$B$90,2,0),0)</f>
        <v>290744.83050223324</v>
      </c>
      <c r="M106" s="8">
        <f>IF(M98&lt;=$B$4+1,M101*VLOOKUP(M98,Assumptions!$A$70:$B$90,2,0),0)</f>
        <v>268915.81012098782</v>
      </c>
      <c r="N106" s="8">
        <f>IF(N98&lt;=$B$4+1,N101*VLOOKUP(N98,Assumptions!$A$70:$B$90,2,0),0)</f>
        <v>248778.33744456223</v>
      </c>
      <c r="O106" s="8">
        <f>IF(O98&lt;=$B$4+1,O101*VLOOKUP(O98,Assumptions!$A$70:$B$90,2,0),0)</f>
        <v>230090.76280083923</v>
      </c>
      <c r="P106" s="8">
        <f>IF(P98&lt;=$B$4+1,P101*VLOOKUP(P98,Assumptions!$A$70:$B$90,2,0),0)</f>
        <v>212853.08618981892</v>
      </c>
      <c r="Q106" s="8">
        <f>IF(Q98&lt;=$B$4+1,Q101*VLOOKUP(Q98,Assumptions!$A$70:$B$90,2,0),0)</f>
        <v>196863.93288473695</v>
      </c>
      <c r="R106" s="8">
        <f>IF(R98&lt;=$B$4+1,R101*VLOOKUP(R98,Assumptions!$A$70:$B$90,2,0),0)</f>
        <v>182123.30288559341</v>
      </c>
      <c r="S106" s="8">
        <f>IF(S98&lt;=$B$4+1,S101*VLOOKUP(S98,Assumptions!$A$70:$B$90,2,0),0)</f>
        <v>179706.80616442231</v>
      </c>
      <c r="T106" s="8">
        <f>IF(T98&lt;=$B$4+1,T101*VLOOKUP(T98,Assumptions!$A$70:$B$90,2,0),0)</f>
        <v>179666.53121906947</v>
      </c>
      <c r="U106" s="8">
        <f>IF(U98&lt;=$B$4+1,U101*VLOOKUP(U98,Assumptions!$A$70:$B$90,2,0),0)</f>
        <v>179706.80616442231</v>
      </c>
      <c r="V106" s="8">
        <f>IF(V98&lt;=$B$4+1,V101*VLOOKUP(V98,Assumptions!$A$70:$B$90,2,0),0)</f>
        <v>179666.53121906947</v>
      </c>
      <c r="W106" s="8">
        <f>IF(W98&lt;=$B$4+1,W101*VLOOKUP(W98,Assumptions!$A$70:$B$90,2,0),0)</f>
        <v>179706.80616442231</v>
      </c>
      <c r="X106" s="8">
        <f>IF(X98&lt;=$B$4+1,X101*VLOOKUP(X98,Assumptions!$A$70:$B$90,2,0),0)</f>
        <v>179666.53121906947</v>
      </c>
      <c r="Y106" s="8">
        <f>IF(Y98&lt;=$B$4+1,Y101*VLOOKUP(Y98,Assumptions!$A$70:$B$90,2,0),0)</f>
        <v>179706.80616442231</v>
      </c>
      <c r="Z106" s="8">
        <f>IF(Z98&lt;=$B$4+1,Z101*VLOOKUP(Z98,Assumptions!$A$70:$B$90,2,0),0)</f>
        <v>179666.53121906947</v>
      </c>
      <c r="AA106" s="8">
        <f>IF(AA98&lt;=$B$4+1,AA101*VLOOKUP(AA98,Assumptions!$A$70:$B$90,2,0),0)</f>
        <v>179706.80616442231</v>
      </c>
      <c r="AB106" s="8">
        <f>IF(AB98&lt;=$B$4+1,AB101*VLOOKUP(AB98,Assumptions!$A$70:$B$90,2,0),0)</f>
        <v>179666.53121906947</v>
      </c>
      <c r="AC106" s="8">
        <f>IF(AC98&lt;=$B$4+1,AC101*VLOOKUP(AC98,Assumptions!$A$70:$B$90,2,0),0)</f>
        <v>179706.80616442231</v>
      </c>
      <c r="AD106" s="8">
        <f>IF(AD98&lt;=$B$4+1,AD101*VLOOKUP(AD98,Assumptions!$A$70:$B$90,2,0),0)</f>
        <v>179666.53121906947</v>
      </c>
      <c r="AE106" s="8">
        <f>IF(AE98&lt;=$B$4+1,AE101*VLOOKUP(AE98,Assumptions!$A$70:$B$90,2,0),0)</f>
        <v>89853.403082211153</v>
      </c>
      <c r="AF106" s="8">
        <f>IF(AF98&lt;=$B$4+1,AF101*VLOOKUP(AF98,Assumptions!$A$70:$B$90,2,0),0)</f>
        <v>0</v>
      </c>
      <c r="AG106" s="8">
        <f>IF(AG98&lt;=$B$4+1,AG101*VLOOKUP(AG98,Assumptions!$A$70:$B$90,2,0),0)</f>
        <v>0</v>
      </c>
      <c r="AH106" s="8">
        <f>IF(AH98&lt;=$B$4+1,AH101*VLOOKUP(AH98,Assumptions!$A$70:$B$90,2,0),0)</f>
        <v>0</v>
      </c>
      <c r="AI106" s="8">
        <f>IF(AI98&lt;=$B$4+1,AI101*VLOOKUP(AI98,Assumptions!$A$70:$B$90,2,0),0)</f>
        <v>0</v>
      </c>
      <c r="AJ106" s="8">
        <f>IF(AJ98&lt;=$B$4+1,AJ101*VLOOKUP(AJ98,Assumptions!$A$70:$B$90,2,0),0)</f>
        <v>0</v>
      </c>
      <c r="AK106" s="8">
        <f>IF(AK98&lt;=$B$4+1,AK101*VLOOKUP(AK98,Assumptions!$A$70:$B$90,2,0),0)</f>
        <v>0</v>
      </c>
      <c r="AL106" s="8">
        <f>IF(AL98&lt;=$B$4+1,AL101*VLOOKUP(AL98,Assumptions!$A$70:$B$90,2,0),0)</f>
        <v>0</v>
      </c>
      <c r="AM106" s="8">
        <f>IF(AM98&lt;=$B$4+1,AM101*VLOOKUP(AM98,Assumptions!$A$70:$B$90,2,0),0)</f>
        <v>0</v>
      </c>
      <c r="AN106" s="8">
        <f>IF(AN98&lt;=$B$4+1,AN101*VLOOKUP(AN98,Assumptions!$A$70:$B$90,2,0),0)</f>
        <v>0</v>
      </c>
      <c r="AO106" s="8">
        <f>IF(AO98&lt;=$B$4+1,AO101*VLOOKUP(AO98,Assumptions!$A$70:$B$90,2,0),0)</f>
        <v>0</v>
      </c>
      <c r="AP106" s="8">
        <f>IF(AP98&lt;=$B$4+1,AP101*VLOOKUP(AP98,Assumptions!$A$70:$B$90,2,0),0)</f>
        <v>0</v>
      </c>
      <c r="AQ106" s="8">
        <f>IF(AQ98&lt;=$B$4+1,AQ101*VLOOKUP(AQ98,Assumptions!$A$70:$B$90,2,0),0)</f>
        <v>0</v>
      </c>
      <c r="AR106" s="8">
        <f>IF(AR98&lt;=$B$4+1,AR101*VLOOKUP(AR98,Assumptions!$A$70:$B$90,2,0),0)</f>
        <v>0</v>
      </c>
      <c r="AS106" s="8">
        <f>IF(AS98&lt;=$B$4+1,AS101*VLOOKUP(AS98,Assumptions!$A$70:$B$90,2,0),0)</f>
        <v>0</v>
      </c>
      <c r="AT106" s="8">
        <f>IF(AT98&lt;=$B$4+1,AT101*VLOOKUP(AT98,Assumptions!$A$70:$B$90,2,0),0)</f>
        <v>0</v>
      </c>
      <c r="AU106" s="8">
        <f>IF(AU98&lt;=$B$4+1,AU101*VLOOKUP(AU98,Assumptions!$A$70:$B$90,2,0),0)</f>
        <v>0</v>
      </c>
      <c r="AV106" s="8">
        <f>IF(AV98&lt;=$B$4+1,AV101*VLOOKUP(AV98,Assumptions!$A$70:$B$90,2,0),0)</f>
        <v>0</v>
      </c>
      <c r="AW106" s="8">
        <f>IF(AW98&lt;=$B$4+1,AW101*VLOOKUP(AW98,Assumptions!$A$70:$B$90,2,0),0)</f>
        <v>0</v>
      </c>
      <c r="AX106" s="8">
        <f>IF(AX98&lt;=$B$4+1,AX101*VLOOKUP(AX98,Assumptions!$A$70:$B$90,2,0),0)</f>
        <v>0</v>
      </c>
      <c r="AY106" s="8">
        <f>IF(AY98&lt;=$B$4+1,AY101*VLOOKUP(AY98,Assumptions!$A$70:$B$90,2,0),0)</f>
        <v>0</v>
      </c>
      <c r="AZ106" s="8">
        <f>IF(AZ98&lt;=$B$4+1,AZ101*VLOOKUP(AZ98,Assumptions!$A$70:$B$90,2,0),0)</f>
        <v>0</v>
      </c>
      <c r="BA106" s="8">
        <f>IF(BA98&lt;=$B$4+1,BA101*VLOOKUP(BA98,Assumptions!$A$70:$B$90,2,0),0)</f>
        <v>0</v>
      </c>
      <c r="BB106" s="8">
        <f>IF(BB98&lt;=$B$4+1,BB101*VLOOKUP(BB98,Assumptions!$A$70:$B$90,2,0),0)</f>
        <v>0</v>
      </c>
      <c r="BC106" s="8">
        <f>IF(BC98&lt;=$B$4+1,BC101*VLOOKUP(BC98,Assumptions!$A$70:$B$90,2,0),0)</f>
        <v>0</v>
      </c>
      <c r="BD106" s="8">
        <f>IF(BD98&lt;=$B$4+1,BD101*VLOOKUP(BD98,Assumptions!$A$70:$B$90,2,0),0)</f>
        <v>0</v>
      </c>
      <c r="BE106" s="8">
        <f>IF(BE98&lt;=$B$4+1,BE101*VLOOKUP(BE98,Assumptions!$A$70:$B$90,2,0),0)</f>
        <v>0</v>
      </c>
      <c r="BF106" s="8">
        <f>IF(BF98&lt;=$B$4+1,BF101*VLOOKUP(BF98,Assumptions!$A$70:$B$90,2,0),0)</f>
        <v>0</v>
      </c>
      <c r="BG106" s="8">
        <f>IF(BG98&lt;=$B$4+1,BG101*VLOOKUP(BG98,Assumptions!$A$70:$B$90,2,0),0)</f>
        <v>0</v>
      </c>
      <c r="BH106" s="8">
        <f>IF(BH98&lt;=$B$4+1,BH101*VLOOKUP(BH98,Assumptions!$A$70:$B$90,2,0),0)</f>
        <v>0</v>
      </c>
      <c r="BI106" s="8">
        <f>IF(BI98&lt;=$B$4+1,BI101*VLOOKUP(BI98,Assumptions!$A$70:$B$90,2,0),0)</f>
        <v>0</v>
      </c>
      <c r="BJ106" s="8">
        <f>IF(BJ98&lt;=$B$4+1,BJ101*VLOOKUP(BJ98,Assumptions!$A$70:$B$90,2,0),0)</f>
        <v>0</v>
      </c>
      <c r="BK106" s="8">
        <f>IF(BK98&lt;=$B$4+1,BK101*VLOOKUP(BK98,Assumptions!$A$70:$B$90,2,0),0)</f>
        <v>0</v>
      </c>
      <c r="BL106" s="8">
        <f>IF(BL98&lt;=$B$4+1,BL101*VLOOKUP(BL98,Assumptions!$A$70:$B$90,2,0),0)</f>
        <v>0</v>
      </c>
      <c r="BM106" s="8">
        <f>IF(BM98&lt;=$B$4+1,BM101*VLOOKUP(BM98,Assumptions!$A$70:$B$90,2,0),0)</f>
        <v>0</v>
      </c>
      <c r="BN106" s="8">
        <f>IF(BN98&lt;=$B$4+1,BN101*VLOOKUP(BN98,Assumptions!$A$70:$B$90,2,0),0)</f>
        <v>0</v>
      </c>
      <c r="BO106" s="8">
        <f>IF(BO98&lt;=$B$4+1,BO101*VLOOKUP(BO98,Assumptions!$A$70:$B$90,2,0),0)</f>
        <v>0</v>
      </c>
      <c r="BP106" s="8">
        <f>IF(BP98&lt;=$B$4+1,BP101*VLOOKUP(BP98,Assumptions!$A$70:$B$90,2,0),0)</f>
        <v>0</v>
      </c>
      <c r="BQ106" s="8">
        <f>IF(BQ98&lt;=$B$4+1,BQ101*VLOOKUP(BQ98,Assumptions!$A$70:$B$90,2,0),0)</f>
        <v>0</v>
      </c>
      <c r="BR106" s="8">
        <f>IF(BR98&lt;=$B$4+1,BR101*VLOOKUP(BR98,Assumptions!$A$70:$B$90,2,0),0)</f>
        <v>0</v>
      </c>
      <c r="BS106" s="8">
        <f>IF(BS98&lt;=$B$4+1,BS101*VLOOKUP(BS98,Assumptions!$A$70:$B$90,2,0),0)</f>
        <v>0</v>
      </c>
      <c r="BT106" s="8">
        <f>IF(BT98&lt;=$B$4+1,BT101*VLOOKUP(BT98,Assumptions!$A$70:$B$90,2,0),0)</f>
        <v>0</v>
      </c>
      <c r="BU106" s="8">
        <f>IF(BU98&lt;=$B$4+1,BU101*VLOOKUP(BU98,Assumptions!$A$70:$B$90,2,0),0)</f>
        <v>0</v>
      </c>
      <c r="BV106" s="8">
        <f>IF(BV98&lt;=$B$4+1,BV101*VLOOKUP(BV98,Assumptions!$A$70:$B$90,2,0),0)</f>
        <v>0</v>
      </c>
      <c r="BW106" s="8">
        <f>IF(BW98&lt;=$B$4+1,BW101*VLOOKUP(BW98,Assumptions!$A$70:$B$90,2,0),0)</f>
        <v>0</v>
      </c>
      <c r="BX106" s="8">
        <f>IF(BX98&lt;=$B$4+1,BX101*VLOOKUP(BX98,Assumptions!$A$70:$B$90,2,0),0)</f>
        <v>0</v>
      </c>
      <c r="BY106" s="8">
        <f>IF(BY98&lt;=$B$4+1,BY101*VLOOKUP(BY98,Assumptions!$A$70:$B$90,2,0),0)</f>
        <v>0</v>
      </c>
      <c r="BZ106" s="8">
        <f>IF(BZ98&lt;=$B$4+1,BZ101*VLOOKUP(BZ98,Assumptions!$A$70:$B$90,2,0),0)</f>
        <v>0</v>
      </c>
      <c r="CA106" s="8">
        <f>IF(CA98&lt;=$B$4+1,CA101*VLOOKUP(CA98,Assumptions!$A$70:$B$90,2,0),0)</f>
        <v>0</v>
      </c>
      <c r="CB106" s="8">
        <f>IF(CB98&lt;=$B$4+1,CB101*VLOOKUP(CB98,Assumptions!$A$70:$B$90,2,0),0)</f>
        <v>0</v>
      </c>
      <c r="CC106" s="8">
        <f>IF(CC98&lt;=$B$4+1,CC101*VLOOKUP(CC98,Assumptions!$A$70:$B$90,2,0),0)</f>
        <v>0</v>
      </c>
      <c r="CD106" s="8">
        <f>IF(CD98&lt;=$B$4+1,CD101*VLOOKUP(CD98,Assumptions!$A$70:$B$90,2,0),0)</f>
        <v>0</v>
      </c>
      <c r="CE106" s="8">
        <f>IF(CE98&lt;=$B$4+1,CE101*VLOOKUP(CE98,Assumptions!$A$70:$B$90,2,0),0)</f>
        <v>0</v>
      </c>
      <c r="CF106" s="8">
        <f>IF(CF98&lt;=$B$4+1,CF101*VLOOKUP(CF98,Assumptions!$A$70:$B$90,2,0),0)</f>
        <v>0</v>
      </c>
      <c r="CG106" s="8">
        <f>IF(CG98&lt;=$B$4+1,CG101*VLOOKUP(CG98,Assumptions!$A$70:$B$90,2,0),0)</f>
        <v>0</v>
      </c>
      <c r="CH106" s="8">
        <f>IF(CH98&lt;=$B$4+1,CH101*VLOOKUP(CH98,Assumptions!$A$70:$B$90,2,0),0)</f>
        <v>0</v>
      </c>
      <c r="CI106" s="8">
        <f>IF(CI98&lt;=$B$4+1,CI101*VLOOKUP(CI98,Assumptions!$A$70:$B$90,2,0),0)</f>
        <v>0</v>
      </c>
      <c r="CJ106" s="8">
        <f>IF(CJ98&lt;=$B$4+1,CJ101*VLOOKUP(CJ98,Assumptions!$A$70:$B$90,2,0),0)</f>
        <v>0</v>
      </c>
      <c r="CK106" s="8">
        <f>IF(CK98&lt;=$B$4+1,CK101*VLOOKUP(CK98,Assumptions!$A$70:$B$90,2,0),0)</f>
        <v>0</v>
      </c>
      <c r="CL106" s="8">
        <f>IF(CL98&lt;=$B$4+1,CL101*VLOOKUP(CL98,Assumptions!$A$70:$B$90,2,0),0)</f>
        <v>0</v>
      </c>
      <c r="CM106" s="8">
        <f>IF(CM98&lt;=$B$4+1,CM101*VLOOKUP(CM98,Assumptions!$A$70:$B$90,2,0),0)</f>
        <v>0</v>
      </c>
      <c r="CN106" s="8">
        <f>IF(CN98&lt;=$B$4+1,CN101*VLOOKUP(CN98,Assumptions!$A$70:$B$90,2,0),0)</f>
        <v>0</v>
      </c>
      <c r="CO106" s="8">
        <f>IF(CO98&lt;=$B$4+1,CO101*VLOOKUP(CO98,Assumptions!$A$70:$B$90,2,0),0)</f>
        <v>0</v>
      </c>
      <c r="CP106" s="8">
        <f>IF(CP98&lt;=$B$4+1,CP101*VLOOKUP(CP98,Assumptions!$A$70:$B$90,2,0),0)</f>
        <v>0</v>
      </c>
      <c r="CQ106" s="8">
        <f>IF(CQ98&lt;=$B$4+1,CQ101*VLOOKUP(CQ98,Assumptions!$A$70:$B$90,2,0),0)</f>
        <v>0</v>
      </c>
      <c r="CR106" s="8">
        <f>IF(CR98&lt;=$B$4+1,CR101*VLOOKUP(CR98,Assumptions!$A$70:$B$90,2,0),0)</f>
        <v>0</v>
      </c>
      <c r="CS106" s="8">
        <f>IF(CS98&lt;=$B$4+1,CS101*VLOOKUP(CS98,Assumptions!$A$70:$B$90,2,0),0)</f>
        <v>0</v>
      </c>
      <c r="CT106" s="8">
        <f>IF(CT98&lt;=$B$4+1,CT101*VLOOKUP(CT98,Assumptions!$A$70:$B$90,2,0),0)</f>
        <v>0</v>
      </c>
      <c r="CU106" s="8">
        <f>IF(CU98&lt;=$B$4+1,CU101*VLOOKUP(CU98,Assumptions!$A$70:$B$90,2,0),0)</f>
        <v>0</v>
      </c>
      <c r="CV106" s="8">
        <f>IF(CV98&lt;=$B$4+1,CV101*VLOOKUP(CV98,Assumptions!$A$70:$B$90,2,0),0)</f>
        <v>0</v>
      </c>
      <c r="CW106" s="8">
        <f>IF(CW98&lt;=$B$4+1,CW101*VLOOKUP(CW98,Assumptions!$A$70:$B$90,2,0),0)</f>
        <v>0</v>
      </c>
      <c r="CX106" s="8">
        <f>IF(CX98&lt;=$B$4+1,CX101*VLOOKUP(CX98,Assumptions!$A$70:$B$90,2,0),0)</f>
        <v>0</v>
      </c>
      <c r="CY106" s="8">
        <f>IF(CY98&lt;=$B$4+1,CY101*VLOOKUP(CY98,Assumptions!$A$70:$B$90,2,0),0)</f>
        <v>0</v>
      </c>
      <c r="CZ106" s="8">
        <f>IF(CZ98&lt;=$B$4+1,CZ101*VLOOKUP(CZ98,Assumptions!$A$70:$B$90,2,0),0)</f>
        <v>0</v>
      </c>
      <c r="DA106" s="8">
        <f>IF(DA98&lt;=$B$4+1,DA101*VLOOKUP(DA98,Assumptions!$A$70:$B$90,2,0),0)</f>
        <v>0</v>
      </c>
      <c r="DB106" s="8"/>
      <c r="DC106" s="8"/>
    </row>
    <row r="107" spans="3:107" x14ac:dyDescent="0.4">
      <c r="D107" t="s">
        <v>170</v>
      </c>
      <c r="J107" s="8"/>
      <c r="K107" s="8">
        <f>J108</f>
        <v>0</v>
      </c>
      <c r="L107" s="8">
        <f t="shared" ref="L107:BW107" si="116">K108</f>
        <v>-19533.851932949769</v>
      </c>
      <c r="M107" s="8">
        <f t="shared" si="116"/>
        <v>-77789.379497558257</v>
      </c>
      <c r="N107" s="8">
        <f t="shared" si="116"/>
        <v>-129994.99406350458</v>
      </c>
      <c r="O107" s="8">
        <f t="shared" si="116"/>
        <v>-176619.50807717955</v>
      </c>
      <c r="P107" s="8">
        <f t="shared" si="116"/>
        <v>-218064.76077834668</v>
      </c>
      <c r="Q107" s="8">
        <f t="shared" si="116"/>
        <v>-254732.59140676953</v>
      </c>
      <c r="R107" s="8">
        <f t="shared" si="116"/>
        <v>-286969.02819668892</v>
      </c>
      <c r="S107" s="8">
        <f t="shared" si="116"/>
        <v>-315120.09938234568</v>
      </c>
      <c r="T107" s="8">
        <f t="shared" si="116"/>
        <v>-342601.43850172986</v>
      </c>
      <c r="U107" s="8">
        <f t="shared" si="116"/>
        <v>-370071.61542000953</v>
      </c>
      <c r="V107" s="8">
        <f t="shared" si="116"/>
        <v>-397552.95453939372</v>
      </c>
      <c r="W107" s="8">
        <f t="shared" si="116"/>
        <v>-425023.13145767339</v>
      </c>
      <c r="X107" s="8">
        <f t="shared" si="116"/>
        <v>-452504.47057705757</v>
      </c>
      <c r="Y107" s="8">
        <f t="shared" si="116"/>
        <v>-479974.64749533724</v>
      </c>
      <c r="Z107" s="8">
        <f t="shared" si="116"/>
        <v>-507455.98661472142</v>
      </c>
      <c r="AA107" s="8">
        <f t="shared" si="116"/>
        <v>-534926.16353300109</v>
      </c>
      <c r="AB107" s="8">
        <f t="shared" si="116"/>
        <v>-562407.50265238527</v>
      </c>
      <c r="AC107" s="8">
        <f t="shared" si="116"/>
        <v>-589877.67957066488</v>
      </c>
      <c r="AD107" s="8">
        <f t="shared" si="116"/>
        <v>-617359.01869004907</v>
      </c>
      <c r="AE107" s="8">
        <f t="shared" si="116"/>
        <v>-644829.19560832868</v>
      </c>
      <c r="AF107" s="8">
        <f t="shared" si="116"/>
        <v>-647407.66406347801</v>
      </c>
      <c r="AG107" s="8">
        <f t="shared" si="116"/>
        <v>-625083.26185439259</v>
      </c>
      <c r="AH107" s="8">
        <f t="shared" si="116"/>
        <v>-602758.85964530718</v>
      </c>
      <c r="AI107" s="8">
        <f t="shared" si="116"/>
        <v>-580434.45743622177</v>
      </c>
      <c r="AJ107" s="8">
        <f t="shared" si="116"/>
        <v>-558110.05522713636</v>
      </c>
      <c r="AK107" s="8">
        <f t="shared" si="116"/>
        <v>-535785.65301805094</v>
      </c>
      <c r="AL107" s="8">
        <f t="shared" si="116"/>
        <v>-513461.25080896547</v>
      </c>
      <c r="AM107" s="8">
        <f t="shared" si="116"/>
        <v>-491136.84859988</v>
      </c>
      <c r="AN107" s="8">
        <f t="shared" si="116"/>
        <v>-468812.44639079453</v>
      </c>
      <c r="AO107" s="8">
        <f t="shared" si="116"/>
        <v>-446488.04418170906</v>
      </c>
      <c r="AP107" s="8">
        <f t="shared" si="116"/>
        <v>-424163.64197262359</v>
      </c>
      <c r="AQ107" s="8">
        <f t="shared" si="116"/>
        <v>-401839.23976353812</v>
      </c>
      <c r="AR107" s="8">
        <f t="shared" si="116"/>
        <v>-379514.83755445265</v>
      </c>
      <c r="AS107" s="8">
        <f t="shared" si="116"/>
        <v>-357190.43534536718</v>
      </c>
      <c r="AT107" s="8">
        <f t="shared" si="116"/>
        <v>-334866.03313628171</v>
      </c>
      <c r="AU107" s="8">
        <f t="shared" si="116"/>
        <v>-312541.63092719624</v>
      </c>
      <c r="AV107" s="8">
        <f t="shared" si="116"/>
        <v>-290217.22871811077</v>
      </c>
      <c r="AW107" s="8">
        <f t="shared" si="116"/>
        <v>-267892.8265090253</v>
      </c>
      <c r="AX107" s="8">
        <f t="shared" si="116"/>
        <v>-245568.42429993983</v>
      </c>
      <c r="AY107" s="8">
        <f t="shared" si="116"/>
        <v>-223244.02209085436</v>
      </c>
      <c r="AZ107" s="8">
        <f t="shared" si="116"/>
        <v>-200919.61988176889</v>
      </c>
      <c r="BA107" s="8">
        <f t="shared" si="116"/>
        <v>-178595.21767268342</v>
      </c>
      <c r="BB107" s="8">
        <f t="shared" si="116"/>
        <v>-156270.81546359794</v>
      </c>
      <c r="BC107" s="8">
        <f t="shared" si="116"/>
        <v>-133946.41325451247</v>
      </c>
      <c r="BD107" s="8">
        <f t="shared" si="116"/>
        <v>-111622.01104542702</v>
      </c>
      <c r="BE107" s="8">
        <f t="shared" si="116"/>
        <v>-89297.608836341562</v>
      </c>
      <c r="BF107" s="8">
        <f t="shared" si="116"/>
        <v>-66973.206627256106</v>
      </c>
      <c r="BG107" s="8">
        <f t="shared" si="116"/>
        <v>-44648.80441817065</v>
      </c>
      <c r="BH107" s="8">
        <f t="shared" si="116"/>
        <v>-22324.402209085194</v>
      </c>
      <c r="BI107" s="8">
        <f t="shared" si="116"/>
        <v>2.6193447411060333E-10</v>
      </c>
      <c r="BJ107" s="8">
        <f t="shared" si="116"/>
        <v>2.6193447411060333E-10</v>
      </c>
      <c r="BK107" s="8">
        <f t="shared" si="116"/>
        <v>2.6193447411060333E-10</v>
      </c>
      <c r="BL107" s="8">
        <f t="shared" si="116"/>
        <v>2.6193447411060333E-10</v>
      </c>
      <c r="BM107" s="8">
        <f t="shared" si="116"/>
        <v>2.6193447411060333E-10</v>
      </c>
      <c r="BN107" s="8">
        <f t="shared" si="116"/>
        <v>2.6193447411060333E-10</v>
      </c>
      <c r="BO107" s="8">
        <f t="shared" si="116"/>
        <v>2.6193447411060333E-10</v>
      </c>
      <c r="BP107" s="8">
        <f t="shared" si="116"/>
        <v>2.6193447411060333E-10</v>
      </c>
      <c r="BQ107" s="8">
        <f t="shared" si="116"/>
        <v>2.6193447411060333E-10</v>
      </c>
      <c r="BR107" s="8">
        <f t="shared" si="116"/>
        <v>2.6193447411060333E-10</v>
      </c>
      <c r="BS107" s="8">
        <f t="shared" si="116"/>
        <v>2.6193447411060333E-10</v>
      </c>
      <c r="BT107" s="8">
        <f t="shared" si="116"/>
        <v>2.6193447411060333E-10</v>
      </c>
      <c r="BU107" s="8">
        <f t="shared" si="116"/>
        <v>2.6193447411060333E-10</v>
      </c>
      <c r="BV107" s="8">
        <f t="shared" si="116"/>
        <v>2.6193447411060333E-10</v>
      </c>
      <c r="BW107" s="8">
        <f t="shared" si="116"/>
        <v>2.6193447411060333E-10</v>
      </c>
      <c r="BX107" s="8">
        <f t="shared" ref="BX107:DA107" si="117">BW108</f>
        <v>2.6193447411060333E-10</v>
      </c>
      <c r="BY107" s="8">
        <f t="shared" si="117"/>
        <v>2.6193447411060333E-10</v>
      </c>
      <c r="BZ107" s="8">
        <f t="shared" si="117"/>
        <v>2.6193447411060333E-10</v>
      </c>
      <c r="CA107" s="8">
        <f t="shared" si="117"/>
        <v>2.6193447411060333E-10</v>
      </c>
      <c r="CB107" s="8">
        <f t="shared" si="117"/>
        <v>2.6193447411060333E-10</v>
      </c>
      <c r="CC107" s="8">
        <f t="shared" si="117"/>
        <v>2.6193447411060333E-10</v>
      </c>
      <c r="CD107" s="8">
        <f t="shared" si="117"/>
        <v>2.6193447411060333E-10</v>
      </c>
      <c r="CE107" s="8">
        <f t="shared" si="117"/>
        <v>2.6193447411060333E-10</v>
      </c>
      <c r="CF107" s="8">
        <f t="shared" si="117"/>
        <v>2.6193447411060333E-10</v>
      </c>
      <c r="CG107" s="8">
        <f t="shared" si="117"/>
        <v>2.6193447411060333E-10</v>
      </c>
      <c r="CH107" s="8">
        <f t="shared" si="117"/>
        <v>2.6193447411060333E-10</v>
      </c>
      <c r="CI107" s="8">
        <f t="shared" si="117"/>
        <v>2.6193447411060333E-10</v>
      </c>
      <c r="CJ107" s="8">
        <f t="shared" si="117"/>
        <v>2.6193447411060333E-10</v>
      </c>
      <c r="CK107" s="8">
        <f t="shared" si="117"/>
        <v>2.6193447411060333E-10</v>
      </c>
      <c r="CL107" s="8">
        <f t="shared" si="117"/>
        <v>2.6193447411060333E-10</v>
      </c>
      <c r="CM107" s="8">
        <f t="shared" si="117"/>
        <v>2.6193447411060333E-10</v>
      </c>
      <c r="CN107" s="8">
        <f t="shared" si="117"/>
        <v>2.6193447411060333E-10</v>
      </c>
      <c r="CO107" s="8">
        <f t="shared" si="117"/>
        <v>2.6193447411060333E-10</v>
      </c>
      <c r="CP107" s="8">
        <f t="shared" si="117"/>
        <v>2.6193447411060333E-10</v>
      </c>
      <c r="CQ107" s="8">
        <f t="shared" si="117"/>
        <v>2.6193447411060333E-10</v>
      </c>
      <c r="CR107" s="8">
        <f t="shared" si="117"/>
        <v>2.6193447411060333E-10</v>
      </c>
      <c r="CS107" s="8">
        <f t="shared" si="117"/>
        <v>2.6193447411060333E-10</v>
      </c>
      <c r="CT107" s="8">
        <f t="shared" si="117"/>
        <v>2.6193447411060333E-10</v>
      </c>
      <c r="CU107" s="8">
        <f t="shared" si="117"/>
        <v>2.6193447411060333E-10</v>
      </c>
      <c r="CV107" s="8">
        <f t="shared" si="117"/>
        <v>2.6193447411060333E-10</v>
      </c>
      <c r="CW107" s="8">
        <f t="shared" si="117"/>
        <v>2.6193447411060333E-10</v>
      </c>
      <c r="CX107" s="8">
        <f t="shared" si="117"/>
        <v>2.6193447411060333E-10</v>
      </c>
      <c r="CY107" s="8">
        <f t="shared" si="117"/>
        <v>2.6193447411060333E-10</v>
      </c>
      <c r="CZ107" s="8">
        <f t="shared" si="117"/>
        <v>2.6193447411060333E-10</v>
      </c>
      <c r="DA107" s="8">
        <f t="shared" si="117"/>
        <v>2.6193447411060333E-10</v>
      </c>
      <c r="DB107" s="8"/>
      <c r="DC107" s="8"/>
    </row>
    <row r="108" spans="3:107" x14ac:dyDescent="0.4">
      <c r="D108" t="s">
        <v>171</v>
      </c>
      <c r="J108" s="8"/>
      <c r="K108" s="8">
        <f t="shared" ref="K108:AP108" si="118">J108+((K100-K106)*INC_TAX_RATE)</f>
        <v>-19533.851932949769</v>
      </c>
      <c r="L108" s="8">
        <f t="shared" si="118"/>
        <v>-77789.379497558257</v>
      </c>
      <c r="M108" s="8">
        <f t="shared" si="118"/>
        <v>-129994.99406350458</v>
      </c>
      <c r="N108" s="8">
        <f t="shared" si="118"/>
        <v>-176619.50807717955</v>
      </c>
      <c r="O108" s="8">
        <f t="shared" si="118"/>
        <v>-218064.76077834668</v>
      </c>
      <c r="P108" s="8">
        <f t="shared" si="118"/>
        <v>-254732.59140676953</v>
      </c>
      <c r="Q108" s="8">
        <f t="shared" si="118"/>
        <v>-286969.02819668892</v>
      </c>
      <c r="R108" s="8">
        <f t="shared" si="118"/>
        <v>-315120.09938234568</v>
      </c>
      <c r="S108" s="8">
        <f t="shared" si="118"/>
        <v>-342601.43850172986</v>
      </c>
      <c r="T108" s="8">
        <f t="shared" si="118"/>
        <v>-370071.61542000953</v>
      </c>
      <c r="U108" s="8">
        <f t="shared" si="118"/>
        <v>-397552.95453939372</v>
      </c>
      <c r="V108" s="8">
        <f t="shared" si="118"/>
        <v>-425023.13145767339</v>
      </c>
      <c r="W108" s="8">
        <f t="shared" si="118"/>
        <v>-452504.47057705757</v>
      </c>
      <c r="X108" s="8">
        <f t="shared" si="118"/>
        <v>-479974.64749533724</v>
      </c>
      <c r="Y108" s="8">
        <f t="shared" si="118"/>
        <v>-507455.98661472142</v>
      </c>
      <c r="Z108" s="8">
        <f t="shared" si="118"/>
        <v>-534926.16353300109</v>
      </c>
      <c r="AA108" s="8">
        <f t="shared" si="118"/>
        <v>-562407.50265238527</v>
      </c>
      <c r="AB108" s="8">
        <f t="shared" si="118"/>
        <v>-589877.67957066488</v>
      </c>
      <c r="AC108" s="8">
        <f t="shared" si="118"/>
        <v>-617359.01869004907</v>
      </c>
      <c r="AD108" s="8">
        <f t="shared" si="118"/>
        <v>-644829.19560832868</v>
      </c>
      <c r="AE108" s="8">
        <f t="shared" si="118"/>
        <v>-647407.66406347801</v>
      </c>
      <c r="AF108" s="8">
        <f t="shared" si="118"/>
        <v>-625083.26185439259</v>
      </c>
      <c r="AG108" s="8">
        <f t="shared" si="118"/>
        <v>-602758.85964530718</v>
      </c>
      <c r="AH108" s="8">
        <f t="shared" si="118"/>
        <v>-580434.45743622177</v>
      </c>
      <c r="AI108" s="8">
        <f t="shared" si="118"/>
        <v>-558110.05522713636</v>
      </c>
      <c r="AJ108" s="8">
        <f t="shared" si="118"/>
        <v>-535785.65301805094</v>
      </c>
      <c r="AK108" s="8">
        <f t="shared" si="118"/>
        <v>-513461.25080896547</v>
      </c>
      <c r="AL108" s="8">
        <f t="shared" si="118"/>
        <v>-491136.84859988</v>
      </c>
      <c r="AM108" s="8">
        <f t="shared" si="118"/>
        <v>-468812.44639079453</v>
      </c>
      <c r="AN108" s="8">
        <f t="shared" si="118"/>
        <v>-446488.04418170906</v>
      </c>
      <c r="AO108" s="8">
        <f t="shared" si="118"/>
        <v>-424163.64197262359</v>
      </c>
      <c r="AP108" s="8">
        <f t="shared" si="118"/>
        <v>-401839.23976353812</v>
      </c>
      <c r="AQ108" s="8">
        <f t="shared" ref="AQ108:BV108" si="119">AP108+((AQ100-AQ106)*INC_TAX_RATE)</f>
        <v>-379514.83755445265</v>
      </c>
      <c r="AR108" s="8">
        <f t="shared" si="119"/>
        <v>-357190.43534536718</v>
      </c>
      <c r="AS108" s="8">
        <f t="shared" si="119"/>
        <v>-334866.03313628171</v>
      </c>
      <c r="AT108" s="8">
        <f t="shared" si="119"/>
        <v>-312541.63092719624</v>
      </c>
      <c r="AU108" s="8">
        <f t="shared" si="119"/>
        <v>-290217.22871811077</v>
      </c>
      <c r="AV108" s="8">
        <f t="shared" si="119"/>
        <v>-267892.8265090253</v>
      </c>
      <c r="AW108" s="8">
        <f t="shared" si="119"/>
        <v>-245568.42429993983</v>
      </c>
      <c r="AX108" s="8">
        <f t="shared" si="119"/>
        <v>-223244.02209085436</v>
      </c>
      <c r="AY108" s="8">
        <f t="shared" si="119"/>
        <v>-200919.61988176889</v>
      </c>
      <c r="AZ108" s="8">
        <f t="shared" si="119"/>
        <v>-178595.21767268342</v>
      </c>
      <c r="BA108" s="8">
        <f t="shared" si="119"/>
        <v>-156270.81546359794</v>
      </c>
      <c r="BB108" s="8">
        <f t="shared" si="119"/>
        <v>-133946.41325451247</v>
      </c>
      <c r="BC108" s="8">
        <f t="shared" si="119"/>
        <v>-111622.01104542702</v>
      </c>
      <c r="BD108" s="8">
        <f t="shared" si="119"/>
        <v>-89297.608836341562</v>
      </c>
      <c r="BE108" s="8">
        <f t="shared" si="119"/>
        <v>-66973.206627256106</v>
      </c>
      <c r="BF108" s="8">
        <f t="shared" si="119"/>
        <v>-44648.80441817065</v>
      </c>
      <c r="BG108" s="8">
        <f t="shared" si="119"/>
        <v>-22324.402209085194</v>
      </c>
      <c r="BH108" s="8">
        <f t="shared" si="119"/>
        <v>2.6193447411060333E-10</v>
      </c>
      <c r="BI108" s="8">
        <f t="shared" si="119"/>
        <v>2.6193447411060333E-10</v>
      </c>
      <c r="BJ108" s="8">
        <f t="shared" si="119"/>
        <v>2.6193447411060333E-10</v>
      </c>
      <c r="BK108" s="8">
        <f t="shared" si="119"/>
        <v>2.6193447411060333E-10</v>
      </c>
      <c r="BL108" s="8">
        <f t="shared" si="119"/>
        <v>2.6193447411060333E-10</v>
      </c>
      <c r="BM108" s="8">
        <f t="shared" si="119"/>
        <v>2.6193447411060333E-10</v>
      </c>
      <c r="BN108" s="8">
        <f t="shared" si="119"/>
        <v>2.6193447411060333E-10</v>
      </c>
      <c r="BO108" s="8">
        <f t="shared" si="119"/>
        <v>2.6193447411060333E-10</v>
      </c>
      <c r="BP108" s="8">
        <f t="shared" si="119"/>
        <v>2.6193447411060333E-10</v>
      </c>
      <c r="BQ108" s="8">
        <f t="shared" si="119"/>
        <v>2.6193447411060333E-10</v>
      </c>
      <c r="BR108" s="8">
        <f t="shared" si="119"/>
        <v>2.6193447411060333E-10</v>
      </c>
      <c r="BS108" s="8">
        <f t="shared" si="119"/>
        <v>2.6193447411060333E-10</v>
      </c>
      <c r="BT108" s="8">
        <f t="shared" si="119"/>
        <v>2.6193447411060333E-10</v>
      </c>
      <c r="BU108" s="8">
        <f t="shared" si="119"/>
        <v>2.6193447411060333E-10</v>
      </c>
      <c r="BV108" s="8">
        <f t="shared" si="119"/>
        <v>2.6193447411060333E-10</v>
      </c>
      <c r="BW108" s="8">
        <f t="shared" ref="BW108:DA108" si="120">BV108+((BW100-BW106)*INC_TAX_RATE)</f>
        <v>2.6193447411060333E-10</v>
      </c>
      <c r="BX108" s="8">
        <f t="shared" si="120"/>
        <v>2.6193447411060333E-10</v>
      </c>
      <c r="BY108" s="8">
        <f t="shared" si="120"/>
        <v>2.6193447411060333E-10</v>
      </c>
      <c r="BZ108" s="8">
        <f t="shared" si="120"/>
        <v>2.6193447411060333E-10</v>
      </c>
      <c r="CA108" s="8">
        <f t="shared" si="120"/>
        <v>2.6193447411060333E-10</v>
      </c>
      <c r="CB108" s="8">
        <f t="shared" si="120"/>
        <v>2.6193447411060333E-10</v>
      </c>
      <c r="CC108" s="8">
        <f t="shared" si="120"/>
        <v>2.6193447411060333E-10</v>
      </c>
      <c r="CD108" s="8">
        <f t="shared" si="120"/>
        <v>2.6193447411060333E-10</v>
      </c>
      <c r="CE108" s="8">
        <f t="shared" si="120"/>
        <v>2.6193447411060333E-10</v>
      </c>
      <c r="CF108" s="8">
        <f t="shared" si="120"/>
        <v>2.6193447411060333E-10</v>
      </c>
      <c r="CG108" s="8">
        <f t="shared" si="120"/>
        <v>2.6193447411060333E-10</v>
      </c>
      <c r="CH108" s="8">
        <f t="shared" si="120"/>
        <v>2.6193447411060333E-10</v>
      </c>
      <c r="CI108" s="8">
        <f t="shared" si="120"/>
        <v>2.6193447411060333E-10</v>
      </c>
      <c r="CJ108" s="8">
        <f t="shared" si="120"/>
        <v>2.6193447411060333E-10</v>
      </c>
      <c r="CK108" s="8">
        <f t="shared" si="120"/>
        <v>2.6193447411060333E-10</v>
      </c>
      <c r="CL108" s="8">
        <f t="shared" si="120"/>
        <v>2.6193447411060333E-10</v>
      </c>
      <c r="CM108" s="8">
        <f t="shared" si="120"/>
        <v>2.6193447411060333E-10</v>
      </c>
      <c r="CN108" s="8">
        <f t="shared" si="120"/>
        <v>2.6193447411060333E-10</v>
      </c>
      <c r="CO108" s="8">
        <f t="shared" si="120"/>
        <v>2.6193447411060333E-10</v>
      </c>
      <c r="CP108" s="8">
        <f t="shared" si="120"/>
        <v>2.6193447411060333E-10</v>
      </c>
      <c r="CQ108" s="8">
        <f t="shared" si="120"/>
        <v>2.6193447411060333E-10</v>
      </c>
      <c r="CR108" s="8">
        <f t="shared" si="120"/>
        <v>2.6193447411060333E-10</v>
      </c>
      <c r="CS108" s="8">
        <f t="shared" si="120"/>
        <v>2.6193447411060333E-10</v>
      </c>
      <c r="CT108" s="8">
        <f t="shared" si="120"/>
        <v>2.6193447411060333E-10</v>
      </c>
      <c r="CU108" s="8">
        <f t="shared" si="120"/>
        <v>2.6193447411060333E-10</v>
      </c>
      <c r="CV108" s="8">
        <f t="shared" si="120"/>
        <v>2.6193447411060333E-10</v>
      </c>
      <c r="CW108" s="8">
        <f t="shared" si="120"/>
        <v>2.6193447411060333E-10</v>
      </c>
      <c r="CX108" s="8">
        <f t="shared" si="120"/>
        <v>2.6193447411060333E-10</v>
      </c>
      <c r="CY108" s="8">
        <f t="shared" si="120"/>
        <v>2.6193447411060333E-10</v>
      </c>
      <c r="CZ108" s="8">
        <f t="shared" si="120"/>
        <v>2.6193447411060333E-10</v>
      </c>
      <c r="DA108" s="8">
        <f t="shared" si="120"/>
        <v>2.6193447411060333E-10</v>
      </c>
      <c r="DB108" s="8"/>
      <c r="DC108" s="8"/>
    </row>
    <row r="109" spans="3:107" x14ac:dyDescent="0.4"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</row>
    <row r="110" spans="3:107" x14ac:dyDescent="0.4">
      <c r="D110" t="s">
        <v>158</v>
      </c>
      <c r="J110" s="8"/>
      <c r="K110" s="8">
        <f>AVERAGE(K103:K104)+AVERAGE(K107:K108)</f>
        <v>3977452.6639658003</v>
      </c>
      <c r="L110" s="8">
        <f t="shared" ref="L110:BW110" si="121">AVERAGE(L103:L104)+AVERAGE(L107:L108)</f>
        <v>3858008.0835113181</v>
      </c>
      <c r="M110" s="8">
        <f t="shared" si="121"/>
        <v>3722227.6217403379</v>
      </c>
      <c r="N110" s="8">
        <f t="shared" si="121"/>
        <v>3592262.6667448254</v>
      </c>
      <c r="O110" s="8">
        <f t="shared" si="121"/>
        <v>3467677.8926817016</v>
      </c>
      <c r="P110" s="8">
        <f t="shared" si="121"/>
        <v>3348071.4603112037</v>
      </c>
      <c r="Q110" s="8">
        <f t="shared" si="121"/>
        <v>3233069.4358963305</v>
      </c>
      <c r="R110" s="8">
        <f t="shared" si="121"/>
        <v>3122325.7912028399</v>
      </c>
      <c r="S110" s="8">
        <f t="shared" si="121"/>
        <v>3013959.6953446167</v>
      </c>
      <c r="T110" s="8">
        <f t="shared" si="121"/>
        <v>2905934.0466200826</v>
      </c>
      <c r="U110" s="8">
        <f t="shared" si="121"/>
        <v>2797908.397895548</v>
      </c>
      <c r="V110" s="8">
        <f t="shared" si="121"/>
        <v>2689882.749171013</v>
      </c>
      <c r="W110" s="8">
        <f t="shared" si="121"/>
        <v>2581857.1004464794</v>
      </c>
      <c r="X110" s="8">
        <f t="shared" si="121"/>
        <v>2473831.4517219448</v>
      </c>
      <c r="Y110" s="8">
        <f t="shared" si="121"/>
        <v>2365805.8029974098</v>
      </c>
      <c r="Z110" s="8">
        <f t="shared" si="121"/>
        <v>2257780.1542728757</v>
      </c>
      <c r="AA110" s="8">
        <f t="shared" si="121"/>
        <v>2149754.5055483412</v>
      </c>
      <c r="AB110" s="8">
        <f t="shared" si="121"/>
        <v>2041728.8568238067</v>
      </c>
      <c r="AC110" s="8">
        <f t="shared" si="121"/>
        <v>1933703.2080992719</v>
      </c>
      <c r="AD110" s="8">
        <f t="shared" si="121"/>
        <v>1825677.559374738</v>
      </c>
      <c r="AE110" s="8">
        <f t="shared" si="121"/>
        <v>1730103.3459823206</v>
      </c>
      <c r="AF110" s="8">
        <f t="shared" si="121"/>
        <v>1659426.4221535861</v>
      </c>
      <c r="AG110" s="8">
        <f t="shared" si="121"/>
        <v>1601200.9336569686</v>
      </c>
      <c r="AH110" s="8">
        <f t="shared" si="121"/>
        <v>1542975.4451603517</v>
      </c>
      <c r="AI110" s="8">
        <f t="shared" si="121"/>
        <v>1484749.9566637347</v>
      </c>
      <c r="AJ110" s="8">
        <f t="shared" si="121"/>
        <v>1426524.4681671173</v>
      </c>
      <c r="AK110" s="8">
        <f t="shared" si="121"/>
        <v>1368298.9796705004</v>
      </c>
      <c r="AL110" s="8">
        <f t="shared" si="121"/>
        <v>1310073.4911738832</v>
      </c>
      <c r="AM110" s="8">
        <f t="shared" si="121"/>
        <v>1251848.0026772663</v>
      </c>
      <c r="AN110" s="8">
        <f t="shared" si="121"/>
        <v>1193622.5141806495</v>
      </c>
      <c r="AO110" s="8">
        <f t="shared" si="121"/>
        <v>1135397.0256840326</v>
      </c>
      <c r="AP110" s="8">
        <f t="shared" si="121"/>
        <v>1077171.5371874156</v>
      </c>
      <c r="AQ110" s="8">
        <f t="shared" si="121"/>
        <v>1018946.0486907987</v>
      </c>
      <c r="AR110" s="8">
        <f t="shared" si="121"/>
        <v>960720.56019418186</v>
      </c>
      <c r="AS110" s="8">
        <f t="shared" si="121"/>
        <v>902495.07169756491</v>
      </c>
      <c r="AT110" s="8">
        <f t="shared" si="121"/>
        <v>844269.58320094808</v>
      </c>
      <c r="AU110" s="8">
        <f t="shared" si="121"/>
        <v>786044.09470433113</v>
      </c>
      <c r="AV110" s="8">
        <f t="shared" si="121"/>
        <v>727818.6062077143</v>
      </c>
      <c r="AW110" s="8">
        <f t="shared" si="121"/>
        <v>669593.11771109735</v>
      </c>
      <c r="AX110" s="8">
        <f t="shared" si="121"/>
        <v>611367.62921448052</v>
      </c>
      <c r="AY110" s="8">
        <f t="shared" si="121"/>
        <v>553142.14071786357</v>
      </c>
      <c r="AZ110" s="8">
        <f t="shared" si="121"/>
        <v>494916.65222124674</v>
      </c>
      <c r="BA110" s="8">
        <f t="shared" si="121"/>
        <v>436691.16372462979</v>
      </c>
      <c r="BB110" s="8">
        <f t="shared" si="121"/>
        <v>378465.67522801296</v>
      </c>
      <c r="BC110" s="8">
        <f t="shared" si="121"/>
        <v>320240.18673139601</v>
      </c>
      <c r="BD110" s="8">
        <f t="shared" si="121"/>
        <v>262014.69823477912</v>
      </c>
      <c r="BE110" s="8">
        <f t="shared" si="121"/>
        <v>203789.20973816223</v>
      </c>
      <c r="BF110" s="8">
        <f t="shared" si="121"/>
        <v>145563.72124154531</v>
      </c>
      <c r="BG110" s="8">
        <f t="shared" si="121"/>
        <v>87338.23274492842</v>
      </c>
      <c r="BH110" s="8">
        <f t="shared" si="121"/>
        <v>29112.744248310111</v>
      </c>
      <c r="BI110" s="8">
        <f t="shared" si="121"/>
        <v>2.6193447411060333E-10</v>
      </c>
      <c r="BJ110" s="8">
        <f t="shared" si="121"/>
        <v>2.6193447411060333E-10</v>
      </c>
      <c r="BK110" s="8">
        <f t="shared" si="121"/>
        <v>2.6193447411060333E-10</v>
      </c>
      <c r="BL110" s="8">
        <f t="shared" si="121"/>
        <v>2.6193447411060333E-10</v>
      </c>
      <c r="BM110" s="8">
        <f t="shared" si="121"/>
        <v>2.6193447411060333E-10</v>
      </c>
      <c r="BN110" s="8">
        <f t="shared" si="121"/>
        <v>2.6193447411060333E-10</v>
      </c>
      <c r="BO110" s="8">
        <f t="shared" si="121"/>
        <v>2.6193447411060333E-10</v>
      </c>
      <c r="BP110" s="8">
        <f t="shared" si="121"/>
        <v>2.6193447411060333E-10</v>
      </c>
      <c r="BQ110" s="8">
        <f t="shared" si="121"/>
        <v>2.6193447411060333E-10</v>
      </c>
      <c r="BR110" s="8">
        <f t="shared" si="121"/>
        <v>2.6193447411060333E-10</v>
      </c>
      <c r="BS110" s="8">
        <f t="shared" si="121"/>
        <v>2.6193447411060333E-10</v>
      </c>
      <c r="BT110" s="8">
        <f t="shared" si="121"/>
        <v>2.6193447411060333E-10</v>
      </c>
      <c r="BU110" s="8">
        <f t="shared" si="121"/>
        <v>2.6193447411060333E-10</v>
      </c>
      <c r="BV110" s="8">
        <f t="shared" si="121"/>
        <v>2.6193447411060333E-10</v>
      </c>
      <c r="BW110" s="8">
        <f t="shared" si="121"/>
        <v>2.6193447411060333E-10</v>
      </c>
      <c r="BX110" s="8">
        <f t="shared" ref="BX110:DA110" si="122">AVERAGE(BX103:BX104)+AVERAGE(BX107:BX108)</f>
        <v>2.6193447411060333E-10</v>
      </c>
      <c r="BY110" s="8">
        <f t="shared" si="122"/>
        <v>2.6193447411060333E-10</v>
      </c>
      <c r="BZ110" s="8">
        <f t="shared" si="122"/>
        <v>2.6193447411060333E-10</v>
      </c>
      <c r="CA110" s="8">
        <f t="shared" si="122"/>
        <v>2.6193447411060333E-10</v>
      </c>
      <c r="CB110" s="8">
        <f t="shared" si="122"/>
        <v>2.6193447411060333E-10</v>
      </c>
      <c r="CC110" s="8">
        <f t="shared" si="122"/>
        <v>2.6193447411060333E-10</v>
      </c>
      <c r="CD110" s="8">
        <f t="shared" si="122"/>
        <v>2.6193447411060333E-10</v>
      </c>
      <c r="CE110" s="8">
        <f t="shared" si="122"/>
        <v>2.6193447411060333E-10</v>
      </c>
      <c r="CF110" s="8">
        <f t="shared" si="122"/>
        <v>2.6193447411060333E-10</v>
      </c>
      <c r="CG110" s="8">
        <f t="shared" si="122"/>
        <v>2.6193447411060333E-10</v>
      </c>
      <c r="CH110" s="8">
        <f t="shared" si="122"/>
        <v>2.6193447411060333E-10</v>
      </c>
      <c r="CI110" s="8">
        <f t="shared" si="122"/>
        <v>2.6193447411060333E-10</v>
      </c>
      <c r="CJ110" s="8">
        <f t="shared" si="122"/>
        <v>2.6193447411060333E-10</v>
      </c>
      <c r="CK110" s="8">
        <f t="shared" si="122"/>
        <v>2.6193447411060333E-10</v>
      </c>
      <c r="CL110" s="8">
        <f t="shared" si="122"/>
        <v>2.6193447411060333E-10</v>
      </c>
      <c r="CM110" s="8">
        <f t="shared" si="122"/>
        <v>2.6193447411060333E-10</v>
      </c>
      <c r="CN110" s="8">
        <f t="shared" si="122"/>
        <v>2.6193447411060333E-10</v>
      </c>
      <c r="CO110" s="8">
        <f t="shared" si="122"/>
        <v>2.6193447411060333E-10</v>
      </c>
      <c r="CP110" s="8">
        <f t="shared" si="122"/>
        <v>2.6193447411060333E-10</v>
      </c>
      <c r="CQ110" s="8">
        <f t="shared" si="122"/>
        <v>2.6193447411060333E-10</v>
      </c>
      <c r="CR110" s="8">
        <f t="shared" si="122"/>
        <v>2.6193447411060333E-10</v>
      </c>
      <c r="CS110" s="8">
        <f t="shared" si="122"/>
        <v>2.6193447411060333E-10</v>
      </c>
      <c r="CT110" s="8">
        <f t="shared" si="122"/>
        <v>2.6193447411060333E-10</v>
      </c>
      <c r="CU110" s="8">
        <f t="shared" si="122"/>
        <v>2.6193447411060333E-10</v>
      </c>
      <c r="CV110" s="8">
        <f t="shared" si="122"/>
        <v>2.6193447411060333E-10</v>
      </c>
      <c r="CW110" s="8">
        <f t="shared" si="122"/>
        <v>2.6193447411060333E-10</v>
      </c>
      <c r="CX110" s="8">
        <f t="shared" si="122"/>
        <v>2.6193447411060333E-10</v>
      </c>
      <c r="CY110" s="8">
        <f t="shared" si="122"/>
        <v>2.6193447411060333E-10</v>
      </c>
      <c r="CZ110" s="8">
        <f t="shared" si="122"/>
        <v>2.6193447411060333E-10</v>
      </c>
      <c r="DA110" s="8">
        <f t="shared" si="122"/>
        <v>2.6193447411060333E-10</v>
      </c>
      <c r="DB110" s="8"/>
      <c r="DC110" s="8"/>
    </row>
    <row r="111" spans="3:107" x14ac:dyDescent="0.4"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</row>
    <row r="112" spans="3:107" x14ac:dyDescent="0.4">
      <c r="D112" t="s">
        <v>209</v>
      </c>
      <c r="J112" s="8"/>
      <c r="K112" s="8">
        <f t="shared" ref="K112:AP112" si="123">K110*AVG_PRE_TAX_RATE</f>
        <v>355186.52289214596</v>
      </c>
      <c r="L112" s="8">
        <f t="shared" si="123"/>
        <v>344520.12185756071</v>
      </c>
      <c r="M112" s="8">
        <f t="shared" si="123"/>
        <v>332394.92662141222</v>
      </c>
      <c r="N112" s="8">
        <f t="shared" si="123"/>
        <v>320789.05614031292</v>
      </c>
      <c r="O112" s="8">
        <f t="shared" si="123"/>
        <v>309663.63581647596</v>
      </c>
      <c r="P112" s="8">
        <f t="shared" si="123"/>
        <v>298982.78140579053</v>
      </c>
      <c r="Q112" s="8">
        <f t="shared" si="123"/>
        <v>288713.10062554234</v>
      </c>
      <c r="R112" s="8">
        <f t="shared" si="123"/>
        <v>278823.6931544136</v>
      </c>
      <c r="S112" s="8">
        <f t="shared" si="123"/>
        <v>269146.6007942743</v>
      </c>
      <c r="T112" s="8">
        <f t="shared" si="123"/>
        <v>259499.91036317337</v>
      </c>
      <c r="U112" s="8">
        <f t="shared" si="123"/>
        <v>249853.21993207245</v>
      </c>
      <c r="V112" s="8">
        <f t="shared" si="123"/>
        <v>240206.52950097146</v>
      </c>
      <c r="W112" s="8">
        <f t="shared" si="123"/>
        <v>230559.83906987062</v>
      </c>
      <c r="X112" s="8">
        <f t="shared" si="123"/>
        <v>220913.14863876969</v>
      </c>
      <c r="Y112" s="8">
        <f t="shared" si="123"/>
        <v>211266.45820766871</v>
      </c>
      <c r="Z112" s="8">
        <f t="shared" si="123"/>
        <v>201619.76777656781</v>
      </c>
      <c r="AA112" s="8">
        <f t="shared" si="123"/>
        <v>191973.07734546688</v>
      </c>
      <c r="AB112" s="8">
        <f t="shared" si="123"/>
        <v>182326.38691436595</v>
      </c>
      <c r="AC112" s="8">
        <f t="shared" si="123"/>
        <v>172679.696483265</v>
      </c>
      <c r="AD112" s="8">
        <f t="shared" si="123"/>
        <v>163033.0060521641</v>
      </c>
      <c r="AE112" s="8">
        <f t="shared" si="123"/>
        <v>154498.22879622123</v>
      </c>
      <c r="AF112" s="8">
        <f t="shared" si="123"/>
        <v>148186.77949831524</v>
      </c>
      <c r="AG112" s="8">
        <f t="shared" si="123"/>
        <v>142987.24337556731</v>
      </c>
      <c r="AH112" s="8">
        <f t="shared" si="123"/>
        <v>137787.70725281941</v>
      </c>
      <c r="AI112" s="8">
        <f t="shared" si="123"/>
        <v>132588.17113007151</v>
      </c>
      <c r="AJ112" s="8">
        <f t="shared" si="123"/>
        <v>127388.63500732358</v>
      </c>
      <c r="AK112" s="8">
        <f t="shared" si="123"/>
        <v>122189.09888457569</v>
      </c>
      <c r="AL112" s="8">
        <f t="shared" si="123"/>
        <v>116989.56276182778</v>
      </c>
      <c r="AM112" s="8">
        <f t="shared" si="123"/>
        <v>111790.02663907988</v>
      </c>
      <c r="AN112" s="8">
        <f t="shared" si="123"/>
        <v>106590.49051633201</v>
      </c>
      <c r="AO112" s="8">
        <f t="shared" si="123"/>
        <v>101390.95439358412</v>
      </c>
      <c r="AP112" s="8">
        <f t="shared" si="123"/>
        <v>96191.41827083622</v>
      </c>
      <c r="AQ112" s="8">
        <f t="shared" ref="AQ112:BV112" si="124">AQ110*AVG_PRE_TAX_RATE</f>
        <v>90991.882148088334</v>
      </c>
      <c r="AR112" s="8">
        <f t="shared" si="124"/>
        <v>85792.346025340448</v>
      </c>
      <c r="AS112" s="8">
        <f t="shared" si="124"/>
        <v>80592.809902592548</v>
      </c>
      <c r="AT112" s="8">
        <f t="shared" si="124"/>
        <v>75393.273779844661</v>
      </c>
      <c r="AU112" s="8">
        <f t="shared" si="124"/>
        <v>70193.737657096775</v>
      </c>
      <c r="AV112" s="8">
        <f t="shared" si="124"/>
        <v>64994.201534348889</v>
      </c>
      <c r="AW112" s="8">
        <f t="shared" si="124"/>
        <v>59794.665411600996</v>
      </c>
      <c r="AX112" s="8">
        <f t="shared" si="124"/>
        <v>54595.12928885311</v>
      </c>
      <c r="AY112" s="8">
        <f t="shared" si="124"/>
        <v>49395.593166105216</v>
      </c>
      <c r="AZ112" s="8">
        <f t="shared" si="124"/>
        <v>44196.057043357338</v>
      </c>
      <c r="BA112" s="8">
        <f t="shared" si="124"/>
        <v>38996.520920609444</v>
      </c>
      <c r="BB112" s="8">
        <f t="shared" si="124"/>
        <v>33796.984797861558</v>
      </c>
      <c r="BC112" s="8">
        <f t="shared" si="124"/>
        <v>28597.448675113665</v>
      </c>
      <c r="BD112" s="8">
        <f t="shared" si="124"/>
        <v>23397.912552365775</v>
      </c>
      <c r="BE112" s="8">
        <f t="shared" si="124"/>
        <v>18198.376429617889</v>
      </c>
      <c r="BF112" s="8">
        <f t="shared" si="124"/>
        <v>12998.840306869997</v>
      </c>
      <c r="BG112" s="8">
        <f t="shared" si="124"/>
        <v>7799.3041841221084</v>
      </c>
      <c r="BH112" s="8">
        <f t="shared" si="124"/>
        <v>2599.7680613740931</v>
      </c>
      <c r="BI112" s="8">
        <f t="shared" si="124"/>
        <v>2.339074853807688E-11</v>
      </c>
      <c r="BJ112" s="8">
        <f t="shared" si="124"/>
        <v>2.339074853807688E-11</v>
      </c>
      <c r="BK112" s="8">
        <f t="shared" si="124"/>
        <v>2.339074853807688E-11</v>
      </c>
      <c r="BL112" s="8">
        <f t="shared" si="124"/>
        <v>2.339074853807688E-11</v>
      </c>
      <c r="BM112" s="8">
        <f t="shared" si="124"/>
        <v>2.339074853807688E-11</v>
      </c>
      <c r="BN112" s="8">
        <f t="shared" si="124"/>
        <v>2.339074853807688E-11</v>
      </c>
      <c r="BO112" s="8">
        <f t="shared" si="124"/>
        <v>2.339074853807688E-11</v>
      </c>
      <c r="BP112" s="8">
        <f t="shared" si="124"/>
        <v>2.339074853807688E-11</v>
      </c>
      <c r="BQ112" s="8">
        <f t="shared" si="124"/>
        <v>2.339074853807688E-11</v>
      </c>
      <c r="BR112" s="8">
        <f t="shared" si="124"/>
        <v>2.339074853807688E-11</v>
      </c>
      <c r="BS112" s="8">
        <f t="shared" si="124"/>
        <v>2.339074853807688E-11</v>
      </c>
      <c r="BT112" s="8">
        <f t="shared" si="124"/>
        <v>2.339074853807688E-11</v>
      </c>
      <c r="BU112" s="8">
        <f t="shared" si="124"/>
        <v>2.339074853807688E-11</v>
      </c>
      <c r="BV112" s="8">
        <f t="shared" si="124"/>
        <v>2.339074853807688E-11</v>
      </c>
      <c r="BW112" s="8">
        <f t="shared" ref="BW112:DA112" si="125">BW110*AVG_PRE_TAX_RATE</f>
        <v>2.339074853807688E-11</v>
      </c>
      <c r="BX112" s="8">
        <f t="shared" si="125"/>
        <v>2.339074853807688E-11</v>
      </c>
      <c r="BY112" s="8">
        <f t="shared" si="125"/>
        <v>2.339074853807688E-11</v>
      </c>
      <c r="BZ112" s="8">
        <f t="shared" si="125"/>
        <v>2.339074853807688E-11</v>
      </c>
      <c r="CA112" s="8">
        <f t="shared" si="125"/>
        <v>2.339074853807688E-11</v>
      </c>
      <c r="CB112" s="8">
        <f t="shared" si="125"/>
        <v>2.339074853807688E-11</v>
      </c>
      <c r="CC112" s="8">
        <f t="shared" si="125"/>
        <v>2.339074853807688E-11</v>
      </c>
      <c r="CD112" s="8">
        <f t="shared" si="125"/>
        <v>2.339074853807688E-11</v>
      </c>
      <c r="CE112" s="8">
        <f t="shared" si="125"/>
        <v>2.339074853807688E-11</v>
      </c>
      <c r="CF112" s="8">
        <f t="shared" si="125"/>
        <v>2.339074853807688E-11</v>
      </c>
      <c r="CG112" s="8">
        <f t="shared" si="125"/>
        <v>2.339074853807688E-11</v>
      </c>
      <c r="CH112" s="8">
        <f t="shared" si="125"/>
        <v>2.339074853807688E-11</v>
      </c>
      <c r="CI112" s="8">
        <f t="shared" si="125"/>
        <v>2.339074853807688E-11</v>
      </c>
      <c r="CJ112" s="8">
        <f t="shared" si="125"/>
        <v>2.339074853807688E-11</v>
      </c>
      <c r="CK112" s="8">
        <f t="shared" si="125"/>
        <v>2.339074853807688E-11</v>
      </c>
      <c r="CL112" s="8">
        <f t="shared" si="125"/>
        <v>2.339074853807688E-11</v>
      </c>
      <c r="CM112" s="8">
        <f t="shared" si="125"/>
        <v>2.339074853807688E-11</v>
      </c>
      <c r="CN112" s="8">
        <f t="shared" si="125"/>
        <v>2.339074853807688E-11</v>
      </c>
      <c r="CO112" s="8">
        <f t="shared" si="125"/>
        <v>2.339074853807688E-11</v>
      </c>
      <c r="CP112" s="8">
        <f t="shared" si="125"/>
        <v>2.339074853807688E-11</v>
      </c>
      <c r="CQ112" s="8">
        <f t="shared" si="125"/>
        <v>2.339074853807688E-11</v>
      </c>
      <c r="CR112" s="8">
        <f t="shared" si="125"/>
        <v>2.339074853807688E-11</v>
      </c>
      <c r="CS112" s="8">
        <f t="shared" si="125"/>
        <v>2.339074853807688E-11</v>
      </c>
      <c r="CT112" s="8">
        <f t="shared" si="125"/>
        <v>2.339074853807688E-11</v>
      </c>
      <c r="CU112" s="8">
        <f t="shared" si="125"/>
        <v>2.339074853807688E-11</v>
      </c>
      <c r="CV112" s="8">
        <f t="shared" si="125"/>
        <v>2.339074853807688E-11</v>
      </c>
      <c r="CW112" s="8">
        <f t="shared" si="125"/>
        <v>2.339074853807688E-11</v>
      </c>
      <c r="CX112" s="8">
        <f t="shared" si="125"/>
        <v>2.339074853807688E-11</v>
      </c>
      <c r="CY112" s="8">
        <f t="shared" si="125"/>
        <v>2.339074853807688E-11</v>
      </c>
      <c r="CZ112" s="8">
        <f t="shared" si="125"/>
        <v>2.339074853807688E-11</v>
      </c>
      <c r="DA112" s="8">
        <f t="shared" si="125"/>
        <v>2.339074853807688E-11</v>
      </c>
      <c r="DB112" s="8"/>
      <c r="DC112" s="8"/>
    </row>
    <row r="115" spans="3:108" x14ac:dyDescent="0.4">
      <c r="C115" s="58" t="str">
        <f>C98</f>
        <v>Investment year in service</v>
      </c>
      <c r="E115" t="str">
        <f>IF(E116&lt;$C116,"",E116-$C116)</f>
        <v/>
      </c>
      <c r="F115" t="str">
        <f>IF(F116&lt;$C116,"",F116-$C116)</f>
        <v/>
      </c>
      <c r="G115" t="str">
        <f t="shared" ref="G115:BR115" si="126">IF(G116&lt;$C116,"",G116-$C116)</f>
        <v/>
      </c>
      <c r="H115" t="str">
        <f t="shared" si="126"/>
        <v/>
      </c>
      <c r="I115" t="str">
        <f t="shared" si="126"/>
        <v/>
      </c>
      <c r="J115" t="str">
        <f t="shared" si="126"/>
        <v/>
      </c>
      <c r="K115">
        <f t="shared" si="126"/>
        <v>0</v>
      </c>
      <c r="L115">
        <f t="shared" si="126"/>
        <v>1</v>
      </c>
      <c r="M115">
        <f t="shared" si="126"/>
        <v>2</v>
      </c>
      <c r="N115">
        <f t="shared" si="126"/>
        <v>3</v>
      </c>
      <c r="O115">
        <f t="shared" si="126"/>
        <v>4</v>
      </c>
      <c r="P115">
        <f t="shared" si="126"/>
        <v>5</v>
      </c>
      <c r="Q115">
        <f t="shared" si="126"/>
        <v>6</v>
      </c>
      <c r="R115">
        <f t="shared" si="126"/>
        <v>7</v>
      </c>
      <c r="S115">
        <f t="shared" si="126"/>
        <v>8</v>
      </c>
      <c r="T115">
        <f t="shared" si="126"/>
        <v>9</v>
      </c>
      <c r="U115">
        <f t="shared" si="126"/>
        <v>10</v>
      </c>
      <c r="V115">
        <f t="shared" si="126"/>
        <v>11</v>
      </c>
      <c r="W115">
        <f t="shared" si="126"/>
        <v>12</v>
      </c>
      <c r="X115">
        <f t="shared" si="126"/>
        <v>13</v>
      </c>
      <c r="Y115">
        <f t="shared" si="126"/>
        <v>14</v>
      </c>
      <c r="Z115">
        <f t="shared" si="126"/>
        <v>15</v>
      </c>
      <c r="AA115">
        <f t="shared" si="126"/>
        <v>16</v>
      </c>
      <c r="AB115">
        <f t="shared" si="126"/>
        <v>17</v>
      </c>
      <c r="AC115">
        <f t="shared" si="126"/>
        <v>18</v>
      </c>
      <c r="AD115">
        <f t="shared" si="126"/>
        <v>19</v>
      </c>
      <c r="AE115">
        <f t="shared" si="126"/>
        <v>20</v>
      </c>
      <c r="AF115">
        <f t="shared" si="126"/>
        <v>21</v>
      </c>
      <c r="AG115">
        <f t="shared" si="126"/>
        <v>22</v>
      </c>
      <c r="AH115">
        <f t="shared" si="126"/>
        <v>23</v>
      </c>
      <c r="AI115">
        <f t="shared" si="126"/>
        <v>24</v>
      </c>
      <c r="AJ115">
        <f t="shared" si="126"/>
        <v>25</v>
      </c>
      <c r="AK115">
        <f t="shared" si="126"/>
        <v>26</v>
      </c>
      <c r="AL115">
        <f t="shared" si="126"/>
        <v>27</v>
      </c>
      <c r="AM115">
        <f t="shared" si="126"/>
        <v>28</v>
      </c>
      <c r="AN115">
        <f t="shared" si="126"/>
        <v>29</v>
      </c>
      <c r="AO115">
        <f t="shared" si="126"/>
        <v>30</v>
      </c>
      <c r="AP115">
        <f t="shared" si="126"/>
        <v>31</v>
      </c>
      <c r="AQ115">
        <f t="shared" si="126"/>
        <v>32</v>
      </c>
      <c r="AR115">
        <f t="shared" si="126"/>
        <v>33</v>
      </c>
      <c r="AS115">
        <f t="shared" si="126"/>
        <v>34</v>
      </c>
      <c r="AT115">
        <f t="shared" si="126"/>
        <v>35</v>
      </c>
      <c r="AU115">
        <f t="shared" si="126"/>
        <v>36</v>
      </c>
      <c r="AV115">
        <f t="shared" si="126"/>
        <v>37</v>
      </c>
      <c r="AW115">
        <f t="shared" si="126"/>
        <v>38</v>
      </c>
      <c r="AX115">
        <f t="shared" si="126"/>
        <v>39</v>
      </c>
      <c r="AY115">
        <f t="shared" si="126"/>
        <v>40</v>
      </c>
      <c r="AZ115">
        <f t="shared" si="126"/>
        <v>41</v>
      </c>
      <c r="BA115">
        <f t="shared" si="126"/>
        <v>42</v>
      </c>
      <c r="BB115">
        <f t="shared" si="126"/>
        <v>43</v>
      </c>
      <c r="BC115">
        <f t="shared" si="126"/>
        <v>44</v>
      </c>
      <c r="BD115">
        <f t="shared" si="126"/>
        <v>45</v>
      </c>
      <c r="BE115">
        <f t="shared" si="126"/>
        <v>46</v>
      </c>
      <c r="BF115">
        <f t="shared" si="126"/>
        <v>47</v>
      </c>
      <c r="BG115">
        <f t="shared" si="126"/>
        <v>48</v>
      </c>
      <c r="BH115">
        <f t="shared" si="126"/>
        <v>49</v>
      </c>
      <c r="BI115">
        <f t="shared" si="126"/>
        <v>50</v>
      </c>
      <c r="BJ115">
        <f t="shared" si="126"/>
        <v>51</v>
      </c>
      <c r="BK115">
        <f t="shared" si="126"/>
        <v>52</v>
      </c>
      <c r="BL115">
        <f t="shared" si="126"/>
        <v>53</v>
      </c>
      <c r="BM115">
        <f t="shared" si="126"/>
        <v>54</v>
      </c>
      <c r="BN115">
        <f t="shared" si="126"/>
        <v>55</v>
      </c>
      <c r="BO115">
        <f t="shared" si="126"/>
        <v>56</v>
      </c>
      <c r="BP115">
        <f t="shared" si="126"/>
        <v>57</v>
      </c>
      <c r="BQ115">
        <f t="shared" si="126"/>
        <v>58</v>
      </c>
      <c r="BR115">
        <f t="shared" si="126"/>
        <v>59</v>
      </c>
      <c r="BS115">
        <f t="shared" ref="BS115:DA115" si="127">IF(BS116&lt;$C116,"",BS116-$C116)</f>
        <v>60</v>
      </c>
      <c r="BT115">
        <f t="shared" si="127"/>
        <v>61</v>
      </c>
      <c r="BU115">
        <f t="shared" si="127"/>
        <v>62</v>
      </c>
      <c r="BV115">
        <f t="shared" si="127"/>
        <v>63</v>
      </c>
      <c r="BW115">
        <f t="shared" si="127"/>
        <v>64</v>
      </c>
      <c r="BX115">
        <f t="shared" si="127"/>
        <v>65</v>
      </c>
      <c r="BY115">
        <f t="shared" si="127"/>
        <v>66</v>
      </c>
      <c r="BZ115">
        <f t="shared" si="127"/>
        <v>67</v>
      </c>
      <c r="CA115">
        <f t="shared" si="127"/>
        <v>68</v>
      </c>
      <c r="CB115">
        <f t="shared" si="127"/>
        <v>69</v>
      </c>
      <c r="CC115">
        <f t="shared" si="127"/>
        <v>70</v>
      </c>
      <c r="CD115">
        <f t="shared" si="127"/>
        <v>71</v>
      </c>
      <c r="CE115">
        <f t="shared" si="127"/>
        <v>72</v>
      </c>
      <c r="CF115">
        <f t="shared" si="127"/>
        <v>73</v>
      </c>
      <c r="CG115">
        <f t="shared" si="127"/>
        <v>74</v>
      </c>
      <c r="CH115">
        <f t="shared" si="127"/>
        <v>75</v>
      </c>
      <c r="CI115">
        <f t="shared" si="127"/>
        <v>76</v>
      </c>
      <c r="CJ115">
        <f t="shared" si="127"/>
        <v>77</v>
      </c>
      <c r="CK115">
        <f t="shared" si="127"/>
        <v>78</v>
      </c>
      <c r="CL115">
        <f t="shared" si="127"/>
        <v>79</v>
      </c>
      <c r="CM115">
        <f t="shared" si="127"/>
        <v>80</v>
      </c>
      <c r="CN115">
        <f t="shared" si="127"/>
        <v>81</v>
      </c>
      <c r="CO115">
        <f t="shared" si="127"/>
        <v>82</v>
      </c>
      <c r="CP115">
        <f t="shared" si="127"/>
        <v>83</v>
      </c>
      <c r="CQ115">
        <f t="shared" si="127"/>
        <v>84</v>
      </c>
      <c r="CR115">
        <f t="shared" si="127"/>
        <v>85</v>
      </c>
      <c r="CS115">
        <f t="shared" si="127"/>
        <v>86</v>
      </c>
      <c r="CT115">
        <f t="shared" si="127"/>
        <v>87</v>
      </c>
      <c r="CU115">
        <f t="shared" si="127"/>
        <v>88</v>
      </c>
      <c r="CV115">
        <f t="shared" si="127"/>
        <v>89</v>
      </c>
      <c r="CW115">
        <f t="shared" si="127"/>
        <v>90</v>
      </c>
      <c r="CX115">
        <f t="shared" si="127"/>
        <v>91</v>
      </c>
      <c r="CY115">
        <f t="shared" si="127"/>
        <v>92</v>
      </c>
      <c r="CZ115">
        <f t="shared" si="127"/>
        <v>93</v>
      </c>
      <c r="DA115">
        <f t="shared" si="127"/>
        <v>94</v>
      </c>
    </row>
    <row r="116" spans="3:108" x14ac:dyDescent="0.4">
      <c r="C116">
        <f>C99+1</f>
        <v>2033</v>
      </c>
      <c r="D116" s="5" t="s">
        <v>434</v>
      </c>
      <c r="E116" s="5">
        <v>2027</v>
      </c>
      <c r="F116" s="5">
        <v>2028</v>
      </c>
      <c r="G116" s="5">
        <v>2029</v>
      </c>
      <c r="H116" s="5">
        <v>2030</v>
      </c>
      <c r="I116" s="5">
        <v>2031</v>
      </c>
      <c r="J116" s="5">
        <v>2032</v>
      </c>
      <c r="K116" s="5">
        <v>2033</v>
      </c>
      <c r="L116" s="5">
        <v>2034</v>
      </c>
      <c r="M116" s="5">
        <v>2035</v>
      </c>
      <c r="N116" s="5">
        <v>2036</v>
      </c>
      <c r="O116" s="5">
        <v>2037</v>
      </c>
      <c r="P116" s="5">
        <v>2038</v>
      </c>
      <c r="Q116" s="5">
        <v>2039</v>
      </c>
      <c r="R116" s="5">
        <v>2040</v>
      </c>
      <c r="S116" s="5">
        <v>2041</v>
      </c>
      <c r="T116" s="5">
        <v>2042</v>
      </c>
      <c r="U116" s="5">
        <v>2043</v>
      </c>
      <c r="V116" s="5">
        <v>2044</v>
      </c>
      <c r="W116" s="5">
        <v>2045</v>
      </c>
      <c r="X116" s="5">
        <v>2046</v>
      </c>
      <c r="Y116" s="5">
        <v>2047</v>
      </c>
      <c r="Z116" s="5">
        <v>2048</v>
      </c>
      <c r="AA116" s="5">
        <v>2049</v>
      </c>
      <c r="AB116" s="5">
        <v>2050</v>
      </c>
      <c r="AC116" s="5">
        <v>2051</v>
      </c>
      <c r="AD116" s="5">
        <v>2052</v>
      </c>
      <c r="AE116" s="5">
        <v>2053</v>
      </c>
      <c r="AF116" s="5">
        <v>2054</v>
      </c>
      <c r="AG116" s="5">
        <v>2055</v>
      </c>
      <c r="AH116" s="5">
        <v>2056</v>
      </c>
      <c r="AI116" s="5">
        <v>2057</v>
      </c>
      <c r="AJ116" s="5">
        <v>2058</v>
      </c>
      <c r="AK116" s="5">
        <v>2059</v>
      </c>
      <c r="AL116" s="5">
        <v>2060</v>
      </c>
      <c r="AM116" s="5">
        <v>2061</v>
      </c>
      <c r="AN116" s="5">
        <v>2062</v>
      </c>
      <c r="AO116" s="5">
        <v>2063</v>
      </c>
      <c r="AP116" s="5">
        <v>2064</v>
      </c>
      <c r="AQ116" s="5">
        <v>2065</v>
      </c>
      <c r="AR116" s="5">
        <v>2066</v>
      </c>
      <c r="AS116" s="5">
        <v>2067</v>
      </c>
      <c r="AT116" s="5">
        <v>2068</v>
      </c>
      <c r="AU116" s="5">
        <v>2069</v>
      </c>
      <c r="AV116" s="5">
        <v>2070</v>
      </c>
      <c r="AW116" s="5">
        <v>2071</v>
      </c>
      <c r="AX116" s="5">
        <v>2072</v>
      </c>
      <c r="AY116" s="5">
        <v>2073</v>
      </c>
      <c r="AZ116" s="5">
        <v>2074</v>
      </c>
      <c r="BA116" s="5">
        <v>2075</v>
      </c>
      <c r="BB116" s="5">
        <v>2076</v>
      </c>
      <c r="BC116" s="5">
        <v>2077</v>
      </c>
      <c r="BD116" s="5">
        <v>2078</v>
      </c>
      <c r="BE116" s="5">
        <v>2079</v>
      </c>
      <c r="BF116" s="5">
        <v>2080</v>
      </c>
      <c r="BG116" s="5">
        <v>2081</v>
      </c>
      <c r="BH116" s="5">
        <v>2082</v>
      </c>
      <c r="BI116" s="5">
        <v>2083</v>
      </c>
      <c r="BJ116" s="5">
        <v>2084</v>
      </c>
      <c r="BK116" s="5">
        <v>2085</v>
      </c>
      <c r="BL116" s="5">
        <v>2086</v>
      </c>
      <c r="BM116" s="5">
        <v>2087</v>
      </c>
      <c r="BN116" s="5">
        <v>2088</v>
      </c>
      <c r="BO116" s="5">
        <v>2089</v>
      </c>
      <c r="BP116" s="5">
        <v>2090</v>
      </c>
      <c r="BQ116" s="5">
        <v>2091</v>
      </c>
      <c r="BR116" s="5">
        <v>2092</v>
      </c>
      <c r="BS116" s="5">
        <v>2093</v>
      </c>
      <c r="BT116" s="5">
        <v>2094</v>
      </c>
      <c r="BU116" s="5">
        <v>2095</v>
      </c>
      <c r="BV116" s="5">
        <v>2096</v>
      </c>
      <c r="BW116" s="5">
        <v>2097</v>
      </c>
      <c r="BX116" s="5">
        <v>2098</v>
      </c>
      <c r="BY116" s="5">
        <v>2099</v>
      </c>
      <c r="BZ116" s="5">
        <v>2100</v>
      </c>
      <c r="CA116" s="5">
        <v>2101</v>
      </c>
      <c r="CB116" s="5">
        <v>2102</v>
      </c>
      <c r="CC116" s="5">
        <v>2103</v>
      </c>
      <c r="CD116" s="5">
        <v>2104</v>
      </c>
      <c r="CE116" s="5">
        <v>2105</v>
      </c>
      <c r="CF116" s="5">
        <v>2106</v>
      </c>
      <c r="CG116" s="5">
        <v>2107</v>
      </c>
      <c r="CH116" s="5">
        <v>2108</v>
      </c>
      <c r="CI116" s="5">
        <v>2109</v>
      </c>
      <c r="CJ116" s="5">
        <v>2110</v>
      </c>
      <c r="CK116" s="5">
        <v>2111</v>
      </c>
      <c r="CL116" s="5">
        <v>2112</v>
      </c>
      <c r="CM116" s="5">
        <v>2113</v>
      </c>
      <c r="CN116" s="5">
        <v>2114</v>
      </c>
      <c r="CO116" s="5">
        <v>2115</v>
      </c>
      <c r="CP116" s="5">
        <v>2116</v>
      </c>
      <c r="CQ116" s="5">
        <v>2117</v>
      </c>
      <c r="CR116" s="5">
        <v>2118</v>
      </c>
      <c r="CS116" s="5">
        <v>2119</v>
      </c>
      <c r="CT116" s="5">
        <v>2120</v>
      </c>
      <c r="CU116" s="5">
        <v>2121</v>
      </c>
      <c r="CV116" s="5">
        <v>2122</v>
      </c>
      <c r="CW116" s="5">
        <v>2123</v>
      </c>
      <c r="CX116" s="5">
        <v>2124</v>
      </c>
      <c r="CY116" s="5">
        <v>2125</v>
      </c>
      <c r="CZ116" s="5">
        <v>2126</v>
      </c>
      <c r="DA116" s="5">
        <v>2127</v>
      </c>
    </row>
    <row r="117" spans="3:108" x14ac:dyDescent="0.4">
      <c r="D117" t="s">
        <v>207</v>
      </c>
      <c r="L117" s="8">
        <f>IF(L$13&lt;=$B$3,L118/$B$3,0)</f>
        <v>82321.98830122799</v>
      </c>
      <c r="M117" s="8">
        <f>IF(M115&lt;=$B$3,L117,0)</f>
        <v>82321.98830122799</v>
      </c>
      <c r="N117" s="8">
        <f t="shared" ref="N117:BY117" si="128">IF(N115&lt;=$B$3,M117,0)</f>
        <v>82321.98830122799</v>
      </c>
      <c r="O117" s="8">
        <f t="shared" si="128"/>
        <v>82321.98830122799</v>
      </c>
      <c r="P117" s="8">
        <f t="shared" si="128"/>
        <v>82321.98830122799</v>
      </c>
      <c r="Q117" s="8">
        <f t="shared" si="128"/>
        <v>82321.98830122799</v>
      </c>
      <c r="R117" s="8">
        <f t="shared" si="128"/>
        <v>82321.98830122799</v>
      </c>
      <c r="S117" s="8">
        <f t="shared" si="128"/>
        <v>82321.98830122799</v>
      </c>
      <c r="T117" s="8">
        <f t="shared" si="128"/>
        <v>82321.98830122799</v>
      </c>
      <c r="U117" s="8">
        <f t="shared" si="128"/>
        <v>82321.98830122799</v>
      </c>
      <c r="V117" s="8">
        <f t="shared" si="128"/>
        <v>82321.98830122799</v>
      </c>
      <c r="W117" s="8">
        <f t="shared" si="128"/>
        <v>82321.98830122799</v>
      </c>
      <c r="X117" s="8">
        <f t="shared" si="128"/>
        <v>82321.98830122799</v>
      </c>
      <c r="Y117" s="8">
        <f t="shared" si="128"/>
        <v>82321.98830122799</v>
      </c>
      <c r="Z117" s="8">
        <f t="shared" si="128"/>
        <v>82321.98830122799</v>
      </c>
      <c r="AA117" s="8">
        <f t="shared" si="128"/>
        <v>82321.98830122799</v>
      </c>
      <c r="AB117" s="8">
        <f t="shared" si="128"/>
        <v>82321.98830122799</v>
      </c>
      <c r="AC117" s="8">
        <f t="shared" si="128"/>
        <v>82321.98830122799</v>
      </c>
      <c r="AD117" s="8">
        <f t="shared" si="128"/>
        <v>82321.98830122799</v>
      </c>
      <c r="AE117" s="8">
        <f t="shared" si="128"/>
        <v>82321.98830122799</v>
      </c>
      <c r="AF117" s="8">
        <f t="shared" si="128"/>
        <v>82321.98830122799</v>
      </c>
      <c r="AG117" s="8">
        <f t="shared" si="128"/>
        <v>82321.98830122799</v>
      </c>
      <c r="AH117" s="8">
        <f t="shared" si="128"/>
        <v>82321.98830122799</v>
      </c>
      <c r="AI117" s="8">
        <f t="shared" si="128"/>
        <v>82321.98830122799</v>
      </c>
      <c r="AJ117" s="8">
        <f t="shared" si="128"/>
        <v>82321.98830122799</v>
      </c>
      <c r="AK117" s="8">
        <f t="shared" si="128"/>
        <v>82321.98830122799</v>
      </c>
      <c r="AL117" s="8">
        <f t="shared" si="128"/>
        <v>82321.98830122799</v>
      </c>
      <c r="AM117" s="8">
        <f t="shared" si="128"/>
        <v>82321.98830122799</v>
      </c>
      <c r="AN117" s="8">
        <f t="shared" si="128"/>
        <v>82321.98830122799</v>
      </c>
      <c r="AO117" s="8">
        <f t="shared" si="128"/>
        <v>82321.98830122799</v>
      </c>
      <c r="AP117" s="8">
        <f t="shared" si="128"/>
        <v>82321.98830122799</v>
      </c>
      <c r="AQ117" s="8">
        <f t="shared" si="128"/>
        <v>82321.98830122799</v>
      </c>
      <c r="AR117" s="8">
        <f t="shared" si="128"/>
        <v>82321.98830122799</v>
      </c>
      <c r="AS117" s="8">
        <f t="shared" si="128"/>
        <v>82321.98830122799</v>
      </c>
      <c r="AT117" s="8">
        <f t="shared" si="128"/>
        <v>82321.98830122799</v>
      </c>
      <c r="AU117" s="8">
        <f t="shared" si="128"/>
        <v>82321.98830122799</v>
      </c>
      <c r="AV117" s="8">
        <f t="shared" si="128"/>
        <v>82321.98830122799</v>
      </c>
      <c r="AW117" s="8">
        <f t="shared" si="128"/>
        <v>82321.98830122799</v>
      </c>
      <c r="AX117" s="8">
        <f t="shared" si="128"/>
        <v>82321.98830122799</v>
      </c>
      <c r="AY117" s="8">
        <f t="shared" si="128"/>
        <v>82321.98830122799</v>
      </c>
      <c r="AZ117" s="8">
        <f t="shared" si="128"/>
        <v>82321.98830122799</v>
      </c>
      <c r="BA117" s="8">
        <f t="shared" si="128"/>
        <v>82321.98830122799</v>
      </c>
      <c r="BB117" s="8">
        <f t="shared" si="128"/>
        <v>82321.98830122799</v>
      </c>
      <c r="BC117" s="8">
        <f t="shared" si="128"/>
        <v>82321.98830122799</v>
      </c>
      <c r="BD117" s="8">
        <f t="shared" si="128"/>
        <v>82321.98830122799</v>
      </c>
      <c r="BE117" s="8">
        <f t="shared" si="128"/>
        <v>82321.98830122799</v>
      </c>
      <c r="BF117" s="8">
        <f t="shared" si="128"/>
        <v>82321.98830122799</v>
      </c>
      <c r="BG117" s="8">
        <f t="shared" si="128"/>
        <v>82321.98830122799</v>
      </c>
      <c r="BH117" s="8">
        <f t="shared" si="128"/>
        <v>82321.98830122799</v>
      </c>
      <c r="BI117" s="8">
        <f t="shared" si="128"/>
        <v>82321.98830122799</v>
      </c>
      <c r="BJ117" s="8">
        <f t="shared" si="128"/>
        <v>0</v>
      </c>
      <c r="BK117" s="8">
        <f t="shared" si="128"/>
        <v>0</v>
      </c>
      <c r="BL117" s="8">
        <f t="shared" si="128"/>
        <v>0</v>
      </c>
      <c r="BM117" s="8">
        <f t="shared" si="128"/>
        <v>0</v>
      </c>
      <c r="BN117" s="8">
        <f t="shared" si="128"/>
        <v>0</v>
      </c>
      <c r="BO117" s="8">
        <f t="shared" si="128"/>
        <v>0</v>
      </c>
      <c r="BP117" s="8">
        <f t="shared" si="128"/>
        <v>0</v>
      </c>
      <c r="BQ117" s="8">
        <f t="shared" si="128"/>
        <v>0</v>
      </c>
      <c r="BR117" s="8">
        <f t="shared" si="128"/>
        <v>0</v>
      </c>
      <c r="BS117" s="8">
        <f t="shared" si="128"/>
        <v>0</v>
      </c>
      <c r="BT117" s="8">
        <f t="shared" si="128"/>
        <v>0</v>
      </c>
      <c r="BU117" s="8">
        <f t="shared" si="128"/>
        <v>0</v>
      </c>
      <c r="BV117" s="8">
        <f t="shared" si="128"/>
        <v>0</v>
      </c>
      <c r="BW117" s="8">
        <f t="shared" si="128"/>
        <v>0</v>
      </c>
      <c r="BX117" s="8">
        <f t="shared" si="128"/>
        <v>0</v>
      </c>
      <c r="BY117" s="8">
        <f t="shared" si="128"/>
        <v>0</v>
      </c>
      <c r="BZ117" s="8">
        <f t="shared" ref="BZ117:DA117" si="129">IF(BZ115&lt;=$B$3,BY117,0)</f>
        <v>0</v>
      </c>
      <c r="CA117" s="8">
        <f t="shared" si="129"/>
        <v>0</v>
      </c>
      <c r="CB117" s="8">
        <f t="shared" si="129"/>
        <v>0</v>
      </c>
      <c r="CC117" s="8">
        <f t="shared" si="129"/>
        <v>0</v>
      </c>
      <c r="CD117" s="8">
        <f t="shared" si="129"/>
        <v>0</v>
      </c>
      <c r="CE117" s="8">
        <f t="shared" si="129"/>
        <v>0</v>
      </c>
      <c r="CF117" s="8">
        <f t="shared" si="129"/>
        <v>0</v>
      </c>
      <c r="CG117" s="8">
        <f t="shared" si="129"/>
        <v>0</v>
      </c>
      <c r="CH117" s="8">
        <f t="shared" si="129"/>
        <v>0</v>
      </c>
      <c r="CI117" s="8">
        <f t="shared" si="129"/>
        <v>0</v>
      </c>
      <c r="CJ117" s="8">
        <f t="shared" si="129"/>
        <v>0</v>
      </c>
      <c r="CK117" s="8">
        <f t="shared" si="129"/>
        <v>0</v>
      </c>
      <c r="CL117" s="8">
        <f t="shared" si="129"/>
        <v>0</v>
      </c>
      <c r="CM117" s="8">
        <f t="shared" si="129"/>
        <v>0</v>
      </c>
      <c r="CN117" s="8">
        <f t="shared" si="129"/>
        <v>0</v>
      </c>
      <c r="CO117" s="8">
        <f t="shared" si="129"/>
        <v>0</v>
      </c>
      <c r="CP117" s="8">
        <f t="shared" si="129"/>
        <v>0</v>
      </c>
      <c r="CQ117" s="8">
        <f t="shared" si="129"/>
        <v>0</v>
      </c>
      <c r="CR117" s="8">
        <f t="shared" si="129"/>
        <v>0</v>
      </c>
      <c r="CS117" s="8">
        <f t="shared" si="129"/>
        <v>0</v>
      </c>
      <c r="CT117" s="8">
        <f t="shared" si="129"/>
        <v>0</v>
      </c>
      <c r="CU117" s="8">
        <f t="shared" si="129"/>
        <v>0</v>
      </c>
      <c r="CV117" s="8">
        <f t="shared" si="129"/>
        <v>0</v>
      </c>
      <c r="CW117" s="8">
        <f t="shared" si="129"/>
        <v>0</v>
      </c>
      <c r="CX117" s="8">
        <f t="shared" si="129"/>
        <v>0</v>
      </c>
      <c r="CY117" s="8">
        <f t="shared" si="129"/>
        <v>0</v>
      </c>
      <c r="CZ117" s="8">
        <f t="shared" si="129"/>
        <v>0</v>
      </c>
      <c r="DA117" s="8">
        <f t="shared" si="129"/>
        <v>0</v>
      </c>
      <c r="DB117" s="8"/>
      <c r="DC117" s="8"/>
      <c r="DD117" s="8"/>
    </row>
    <row r="118" spans="3:108" x14ac:dyDescent="0.4">
      <c r="D118" t="s">
        <v>154</v>
      </c>
      <c r="K118" s="8">
        <f>HLOOKUP(L116,$F$3:$O$10,7,0)</f>
        <v>4116099.4150613993</v>
      </c>
      <c r="L118" s="8">
        <f>IF(ROUND(K119,4)=-ROUND(K118,4),0,K118)</f>
        <v>4116099.4150613993</v>
      </c>
      <c r="M118" s="8">
        <f t="shared" ref="M118:BX118" si="130">IF(ROUND(L119,4)=-ROUND(L118,4),0,L118)</f>
        <v>4116099.4150613993</v>
      </c>
      <c r="N118" s="8">
        <f t="shared" si="130"/>
        <v>4116099.4150613993</v>
      </c>
      <c r="O118" s="8">
        <f t="shared" si="130"/>
        <v>4116099.4150613993</v>
      </c>
      <c r="P118" s="8">
        <f t="shared" si="130"/>
        <v>4116099.4150613993</v>
      </c>
      <c r="Q118" s="8">
        <f t="shared" si="130"/>
        <v>4116099.4150613993</v>
      </c>
      <c r="R118" s="8">
        <f t="shared" si="130"/>
        <v>4116099.4150613993</v>
      </c>
      <c r="S118" s="8">
        <f t="shared" si="130"/>
        <v>4116099.4150613993</v>
      </c>
      <c r="T118" s="8">
        <f t="shared" si="130"/>
        <v>4116099.4150613993</v>
      </c>
      <c r="U118" s="8">
        <f t="shared" si="130"/>
        <v>4116099.4150613993</v>
      </c>
      <c r="V118" s="8">
        <f t="shared" si="130"/>
        <v>4116099.4150613993</v>
      </c>
      <c r="W118" s="8">
        <f t="shared" si="130"/>
        <v>4116099.4150613993</v>
      </c>
      <c r="X118" s="8">
        <f t="shared" si="130"/>
        <v>4116099.4150613993</v>
      </c>
      <c r="Y118" s="8">
        <f t="shared" si="130"/>
        <v>4116099.4150613993</v>
      </c>
      <c r="Z118" s="8">
        <f t="shared" si="130"/>
        <v>4116099.4150613993</v>
      </c>
      <c r="AA118" s="8">
        <f t="shared" si="130"/>
        <v>4116099.4150613993</v>
      </c>
      <c r="AB118" s="8">
        <f t="shared" si="130"/>
        <v>4116099.4150613993</v>
      </c>
      <c r="AC118" s="8">
        <f t="shared" si="130"/>
        <v>4116099.4150613993</v>
      </c>
      <c r="AD118" s="8">
        <f t="shared" si="130"/>
        <v>4116099.4150613993</v>
      </c>
      <c r="AE118" s="8">
        <f t="shared" si="130"/>
        <v>4116099.4150613993</v>
      </c>
      <c r="AF118" s="8">
        <f t="shared" si="130"/>
        <v>4116099.4150613993</v>
      </c>
      <c r="AG118" s="8">
        <f t="shared" si="130"/>
        <v>4116099.4150613993</v>
      </c>
      <c r="AH118" s="8">
        <f t="shared" si="130"/>
        <v>4116099.4150613993</v>
      </c>
      <c r="AI118" s="8">
        <f t="shared" si="130"/>
        <v>4116099.4150613993</v>
      </c>
      <c r="AJ118" s="8">
        <f t="shared" si="130"/>
        <v>4116099.4150613993</v>
      </c>
      <c r="AK118" s="8">
        <f t="shared" si="130"/>
        <v>4116099.4150613993</v>
      </c>
      <c r="AL118" s="8">
        <f t="shared" si="130"/>
        <v>4116099.4150613993</v>
      </c>
      <c r="AM118" s="8">
        <f t="shared" si="130"/>
        <v>4116099.4150613993</v>
      </c>
      <c r="AN118" s="8">
        <f t="shared" si="130"/>
        <v>4116099.4150613993</v>
      </c>
      <c r="AO118" s="8">
        <f t="shared" si="130"/>
        <v>4116099.4150613993</v>
      </c>
      <c r="AP118" s="8">
        <f t="shared" si="130"/>
        <v>4116099.4150613993</v>
      </c>
      <c r="AQ118" s="8">
        <f t="shared" si="130"/>
        <v>4116099.4150613993</v>
      </c>
      <c r="AR118" s="8">
        <f t="shared" si="130"/>
        <v>4116099.4150613993</v>
      </c>
      <c r="AS118" s="8">
        <f t="shared" si="130"/>
        <v>4116099.4150613993</v>
      </c>
      <c r="AT118" s="8">
        <f t="shared" si="130"/>
        <v>4116099.4150613993</v>
      </c>
      <c r="AU118" s="8">
        <f t="shared" si="130"/>
        <v>4116099.4150613993</v>
      </c>
      <c r="AV118" s="8">
        <f t="shared" si="130"/>
        <v>4116099.4150613993</v>
      </c>
      <c r="AW118" s="8">
        <f t="shared" si="130"/>
        <v>4116099.4150613993</v>
      </c>
      <c r="AX118" s="8">
        <f t="shared" si="130"/>
        <v>4116099.4150613993</v>
      </c>
      <c r="AY118" s="8">
        <f t="shared" si="130"/>
        <v>4116099.4150613993</v>
      </c>
      <c r="AZ118" s="8">
        <f t="shared" si="130"/>
        <v>4116099.4150613993</v>
      </c>
      <c r="BA118" s="8">
        <f t="shared" si="130"/>
        <v>4116099.4150613993</v>
      </c>
      <c r="BB118" s="8">
        <f t="shared" si="130"/>
        <v>4116099.4150613993</v>
      </c>
      <c r="BC118" s="8">
        <f t="shared" si="130"/>
        <v>4116099.4150613993</v>
      </c>
      <c r="BD118" s="8">
        <f t="shared" si="130"/>
        <v>4116099.4150613993</v>
      </c>
      <c r="BE118" s="8">
        <f t="shared" si="130"/>
        <v>4116099.4150613993</v>
      </c>
      <c r="BF118" s="8">
        <f t="shared" si="130"/>
        <v>4116099.4150613993</v>
      </c>
      <c r="BG118" s="8">
        <f t="shared" si="130"/>
        <v>4116099.4150613993</v>
      </c>
      <c r="BH118" s="8">
        <f t="shared" si="130"/>
        <v>4116099.4150613993</v>
      </c>
      <c r="BI118" s="8">
        <f t="shared" si="130"/>
        <v>4116099.4150613993</v>
      </c>
      <c r="BJ118" s="8">
        <f t="shared" si="130"/>
        <v>0</v>
      </c>
      <c r="BK118" s="8">
        <f t="shared" si="130"/>
        <v>0</v>
      </c>
      <c r="BL118" s="8">
        <f t="shared" si="130"/>
        <v>0</v>
      </c>
      <c r="BM118" s="8">
        <f t="shared" si="130"/>
        <v>0</v>
      </c>
      <c r="BN118" s="8">
        <f t="shared" si="130"/>
        <v>0</v>
      </c>
      <c r="BO118" s="8">
        <f t="shared" si="130"/>
        <v>0</v>
      </c>
      <c r="BP118" s="8">
        <f t="shared" si="130"/>
        <v>0</v>
      </c>
      <c r="BQ118" s="8">
        <f t="shared" si="130"/>
        <v>0</v>
      </c>
      <c r="BR118" s="8">
        <f t="shared" si="130"/>
        <v>0</v>
      </c>
      <c r="BS118" s="8">
        <f t="shared" si="130"/>
        <v>0</v>
      </c>
      <c r="BT118" s="8">
        <f t="shared" si="130"/>
        <v>0</v>
      </c>
      <c r="BU118" s="8">
        <f t="shared" si="130"/>
        <v>0</v>
      </c>
      <c r="BV118" s="8">
        <f t="shared" si="130"/>
        <v>0</v>
      </c>
      <c r="BW118" s="8">
        <f t="shared" si="130"/>
        <v>0</v>
      </c>
      <c r="BX118" s="8">
        <f t="shared" si="130"/>
        <v>0</v>
      </c>
      <c r="BY118" s="8">
        <f t="shared" ref="BY118:DA118" si="131">IF(ROUND(BX119,4)=-ROUND(BX118,4),0,BX118)</f>
        <v>0</v>
      </c>
      <c r="BZ118" s="8">
        <f t="shared" si="131"/>
        <v>0</v>
      </c>
      <c r="CA118" s="8">
        <f t="shared" si="131"/>
        <v>0</v>
      </c>
      <c r="CB118" s="8">
        <f t="shared" si="131"/>
        <v>0</v>
      </c>
      <c r="CC118" s="8">
        <f t="shared" si="131"/>
        <v>0</v>
      </c>
      <c r="CD118" s="8">
        <f t="shared" si="131"/>
        <v>0</v>
      </c>
      <c r="CE118" s="8">
        <f t="shared" si="131"/>
        <v>0</v>
      </c>
      <c r="CF118" s="8">
        <f t="shared" si="131"/>
        <v>0</v>
      </c>
      <c r="CG118" s="8">
        <f t="shared" si="131"/>
        <v>0</v>
      </c>
      <c r="CH118" s="8">
        <f t="shared" si="131"/>
        <v>0</v>
      </c>
      <c r="CI118" s="8">
        <f t="shared" si="131"/>
        <v>0</v>
      </c>
      <c r="CJ118" s="8">
        <f t="shared" si="131"/>
        <v>0</v>
      </c>
      <c r="CK118" s="8">
        <f t="shared" si="131"/>
        <v>0</v>
      </c>
      <c r="CL118" s="8">
        <f t="shared" si="131"/>
        <v>0</v>
      </c>
      <c r="CM118" s="8">
        <f t="shared" si="131"/>
        <v>0</v>
      </c>
      <c r="CN118" s="8">
        <f t="shared" si="131"/>
        <v>0</v>
      </c>
      <c r="CO118" s="8">
        <f t="shared" si="131"/>
        <v>0</v>
      </c>
      <c r="CP118" s="8">
        <f t="shared" si="131"/>
        <v>0</v>
      </c>
      <c r="CQ118" s="8">
        <f t="shared" si="131"/>
        <v>0</v>
      </c>
      <c r="CR118" s="8">
        <f t="shared" si="131"/>
        <v>0</v>
      </c>
      <c r="CS118" s="8">
        <f t="shared" si="131"/>
        <v>0</v>
      </c>
      <c r="CT118" s="8">
        <f t="shared" si="131"/>
        <v>0</v>
      </c>
      <c r="CU118" s="8">
        <f t="shared" si="131"/>
        <v>0</v>
      </c>
      <c r="CV118" s="8">
        <f t="shared" si="131"/>
        <v>0</v>
      </c>
      <c r="CW118" s="8">
        <f t="shared" si="131"/>
        <v>0</v>
      </c>
      <c r="CX118" s="8">
        <f t="shared" si="131"/>
        <v>0</v>
      </c>
      <c r="CY118" s="8">
        <f t="shared" si="131"/>
        <v>0</v>
      </c>
      <c r="CZ118" s="8">
        <f t="shared" si="131"/>
        <v>0</v>
      </c>
      <c r="DA118" s="8">
        <f t="shared" si="131"/>
        <v>0</v>
      </c>
      <c r="DB118" s="8"/>
      <c r="DC118" s="8"/>
      <c r="DD118" s="8"/>
    </row>
    <row r="119" spans="3:108" x14ac:dyDescent="0.4">
      <c r="D119" t="s">
        <v>208</v>
      </c>
      <c r="K119" s="8"/>
      <c r="L119" s="8">
        <f>IF(L115&lt;=$B$3,-SUM($E117:L117),0)</f>
        <v>-82321.98830122799</v>
      </c>
      <c r="M119" s="8">
        <f>IF(M115&lt;=$B$3,-SUM($E117:M117),0)</f>
        <v>-164643.97660245598</v>
      </c>
      <c r="N119" s="8">
        <f>IF(N115&lt;=$B$3,-SUM($E117:N117),0)</f>
        <v>-246965.96490368398</v>
      </c>
      <c r="O119" s="8">
        <f>IF(O115&lt;=$B$3,-SUM($E117:O117),0)</f>
        <v>-329287.95320491196</v>
      </c>
      <c r="P119" s="8">
        <f>IF(P115&lt;=$B$3,-SUM($E117:P117),0)</f>
        <v>-411609.94150613993</v>
      </c>
      <c r="Q119" s="8">
        <f>IF(Q115&lt;=$B$3,-SUM($E117:Q117),0)</f>
        <v>-493931.92980736791</v>
      </c>
      <c r="R119" s="8">
        <f>IF(R115&lt;=$B$3,-SUM($E117:R117),0)</f>
        <v>-576253.91810859588</v>
      </c>
      <c r="S119" s="8">
        <f>IF(S115&lt;=$B$3,-SUM($E117:S117),0)</f>
        <v>-658575.90640982392</v>
      </c>
      <c r="T119" s="8">
        <f>IF(T115&lt;=$B$3,-SUM($E117:T117),0)</f>
        <v>-740897.89471105195</v>
      </c>
      <c r="U119" s="8">
        <f>IF(U115&lt;=$B$3,-SUM($E117:U117),0)</f>
        <v>-823219.88301227998</v>
      </c>
      <c r="V119" s="8">
        <f>IF(V115&lt;=$B$3,-SUM($E117:V117),0)</f>
        <v>-905541.87131350802</v>
      </c>
      <c r="W119" s="8">
        <f>IF(W115&lt;=$B$3,-SUM($E117:W117),0)</f>
        <v>-987863.85961473605</v>
      </c>
      <c r="X119" s="8">
        <f>IF(X115&lt;=$B$3,-SUM($E117:X117),0)</f>
        <v>-1070185.847915964</v>
      </c>
      <c r="Y119" s="8">
        <f>IF(Y115&lt;=$B$3,-SUM($E117:Y117),0)</f>
        <v>-1152507.836217192</v>
      </c>
      <c r="Z119" s="8">
        <f>IF(Z115&lt;=$B$3,-SUM($E117:Z117),0)</f>
        <v>-1234829.82451842</v>
      </c>
      <c r="AA119" s="8">
        <f>IF(AA115&lt;=$B$3,-SUM($E117:AA117),0)</f>
        <v>-1317151.8128196481</v>
      </c>
      <c r="AB119" s="8">
        <f>IF(AB115&lt;=$B$3,-SUM($E117:AB117),0)</f>
        <v>-1399473.8011208761</v>
      </c>
      <c r="AC119" s="8">
        <f>IF(AC115&lt;=$B$3,-SUM($E117:AC117),0)</f>
        <v>-1481795.7894221041</v>
      </c>
      <c r="AD119" s="8">
        <f>IF(AD115&lt;=$B$3,-SUM($E117:AD117),0)</f>
        <v>-1564117.7777233322</v>
      </c>
      <c r="AE119" s="8">
        <f>IF(AE115&lt;=$B$3,-SUM($E117:AE117),0)</f>
        <v>-1646439.7660245602</v>
      </c>
      <c r="AF119" s="8">
        <f>IF(AF115&lt;=$B$3,-SUM($E117:AF117),0)</f>
        <v>-1728761.7543257882</v>
      </c>
      <c r="AG119" s="8">
        <f>IF(AG115&lt;=$B$3,-SUM($E117:AG117),0)</f>
        <v>-1811083.7426270163</v>
      </c>
      <c r="AH119" s="8">
        <f>IF(AH115&lt;=$B$3,-SUM($E117:AH117),0)</f>
        <v>-1893405.7309282443</v>
      </c>
      <c r="AI119" s="8">
        <f>IF(AI115&lt;=$B$3,-SUM($E117:AI117),0)</f>
        <v>-1975727.7192294723</v>
      </c>
      <c r="AJ119" s="8">
        <f>IF(AJ115&lt;=$B$3,-SUM($E117:AJ117),0)</f>
        <v>-2058049.7075307004</v>
      </c>
      <c r="AK119" s="8">
        <f>IF(AK115&lt;=$B$3,-SUM($E117:AK117),0)</f>
        <v>-2140371.6958319284</v>
      </c>
      <c r="AL119" s="8">
        <f>IF(AL115&lt;=$B$3,-SUM($E117:AL117),0)</f>
        <v>-2222693.6841331562</v>
      </c>
      <c r="AM119" s="8">
        <f>IF(AM115&lt;=$B$3,-SUM($E117:AM117),0)</f>
        <v>-2305015.672434384</v>
      </c>
      <c r="AN119" s="8">
        <f>IF(AN115&lt;=$B$3,-SUM($E117:AN117),0)</f>
        <v>-2387337.6607356118</v>
      </c>
      <c r="AO119" s="8">
        <f>IF(AO115&lt;=$B$3,-SUM($E117:AO117),0)</f>
        <v>-2469659.6490368396</v>
      </c>
      <c r="AP119" s="8">
        <f>IF(AP115&lt;=$B$3,-SUM($E117:AP117),0)</f>
        <v>-2551981.6373380674</v>
      </c>
      <c r="AQ119" s="8">
        <f>IF(AQ115&lt;=$B$3,-SUM($E117:AQ117),0)</f>
        <v>-2634303.6256392952</v>
      </c>
      <c r="AR119" s="8">
        <f>IF(AR115&lt;=$B$3,-SUM($E117:AR117),0)</f>
        <v>-2716625.613940523</v>
      </c>
      <c r="AS119" s="8">
        <f>IF(AS115&lt;=$B$3,-SUM($E117:AS117),0)</f>
        <v>-2798947.6022417508</v>
      </c>
      <c r="AT119" s="8">
        <f>IF(AT115&lt;=$B$3,-SUM($E117:AT117),0)</f>
        <v>-2881269.5905429786</v>
      </c>
      <c r="AU119" s="8">
        <f>IF(AU115&lt;=$B$3,-SUM($E117:AU117),0)</f>
        <v>-2963591.5788442064</v>
      </c>
      <c r="AV119" s="8">
        <f>IF(AV115&lt;=$B$3,-SUM($E117:AV117),0)</f>
        <v>-3045913.5671454342</v>
      </c>
      <c r="AW119" s="8">
        <f>IF(AW115&lt;=$B$3,-SUM($E117:AW117),0)</f>
        <v>-3128235.555446662</v>
      </c>
      <c r="AX119" s="8">
        <f>IF(AX115&lt;=$B$3,-SUM($E117:AX117),0)</f>
        <v>-3210557.5437478898</v>
      </c>
      <c r="AY119" s="8">
        <f>IF(AY115&lt;=$B$3,-SUM($E117:AY117),0)</f>
        <v>-3292879.5320491176</v>
      </c>
      <c r="AZ119" s="8">
        <f>IF(AZ115&lt;=$B$3,-SUM($E117:AZ117),0)</f>
        <v>-3375201.5203503454</v>
      </c>
      <c r="BA119" s="8">
        <f>IF(BA115&lt;=$B$3,-SUM($E117:BA117),0)</f>
        <v>-3457523.5086515732</v>
      </c>
      <c r="BB119" s="8">
        <f>IF(BB115&lt;=$B$3,-SUM($E117:BB117),0)</f>
        <v>-3539845.496952801</v>
      </c>
      <c r="BC119" s="8">
        <f>IF(BC115&lt;=$B$3,-SUM($E117:BC117),0)</f>
        <v>-3622167.4852540288</v>
      </c>
      <c r="BD119" s="8">
        <f>IF(BD115&lt;=$B$3,-SUM($E117:BD117),0)</f>
        <v>-3704489.4735552566</v>
      </c>
      <c r="BE119" s="8">
        <f>IF(BE115&lt;=$B$3,-SUM($E117:BE117),0)</f>
        <v>-3786811.4618564844</v>
      </c>
      <c r="BF119" s="8">
        <f>IF(BF115&lt;=$B$3,-SUM($E117:BF117),0)</f>
        <v>-3869133.4501577122</v>
      </c>
      <c r="BG119" s="8">
        <f>IF(BG115&lt;=$B$3,-SUM($E117:BG117),0)</f>
        <v>-3951455.43845894</v>
      </c>
      <c r="BH119" s="8">
        <f>IF(BH115&lt;=$B$3,-SUM($E117:BH117),0)</f>
        <v>-4033777.4267601678</v>
      </c>
      <c r="BI119" s="8">
        <f>IF(BI115&lt;=$B$3,-SUM($E117:BI117),0)</f>
        <v>-4116099.4150613956</v>
      </c>
      <c r="BJ119" s="8">
        <f>IF(BJ115&lt;=$B$3,-SUM($E117:BJ117),0)</f>
        <v>0</v>
      </c>
      <c r="BK119" s="8">
        <f>IF(BK115&lt;=$B$3,-SUM($E117:BK117),0)</f>
        <v>0</v>
      </c>
      <c r="BL119" s="8">
        <f>IF(BL115&lt;=$B$3,-SUM($E117:BL117),0)</f>
        <v>0</v>
      </c>
      <c r="BM119" s="8">
        <f>IF(BM115&lt;=$B$3,-SUM($E117:BM117),0)</f>
        <v>0</v>
      </c>
      <c r="BN119" s="8">
        <f>IF(BN115&lt;=$B$3,-SUM($E117:BN117),0)</f>
        <v>0</v>
      </c>
      <c r="BO119" s="8">
        <f>IF(BO115&lt;=$B$3,-SUM($E117:BO117),0)</f>
        <v>0</v>
      </c>
      <c r="BP119" s="8">
        <f>IF(BP115&lt;=$B$3,-SUM($E117:BP117),0)</f>
        <v>0</v>
      </c>
      <c r="BQ119" s="8">
        <f>IF(BQ115&lt;=$B$3,-SUM($E117:BQ117),0)</f>
        <v>0</v>
      </c>
      <c r="BR119" s="8">
        <f>IF(BR115&lt;=$B$3,-SUM($E117:BR117),0)</f>
        <v>0</v>
      </c>
      <c r="BS119" s="8">
        <f>IF(BS115&lt;=$B$3,-SUM($E117:BS117),0)</f>
        <v>0</v>
      </c>
      <c r="BT119" s="8">
        <f>IF(BT115&lt;=$B$3,-SUM($E117:BT117),0)</f>
        <v>0</v>
      </c>
      <c r="BU119" s="8">
        <f>IF(BU115&lt;=$B$3,-SUM($E117:BU117),0)</f>
        <v>0</v>
      </c>
      <c r="BV119" s="8">
        <f>IF(BV115&lt;=$B$3,-SUM($E117:BV117),0)</f>
        <v>0</v>
      </c>
      <c r="BW119" s="8">
        <f>IF(BW115&lt;=$B$3,-SUM($E117:BW117),0)</f>
        <v>0</v>
      </c>
      <c r="BX119" s="8">
        <f>IF(BX115&lt;=$B$3,-SUM($E117:BX117),0)</f>
        <v>0</v>
      </c>
      <c r="BY119" s="8">
        <f>IF(BY115&lt;=$B$3,-SUM($E117:BY117),0)</f>
        <v>0</v>
      </c>
      <c r="BZ119" s="8">
        <f>IF(BZ115&lt;=$B$3,-SUM($E117:BZ117),0)</f>
        <v>0</v>
      </c>
      <c r="CA119" s="8">
        <f>IF(CA115&lt;=$B$3,-SUM($E117:CA117),0)</f>
        <v>0</v>
      </c>
      <c r="CB119" s="8">
        <f>IF(CB115&lt;=$B$3,-SUM($E117:CB117),0)</f>
        <v>0</v>
      </c>
      <c r="CC119" s="8">
        <f>IF(CC115&lt;=$B$3,-SUM($E117:CC117),0)</f>
        <v>0</v>
      </c>
      <c r="CD119" s="8">
        <f>IF(CD115&lt;=$B$3,-SUM($E117:CD117),0)</f>
        <v>0</v>
      </c>
      <c r="CE119" s="8">
        <f>IF(CE115&lt;=$B$3,-SUM($E117:CE117),0)</f>
        <v>0</v>
      </c>
      <c r="CF119" s="8">
        <f>IF(CF115&lt;=$B$3,-SUM($E117:CF117),0)</f>
        <v>0</v>
      </c>
      <c r="CG119" s="8">
        <f>IF(CG115&lt;=$B$3,-SUM($E117:CG117),0)</f>
        <v>0</v>
      </c>
      <c r="CH119" s="8">
        <f>IF(CH115&lt;=$B$3,-SUM($E117:CH117),0)</f>
        <v>0</v>
      </c>
      <c r="CI119" s="8">
        <f>IF(CI115&lt;=$B$3,-SUM($E117:CI117),0)</f>
        <v>0</v>
      </c>
      <c r="CJ119" s="8">
        <f>IF(CJ115&lt;=$B$3,-SUM($E117:CJ117),0)</f>
        <v>0</v>
      </c>
      <c r="CK119" s="8">
        <f>IF(CK115&lt;=$B$3,-SUM($E117:CK117),0)</f>
        <v>0</v>
      </c>
      <c r="CL119" s="8">
        <f>IF(CL115&lt;=$B$3,-SUM($E117:CL117),0)</f>
        <v>0</v>
      </c>
      <c r="CM119" s="8">
        <f>IF(CM115&lt;=$B$3,-SUM($E117:CM117),0)</f>
        <v>0</v>
      </c>
      <c r="CN119" s="8">
        <f>IF(CN115&lt;=$B$3,-SUM($E117:CN117),0)</f>
        <v>0</v>
      </c>
      <c r="CO119" s="8">
        <f>IF(CO115&lt;=$B$3,-SUM($E117:CO117),0)</f>
        <v>0</v>
      </c>
      <c r="CP119" s="8">
        <f>IF(CP115&lt;=$B$3,-SUM($E117:CP117),0)</f>
        <v>0</v>
      </c>
      <c r="CQ119" s="8">
        <f>IF(CQ115&lt;=$B$3,-SUM($E117:CQ117),0)</f>
        <v>0</v>
      </c>
      <c r="CR119" s="8">
        <f>IF(CR115&lt;=$B$3,-SUM($E117:CR117),0)</f>
        <v>0</v>
      </c>
      <c r="CS119" s="8">
        <f>IF(CS115&lt;=$B$3,-SUM($E117:CS117),0)</f>
        <v>0</v>
      </c>
      <c r="CT119" s="8">
        <f>IF(CT115&lt;=$B$3,-SUM($E117:CT117),0)</f>
        <v>0</v>
      </c>
      <c r="CU119" s="8">
        <f>IF(CU115&lt;=$B$3,-SUM($E117:CU117),0)</f>
        <v>0</v>
      </c>
      <c r="CV119" s="8">
        <f>IF(CV115&lt;=$B$3,-SUM($E117:CV117),0)</f>
        <v>0</v>
      </c>
      <c r="CW119" s="8">
        <f>IF(CW115&lt;=$B$3,-SUM($E117:CW117),0)</f>
        <v>0</v>
      </c>
      <c r="CX119" s="8">
        <f>IF(CX115&lt;=$B$3,-SUM($E117:CX117),0)</f>
        <v>0</v>
      </c>
      <c r="CY119" s="8">
        <f>IF(CY115&lt;=$B$3,-SUM($E117:CY117),0)</f>
        <v>0</v>
      </c>
      <c r="CZ119" s="8">
        <f>IF(CZ115&lt;=$B$3,-SUM($E117:CZ117),0)</f>
        <v>0</v>
      </c>
      <c r="DA119" s="8">
        <f>IF(DA115&lt;=$B$3,-SUM($E117:DA117),0)</f>
        <v>0</v>
      </c>
      <c r="DB119" s="8"/>
      <c r="DC119" s="8"/>
      <c r="DD119" s="8"/>
    </row>
    <row r="120" spans="3:108" x14ac:dyDescent="0.4">
      <c r="D120" t="s">
        <v>167</v>
      </c>
      <c r="K120" s="8"/>
      <c r="L120" s="8">
        <f>K121</f>
        <v>4116099.4150613993</v>
      </c>
      <c r="M120" s="8">
        <f t="shared" ref="M120:BX120" si="132">L121</f>
        <v>4033777.4267601715</v>
      </c>
      <c r="N120" s="8">
        <f t="shared" si="132"/>
        <v>3951455.4384589433</v>
      </c>
      <c r="O120" s="8">
        <f t="shared" si="132"/>
        <v>3869133.4501577155</v>
      </c>
      <c r="P120" s="8">
        <f t="shared" si="132"/>
        <v>3786811.4618564872</v>
      </c>
      <c r="Q120" s="8">
        <f t="shared" si="132"/>
        <v>3704489.4735552594</v>
      </c>
      <c r="R120" s="8">
        <f t="shared" si="132"/>
        <v>3622167.4852540316</v>
      </c>
      <c r="S120" s="8">
        <f t="shared" si="132"/>
        <v>3539845.4969528033</v>
      </c>
      <c r="T120" s="8">
        <f t="shared" si="132"/>
        <v>3457523.5086515755</v>
      </c>
      <c r="U120" s="8">
        <f t="shared" si="132"/>
        <v>3375201.5203503473</v>
      </c>
      <c r="V120" s="8">
        <f t="shared" si="132"/>
        <v>3292879.5320491195</v>
      </c>
      <c r="W120" s="8">
        <f t="shared" si="132"/>
        <v>3210557.5437478912</v>
      </c>
      <c r="X120" s="8">
        <f t="shared" si="132"/>
        <v>3128235.5554466634</v>
      </c>
      <c r="Y120" s="8">
        <f t="shared" si="132"/>
        <v>3045913.5671454351</v>
      </c>
      <c r="Z120" s="8">
        <f t="shared" si="132"/>
        <v>2963591.5788442073</v>
      </c>
      <c r="AA120" s="8">
        <f t="shared" si="132"/>
        <v>2881269.5905429795</v>
      </c>
      <c r="AB120" s="8">
        <f t="shared" si="132"/>
        <v>2798947.6022417513</v>
      </c>
      <c r="AC120" s="8">
        <f t="shared" si="132"/>
        <v>2716625.613940523</v>
      </c>
      <c r="AD120" s="8">
        <f t="shared" si="132"/>
        <v>2634303.6256392952</v>
      </c>
      <c r="AE120" s="8">
        <f t="shared" si="132"/>
        <v>2551981.6373380674</v>
      </c>
      <c r="AF120" s="8">
        <f t="shared" si="132"/>
        <v>2469659.6490368391</v>
      </c>
      <c r="AG120" s="8">
        <f t="shared" si="132"/>
        <v>2387337.6607356109</v>
      </c>
      <c r="AH120" s="8">
        <f t="shared" si="132"/>
        <v>2305015.6724343831</v>
      </c>
      <c r="AI120" s="8">
        <f t="shared" si="132"/>
        <v>2222693.6841331553</v>
      </c>
      <c r="AJ120" s="8">
        <f t="shared" si="132"/>
        <v>2140371.695831927</v>
      </c>
      <c r="AK120" s="8">
        <f t="shared" si="132"/>
        <v>2058049.707530699</v>
      </c>
      <c r="AL120" s="8">
        <f t="shared" si="132"/>
        <v>1975727.7192294709</v>
      </c>
      <c r="AM120" s="8">
        <f t="shared" si="132"/>
        <v>1893405.7309282431</v>
      </c>
      <c r="AN120" s="8">
        <f t="shared" si="132"/>
        <v>1811083.7426270153</v>
      </c>
      <c r="AO120" s="8">
        <f t="shared" si="132"/>
        <v>1728761.7543257875</v>
      </c>
      <c r="AP120" s="8">
        <f t="shared" si="132"/>
        <v>1646439.7660245597</v>
      </c>
      <c r="AQ120" s="8">
        <f t="shared" si="132"/>
        <v>1564117.7777233319</v>
      </c>
      <c r="AR120" s="8">
        <f t="shared" si="132"/>
        <v>1481795.7894221041</v>
      </c>
      <c r="AS120" s="8">
        <f t="shared" si="132"/>
        <v>1399473.8011208763</v>
      </c>
      <c r="AT120" s="8">
        <f t="shared" si="132"/>
        <v>1317151.8128196485</v>
      </c>
      <c r="AU120" s="8">
        <f t="shared" si="132"/>
        <v>1234829.8245184207</v>
      </c>
      <c r="AV120" s="8">
        <f t="shared" si="132"/>
        <v>1152507.8362171929</v>
      </c>
      <c r="AW120" s="8">
        <f t="shared" si="132"/>
        <v>1070185.8479159651</v>
      </c>
      <c r="AX120" s="8">
        <f t="shared" si="132"/>
        <v>987863.85961473733</v>
      </c>
      <c r="AY120" s="8">
        <f t="shared" si="132"/>
        <v>905541.87131350953</v>
      </c>
      <c r="AZ120" s="8">
        <f t="shared" si="132"/>
        <v>823219.88301228173</v>
      </c>
      <c r="BA120" s="8">
        <f t="shared" si="132"/>
        <v>740897.89471105393</v>
      </c>
      <c r="BB120" s="8">
        <f t="shared" si="132"/>
        <v>658575.90640982613</v>
      </c>
      <c r="BC120" s="8">
        <f t="shared" si="132"/>
        <v>576253.91810859833</v>
      </c>
      <c r="BD120" s="8">
        <f t="shared" si="132"/>
        <v>493931.92980737053</v>
      </c>
      <c r="BE120" s="8">
        <f t="shared" si="132"/>
        <v>411609.94150614273</v>
      </c>
      <c r="BF120" s="8">
        <f t="shared" si="132"/>
        <v>329287.95320491493</v>
      </c>
      <c r="BG120" s="8">
        <f t="shared" si="132"/>
        <v>246965.96490368713</v>
      </c>
      <c r="BH120" s="8">
        <f t="shared" si="132"/>
        <v>164643.97660245933</v>
      </c>
      <c r="BI120" s="8">
        <f t="shared" si="132"/>
        <v>82321.988301231526</v>
      </c>
      <c r="BJ120" s="8">
        <f t="shared" si="132"/>
        <v>3.7252902984619141E-9</v>
      </c>
      <c r="BK120" s="8">
        <f t="shared" si="132"/>
        <v>0</v>
      </c>
      <c r="BL120" s="8">
        <f t="shared" si="132"/>
        <v>0</v>
      </c>
      <c r="BM120" s="8">
        <f t="shared" si="132"/>
        <v>0</v>
      </c>
      <c r="BN120" s="8">
        <f t="shared" si="132"/>
        <v>0</v>
      </c>
      <c r="BO120" s="8">
        <f t="shared" si="132"/>
        <v>0</v>
      </c>
      <c r="BP120" s="8">
        <f t="shared" si="132"/>
        <v>0</v>
      </c>
      <c r="BQ120" s="8">
        <f t="shared" si="132"/>
        <v>0</v>
      </c>
      <c r="BR120" s="8">
        <f t="shared" si="132"/>
        <v>0</v>
      </c>
      <c r="BS120" s="8">
        <f t="shared" si="132"/>
        <v>0</v>
      </c>
      <c r="BT120" s="8">
        <f t="shared" si="132"/>
        <v>0</v>
      </c>
      <c r="BU120" s="8">
        <f t="shared" si="132"/>
        <v>0</v>
      </c>
      <c r="BV120" s="8">
        <f t="shared" si="132"/>
        <v>0</v>
      </c>
      <c r="BW120" s="8">
        <f t="shared" si="132"/>
        <v>0</v>
      </c>
      <c r="BX120" s="8">
        <f t="shared" si="132"/>
        <v>0</v>
      </c>
      <c r="BY120" s="8">
        <f t="shared" ref="BY120:DA120" si="133">BX121</f>
        <v>0</v>
      </c>
      <c r="BZ120" s="8">
        <f t="shared" si="133"/>
        <v>0</v>
      </c>
      <c r="CA120" s="8">
        <f t="shared" si="133"/>
        <v>0</v>
      </c>
      <c r="CB120" s="8">
        <f t="shared" si="133"/>
        <v>0</v>
      </c>
      <c r="CC120" s="8">
        <f t="shared" si="133"/>
        <v>0</v>
      </c>
      <c r="CD120" s="8">
        <f t="shared" si="133"/>
        <v>0</v>
      </c>
      <c r="CE120" s="8">
        <f t="shared" si="133"/>
        <v>0</v>
      </c>
      <c r="CF120" s="8">
        <f t="shared" si="133"/>
        <v>0</v>
      </c>
      <c r="CG120" s="8">
        <f t="shared" si="133"/>
        <v>0</v>
      </c>
      <c r="CH120" s="8">
        <f t="shared" si="133"/>
        <v>0</v>
      </c>
      <c r="CI120" s="8">
        <f t="shared" si="133"/>
        <v>0</v>
      </c>
      <c r="CJ120" s="8">
        <f t="shared" si="133"/>
        <v>0</v>
      </c>
      <c r="CK120" s="8">
        <f t="shared" si="133"/>
        <v>0</v>
      </c>
      <c r="CL120" s="8">
        <f t="shared" si="133"/>
        <v>0</v>
      </c>
      <c r="CM120" s="8">
        <f t="shared" si="133"/>
        <v>0</v>
      </c>
      <c r="CN120" s="8">
        <f t="shared" si="133"/>
        <v>0</v>
      </c>
      <c r="CO120" s="8">
        <f t="shared" si="133"/>
        <v>0</v>
      </c>
      <c r="CP120" s="8">
        <f t="shared" si="133"/>
        <v>0</v>
      </c>
      <c r="CQ120" s="8">
        <f t="shared" si="133"/>
        <v>0</v>
      </c>
      <c r="CR120" s="8">
        <f t="shared" si="133"/>
        <v>0</v>
      </c>
      <c r="CS120" s="8">
        <f t="shared" si="133"/>
        <v>0</v>
      </c>
      <c r="CT120" s="8">
        <f t="shared" si="133"/>
        <v>0</v>
      </c>
      <c r="CU120" s="8">
        <f t="shared" si="133"/>
        <v>0</v>
      </c>
      <c r="CV120" s="8">
        <f t="shared" si="133"/>
        <v>0</v>
      </c>
      <c r="CW120" s="8">
        <f t="shared" si="133"/>
        <v>0</v>
      </c>
      <c r="CX120" s="8">
        <f t="shared" si="133"/>
        <v>0</v>
      </c>
      <c r="CY120" s="8">
        <f t="shared" si="133"/>
        <v>0</v>
      </c>
      <c r="CZ120" s="8">
        <f t="shared" si="133"/>
        <v>0</v>
      </c>
      <c r="DA120" s="8">
        <f t="shared" si="133"/>
        <v>0</v>
      </c>
      <c r="DB120" s="8"/>
      <c r="DC120" s="8"/>
      <c r="DD120" s="8"/>
    </row>
    <row r="121" spans="3:108" x14ac:dyDescent="0.4">
      <c r="D121" t="s">
        <v>168</v>
      </c>
      <c r="K121" s="8">
        <f>K118+K119</f>
        <v>4116099.4150613993</v>
      </c>
      <c r="L121" s="8">
        <f>L118+L119</f>
        <v>4033777.4267601715</v>
      </c>
      <c r="M121" s="8">
        <f t="shared" ref="M121:BX121" si="134">M118+M119</f>
        <v>3951455.4384589433</v>
      </c>
      <c r="N121" s="8">
        <f t="shared" si="134"/>
        <v>3869133.4501577155</v>
      </c>
      <c r="O121" s="8">
        <f t="shared" si="134"/>
        <v>3786811.4618564872</v>
      </c>
      <c r="P121" s="8">
        <f t="shared" si="134"/>
        <v>3704489.4735552594</v>
      </c>
      <c r="Q121" s="8">
        <f t="shared" si="134"/>
        <v>3622167.4852540316</v>
      </c>
      <c r="R121" s="8">
        <f t="shared" si="134"/>
        <v>3539845.4969528033</v>
      </c>
      <c r="S121" s="8">
        <f t="shared" si="134"/>
        <v>3457523.5086515755</v>
      </c>
      <c r="T121" s="8">
        <f t="shared" si="134"/>
        <v>3375201.5203503473</v>
      </c>
      <c r="U121" s="8">
        <f t="shared" si="134"/>
        <v>3292879.5320491195</v>
      </c>
      <c r="V121" s="8">
        <f t="shared" si="134"/>
        <v>3210557.5437478912</v>
      </c>
      <c r="W121" s="8">
        <f t="shared" si="134"/>
        <v>3128235.5554466634</v>
      </c>
      <c r="X121" s="8">
        <f t="shared" si="134"/>
        <v>3045913.5671454351</v>
      </c>
      <c r="Y121" s="8">
        <f t="shared" si="134"/>
        <v>2963591.5788442073</v>
      </c>
      <c r="Z121" s="8">
        <f t="shared" si="134"/>
        <v>2881269.5905429795</v>
      </c>
      <c r="AA121" s="8">
        <f t="shared" si="134"/>
        <v>2798947.6022417513</v>
      </c>
      <c r="AB121" s="8">
        <f t="shared" si="134"/>
        <v>2716625.613940523</v>
      </c>
      <c r="AC121" s="8">
        <f t="shared" si="134"/>
        <v>2634303.6256392952</v>
      </c>
      <c r="AD121" s="8">
        <f t="shared" si="134"/>
        <v>2551981.6373380674</v>
      </c>
      <c r="AE121" s="8">
        <f t="shared" si="134"/>
        <v>2469659.6490368391</v>
      </c>
      <c r="AF121" s="8">
        <f t="shared" si="134"/>
        <v>2387337.6607356109</v>
      </c>
      <c r="AG121" s="8">
        <f t="shared" si="134"/>
        <v>2305015.6724343831</v>
      </c>
      <c r="AH121" s="8">
        <f t="shared" si="134"/>
        <v>2222693.6841331553</v>
      </c>
      <c r="AI121" s="8">
        <f t="shared" si="134"/>
        <v>2140371.695831927</v>
      </c>
      <c r="AJ121" s="8">
        <f t="shared" si="134"/>
        <v>2058049.707530699</v>
      </c>
      <c r="AK121" s="8">
        <f t="shared" si="134"/>
        <v>1975727.7192294709</v>
      </c>
      <c r="AL121" s="8">
        <f t="shared" si="134"/>
        <v>1893405.7309282431</v>
      </c>
      <c r="AM121" s="8">
        <f t="shared" si="134"/>
        <v>1811083.7426270153</v>
      </c>
      <c r="AN121" s="8">
        <f t="shared" si="134"/>
        <v>1728761.7543257875</v>
      </c>
      <c r="AO121" s="8">
        <f t="shared" si="134"/>
        <v>1646439.7660245597</v>
      </c>
      <c r="AP121" s="8">
        <f t="shared" si="134"/>
        <v>1564117.7777233319</v>
      </c>
      <c r="AQ121" s="8">
        <f t="shared" si="134"/>
        <v>1481795.7894221041</v>
      </c>
      <c r="AR121" s="8">
        <f t="shared" si="134"/>
        <v>1399473.8011208763</v>
      </c>
      <c r="AS121" s="8">
        <f t="shared" si="134"/>
        <v>1317151.8128196485</v>
      </c>
      <c r="AT121" s="8">
        <f t="shared" si="134"/>
        <v>1234829.8245184207</v>
      </c>
      <c r="AU121" s="8">
        <f t="shared" si="134"/>
        <v>1152507.8362171929</v>
      </c>
      <c r="AV121" s="8">
        <f t="shared" si="134"/>
        <v>1070185.8479159651</v>
      </c>
      <c r="AW121" s="8">
        <f t="shared" si="134"/>
        <v>987863.85961473733</v>
      </c>
      <c r="AX121" s="8">
        <f t="shared" si="134"/>
        <v>905541.87131350953</v>
      </c>
      <c r="AY121" s="8">
        <f t="shared" si="134"/>
        <v>823219.88301228173</v>
      </c>
      <c r="AZ121" s="8">
        <f t="shared" si="134"/>
        <v>740897.89471105393</v>
      </c>
      <c r="BA121" s="8">
        <f t="shared" si="134"/>
        <v>658575.90640982613</v>
      </c>
      <c r="BB121" s="8">
        <f t="shared" si="134"/>
        <v>576253.91810859833</v>
      </c>
      <c r="BC121" s="8">
        <f t="shared" si="134"/>
        <v>493931.92980737053</v>
      </c>
      <c r="BD121" s="8">
        <f t="shared" si="134"/>
        <v>411609.94150614273</v>
      </c>
      <c r="BE121" s="8">
        <f t="shared" si="134"/>
        <v>329287.95320491493</v>
      </c>
      <c r="BF121" s="8">
        <f t="shared" si="134"/>
        <v>246965.96490368713</v>
      </c>
      <c r="BG121" s="8">
        <f t="shared" si="134"/>
        <v>164643.97660245933</v>
      </c>
      <c r="BH121" s="8">
        <f t="shared" si="134"/>
        <v>82321.988301231526</v>
      </c>
      <c r="BI121" s="8">
        <f t="shared" si="134"/>
        <v>3.7252902984619141E-9</v>
      </c>
      <c r="BJ121" s="8">
        <f t="shared" si="134"/>
        <v>0</v>
      </c>
      <c r="BK121" s="8">
        <f t="shared" si="134"/>
        <v>0</v>
      </c>
      <c r="BL121" s="8">
        <f t="shared" si="134"/>
        <v>0</v>
      </c>
      <c r="BM121" s="8">
        <f t="shared" si="134"/>
        <v>0</v>
      </c>
      <c r="BN121" s="8">
        <f t="shared" si="134"/>
        <v>0</v>
      </c>
      <c r="BO121" s="8">
        <f t="shared" si="134"/>
        <v>0</v>
      </c>
      <c r="BP121" s="8">
        <f t="shared" si="134"/>
        <v>0</v>
      </c>
      <c r="BQ121" s="8">
        <f t="shared" si="134"/>
        <v>0</v>
      </c>
      <c r="BR121" s="8">
        <f t="shared" si="134"/>
        <v>0</v>
      </c>
      <c r="BS121" s="8">
        <f t="shared" si="134"/>
        <v>0</v>
      </c>
      <c r="BT121" s="8">
        <f t="shared" si="134"/>
        <v>0</v>
      </c>
      <c r="BU121" s="8">
        <f t="shared" si="134"/>
        <v>0</v>
      </c>
      <c r="BV121" s="8">
        <f t="shared" si="134"/>
        <v>0</v>
      </c>
      <c r="BW121" s="8">
        <f t="shared" si="134"/>
        <v>0</v>
      </c>
      <c r="BX121" s="8">
        <f t="shared" si="134"/>
        <v>0</v>
      </c>
      <c r="BY121" s="8">
        <f t="shared" ref="BY121:DA121" si="135">BY118+BY119</f>
        <v>0</v>
      </c>
      <c r="BZ121" s="8">
        <f t="shared" si="135"/>
        <v>0</v>
      </c>
      <c r="CA121" s="8">
        <f t="shared" si="135"/>
        <v>0</v>
      </c>
      <c r="CB121" s="8">
        <f t="shared" si="135"/>
        <v>0</v>
      </c>
      <c r="CC121" s="8">
        <f t="shared" si="135"/>
        <v>0</v>
      </c>
      <c r="CD121" s="8">
        <f t="shared" si="135"/>
        <v>0</v>
      </c>
      <c r="CE121" s="8">
        <f t="shared" si="135"/>
        <v>0</v>
      </c>
      <c r="CF121" s="8">
        <f t="shared" si="135"/>
        <v>0</v>
      </c>
      <c r="CG121" s="8">
        <f t="shared" si="135"/>
        <v>0</v>
      </c>
      <c r="CH121" s="8">
        <f t="shared" si="135"/>
        <v>0</v>
      </c>
      <c r="CI121" s="8">
        <f t="shared" si="135"/>
        <v>0</v>
      </c>
      <c r="CJ121" s="8">
        <f t="shared" si="135"/>
        <v>0</v>
      </c>
      <c r="CK121" s="8">
        <f t="shared" si="135"/>
        <v>0</v>
      </c>
      <c r="CL121" s="8">
        <f t="shared" si="135"/>
        <v>0</v>
      </c>
      <c r="CM121" s="8">
        <f t="shared" si="135"/>
        <v>0</v>
      </c>
      <c r="CN121" s="8">
        <f t="shared" si="135"/>
        <v>0</v>
      </c>
      <c r="CO121" s="8">
        <f t="shared" si="135"/>
        <v>0</v>
      </c>
      <c r="CP121" s="8">
        <f t="shared" si="135"/>
        <v>0</v>
      </c>
      <c r="CQ121" s="8">
        <f t="shared" si="135"/>
        <v>0</v>
      </c>
      <c r="CR121" s="8">
        <f t="shared" si="135"/>
        <v>0</v>
      </c>
      <c r="CS121" s="8">
        <f t="shared" si="135"/>
        <v>0</v>
      </c>
      <c r="CT121" s="8">
        <f t="shared" si="135"/>
        <v>0</v>
      </c>
      <c r="CU121" s="8">
        <f t="shared" si="135"/>
        <v>0</v>
      </c>
      <c r="CV121" s="8">
        <f t="shared" si="135"/>
        <v>0</v>
      </c>
      <c r="CW121" s="8">
        <f t="shared" si="135"/>
        <v>0</v>
      </c>
      <c r="CX121" s="8">
        <f t="shared" si="135"/>
        <v>0</v>
      </c>
      <c r="CY121" s="8">
        <f t="shared" si="135"/>
        <v>0</v>
      </c>
      <c r="CZ121" s="8">
        <f t="shared" si="135"/>
        <v>0</v>
      </c>
      <c r="DA121" s="8">
        <f t="shared" si="135"/>
        <v>0</v>
      </c>
      <c r="DB121" s="8"/>
      <c r="DC121" s="8"/>
      <c r="DD121" s="8"/>
    </row>
    <row r="122" spans="3:108" x14ac:dyDescent="0.4"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</row>
    <row r="123" spans="3:108" x14ac:dyDescent="0.4">
      <c r="D123" t="s">
        <v>169</v>
      </c>
      <c r="K123" s="8"/>
      <c r="L123" s="8">
        <f>IF(L115&lt;=$B$4+1,L118*VLOOKUP(L115,Assumptions!$A$70:$B$90,2,0),0)</f>
        <v>154353.72806480248</v>
      </c>
      <c r="M123" s="8">
        <f>IF(M115&lt;=$B$4+1,M118*VLOOKUP(M115,Assumptions!$A$70:$B$90,2,0),0)</f>
        <v>297141.21677328245</v>
      </c>
      <c r="N123" s="8">
        <f>IF(N115&lt;=$B$4+1,N118*VLOOKUP(N115,Assumptions!$A$70:$B$90,2,0),0)</f>
        <v>274831.95794364961</v>
      </c>
      <c r="O123" s="8">
        <f>IF(O115&lt;=$B$4+1,O118*VLOOKUP(O115,Assumptions!$A$70:$B$90,2,0),0)</f>
        <v>254251.46086834263</v>
      </c>
      <c r="P123" s="8">
        <f>IF(P115&lt;=$B$4+1,P118*VLOOKUP(P115,Assumptions!$A$70:$B$90,2,0),0)</f>
        <v>235152.75958245774</v>
      </c>
      <c r="Q123" s="8">
        <f>IF(Q115&lt;=$B$4+1,Q118*VLOOKUP(Q115,Assumptions!$A$70:$B$90,2,0),0)</f>
        <v>217535.85408599497</v>
      </c>
      <c r="R123" s="8">
        <f>IF(R115&lt;=$B$4+1,R118*VLOOKUP(R115,Assumptions!$A$70:$B$90,2,0),0)</f>
        <v>201194.9394082012</v>
      </c>
      <c r="S123" s="8">
        <f>IF(S115&lt;=$B$4+1,S118*VLOOKUP(S115,Assumptions!$A$70:$B$90,2,0),0)</f>
        <v>186130.01554907649</v>
      </c>
      <c r="T123" s="8">
        <f>IF(T115&lt;=$B$4+1,T118*VLOOKUP(T115,Assumptions!$A$70:$B$90,2,0),0)</f>
        <v>183660.35590003963</v>
      </c>
      <c r="U123" s="8">
        <f>IF(U115&lt;=$B$4+1,U118*VLOOKUP(U115,Assumptions!$A$70:$B$90,2,0),0)</f>
        <v>183619.19490588902</v>
      </c>
      <c r="V123" s="8">
        <f>IF(V115&lt;=$B$4+1,V118*VLOOKUP(V115,Assumptions!$A$70:$B$90,2,0),0)</f>
        <v>183660.35590003963</v>
      </c>
      <c r="W123" s="8">
        <f>IF(W115&lt;=$B$4+1,W118*VLOOKUP(W115,Assumptions!$A$70:$B$90,2,0),0)</f>
        <v>183619.19490588902</v>
      </c>
      <c r="X123" s="8">
        <f>IF(X115&lt;=$B$4+1,X118*VLOOKUP(X115,Assumptions!$A$70:$B$90,2,0),0)</f>
        <v>183660.35590003963</v>
      </c>
      <c r="Y123" s="8">
        <f>IF(Y115&lt;=$B$4+1,Y118*VLOOKUP(Y115,Assumptions!$A$70:$B$90,2,0),0)</f>
        <v>183619.19490588902</v>
      </c>
      <c r="Z123" s="8">
        <f>IF(Z115&lt;=$B$4+1,Z118*VLOOKUP(Z115,Assumptions!$A$70:$B$90,2,0),0)</f>
        <v>183660.35590003963</v>
      </c>
      <c r="AA123" s="8">
        <f>IF(AA115&lt;=$B$4+1,AA118*VLOOKUP(AA115,Assumptions!$A$70:$B$90,2,0),0)</f>
        <v>183619.19490588902</v>
      </c>
      <c r="AB123" s="8">
        <f>IF(AB115&lt;=$B$4+1,AB118*VLOOKUP(AB115,Assumptions!$A$70:$B$90,2,0),0)</f>
        <v>183660.35590003963</v>
      </c>
      <c r="AC123" s="8">
        <f>IF(AC115&lt;=$B$4+1,AC118*VLOOKUP(AC115,Assumptions!$A$70:$B$90,2,0),0)</f>
        <v>183619.19490588902</v>
      </c>
      <c r="AD123" s="8">
        <f>IF(AD115&lt;=$B$4+1,AD118*VLOOKUP(AD115,Assumptions!$A$70:$B$90,2,0),0)</f>
        <v>183660.35590003963</v>
      </c>
      <c r="AE123" s="8">
        <f>IF(AE115&lt;=$B$4+1,AE118*VLOOKUP(AE115,Assumptions!$A$70:$B$90,2,0),0)</f>
        <v>183619.19490588902</v>
      </c>
      <c r="AF123" s="8">
        <f>IF(AF115&lt;=$B$4+1,AF118*VLOOKUP(AF115,Assumptions!$A$70:$B$90,2,0),0)</f>
        <v>91830.177950019817</v>
      </c>
      <c r="AG123" s="8">
        <f>IF(AG115&lt;=$B$4+1,AG118*VLOOKUP(AG115,Assumptions!$A$70:$B$90,2,0),0)</f>
        <v>0</v>
      </c>
      <c r="AH123" s="8">
        <f>IF(AH115&lt;=$B$4+1,AH118*VLOOKUP(AH115,Assumptions!$A$70:$B$90,2,0),0)</f>
        <v>0</v>
      </c>
      <c r="AI123" s="8">
        <f>IF(AI115&lt;=$B$4+1,AI118*VLOOKUP(AI115,Assumptions!$A$70:$B$90,2,0),0)</f>
        <v>0</v>
      </c>
      <c r="AJ123" s="8">
        <f>IF(AJ115&lt;=$B$4+1,AJ118*VLOOKUP(AJ115,Assumptions!$A$70:$B$90,2,0),0)</f>
        <v>0</v>
      </c>
      <c r="AK123" s="8">
        <f>IF(AK115&lt;=$B$4+1,AK118*VLOOKUP(AK115,Assumptions!$A$70:$B$90,2,0),0)</f>
        <v>0</v>
      </c>
      <c r="AL123" s="8">
        <f>IF(AL115&lt;=$B$4+1,AL118*VLOOKUP(AL115,Assumptions!$A$70:$B$90,2,0),0)</f>
        <v>0</v>
      </c>
      <c r="AM123" s="8">
        <f>IF(AM115&lt;=$B$4+1,AM118*VLOOKUP(AM115,Assumptions!$A$70:$B$90,2,0),0)</f>
        <v>0</v>
      </c>
      <c r="AN123" s="8">
        <f>IF(AN115&lt;=$B$4+1,AN118*VLOOKUP(AN115,Assumptions!$A$70:$B$90,2,0),0)</f>
        <v>0</v>
      </c>
      <c r="AO123" s="8">
        <f>IF(AO115&lt;=$B$4+1,AO118*VLOOKUP(AO115,Assumptions!$A$70:$B$90,2,0),0)</f>
        <v>0</v>
      </c>
      <c r="AP123" s="8">
        <f>IF(AP115&lt;=$B$4+1,AP118*VLOOKUP(AP115,Assumptions!$A$70:$B$90,2,0),0)</f>
        <v>0</v>
      </c>
      <c r="AQ123" s="8">
        <f>IF(AQ115&lt;=$B$4+1,AQ118*VLOOKUP(AQ115,Assumptions!$A$70:$B$90,2,0),0)</f>
        <v>0</v>
      </c>
      <c r="AR123" s="8">
        <f>IF(AR115&lt;=$B$4+1,AR118*VLOOKUP(AR115,Assumptions!$A$70:$B$90,2,0),0)</f>
        <v>0</v>
      </c>
      <c r="AS123" s="8">
        <f>IF(AS115&lt;=$B$4+1,AS118*VLOOKUP(AS115,Assumptions!$A$70:$B$90,2,0),0)</f>
        <v>0</v>
      </c>
      <c r="AT123" s="8">
        <f>IF(AT115&lt;=$B$4+1,AT118*VLOOKUP(AT115,Assumptions!$A$70:$B$90,2,0),0)</f>
        <v>0</v>
      </c>
      <c r="AU123" s="8">
        <f>IF(AU115&lt;=$B$4+1,AU118*VLOOKUP(AU115,Assumptions!$A$70:$B$90,2,0),0)</f>
        <v>0</v>
      </c>
      <c r="AV123" s="8">
        <f>IF(AV115&lt;=$B$4+1,AV118*VLOOKUP(AV115,Assumptions!$A$70:$B$90,2,0),0)</f>
        <v>0</v>
      </c>
      <c r="AW123" s="8">
        <f>IF(AW115&lt;=$B$4+1,AW118*VLOOKUP(AW115,Assumptions!$A$70:$B$90,2,0),0)</f>
        <v>0</v>
      </c>
      <c r="AX123" s="8">
        <f>IF(AX115&lt;=$B$4+1,AX118*VLOOKUP(AX115,Assumptions!$A$70:$B$90,2,0),0)</f>
        <v>0</v>
      </c>
      <c r="AY123" s="8">
        <f>IF(AY115&lt;=$B$4+1,AY118*VLOOKUP(AY115,Assumptions!$A$70:$B$90,2,0),0)</f>
        <v>0</v>
      </c>
      <c r="AZ123" s="8">
        <f>IF(AZ115&lt;=$B$4+1,AZ118*VLOOKUP(AZ115,Assumptions!$A$70:$B$90,2,0),0)</f>
        <v>0</v>
      </c>
      <c r="BA123" s="8">
        <f>IF(BA115&lt;=$B$4+1,BA118*VLOOKUP(BA115,Assumptions!$A$70:$B$90,2,0),0)</f>
        <v>0</v>
      </c>
      <c r="BB123" s="8">
        <f>IF(BB115&lt;=$B$4+1,BB118*VLOOKUP(BB115,Assumptions!$A$70:$B$90,2,0),0)</f>
        <v>0</v>
      </c>
      <c r="BC123" s="8">
        <f>IF(BC115&lt;=$B$4+1,BC118*VLOOKUP(BC115,Assumptions!$A$70:$B$90,2,0),0)</f>
        <v>0</v>
      </c>
      <c r="BD123" s="8">
        <f>IF(BD115&lt;=$B$4+1,BD118*VLOOKUP(BD115,Assumptions!$A$70:$B$90,2,0),0)</f>
        <v>0</v>
      </c>
      <c r="BE123" s="8">
        <f>IF(BE115&lt;=$B$4+1,BE118*VLOOKUP(BE115,Assumptions!$A$70:$B$90,2,0),0)</f>
        <v>0</v>
      </c>
      <c r="BF123" s="8">
        <f>IF(BF115&lt;=$B$4+1,BF118*VLOOKUP(BF115,Assumptions!$A$70:$B$90,2,0),0)</f>
        <v>0</v>
      </c>
      <c r="BG123" s="8">
        <f>IF(BG115&lt;=$B$4+1,BG118*VLOOKUP(BG115,Assumptions!$A$70:$B$90,2,0),0)</f>
        <v>0</v>
      </c>
      <c r="BH123" s="8">
        <f>IF(BH115&lt;=$B$4+1,BH118*VLOOKUP(BH115,Assumptions!$A$70:$B$90,2,0),0)</f>
        <v>0</v>
      </c>
      <c r="BI123" s="8">
        <f>IF(BI115&lt;=$B$4+1,BI118*VLOOKUP(BI115,Assumptions!$A$70:$B$90,2,0),0)</f>
        <v>0</v>
      </c>
      <c r="BJ123" s="8">
        <f>IF(BJ115&lt;=$B$4+1,BJ118*VLOOKUP(BJ115,Assumptions!$A$70:$B$90,2,0),0)</f>
        <v>0</v>
      </c>
      <c r="BK123" s="8">
        <f>IF(BK115&lt;=$B$4+1,BK118*VLOOKUP(BK115,Assumptions!$A$70:$B$90,2,0),0)</f>
        <v>0</v>
      </c>
      <c r="BL123" s="8">
        <f>IF(BL115&lt;=$B$4+1,BL118*VLOOKUP(BL115,Assumptions!$A$70:$B$90,2,0),0)</f>
        <v>0</v>
      </c>
      <c r="BM123" s="8">
        <f>IF(BM115&lt;=$B$4+1,BM118*VLOOKUP(BM115,Assumptions!$A$70:$B$90,2,0),0)</f>
        <v>0</v>
      </c>
      <c r="BN123" s="8">
        <f>IF(BN115&lt;=$B$4+1,BN118*VLOOKUP(BN115,Assumptions!$A$70:$B$90,2,0),0)</f>
        <v>0</v>
      </c>
      <c r="BO123" s="8">
        <f>IF(BO115&lt;=$B$4+1,BO118*VLOOKUP(BO115,Assumptions!$A$70:$B$90,2,0),0)</f>
        <v>0</v>
      </c>
      <c r="BP123" s="8">
        <f>IF(BP115&lt;=$B$4+1,BP118*VLOOKUP(BP115,Assumptions!$A$70:$B$90,2,0),0)</f>
        <v>0</v>
      </c>
      <c r="BQ123" s="8">
        <f>IF(BQ115&lt;=$B$4+1,BQ118*VLOOKUP(BQ115,Assumptions!$A$70:$B$90,2,0),0)</f>
        <v>0</v>
      </c>
      <c r="BR123" s="8">
        <f>IF(BR115&lt;=$B$4+1,BR118*VLOOKUP(BR115,Assumptions!$A$70:$B$90,2,0),0)</f>
        <v>0</v>
      </c>
      <c r="BS123" s="8">
        <f>IF(BS115&lt;=$B$4+1,BS118*VLOOKUP(BS115,Assumptions!$A$70:$B$90,2,0),0)</f>
        <v>0</v>
      </c>
      <c r="BT123" s="8">
        <f>IF(BT115&lt;=$B$4+1,BT118*VLOOKUP(BT115,Assumptions!$A$70:$B$90,2,0),0)</f>
        <v>0</v>
      </c>
      <c r="BU123" s="8">
        <f>IF(BU115&lt;=$B$4+1,BU118*VLOOKUP(BU115,Assumptions!$A$70:$B$90,2,0),0)</f>
        <v>0</v>
      </c>
      <c r="BV123" s="8">
        <f>IF(BV115&lt;=$B$4+1,BV118*VLOOKUP(BV115,Assumptions!$A$70:$B$90,2,0),0)</f>
        <v>0</v>
      </c>
      <c r="BW123" s="8">
        <f>IF(BW115&lt;=$B$4+1,BW118*VLOOKUP(BW115,Assumptions!$A$70:$B$90,2,0),0)</f>
        <v>0</v>
      </c>
      <c r="BX123" s="8">
        <f>IF(BX115&lt;=$B$4+1,BX118*VLOOKUP(BX115,Assumptions!$A$70:$B$90,2,0),0)</f>
        <v>0</v>
      </c>
      <c r="BY123" s="8">
        <f>IF(BY115&lt;=$B$4+1,BY118*VLOOKUP(BY115,Assumptions!$A$70:$B$90,2,0),0)</f>
        <v>0</v>
      </c>
      <c r="BZ123" s="8">
        <f>IF(BZ115&lt;=$B$4+1,BZ118*VLOOKUP(BZ115,Assumptions!$A$70:$B$90,2,0),0)</f>
        <v>0</v>
      </c>
      <c r="CA123" s="8">
        <f>IF(CA115&lt;=$B$4+1,CA118*VLOOKUP(CA115,Assumptions!$A$70:$B$90,2,0),0)</f>
        <v>0</v>
      </c>
      <c r="CB123" s="8">
        <f>IF(CB115&lt;=$B$4+1,CB118*VLOOKUP(CB115,Assumptions!$A$70:$B$90,2,0),0)</f>
        <v>0</v>
      </c>
      <c r="CC123" s="8">
        <f>IF(CC115&lt;=$B$4+1,CC118*VLOOKUP(CC115,Assumptions!$A$70:$B$90,2,0),0)</f>
        <v>0</v>
      </c>
      <c r="CD123" s="8">
        <f>IF(CD115&lt;=$B$4+1,CD118*VLOOKUP(CD115,Assumptions!$A$70:$B$90,2,0),0)</f>
        <v>0</v>
      </c>
      <c r="CE123" s="8">
        <f>IF(CE115&lt;=$B$4+1,CE118*VLOOKUP(CE115,Assumptions!$A$70:$B$90,2,0),0)</f>
        <v>0</v>
      </c>
      <c r="CF123" s="8">
        <f>IF(CF115&lt;=$B$4+1,CF118*VLOOKUP(CF115,Assumptions!$A$70:$B$90,2,0),0)</f>
        <v>0</v>
      </c>
      <c r="CG123" s="8">
        <f>IF(CG115&lt;=$B$4+1,CG118*VLOOKUP(CG115,Assumptions!$A$70:$B$90,2,0),0)</f>
        <v>0</v>
      </c>
      <c r="CH123" s="8">
        <f>IF(CH115&lt;=$B$4+1,CH118*VLOOKUP(CH115,Assumptions!$A$70:$B$90,2,0),0)</f>
        <v>0</v>
      </c>
      <c r="CI123" s="8">
        <f>IF(CI115&lt;=$B$4+1,CI118*VLOOKUP(CI115,Assumptions!$A$70:$B$90,2,0),0)</f>
        <v>0</v>
      </c>
      <c r="CJ123" s="8">
        <f>IF(CJ115&lt;=$B$4+1,CJ118*VLOOKUP(CJ115,Assumptions!$A$70:$B$90,2,0),0)</f>
        <v>0</v>
      </c>
      <c r="CK123" s="8">
        <f>IF(CK115&lt;=$B$4+1,CK118*VLOOKUP(CK115,Assumptions!$A$70:$B$90,2,0),0)</f>
        <v>0</v>
      </c>
      <c r="CL123" s="8">
        <f>IF(CL115&lt;=$B$4+1,CL118*VLOOKUP(CL115,Assumptions!$A$70:$B$90,2,0),0)</f>
        <v>0</v>
      </c>
      <c r="CM123" s="8">
        <f>IF(CM115&lt;=$B$4+1,CM118*VLOOKUP(CM115,Assumptions!$A$70:$B$90,2,0),0)</f>
        <v>0</v>
      </c>
      <c r="CN123" s="8">
        <f>IF(CN115&lt;=$B$4+1,CN118*VLOOKUP(CN115,Assumptions!$A$70:$B$90,2,0),0)</f>
        <v>0</v>
      </c>
      <c r="CO123" s="8">
        <f>IF(CO115&lt;=$B$4+1,CO118*VLOOKUP(CO115,Assumptions!$A$70:$B$90,2,0),0)</f>
        <v>0</v>
      </c>
      <c r="CP123" s="8">
        <f>IF(CP115&lt;=$B$4+1,CP118*VLOOKUP(CP115,Assumptions!$A$70:$B$90,2,0),0)</f>
        <v>0</v>
      </c>
      <c r="CQ123" s="8">
        <f>IF(CQ115&lt;=$B$4+1,CQ118*VLOOKUP(CQ115,Assumptions!$A$70:$B$90,2,0),0)</f>
        <v>0</v>
      </c>
      <c r="CR123" s="8">
        <f>IF(CR115&lt;=$B$4+1,CR118*VLOOKUP(CR115,Assumptions!$A$70:$B$90,2,0),0)</f>
        <v>0</v>
      </c>
      <c r="CS123" s="8">
        <f>IF(CS115&lt;=$B$4+1,CS118*VLOOKUP(CS115,Assumptions!$A$70:$B$90,2,0),0)</f>
        <v>0</v>
      </c>
      <c r="CT123" s="8">
        <f>IF(CT115&lt;=$B$4+1,CT118*VLOOKUP(CT115,Assumptions!$A$70:$B$90,2,0),0)</f>
        <v>0</v>
      </c>
      <c r="CU123" s="8">
        <f>IF(CU115&lt;=$B$4+1,CU118*VLOOKUP(CU115,Assumptions!$A$70:$B$90,2,0),0)</f>
        <v>0</v>
      </c>
      <c r="CV123" s="8">
        <f>IF(CV115&lt;=$B$4+1,CV118*VLOOKUP(CV115,Assumptions!$A$70:$B$90,2,0),0)</f>
        <v>0</v>
      </c>
      <c r="CW123" s="8">
        <f>IF(CW115&lt;=$B$4+1,CW118*VLOOKUP(CW115,Assumptions!$A$70:$B$90,2,0),0)</f>
        <v>0</v>
      </c>
      <c r="CX123" s="8">
        <f>IF(CX115&lt;=$B$4+1,CX118*VLOOKUP(CX115,Assumptions!$A$70:$B$90,2,0),0)</f>
        <v>0</v>
      </c>
      <c r="CY123" s="8">
        <f>IF(CY115&lt;=$B$4+1,CY118*VLOOKUP(CY115,Assumptions!$A$70:$B$90,2,0),0)</f>
        <v>0</v>
      </c>
      <c r="CZ123" s="8">
        <f>IF(CZ115&lt;=$B$4+1,CZ118*VLOOKUP(CZ115,Assumptions!$A$70:$B$90,2,0),0)</f>
        <v>0</v>
      </c>
      <c r="DA123" s="8">
        <f>IF(DA115&lt;=$B$4+1,DA118*VLOOKUP(DA115,Assumptions!$A$70:$B$90,2,0),0)</f>
        <v>0</v>
      </c>
      <c r="DB123" s="8"/>
      <c r="DC123" s="8"/>
      <c r="DD123" s="8"/>
    </row>
    <row r="124" spans="3:108" x14ac:dyDescent="0.4">
      <c r="D124" t="s">
        <v>170</v>
      </c>
      <c r="K124" s="8"/>
      <c r="L124" s="8">
        <f>K125</f>
        <v>0</v>
      </c>
      <c r="M124" s="8">
        <f t="shared" ref="M124:BX124" si="136">L125</f>
        <v>-19963.59667547467</v>
      </c>
      <c r="N124" s="8">
        <f t="shared" si="136"/>
        <v>-79500.745846504578</v>
      </c>
      <c r="O124" s="8">
        <f t="shared" si="136"/>
        <v>-132854.88393290172</v>
      </c>
      <c r="P124" s="8">
        <f t="shared" si="136"/>
        <v>-180505.13725487754</v>
      </c>
      <c r="Q124" s="8">
        <f t="shared" si="136"/>
        <v>-222862.18551547037</v>
      </c>
      <c r="R124" s="8">
        <f t="shared" si="136"/>
        <v>-260336.70841771853</v>
      </c>
      <c r="S124" s="8">
        <f t="shared" si="136"/>
        <v>-293282.34681701614</v>
      </c>
      <c r="T124" s="8">
        <f t="shared" si="136"/>
        <v>-322052.74156875734</v>
      </c>
      <c r="U124" s="8">
        <f t="shared" si="136"/>
        <v>-350138.670148768</v>
      </c>
      <c r="V124" s="8">
        <f t="shared" si="136"/>
        <v>-378213.1909592498</v>
      </c>
      <c r="W124" s="8">
        <f t="shared" si="136"/>
        <v>-406299.11953926046</v>
      </c>
      <c r="X124" s="8">
        <f t="shared" si="136"/>
        <v>-434373.64034974226</v>
      </c>
      <c r="Y124" s="8">
        <f t="shared" si="136"/>
        <v>-462459.56892975292</v>
      </c>
      <c r="Z124" s="8">
        <f t="shared" si="136"/>
        <v>-490534.08974023472</v>
      </c>
      <c r="AA124" s="8">
        <f t="shared" si="136"/>
        <v>-518620.01832024538</v>
      </c>
      <c r="AB124" s="8">
        <f t="shared" si="136"/>
        <v>-546694.53913072718</v>
      </c>
      <c r="AC124" s="8">
        <f t="shared" si="136"/>
        <v>-574780.46771073784</v>
      </c>
      <c r="AD124" s="8">
        <f t="shared" si="136"/>
        <v>-602854.9885212197</v>
      </c>
      <c r="AE124" s="8">
        <f t="shared" si="136"/>
        <v>-630940.91710123036</v>
      </c>
      <c r="AF124" s="8">
        <f t="shared" si="136"/>
        <v>-659015.43791171222</v>
      </c>
      <c r="AG124" s="8">
        <f t="shared" si="136"/>
        <v>-661650.63267287484</v>
      </c>
      <c r="AH124" s="8">
        <f t="shared" si="136"/>
        <v>-638835.09361518954</v>
      </c>
      <c r="AI124" s="8">
        <f t="shared" si="136"/>
        <v>-616019.55455750425</v>
      </c>
      <c r="AJ124" s="8">
        <f t="shared" si="136"/>
        <v>-593204.01549981895</v>
      </c>
      <c r="AK124" s="8">
        <f t="shared" si="136"/>
        <v>-570388.47644213366</v>
      </c>
      <c r="AL124" s="8">
        <f t="shared" si="136"/>
        <v>-547572.93738444836</v>
      </c>
      <c r="AM124" s="8">
        <f t="shared" si="136"/>
        <v>-524757.39832676307</v>
      </c>
      <c r="AN124" s="8">
        <f t="shared" si="136"/>
        <v>-501941.85926907771</v>
      </c>
      <c r="AO124" s="8">
        <f t="shared" si="136"/>
        <v>-479126.32021139236</v>
      </c>
      <c r="AP124" s="8">
        <f t="shared" si="136"/>
        <v>-456310.78115370701</v>
      </c>
      <c r="AQ124" s="8">
        <f t="shared" si="136"/>
        <v>-433495.24209602166</v>
      </c>
      <c r="AR124" s="8">
        <f t="shared" si="136"/>
        <v>-410679.7030383363</v>
      </c>
      <c r="AS124" s="8">
        <f t="shared" si="136"/>
        <v>-387864.16398065095</v>
      </c>
      <c r="AT124" s="8">
        <f t="shared" si="136"/>
        <v>-365048.6249229656</v>
      </c>
      <c r="AU124" s="8">
        <f t="shared" si="136"/>
        <v>-342233.08586528024</v>
      </c>
      <c r="AV124" s="8">
        <f t="shared" si="136"/>
        <v>-319417.54680759489</v>
      </c>
      <c r="AW124" s="8">
        <f t="shared" si="136"/>
        <v>-296602.00774990954</v>
      </c>
      <c r="AX124" s="8">
        <f t="shared" si="136"/>
        <v>-273786.46869222418</v>
      </c>
      <c r="AY124" s="8">
        <f t="shared" si="136"/>
        <v>-250970.92963453883</v>
      </c>
      <c r="AZ124" s="8">
        <f t="shared" si="136"/>
        <v>-228155.39057685348</v>
      </c>
      <c r="BA124" s="8">
        <f t="shared" si="136"/>
        <v>-205339.85151916812</v>
      </c>
      <c r="BB124" s="8">
        <f t="shared" si="136"/>
        <v>-182524.31246148277</v>
      </c>
      <c r="BC124" s="8">
        <f t="shared" si="136"/>
        <v>-159708.77340379742</v>
      </c>
      <c r="BD124" s="8">
        <f t="shared" si="136"/>
        <v>-136893.23434611206</v>
      </c>
      <c r="BE124" s="8">
        <f t="shared" si="136"/>
        <v>-114077.69528842672</v>
      </c>
      <c r="BF124" s="8">
        <f t="shared" si="136"/>
        <v>-91262.156230741384</v>
      </c>
      <c r="BG124" s="8">
        <f t="shared" si="136"/>
        <v>-68446.617173056045</v>
      </c>
      <c r="BH124" s="8">
        <f t="shared" si="136"/>
        <v>-45631.078115370707</v>
      </c>
      <c r="BI124" s="8">
        <f t="shared" si="136"/>
        <v>-22815.539057685368</v>
      </c>
      <c r="BJ124" s="8">
        <f t="shared" si="136"/>
        <v>-2.9103830456733704E-11</v>
      </c>
      <c r="BK124" s="8">
        <f t="shared" si="136"/>
        <v>-2.9103830456733704E-11</v>
      </c>
      <c r="BL124" s="8">
        <f t="shared" si="136"/>
        <v>-2.9103830456733704E-11</v>
      </c>
      <c r="BM124" s="8">
        <f t="shared" si="136"/>
        <v>-2.9103830456733704E-11</v>
      </c>
      <c r="BN124" s="8">
        <f t="shared" si="136"/>
        <v>-2.9103830456733704E-11</v>
      </c>
      <c r="BO124" s="8">
        <f t="shared" si="136"/>
        <v>-2.9103830456733704E-11</v>
      </c>
      <c r="BP124" s="8">
        <f t="shared" si="136"/>
        <v>-2.9103830456733704E-11</v>
      </c>
      <c r="BQ124" s="8">
        <f t="shared" si="136"/>
        <v>-2.9103830456733704E-11</v>
      </c>
      <c r="BR124" s="8">
        <f t="shared" si="136"/>
        <v>-2.9103830456733704E-11</v>
      </c>
      <c r="BS124" s="8">
        <f t="shared" si="136"/>
        <v>-2.9103830456733704E-11</v>
      </c>
      <c r="BT124" s="8">
        <f t="shared" si="136"/>
        <v>-2.9103830456733704E-11</v>
      </c>
      <c r="BU124" s="8">
        <f t="shared" si="136"/>
        <v>-2.9103830456733704E-11</v>
      </c>
      <c r="BV124" s="8">
        <f t="shared" si="136"/>
        <v>-2.9103830456733704E-11</v>
      </c>
      <c r="BW124" s="8">
        <f t="shared" si="136"/>
        <v>-2.9103830456733704E-11</v>
      </c>
      <c r="BX124" s="8">
        <f t="shared" si="136"/>
        <v>-2.9103830456733704E-11</v>
      </c>
      <c r="BY124" s="8">
        <f t="shared" ref="BY124:DA124" si="137">BX125</f>
        <v>-2.9103830456733704E-11</v>
      </c>
      <c r="BZ124" s="8">
        <f t="shared" si="137"/>
        <v>-2.9103830456733704E-11</v>
      </c>
      <c r="CA124" s="8">
        <f t="shared" si="137"/>
        <v>-2.9103830456733704E-11</v>
      </c>
      <c r="CB124" s="8">
        <f t="shared" si="137"/>
        <v>-2.9103830456733704E-11</v>
      </c>
      <c r="CC124" s="8">
        <f t="shared" si="137"/>
        <v>-2.9103830456733704E-11</v>
      </c>
      <c r="CD124" s="8">
        <f t="shared" si="137"/>
        <v>-2.9103830456733704E-11</v>
      </c>
      <c r="CE124" s="8">
        <f t="shared" si="137"/>
        <v>-2.9103830456733704E-11</v>
      </c>
      <c r="CF124" s="8">
        <f t="shared" si="137"/>
        <v>-2.9103830456733704E-11</v>
      </c>
      <c r="CG124" s="8">
        <f t="shared" si="137"/>
        <v>-2.9103830456733704E-11</v>
      </c>
      <c r="CH124" s="8">
        <f t="shared" si="137"/>
        <v>-2.9103830456733704E-11</v>
      </c>
      <c r="CI124" s="8">
        <f t="shared" si="137"/>
        <v>-2.9103830456733704E-11</v>
      </c>
      <c r="CJ124" s="8">
        <f t="shared" si="137"/>
        <v>-2.9103830456733704E-11</v>
      </c>
      <c r="CK124" s="8">
        <f t="shared" si="137"/>
        <v>-2.9103830456733704E-11</v>
      </c>
      <c r="CL124" s="8">
        <f t="shared" si="137"/>
        <v>-2.9103830456733704E-11</v>
      </c>
      <c r="CM124" s="8">
        <f t="shared" si="137"/>
        <v>-2.9103830456733704E-11</v>
      </c>
      <c r="CN124" s="8">
        <f t="shared" si="137"/>
        <v>-2.9103830456733704E-11</v>
      </c>
      <c r="CO124" s="8">
        <f t="shared" si="137"/>
        <v>-2.9103830456733704E-11</v>
      </c>
      <c r="CP124" s="8">
        <f t="shared" si="137"/>
        <v>-2.9103830456733704E-11</v>
      </c>
      <c r="CQ124" s="8">
        <f t="shared" si="137"/>
        <v>-2.9103830456733704E-11</v>
      </c>
      <c r="CR124" s="8">
        <f t="shared" si="137"/>
        <v>-2.9103830456733704E-11</v>
      </c>
      <c r="CS124" s="8">
        <f t="shared" si="137"/>
        <v>-2.9103830456733704E-11</v>
      </c>
      <c r="CT124" s="8">
        <f t="shared" si="137"/>
        <v>-2.9103830456733704E-11</v>
      </c>
      <c r="CU124" s="8">
        <f t="shared" si="137"/>
        <v>-2.9103830456733704E-11</v>
      </c>
      <c r="CV124" s="8">
        <f t="shared" si="137"/>
        <v>-2.9103830456733704E-11</v>
      </c>
      <c r="CW124" s="8">
        <f t="shared" si="137"/>
        <v>-2.9103830456733704E-11</v>
      </c>
      <c r="CX124" s="8">
        <f t="shared" si="137"/>
        <v>-2.9103830456733704E-11</v>
      </c>
      <c r="CY124" s="8">
        <f t="shared" si="137"/>
        <v>-2.9103830456733704E-11</v>
      </c>
      <c r="CZ124" s="8">
        <f t="shared" si="137"/>
        <v>-2.9103830456733704E-11</v>
      </c>
      <c r="DA124" s="8">
        <f t="shared" si="137"/>
        <v>-2.9103830456733704E-11</v>
      </c>
      <c r="DB124" s="8"/>
      <c r="DC124" s="8"/>
      <c r="DD124" s="8"/>
    </row>
    <row r="125" spans="3:108" x14ac:dyDescent="0.4">
      <c r="D125" t="s">
        <v>171</v>
      </c>
      <c r="K125" s="8"/>
      <c r="L125" s="8">
        <f t="shared" ref="L125:AQ125" si="138">K125+((L117-L123)*INC_TAX_RATE)</f>
        <v>-19963.59667547467</v>
      </c>
      <c r="M125" s="8">
        <f t="shared" si="138"/>
        <v>-79500.745846504578</v>
      </c>
      <c r="N125" s="8">
        <f t="shared" si="138"/>
        <v>-132854.88393290172</v>
      </c>
      <c r="O125" s="8">
        <f t="shared" si="138"/>
        <v>-180505.13725487754</v>
      </c>
      <c r="P125" s="8">
        <f t="shared" si="138"/>
        <v>-222862.18551547037</v>
      </c>
      <c r="Q125" s="8">
        <f t="shared" si="138"/>
        <v>-260336.70841771853</v>
      </c>
      <c r="R125" s="8">
        <f t="shared" si="138"/>
        <v>-293282.34681701614</v>
      </c>
      <c r="S125" s="8">
        <f t="shared" si="138"/>
        <v>-322052.74156875734</v>
      </c>
      <c r="T125" s="8">
        <f t="shared" si="138"/>
        <v>-350138.670148768</v>
      </c>
      <c r="U125" s="8">
        <f t="shared" si="138"/>
        <v>-378213.1909592498</v>
      </c>
      <c r="V125" s="8">
        <f t="shared" si="138"/>
        <v>-406299.11953926046</v>
      </c>
      <c r="W125" s="8">
        <f t="shared" si="138"/>
        <v>-434373.64034974226</v>
      </c>
      <c r="X125" s="8">
        <f t="shared" si="138"/>
        <v>-462459.56892975292</v>
      </c>
      <c r="Y125" s="8">
        <f t="shared" si="138"/>
        <v>-490534.08974023472</v>
      </c>
      <c r="Z125" s="8">
        <f t="shared" si="138"/>
        <v>-518620.01832024538</v>
      </c>
      <c r="AA125" s="8">
        <f t="shared" si="138"/>
        <v>-546694.53913072718</v>
      </c>
      <c r="AB125" s="8">
        <f t="shared" si="138"/>
        <v>-574780.46771073784</v>
      </c>
      <c r="AC125" s="8">
        <f t="shared" si="138"/>
        <v>-602854.9885212197</v>
      </c>
      <c r="AD125" s="8">
        <f t="shared" si="138"/>
        <v>-630940.91710123036</v>
      </c>
      <c r="AE125" s="8">
        <f t="shared" si="138"/>
        <v>-659015.43791171222</v>
      </c>
      <c r="AF125" s="8">
        <f t="shared" si="138"/>
        <v>-661650.63267287484</v>
      </c>
      <c r="AG125" s="8">
        <f t="shared" si="138"/>
        <v>-638835.09361518954</v>
      </c>
      <c r="AH125" s="8">
        <f t="shared" si="138"/>
        <v>-616019.55455750425</v>
      </c>
      <c r="AI125" s="8">
        <f t="shared" si="138"/>
        <v>-593204.01549981895</v>
      </c>
      <c r="AJ125" s="8">
        <f t="shared" si="138"/>
        <v>-570388.47644213366</v>
      </c>
      <c r="AK125" s="8">
        <f t="shared" si="138"/>
        <v>-547572.93738444836</v>
      </c>
      <c r="AL125" s="8">
        <f t="shared" si="138"/>
        <v>-524757.39832676307</v>
      </c>
      <c r="AM125" s="8">
        <f t="shared" si="138"/>
        <v>-501941.85926907771</v>
      </c>
      <c r="AN125" s="8">
        <f t="shared" si="138"/>
        <v>-479126.32021139236</v>
      </c>
      <c r="AO125" s="8">
        <f t="shared" si="138"/>
        <v>-456310.78115370701</v>
      </c>
      <c r="AP125" s="8">
        <f t="shared" si="138"/>
        <v>-433495.24209602166</v>
      </c>
      <c r="AQ125" s="8">
        <f t="shared" si="138"/>
        <v>-410679.7030383363</v>
      </c>
      <c r="AR125" s="8">
        <f t="shared" ref="AR125:BW125" si="139">AQ125+((AR117-AR123)*INC_TAX_RATE)</f>
        <v>-387864.16398065095</v>
      </c>
      <c r="AS125" s="8">
        <f t="shared" si="139"/>
        <v>-365048.6249229656</v>
      </c>
      <c r="AT125" s="8">
        <f t="shared" si="139"/>
        <v>-342233.08586528024</v>
      </c>
      <c r="AU125" s="8">
        <f t="shared" si="139"/>
        <v>-319417.54680759489</v>
      </c>
      <c r="AV125" s="8">
        <f t="shared" si="139"/>
        <v>-296602.00774990954</v>
      </c>
      <c r="AW125" s="8">
        <f t="shared" si="139"/>
        <v>-273786.46869222418</v>
      </c>
      <c r="AX125" s="8">
        <f t="shared" si="139"/>
        <v>-250970.92963453883</v>
      </c>
      <c r="AY125" s="8">
        <f t="shared" si="139"/>
        <v>-228155.39057685348</v>
      </c>
      <c r="AZ125" s="8">
        <f t="shared" si="139"/>
        <v>-205339.85151916812</v>
      </c>
      <c r="BA125" s="8">
        <f t="shared" si="139"/>
        <v>-182524.31246148277</v>
      </c>
      <c r="BB125" s="8">
        <f t="shared" si="139"/>
        <v>-159708.77340379742</v>
      </c>
      <c r="BC125" s="8">
        <f t="shared" si="139"/>
        <v>-136893.23434611206</v>
      </c>
      <c r="BD125" s="8">
        <f t="shared" si="139"/>
        <v>-114077.69528842672</v>
      </c>
      <c r="BE125" s="8">
        <f t="shared" si="139"/>
        <v>-91262.156230741384</v>
      </c>
      <c r="BF125" s="8">
        <f t="shared" si="139"/>
        <v>-68446.617173056045</v>
      </c>
      <c r="BG125" s="8">
        <f t="shared" si="139"/>
        <v>-45631.078115370707</v>
      </c>
      <c r="BH125" s="8">
        <f t="shared" si="139"/>
        <v>-22815.539057685368</v>
      </c>
      <c r="BI125" s="8">
        <f t="shared" si="139"/>
        <v>-2.9103830456733704E-11</v>
      </c>
      <c r="BJ125" s="8">
        <f t="shared" si="139"/>
        <v>-2.9103830456733704E-11</v>
      </c>
      <c r="BK125" s="8">
        <f t="shared" si="139"/>
        <v>-2.9103830456733704E-11</v>
      </c>
      <c r="BL125" s="8">
        <f t="shared" si="139"/>
        <v>-2.9103830456733704E-11</v>
      </c>
      <c r="BM125" s="8">
        <f t="shared" si="139"/>
        <v>-2.9103830456733704E-11</v>
      </c>
      <c r="BN125" s="8">
        <f t="shared" si="139"/>
        <v>-2.9103830456733704E-11</v>
      </c>
      <c r="BO125" s="8">
        <f t="shared" si="139"/>
        <v>-2.9103830456733704E-11</v>
      </c>
      <c r="BP125" s="8">
        <f t="shared" si="139"/>
        <v>-2.9103830456733704E-11</v>
      </c>
      <c r="BQ125" s="8">
        <f t="shared" si="139"/>
        <v>-2.9103830456733704E-11</v>
      </c>
      <c r="BR125" s="8">
        <f t="shared" si="139"/>
        <v>-2.9103830456733704E-11</v>
      </c>
      <c r="BS125" s="8">
        <f t="shared" si="139"/>
        <v>-2.9103830456733704E-11</v>
      </c>
      <c r="BT125" s="8">
        <f t="shared" si="139"/>
        <v>-2.9103830456733704E-11</v>
      </c>
      <c r="BU125" s="8">
        <f t="shared" si="139"/>
        <v>-2.9103830456733704E-11</v>
      </c>
      <c r="BV125" s="8">
        <f t="shared" si="139"/>
        <v>-2.9103830456733704E-11</v>
      </c>
      <c r="BW125" s="8">
        <f t="shared" si="139"/>
        <v>-2.9103830456733704E-11</v>
      </c>
      <c r="BX125" s="8">
        <f t="shared" ref="BX125:DA125" si="140">BW125+((BX117-BX123)*INC_TAX_RATE)</f>
        <v>-2.9103830456733704E-11</v>
      </c>
      <c r="BY125" s="8">
        <f t="shared" si="140"/>
        <v>-2.9103830456733704E-11</v>
      </c>
      <c r="BZ125" s="8">
        <f t="shared" si="140"/>
        <v>-2.9103830456733704E-11</v>
      </c>
      <c r="CA125" s="8">
        <f t="shared" si="140"/>
        <v>-2.9103830456733704E-11</v>
      </c>
      <c r="CB125" s="8">
        <f t="shared" si="140"/>
        <v>-2.9103830456733704E-11</v>
      </c>
      <c r="CC125" s="8">
        <f t="shared" si="140"/>
        <v>-2.9103830456733704E-11</v>
      </c>
      <c r="CD125" s="8">
        <f t="shared" si="140"/>
        <v>-2.9103830456733704E-11</v>
      </c>
      <c r="CE125" s="8">
        <f t="shared" si="140"/>
        <v>-2.9103830456733704E-11</v>
      </c>
      <c r="CF125" s="8">
        <f t="shared" si="140"/>
        <v>-2.9103830456733704E-11</v>
      </c>
      <c r="CG125" s="8">
        <f t="shared" si="140"/>
        <v>-2.9103830456733704E-11</v>
      </c>
      <c r="CH125" s="8">
        <f t="shared" si="140"/>
        <v>-2.9103830456733704E-11</v>
      </c>
      <c r="CI125" s="8">
        <f t="shared" si="140"/>
        <v>-2.9103830456733704E-11</v>
      </c>
      <c r="CJ125" s="8">
        <f t="shared" si="140"/>
        <v>-2.9103830456733704E-11</v>
      </c>
      <c r="CK125" s="8">
        <f t="shared" si="140"/>
        <v>-2.9103830456733704E-11</v>
      </c>
      <c r="CL125" s="8">
        <f t="shared" si="140"/>
        <v>-2.9103830456733704E-11</v>
      </c>
      <c r="CM125" s="8">
        <f t="shared" si="140"/>
        <v>-2.9103830456733704E-11</v>
      </c>
      <c r="CN125" s="8">
        <f t="shared" si="140"/>
        <v>-2.9103830456733704E-11</v>
      </c>
      <c r="CO125" s="8">
        <f t="shared" si="140"/>
        <v>-2.9103830456733704E-11</v>
      </c>
      <c r="CP125" s="8">
        <f t="shared" si="140"/>
        <v>-2.9103830456733704E-11</v>
      </c>
      <c r="CQ125" s="8">
        <f t="shared" si="140"/>
        <v>-2.9103830456733704E-11</v>
      </c>
      <c r="CR125" s="8">
        <f t="shared" si="140"/>
        <v>-2.9103830456733704E-11</v>
      </c>
      <c r="CS125" s="8">
        <f t="shared" si="140"/>
        <v>-2.9103830456733704E-11</v>
      </c>
      <c r="CT125" s="8">
        <f t="shared" si="140"/>
        <v>-2.9103830456733704E-11</v>
      </c>
      <c r="CU125" s="8">
        <f t="shared" si="140"/>
        <v>-2.9103830456733704E-11</v>
      </c>
      <c r="CV125" s="8">
        <f t="shared" si="140"/>
        <v>-2.9103830456733704E-11</v>
      </c>
      <c r="CW125" s="8">
        <f t="shared" si="140"/>
        <v>-2.9103830456733704E-11</v>
      </c>
      <c r="CX125" s="8">
        <f t="shared" si="140"/>
        <v>-2.9103830456733704E-11</v>
      </c>
      <c r="CY125" s="8">
        <f t="shared" si="140"/>
        <v>-2.9103830456733704E-11</v>
      </c>
      <c r="CZ125" s="8">
        <f t="shared" si="140"/>
        <v>-2.9103830456733704E-11</v>
      </c>
      <c r="DA125" s="8">
        <f t="shared" si="140"/>
        <v>-2.9103830456733704E-11</v>
      </c>
      <c r="DB125" s="8"/>
      <c r="DC125" s="8"/>
      <c r="DD125" s="8"/>
    </row>
    <row r="126" spans="3:108" x14ac:dyDescent="0.4"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8"/>
      <c r="DD126" s="8"/>
    </row>
    <row r="127" spans="3:108" x14ac:dyDescent="0.4">
      <c r="D127" t="s">
        <v>158</v>
      </c>
      <c r="K127" s="8"/>
      <c r="L127" s="8">
        <f>AVERAGE(L120:L121)+AVERAGE(L124:L125)</f>
        <v>4064956.6225730479</v>
      </c>
      <c r="M127" s="8">
        <f t="shared" ref="M127:BX127" si="141">AVERAGE(M120:M121)+AVERAGE(M124:M125)</f>
        <v>3942884.2613485674</v>
      </c>
      <c r="N127" s="8">
        <f t="shared" si="141"/>
        <v>3804116.6294186264</v>
      </c>
      <c r="O127" s="8">
        <f t="shared" si="141"/>
        <v>3671292.4454132118</v>
      </c>
      <c r="P127" s="8">
        <f t="shared" si="141"/>
        <v>3543966.8063206994</v>
      </c>
      <c r="Q127" s="8">
        <f t="shared" si="141"/>
        <v>3421729.032438051</v>
      </c>
      <c r="R127" s="8">
        <f t="shared" si="141"/>
        <v>3304196.9634860498</v>
      </c>
      <c r="S127" s="8">
        <f t="shared" si="141"/>
        <v>3191016.9586093025</v>
      </c>
      <c r="T127" s="8">
        <f t="shared" si="141"/>
        <v>3080266.8086421988</v>
      </c>
      <c r="U127" s="8">
        <f t="shared" si="141"/>
        <v>2969864.5956457243</v>
      </c>
      <c r="V127" s="8">
        <f t="shared" si="141"/>
        <v>2859462.3826492499</v>
      </c>
      <c r="W127" s="8">
        <f t="shared" si="141"/>
        <v>2749060.1696527759</v>
      </c>
      <c r="X127" s="8">
        <f t="shared" si="141"/>
        <v>2638657.9566563019</v>
      </c>
      <c r="Y127" s="8">
        <f t="shared" si="141"/>
        <v>2528255.7436598274</v>
      </c>
      <c r="Z127" s="8">
        <f t="shared" si="141"/>
        <v>2417853.5306633534</v>
      </c>
      <c r="AA127" s="8">
        <f t="shared" si="141"/>
        <v>2307451.3176668789</v>
      </c>
      <c r="AB127" s="8">
        <f t="shared" si="141"/>
        <v>2197049.1046704049</v>
      </c>
      <c r="AC127" s="8">
        <f t="shared" si="141"/>
        <v>2086646.8916739305</v>
      </c>
      <c r="AD127" s="8">
        <f t="shared" si="141"/>
        <v>1976244.6786774562</v>
      </c>
      <c r="AE127" s="8">
        <f t="shared" si="141"/>
        <v>1865842.4656809818</v>
      </c>
      <c r="AF127" s="8">
        <f t="shared" si="141"/>
        <v>1768165.6195939318</v>
      </c>
      <c r="AG127" s="8">
        <f t="shared" si="141"/>
        <v>1695933.8034409648</v>
      </c>
      <c r="AH127" s="8">
        <f t="shared" si="141"/>
        <v>1636427.3541974223</v>
      </c>
      <c r="AI127" s="8">
        <f t="shared" si="141"/>
        <v>1576920.9049538793</v>
      </c>
      <c r="AJ127" s="8">
        <f t="shared" si="141"/>
        <v>1517414.4557103368</v>
      </c>
      <c r="AK127" s="8">
        <f t="shared" si="141"/>
        <v>1457908.0064667938</v>
      </c>
      <c r="AL127" s="8">
        <f t="shared" si="141"/>
        <v>1398401.5572232513</v>
      </c>
      <c r="AM127" s="8">
        <f t="shared" si="141"/>
        <v>1338895.1079797088</v>
      </c>
      <c r="AN127" s="8">
        <f t="shared" si="141"/>
        <v>1279388.6587361665</v>
      </c>
      <c r="AO127" s="8">
        <f t="shared" si="141"/>
        <v>1219882.2094926238</v>
      </c>
      <c r="AP127" s="8">
        <f t="shared" si="141"/>
        <v>1160375.7602490815</v>
      </c>
      <c r="AQ127" s="8">
        <f t="shared" si="141"/>
        <v>1100869.311005539</v>
      </c>
      <c r="AR127" s="8">
        <f t="shared" si="141"/>
        <v>1041362.8617619966</v>
      </c>
      <c r="AS127" s="8">
        <f t="shared" si="141"/>
        <v>981856.41251845413</v>
      </c>
      <c r="AT127" s="8">
        <f t="shared" si="141"/>
        <v>922349.96327491174</v>
      </c>
      <c r="AU127" s="8">
        <f t="shared" si="141"/>
        <v>862843.51403136924</v>
      </c>
      <c r="AV127" s="8">
        <f t="shared" si="141"/>
        <v>803337.06478782685</v>
      </c>
      <c r="AW127" s="8">
        <f t="shared" si="141"/>
        <v>743830.61554428434</v>
      </c>
      <c r="AX127" s="8">
        <f t="shared" si="141"/>
        <v>684324.16630074196</v>
      </c>
      <c r="AY127" s="8">
        <f t="shared" si="141"/>
        <v>624817.71705719945</v>
      </c>
      <c r="AZ127" s="8">
        <f t="shared" si="141"/>
        <v>565311.26781365706</v>
      </c>
      <c r="BA127" s="8">
        <f t="shared" si="141"/>
        <v>505804.81857011456</v>
      </c>
      <c r="BB127" s="8">
        <f t="shared" si="141"/>
        <v>446298.36932657217</v>
      </c>
      <c r="BC127" s="8">
        <f t="shared" si="141"/>
        <v>386791.92008302966</v>
      </c>
      <c r="BD127" s="8">
        <f t="shared" si="141"/>
        <v>327285.47083948727</v>
      </c>
      <c r="BE127" s="8">
        <f t="shared" si="141"/>
        <v>267779.02159594477</v>
      </c>
      <c r="BF127" s="8">
        <f t="shared" si="141"/>
        <v>208272.57235240232</v>
      </c>
      <c r="BG127" s="8">
        <f t="shared" si="141"/>
        <v>148766.12310885984</v>
      </c>
      <c r="BH127" s="8">
        <f t="shared" si="141"/>
        <v>89259.673865317396</v>
      </c>
      <c r="BI127" s="8">
        <f t="shared" si="141"/>
        <v>29753.224621774927</v>
      </c>
      <c r="BJ127" s="8">
        <f t="shared" si="141"/>
        <v>1.8335413187742233E-9</v>
      </c>
      <c r="BK127" s="8">
        <f t="shared" si="141"/>
        <v>-2.9103830456733704E-11</v>
      </c>
      <c r="BL127" s="8">
        <f t="shared" si="141"/>
        <v>-2.9103830456733704E-11</v>
      </c>
      <c r="BM127" s="8">
        <f t="shared" si="141"/>
        <v>-2.9103830456733704E-11</v>
      </c>
      <c r="BN127" s="8">
        <f t="shared" si="141"/>
        <v>-2.9103830456733704E-11</v>
      </c>
      <c r="BO127" s="8">
        <f t="shared" si="141"/>
        <v>-2.9103830456733704E-11</v>
      </c>
      <c r="BP127" s="8">
        <f t="shared" si="141"/>
        <v>-2.9103830456733704E-11</v>
      </c>
      <c r="BQ127" s="8">
        <f t="shared" si="141"/>
        <v>-2.9103830456733704E-11</v>
      </c>
      <c r="BR127" s="8">
        <f t="shared" si="141"/>
        <v>-2.9103830456733704E-11</v>
      </c>
      <c r="BS127" s="8">
        <f t="shared" si="141"/>
        <v>-2.9103830456733704E-11</v>
      </c>
      <c r="BT127" s="8">
        <f t="shared" si="141"/>
        <v>-2.9103830456733704E-11</v>
      </c>
      <c r="BU127" s="8">
        <f t="shared" si="141"/>
        <v>-2.9103830456733704E-11</v>
      </c>
      <c r="BV127" s="8">
        <f t="shared" si="141"/>
        <v>-2.9103830456733704E-11</v>
      </c>
      <c r="BW127" s="8">
        <f t="shared" si="141"/>
        <v>-2.9103830456733704E-11</v>
      </c>
      <c r="BX127" s="8">
        <f t="shared" si="141"/>
        <v>-2.9103830456733704E-11</v>
      </c>
      <c r="BY127" s="8">
        <f t="shared" ref="BY127:DA127" si="142">AVERAGE(BY120:BY121)+AVERAGE(BY124:BY125)</f>
        <v>-2.9103830456733704E-11</v>
      </c>
      <c r="BZ127" s="8">
        <f t="shared" si="142"/>
        <v>-2.9103830456733704E-11</v>
      </c>
      <c r="CA127" s="8">
        <f t="shared" si="142"/>
        <v>-2.9103830456733704E-11</v>
      </c>
      <c r="CB127" s="8">
        <f t="shared" si="142"/>
        <v>-2.9103830456733704E-11</v>
      </c>
      <c r="CC127" s="8">
        <f t="shared" si="142"/>
        <v>-2.9103830456733704E-11</v>
      </c>
      <c r="CD127" s="8">
        <f t="shared" si="142"/>
        <v>-2.9103830456733704E-11</v>
      </c>
      <c r="CE127" s="8">
        <f t="shared" si="142"/>
        <v>-2.9103830456733704E-11</v>
      </c>
      <c r="CF127" s="8">
        <f t="shared" si="142"/>
        <v>-2.9103830456733704E-11</v>
      </c>
      <c r="CG127" s="8">
        <f t="shared" si="142"/>
        <v>-2.9103830456733704E-11</v>
      </c>
      <c r="CH127" s="8">
        <f t="shared" si="142"/>
        <v>-2.9103830456733704E-11</v>
      </c>
      <c r="CI127" s="8">
        <f t="shared" si="142"/>
        <v>-2.9103830456733704E-11</v>
      </c>
      <c r="CJ127" s="8">
        <f t="shared" si="142"/>
        <v>-2.9103830456733704E-11</v>
      </c>
      <c r="CK127" s="8">
        <f t="shared" si="142"/>
        <v>-2.9103830456733704E-11</v>
      </c>
      <c r="CL127" s="8">
        <f t="shared" si="142"/>
        <v>-2.9103830456733704E-11</v>
      </c>
      <c r="CM127" s="8">
        <f t="shared" si="142"/>
        <v>-2.9103830456733704E-11</v>
      </c>
      <c r="CN127" s="8">
        <f t="shared" si="142"/>
        <v>-2.9103830456733704E-11</v>
      </c>
      <c r="CO127" s="8">
        <f t="shared" si="142"/>
        <v>-2.9103830456733704E-11</v>
      </c>
      <c r="CP127" s="8">
        <f t="shared" si="142"/>
        <v>-2.9103830456733704E-11</v>
      </c>
      <c r="CQ127" s="8">
        <f t="shared" si="142"/>
        <v>-2.9103830456733704E-11</v>
      </c>
      <c r="CR127" s="8">
        <f t="shared" si="142"/>
        <v>-2.9103830456733704E-11</v>
      </c>
      <c r="CS127" s="8">
        <f t="shared" si="142"/>
        <v>-2.9103830456733704E-11</v>
      </c>
      <c r="CT127" s="8">
        <f t="shared" si="142"/>
        <v>-2.9103830456733704E-11</v>
      </c>
      <c r="CU127" s="8">
        <f t="shared" si="142"/>
        <v>-2.9103830456733704E-11</v>
      </c>
      <c r="CV127" s="8">
        <f t="shared" si="142"/>
        <v>-2.9103830456733704E-11</v>
      </c>
      <c r="CW127" s="8">
        <f t="shared" si="142"/>
        <v>-2.9103830456733704E-11</v>
      </c>
      <c r="CX127" s="8">
        <f t="shared" si="142"/>
        <v>-2.9103830456733704E-11</v>
      </c>
      <c r="CY127" s="8">
        <f t="shared" si="142"/>
        <v>-2.9103830456733704E-11</v>
      </c>
      <c r="CZ127" s="8">
        <f t="shared" si="142"/>
        <v>-2.9103830456733704E-11</v>
      </c>
      <c r="DA127" s="8">
        <f t="shared" si="142"/>
        <v>-2.9103830456733704E-11</v>
      </c>
      <c r="DB127" s="8"/>
      <c r="DC127" s="8"/>
      <c r="DD127" s="8"/>
    </row>
    <row r="128" spans="3:108" x14ac:dyDescent="0.4"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</row>
    <row r="129" spans="3:109" x14ac:dyDescent="0.4">
      <c r="D129" t="s">
        <v>209</v>
      </c>
      <c r="K129" s="8"/>
      <c r="L129" s="8">
        <f t="shared" ref="L129:AQ129" si="143">L127*AVG_PRE_TAX_RATE</f>
        <v>363000.6263957732</v>
      </c>
      <c r="M129" s="8">
        <f t="shared" si="143"/>
        <v>352099.5645384271</v>
      </c>
      <c r="N129" s="8">
        <f t="shared" si="143"/>
        <v>339707.61500708334</v>
      </c>
      <c r="O129" s="8">
        <f t="shared" si="143"/>
        <v>327846.41537539981</v>
      </c>
      <c r="P129" s="8">
        <f t="shared" si="143"/>
        <v>316476.23580443847</v>
      </c>
      <c r="Q129" s="8">
        <f t="shared" si="143"/>
        <v>305560.40259671799</v>
      </c>
      <c r="R129" s="8">
        <f t="shared" si="143"/>
        <v>295064.78883930424</v>
      </c>
      <c r="S129" s="8">
        <f t="shared" si="143"/>
        <v>284957.81440381071</v>
      </c>
      <c r="T129" s="8">
        <f t="shared" si="143"/>
        <v>275067.82601174834</v>
      </c>
      <c r="U129" s="8">
        <f t="shared" si="143"/>
        <v>265208.90839116322</v>
      </c>
      <c r="V129" s="8">
        <f t="shared" si="143"/>
        <v>255349.99077057804</v>
      </c>
      <c r="W129" s="8">
        <f t="shared" si="143"/>
        <v>245491.07314999291</v>
      </c>
      <c r="X129" s="8">
        <f t="shared" si="143"/>
        <v>235632.15552940776</v>
      </c>
      <c r="Y129" s="8">
        <f t="shared" si="143"/>
        <v>225773.2379088226</v>
      </c>
      <c r="Z129" s="8">
        <f t="shared" si="143"/>
        <v>215914.32028823748</v>
      </c>
      <c r="AA129" s="8">
        <f t="shared" si="143"/>
        <v>206055.40266765229</v>
      </c>
      <c r="AB129" s="8">
        <f t="shared" si="143"/>
        <v>196196.48504706717</v>
      </c>
      <c r="AC129" s="8">
        <f t="shared" si="143"/>
        <v>186337.56742648201</v>
      </c>
      <c r="AD129" s="8">
        <f t="shared" si="143"/>
        <v>176478.64980589686</v>
      </c>
      <c r="AE129" s="8">
        <f t="shared" si="143"/>
        <v>166619.73218531167</v>
      </c>
      <c r="AF129" s="8">
        <f t="shared" si="143"/>
        <v>157897.18982973811</v>
      </c>
      <c r="AG129" s="8">
        <f t="shared" si="143"/>
        <v>151446.88864727816</v>
      </c>
      <c r="AH129" s="8">
        <f t="shared" si="143"/>
        <v>146132.96272982983</v>
      </c>
      <c r="AI129" s="8">
        <f t="shared" si="143"/>
        <v>140819.03681238144</v>
      </c>
      <c r="AJ129" s="8">
        <f t="shared" si="143"/>
        <v>135505.11089493308</v>
      </c>
      <c r="AK129" s="8">
        <f t="shared" si="143"/>
        <v>130191.18497748469</v>
      </c>
      <c r="AL129" s="8">
        <f t="shared" si="143"/>
        <v>124877.25906003635</v>
      </c>
      <c r="AM129" s="8">
        <f t="shared" si="143"/>
        <v>119563.333142588</v>
      </c>
      <c r="AN129" s="8">
        <f t="shared" si="143"/>
        <v>114249.40722513967</v>
      </c>
      <c r="AO129" s="8">
        <f t="shared" si="143"/>
        <v>108935.48130769131</v>
      </c>
      <c r="AP129" s="8">
        <f t="shared" si="143"/>
        <v>103621.55539024298</v>
      </c>
      <c r="AQ129" s="8">
        <f t="shared" si="143"/>
        <v>98307.629472794637</v>
      </c>
      <c r="AR129" s="8">
        <f t="shared" ref="AR129:BW129" si="144">AR127*AVG_PRE_TAX_RATE</f>
        <v>92993.703555346307</v>
      </c>
      <c r="AS129" s="8">
        <f t="shared" si="144"/>
        <v>87679.777637897962</v>
      </c>
      <c r="AT129" s="8">
        <f t="shared" si="144"/>
        <v>82365.851720449617</v>
      </c>
      <c r="AU129" s="8">
        <f t="shared" si="144"/>
        <v>77051.925803001272</v>
      </c>
      <c r="AV129" s="8">
        <f t="shared" si="144"/>
        <v>71737.999885552941</v>
      </c>
      <c r="AW129" s="8">
        <f t="shared" si="144"/>
        <v>66424.073968104596</v>
      </c>
      <c r="AX129" s="8">
        <f t="shared" si="144"/>
        <v>61110.148050656258</v>
      </c>
      <c r="AY129" s="8">
        <f t="shared" si="144"/>
        <v>55796.222133207913</v>
      </c>
      <c r="AZ129" s="8">
        <f t="shared" si="144"/>
        <v>50482.296215759576</v>
      </c>
      <c r="BA129" s="8">
        <f t="shared" si="144"/>
        <v>45168.370298311231</v>
      </c>
      <c r="BB129" s="8">
        <f t="shared" si="144"/>
        <v>39854.444380862893</v>
      </c>
      <c r="BC129" s="8">
        <f t="shared" si="144"/>
        <v>34540.518463414548</v>
      </c>
      <c r="BD129" s="8">
        <f t="shared" si="144"/>
        <v>29226.592545966214</v>
      </c>
      <c r="BE129" s="8">
        <f t="shared" si="144"/>
        <v>23912.666628517869</v>
      </c>
      <c r="BF129" s="8">
        <f t="shared" si="144"/>
        <v>18598.740711069528</v>
      </c>
      <c r="BG129" s="8">
        <f t="shared" si="144"/>
        <v>13284.814793621184</v>
      </c>
      <c r="BH129" s="8">
        <f t="shared" si="144"/>
        <v>7970.888876172844</v>
      </c>
      <c r="BI129" s="8">
        <f t="shared" si="144"/>
        <v>2656.9629587245013</v>
      </c>
      <c r="BJ129" s="8">
        <f t="shared" si="144"/>
        <v>1.6373523976653816E-10</v>
      </c>
      <c r="BK129" s="8">
        <f t="shared" si="144"/>
        <v>-2.5989720597863199E-12</v>
      </c>
      <c r="BL129" s="8">
        <f t="shared" si="144"/>
        <v>-2.5989720597863199E-12</v>
      </c>
      <c r="BM129" s="8">
        <f t="shared" si="144"/>
        <v>-2.5989720597863199E-12</v>
      </c>
      <c r="BN129" s="8">
        <f t="shared" si="144"/>
        <v>-2.5989720597863199E-12</v>
      </c>
      <c r="BO129" s="8">
        <f t="shared" si="144"/>
        <v>-2.5989720597863199E-12</v>
      </c>
      <c r="BP129" s="8">
        <f t="shared" si="144"/>
        <v>-2.5989720597863199E-12</v>
      </c>
      <c r="BQ129" s="8">
        <f t="shared" si="144"/>
        <v>-2.5989720597863199E-12</v>
      </c>
      <c r="BR129" s="8">
        <f t="shared" si="144"/>
        <v>-2.5989720597863199E-12</v>
      </c>
      <c r="BS129" s="8">
        <f t="shared" si="144"/>
        <v>-2.5989720597863199E-12</v>
      </c>
      <c r="BT129" s="8">
        <f t="shared" si="144"/>
        <v>-2.5989720597863199E-12</v>
      </c>
      <c r="BU129" s="8">
        <f t="shared" si="144"/>
        <v>-2.5989720597863199E-12</v>
      </c>
      <c r="BV129" s="8">
        <f t="shared" si="144"/>
        <v>-2.5989720597863199E-12</v>
      </c>
      <c r="BW129" s="8">
        <f t="shared" si="144"/>
        <v>-2.5989720597863199E-12</v>
      </c>
      <c r="BX129" s="8">
        <f t="shared" ref="BX129:DA129" si="145">BX127*AVG_PRE_TAX_RATE</f>
        <v>-2.5989720597863199E-12</v>
      </c>
      <c r="BY129" s="8">
        <f t="shared" si="145"/>
        <v>-2.5989720597863199E-12</v>
      </c>
      <c r="BZ129" s="8">
        <f t="shared" si="145"/>
        <v>-2.5989720597863199E-12</v>
      </c>
      <c r="CA129" s="8">
        <f t="shared" si="145"/>
        <v>-2.5989720597863199E-12</v>
      </c>
      <c r="CB129" s="8">
        <f t="shared" si="145"/>
        <v>-2.5989720597863199E-12</v>
      </c>
      <c r="CC129" s="8">
        <f t="shared" si="145"/>
        <v>-2.5989720597863199E-12</v>
      </c>
      <c r="CD129" s="8">
        <f t="shared" si="145"/>
        <v>-2.5989720597863199E-12</v>
      </c>
      <c r="CE129" s="8">
        <f t="shared" si="145"/>
        <v>-2.5989720597863199E-12</v>
      </c>
      <c r="CF129" s="8">
        <f t="shared" si="145"/>
        <v>-2.5989720597863199E-12</v>
      </c>
      <c r="CG129" s="8">
        <f t="shared" si="145"/>
        <v>-2.5989720597863199E-12</v>
      </c>
      <c r="CH129" s="8">
        <f t="shared" si="145"/>
        <v>-2.5989720597863199E-12</v>
      </c>
      <c r="CI129" s="8">
        <f t="shared" si="145"/>
        <v>-2.5989720597863199E-12</v>
      </c>
      <c r="CJ129" s="8">
        <f t="shared" si="145"/>
        <v>-2.5989720597863199E-12</v>
      </c>
      <c r="CK129" s="8">
        <f t="shared" si="145"/>
        <v>-2.5989720597863199E-12</v>
      </c>
      <c r="CL129" s="8">
        <f t="shared" si="145"/>
        <v>-2.5989720597863199E-12</v>
      </c>
      <c r="CM129" s="8">
        <f t="shared" si="145"/>
        <v>-2.5989720597863199E-12</v>
      </c>
      <c r="CN129" s="8">
        <f t="shared" si="145"/>
        <v>-2.5989720597863199E-12</v>
      </c>
      <c r="CO129" s="8">
        <f t="shared" si="145"/>
        <v>-2.5989720597863199E-12</v>
      </c>
      <c r="CP129" s="8">
        <f t="shared" si="145"/>
        <v>-2.5989720597863199E-12</v>
      </c>
      <c r="CQ129" s="8">
        <f t="shared" si="145"/>
        <v>-2.5989720597863199E-12</v>
      </c>
      <c r="CR129" s="8">
        <f t="shared" si="145"/>
        <v>-2.5989720597863199E-12</v>
      </c>
      <c r="CS129" s="8">
        <f t="shared" si="145"/>
        <v>-2.5989720597863199E-12</v>
      </c>
      <c r="CT129" s="8">
        <f t="shared" si="145"/>
        <v>-2.5989720597863199E-12</v>
      </c>
      <c r="CU129" s="8">
        <f t="shared" si="145"/>
        <v>-2.5989720597863199E-12</v>
      </c>
      <c r="CV129" s="8">
        <f t="shared" si="145"/>
        <v>-2.5989720597863199E-12</v>
      </c>
      <c r="CW129" s="8">
        <f t="shared" si="145"/>
        <v>-2.5989720597863199E-12</v>
      </c>
      <c r="CX129" s="8">
        <f t="shared" si="145"/>
        <v>-2.5989720597863199E-12</v>
      </c>
      <c r="CY129" s="8">
        <f t="shared" si="145"/>
        <v>-2.5989720597863199E-12</v>
      </c>
      <c r="CZ129" s="8">
        <f t="shared" si="145"/>
        <v>-2.5989720597863199E-12</v>
      </c>
      <c r="DA129" s="8">
        <f t="shared" si="145"/>
        <v>-2.5989720597863199E-12</v>
      </c>
      <c r="DB129" s="8"/>
      <c r="DC129" s="8"/>
      <c r="DD129" s="8"/>
    </row>
    <row r="132" spans="3:109" x14ac:dyDescent="0.4">
      <c r="C132" s="58" t="str">
        <f>C115</f>
        <v>Investment year in service</v>
      </c>
      <c r="E132" t="str">
        <f>IF(E133&lt;$C133,"",E133-$C133)</f>
        <v/>
      </c>
      <c r="F132" t="str">
        <f>IF(F133&lt;$C133,"",F133-$C133)</f>
        <v/>
      </c>
      <c r="G132" t="str">
        <f t="shared" ref="G132:BR132" si="146">IF(G133&lt;$C133,"",G133-$C133)</f>
        <v/>
      </c>
      <c r="H132" t="str">
        <f t="shared" si="146"/>
        <v/>
      </c>
      <c r="I132" t="str">
        <f t="shared" si="146"/>
        <v/>
      </c>
      <c r="J132" t="str">
        <f t="shared" si="146"/>
        <v/>
      </c>
      <c r="K132" t="str">
        <f t="shared" si="146"/>
        <v/>
      </c>
      <c r="L132">
        <f t="shared" si="146"/>
        <v>0</v>
      </c>
      <c r="M132">
        <f t="shared" si="146"/>
        <v>1</v>
      </c>
      <c r="N132">
        <f t="shared" si="146"/>
        <v>2</v>
      </c>
      <c r="O132">
        <f t="shared" si="146"/>
        <v>3</v>
      </c>
      <c r="P132">
        <f t="shared" si="146"/>
        <v>4</v>
      </c>
      <c r="Q132">
        <f t="shared" si="146"/>
        <v>5</v>
      </c>
      <c r="R132">
        <f t="shared" si="146"/>
        <v>6</v>
      </c>
      <c r="S132">
        <f t="shared" si="146"/>
        <v>7</v>
      </c>
      <c r="T132">
        <f t="shared" si="146"/>
        <v>8</v>
      </c>
      <c r="U132">
        <f t="shared" si="146"/>
        <v>9</v>
      </c>
      <c r="V132">
        <f t="shared" si="146"/>
        <v>10</v>
      </c>
      <c r="W132">
        <f t="shared" si="146"/>
        <v>11</v>
      </c>
      <c r="X132">
        <f t="shared" si="146"/>
        <v>12</v>
      </c>
      <c r="Y132">
        <f t="shared" si="146"/>
        <v>13</v>
      </c>
      <c r="Z132">
        <f t="shared" si="146"/>
        <v>14</v>
      </c>
      <c r="AA132">
        <f t="shared" si="146"/>
        <v>15</v>
      </c>
      <c r="AB132">
        <f t="shared" si="146"/>
        <v>16</v>
      </c>
      <c r="AC132">
        <f t="shared" si="146"/>
        <v>17</v>
      </c>
      <c r="AD132">
        <f t="shared" si="146"/>
        <v>18</v>
      </c>
      <c r="AE132">
        <f t="shared" si="146"/>
        <v>19</v>
      </c>
      <c r="AF132">
        <f t="shared" si="146"/>
        <v>20</v>
      </c>
      <c r="AG132">
        <f t="shared" si="146"/>
        <v>21</v>
      </c>
      <c r="AH132">
        <f t="shared" si="146"/>
        <v>22</v>
      </c>
      <c r="AI132">
        <f t="shared" si="146"/>
        <v>23</v>
      </c>
      <c r="AJ132">
        <f t="shared" si="146"/>
        <v>24</v>
      </c>
      <c r="AK132">
        <f t="shared" si="146"/>
        <v>25</v>
      </c>
      <c r="AL132">
        <f t="shared" si="146"/>
        <v>26</v>
      </c>
      <c r="AM132">
        <f t="shared" si="146"/>
        <v>27</v>
      </c>
      <c r="AN132">
        <f t="shared" si="146"/>
        <v>28</v>
      </c>
      <c r="AO132">
        <f t="shared" si="146"/>
        <v>29</v>
      </c>
      <c r="AP132">
        <f t="shared" si="146"/>
        <v>30</v>
      </c>
      <c r="AQ132">
        <f t="shared" si="146"/>
        <v>31</v>
      </c>
      <c r="AR132">
        <f t="shared" si="146"/>
        <v>32</v>
      </c>
      <c r="AS132">
        <f t="shared" si="146"/>
        <v>33</v>
      </c>
      <c r="AT132">
        <f t="shared" si="146"/>
        <v>34</v>
      </c>
      <c r="AU132">
        <f t="shared" si="146"/>
        <v>35</v>
      </c>
      <c r="AV132">
        <f t="shared" si="146"/>
        <v>36</v>
      </c>
      <c r="AW132">
        <f t="shared" si="146"/>
        <v>37</v>
      </c>
      <c r="AX132">
        <f t="shared" si="146"/>
        <v>38</v>
      </c>
      <c r="AY132">
        <f t="shared" si="146"/>
        <v>39</v>
      </c>
      <c r="AZ132">
        <f t="shared" si="146"/>
        <v>40</v>
      </c>
      <c r="BA132">
        <f t="shared" si="146"/>
        <v>41</v>
      </c>
      <c r="BB132">
        <f t="shared" si="146"/>
        <v>42</v>
      </c>
      <c r="BC132">
        <f t="shared" si="146"/>
        <v>43</v>
      </c>
      <c r="BD132">
        <f t="shared" si="146"/>
        <v>44</v>
      </c>
      <c r="BE132">
        <f t="shared" si="146"/>
        <v>45</v>
      </c>
      <c r="BF132">
        <f t="shared" si="146"/>
        <v>46</v>
      </c>
      <c r="BG132">
        <f t="shared" si="146"/>
        <v>47</v>
      </c>
      <c r="BH132">
        <f t="shared" si="146"/>
        <v>48</v>
      </c>
      <c r="BI132">
        <f t="shared" si="146"/>
        <v>49</v>
      </c>
      <c r="BJ132">
        <f t="shared" si="146"/>
        <v>50</v>
      </c>
      <c r="BK132">
        <f t="shared" si="146"/>
        <v>51</v>
      </c>
      <c r="BL132">
        <f t="shared" si="146"/>
        <v>52</v>
      </c>
      <c r="BM132">
        <f t="shared" si="146"/>
        <v>53</v>
      </c>
      <c r="BN132">
        <f t="shared" si="146"/>
        <v>54</v>
      </c>
      <c r="BO132">
        <f t="shared" si="146"/>
        <v>55</v>
      </c>
      <c r="BP132">
        <f t="shared" si="146"/>
        <v>56</v>
      </c>
      <c r="BQ132">
        <f t="shared" si="146"/>
        <v>57</v>
      </c>
      <c r="BR132">
        <f t="shared" si="146"/>
        <v>58</v>
      </c>
      <c r="BS132">
        <f t="shared" ref="BS132:DA132" si="147">IF(BS133&lt;$C133,"",BS133-$C133)</f>
        <v>59</v>
      </c>
      <c r="BT132">
        <f t="shared" si="147"/>
        <v>60</v>
      </c>
      <c r="BU132">
        <f t="shared" si="147"/>
        <v>61</v>
      </c>
      <c r="BV132">
        <f t="shared" si="147"/>
        <v>62</v>
      </c>
      <c r="BW132">
        <f t="shared" si="147"/>
        <v>63</v>
      </c>
      <c r="BX132">
        <f t="shared" si="147"/>
        <v>64</v>
      </c>
      <c r="BY132">
        <f t="shared" si="147"/>
        <v>65</v>
      </c>
      <c r="BZ132">
        <f t="shared" si="147"/>
        <v>66</v>
      </c>
      <c r="CA132">
        <f t="shared" si="147"/>
        <v>67</v>
      </c>
      <c r="CB132">
        <f t="shared" si="147"/>
        <v>68</v>
      </c>
      <c r="CC132">
        <f t="shared" si="147"/>
        <v>69</v>
      </c>
      <c r="CD132">
        <f t="shared" si="147"/>
        <v>70</v>
      </c>
      <c r="CE132">
        <f t="shared" si="147"/>
        <v>71</v>
      </c>
      <c r="CF132">
        <f t="shared" si="147"/>
        <v>72</v>
      </c>
      <c r="CG132">
        <f t="shared" si="147"/>
        <v>73</v>
      </c>
      <c r="CH132">
        <f t="shared" si="147"/>
        <v>74</v>
      </c>
      <c r="CI132">
        <f t="shared" si="147"/>
        <v>75</v>
      </c>
      <c r="CJ132">
        <f t="shared" si="147"/>
        <v>76</v>
      </c>
      <c r="CK132">
        <f t="shared" si="147"/>
        <v>77</v>
      </c>
      <c r="CL132">
        <f t="shared" si="147"/>
        <v>78</v>
      </c>
      <c r="CM132">
        <f t="shared" si="147"/>
        <v>79</v>
      </c>
      <c r="CN132">
        <f t="shared" si="147"/>
        <v>80</v>
      </c>
      <c r="CO132">
        <f t="shared" si="147"/>
        <v>81</v>
      </c>
      <c r="CP132">
        <f t="shared" si="147"/>
        <v>82</v>
      </c>
      <c r="CQ132">
        <f t="shared" si="147"/>
        <v>83</v>
      </c>
      <c r="CR132">
        <f t="shared" si="147"/>
        <v>84</v>
      </c>
      <c r="CS132">
        <f t="shared" si="147"/>
        <v>85</v>
      </c>
      <c r="CT132">
        <f t="shared" si="147"/>
        <v>86</v>
      </c>
      <c r="CU132">
        <f t="shared" si="147"/>
        <v>87</v>
      </c>
      <c r="CV132">
        <f t="shared" si="147"/>
        <v>88</v>
      </c>
      <c r="CW132">
        <f t="shared" si="147"/>
        <v>89</v>
      </c>
      <c r="CX132">
        <f t="shared" si="147"/>
        <v>90</v>
      </c>
      <c r="CY132">
        <f t="shared" si="147"/>
        <v>91</v>
      </c>
      <c r="CZ132">
        <f t="shared" si="147"/>
        <v>92</v>
      </c>
      <c r="DA132">
        <f t="shared" si="147"/>
        <v>93</v>
      </c>
    </row>
    <row r="133" spans="3:109" x14ac:dyDescent="0.4">
      <c r="C133">
        <f>C116+1</f>
        <v>2034</v>
      </c>
      <c r="D133" s="5" t="s">
        <v>434</v>
      </c>
      <c r="E133" s="5">
        <v>2027</v>
      </c>
      <c r="F133" s="5">
        <v>2028</v>
      </c>
      <c r="G133" s="5">
        <v>2029</v>
      </c>
      <c r="H133" s="5">
        <v>2030</v>
      </c>
      <c r="I133" s="5">
        <v>2031</v>
      </c>
      <c r="J133" s="5">
        <v>2032</v>
      </c>
      <c r="K133" s="5">
        <v>2033</v>
      </c>
      <c r="L133" s="5">
        <v>2034</v>
      </c>
      <c r="M133" s="5">
        <v>2035</v>
      </c>
      <c r="N133" s="5">
        <v>2036</v>
      </c>
      <c r="O133" s="5">
        <v>2037</v>
      </c>
      <c r="P133" s="5">
        <v>2038</v>
      </c>
      <c r="Q133" s="5">
        <v>2039</v>
      </c>
      <c r="R133" s="5">
        <v>2040</v>
      </c>
      <c r="S133" s="5">
        <v>2041</v>
      </c>
      <c r="T133" s="5">
        <v>2042</v>
      </c>
      <c r="U133" s="5">
        <v>2043</v>
      </c>
      <c r="V133" s="5">
        <v>2044</v>
      </c>
      <c r="W133" s="5">
        <v>2045</v>
      </c>
      <c r="X133" s="5">
        <v>2046</v>
      </c>
      <c r="Y133" s="5">
        <v>2047</v>
      </c>
      <c r="Z133" s="5">
        <v>2048</v>
      </c>
      <c r="AA133" s="5">
        <v>2049</v>
      </c>
      <c r="AB133" s="5">
        <v>2050</v>
      </c>
      <c r="AC133" s="5">
        <v>2051</v>
      </c>
      <c r="AD133" s="5">
        <v>2052</v>
      </c>
      <c r="AE133" s="5">
        <v>2053</v>
      </c>
      <c r="AF133" s="5">
        <v>2054</v>
      </c>
      <c r="AG133" s="5">
        <v>2055</v>
      </c>
      <c r="AH133" s="5">
        <v>2056</v>
      </c>
      <c r="AI133" s="5">
        <v>2057</v>
      </c>
      <c r="AJ133" s="5">
        <v>2058</v>
      </c>
      <c r="AK133" s="5">
        <v>2059</v>
      </c>
      <c r="AL133" s="5">
        <v>2060</v>
      </c>
      <c r="AM133" s="5">
        <v>2061</v>
      </c>
      <c r="AN133" s="5">
        <v>2062</v>
      </c>
      <c r="AO133" s="5">
        <v>2063</v>
      </c>
      <c r="AP133" s="5">
        <v>2064</v>
      </c>
      <c r="AQ133" s="5">
        <v>2065</v>
      </c>
      <c r="AR133" s="5">
        <v>2066</v>
      </c>
      <c r="AS133" s="5">
        <v>2067</v>
      </c>
      <c r="AT133" s="5">
        <v>2068</v>
      </c>
      <c r="AU133" s="5">
        <v>2069</v>
      </c>
      <c r="AV133" s="5">
        <v>2070</v>
      </c>
      <c r="AW133" s="5">
        <v>2071</v>
      </c>
      <c r="AX133" s="5">
        <v>2072</v>
      </c>
      <c r="AY133" s="5">
        <v>2073</v>
      </c>
      <c r="AZ133" s="5">
        <v>2074</v>
      </c>
      <c r="BA133" s="5">
        <v>2075</v>
      </c>
      <c r="BB133" s="5">
        <v>2076</v>
      </c>
      <c r="BC133" s="5">
        <v>2077</v>
      </c>
      <c r="BD133" s="5">
        <v>2078</v>
      </c>
      <c r="BE133" s="5">
        <v>2079</v>
      </c>
      <c r="BF133" s="5">
        <v>2080</v>
      </c>
      <c r="BG133" s="5">
        <v>2081</v>
      </c>
      <c r="BH133" s="5">
        <v>2082</v>
      </c>
      <c r="BI133" s="5">
        <v>2083</v>
      </c>
      <c r="BJ133" s="5">
        <v>2084</v>
      </c>
      <c r="BK133" s="5">
        <v>2085</v>
      </c>
      <c r="BL133" s="5">
        <v>2086</v>
      </c>
      <c r="BM133" s="5">
        <v>2087</v>
      </c>
      <c r="BN133" s="5">
        <v>2088</v>
      </c>
      <c r="BO133" s="5">
        <v>2089</v>
      </c>
      <c r="BP133" s="5">
        <v>2090</v>
      </c>
      <c r="BQ133" s="5">
        <v>2091</v>
      </c>
      <c r="BR133" s="5">
        <v>2092</v>
      </c>
      <c r="BS133" s="5">
        <v>2093</v>
      </c>
      <c r="BT133" s="5">
        <v>2094</v>
      </c>
      <c r="BU133" s="5">
        <v>2095</v>
      </c>
      <c r="BV133" s="5">
        <v>2096</v>
      </c>
      <c r="BW133" s="5">
        <v>2097</v>
      </c>
      <c r="BX133" s="5">
        <v>2098</v>
      </c>
      <c r="BY133" s="5">
        <v>2099</v>
      </c>
      <c r="BZ133" s="5">
        <v>2100</v>
      </c>
      <c r="CA133" s="5">
        <v>2101</v>
      </c>
      <c r="CB133" s="5">
        <v>2102</v>
      </c>
      <c r="CC133" s="5">
        <v>2103</v>
      </c>
      <c r="CD133" s="5">
        <v>2104</v>
      </c>
      <c r="CE133" s="5">
        <v>2105</v>
      </c>
      <c r="CF133" s="5">
        <v>2106</v>
      </c>
      <c r="CG133" s="5">
        <v>2107</v>
      </c>
      <c r="CH133" s="5">
        <v>2108</v>
      </c>
      <c r="CI133" s="5">
        <v>2109</v>
      </c>
      <c r="CJ133" s="5">
        <v>2110</v>
      </c>
      <c r="CK133" s="5">
        <v>2111</v>
      </c>
      <c r="CL133" s="5">
        <v>2112</v>
      </c>
      <c r="CM133" s="5">
        <v>2113</v>
      </c>
      <c r="CN133" s="5">
        <v>2114</v>
      </c>
      <c r="CO133" s="5">
        <v>2115</v>
      </c>
      <c r="CP133" s="5">
        <v>2116</v>
      </c>
      <c r="CQ133" s="5">
        <v>2117</v>
      </c>
      <c r="CR133" s="5">
        <v>2118</v>
      </c>
      <c r="CS133" s="5">
        <v>2119</v>
      </c>
      <c r="CT133" s="5">
        <v>2120</v>
      </c>
      <c r="CU133" s="5">
        <v>2121</v>
      </c>
      <c r="CV133" s="5">
        <v>2122</v>
      </c>
      <c r="CW133" s="5">
        <v>2123</v>
      </c>
      <c r="CX133" s="5">
        <v>2124</v>
      </c>
      <c r="CY133" s="5">
        <v>2125</v>
      </c>
      <c r="CZ133" s="5">
        <v>2126</v>
      </c>
      <c r="DA133" s="5">
        <v>2127</v>
      </c>
    </row>
    <row r="134" spans="3:109" x14ac:dyDescent="0.4">
      <c r="D134" t="s">
        <v>207</v>
      </c>
      <c r="M134" s="8">
        <f>IF(M$13&lt;=$B$3,M135/$B$3,0)</f>
        <v>84133.072043855005</v>
      </c>
      <c r="N134" s="8">
        <f>IF(N132&lt;=$B$3,M134,0)</f>
        <v>84133.072043855005</v>
      </c>
      <c r="O134" s="8">
        <f t="shared" ref="O134:BZ134" si="148">IF(O132&lt;=$B$3,N134,0)</f>
        <v>84133.072043855005</v>
      </c>
      <c r="P134" s="8">
        <f t="shared" si="148"/>
        <v>84133.072043855005</v>
      </c>
      <c r="Q134" s="8">
        <f t="shared" si="148"/>
        <v>84133.072043855005</v>
      </c>
      <c r="R134" s="8">
        <f t="shared" si="148"/>
        <v>84133.072043855005</v>
      </c>
      <c r="S134" s="8">
        <f t="shared" si="148"/>
        <v>84133.072043855005</v>
      </c>
      <c r="T134" s="8">
        <f t="shared" si="148"/>
        <v>84133.072043855005</v>
      </c>
      <c r="U134" s="8">
        <f t="shared" si="148"/>
        <v>84133.072043855005</v>
      </c>
      <c r="V134" s="8">
        <f t="shared" si="148"/>
        <v>84133.072043855005</v>
      </c>
      <c r="W134" s="8">
        <f t="shared" si="148"/>
        <v>84133.072043855005</v>
      </c>
      <c r="X134" s="8">
        <f t="shared" si="148"/>
        <v>84133.072043855005</v>
      </c>
      <c r="Y134" s="8">
        <f t="shared" si="148"/>
        <v>84133.072043855005</v>
      </c>
      <c r="Z134" s="8">
        <f t="shared" si="148"/>
        <v>84133.072043855005</v>
      </c>
      <c r="AA134" s="8">
        <f t="shared" si="148"/>
        <v>84133.072043855005</v>
      </c>
      <c r="AB134" s="8">
        <f t="shared" si="148"/>
        <v>84133.072043855005</v>
      </c>
      <c r="AC134" s="8">
        <f t="shared" si="148"/>
        <v>84133.072043855005</v>
      </c>
      <c r="AD134" s="8">
        <f t="shared" si="148"/>
        <v>84133.072043855005</v>
      </c>
      <c r="AE134" s="8">
        <f t="shared" si="148"/>
        <v>84133.072043855005</v>
      </c>
      <c r="AF134" s="8">
        <f t="shared" si="148"/>
        <v>84133.072043855005</v>
      </c>
      <c r="AG134" s="8">
        <f t="shared" si="148"/>
        <v>84133.072043855005</v>
      </c>
      <c r="AH134" s="8">
        <f t="shared" si="148"/>
        <v>84133.072043855005</v>
      </c>
      <c r="AI134" s="8">
        <f t="shared" si="148"/>
        <v>84133.072043855005</v>
      </c>
      <c r="AJ134" s="8">
        <f t="shared" si="148"/>
        <v>84133.072043855005</v>
      </c>
      <c r="AK134" s="8">
        <f t="shared" si="148"/>
        <v>84133.072043855005</v>
      </c>
      <c r="AL134" s="8">
        <f t="shared" si="148"/>
        <v>84133.072043855005</v>
      </c>
      <c r="AM134" s="8">
        <f t="shared" si="148"/>
        <v>84133.072043855005</v>
      </c>
      <c r="AN134" s="8">
        <f t="shared" si="148"/>
        <v>84133.072043855005</v>
      </c>
      <c r="AO134" s="8">
        <f t="shared" si="148"/>
        <v>84133.072043855005</v>
      </c>
      <c r="AP134" s="8">
        <f t="shared" si="148"/>
        <v>84133.072043855005</v>
      </c>
      <c r="AQ134" s="8">
        <f t="shared" si="148"/>
        <v>84133.072043855005</v>
      </c>
      <c r="AR134" s="8">
        <f t="shared" si="148"/>
        <v>84133.072043855005</v>
      </c>
      <c r="AS134" s="8">
        <f t="shared" si="148"/>
        <v>84133.072043855005</v>
      </c>
      <c r="AT134" s="8">
        <f t="shared" si="148"/>
        <v>84133.072043855005</v>
      </c>
      <c r="AU134" s="8">
        <f t="shared" si="148"/>
        <v>84133.072043855005</v>
      </c>
      <c r="AV134" s="8">
        <f t="shared" si="148"/>
        <v>84133.072043855005</v>
      </c>
      <c r="AW134" s="8">
        <f t="shared" si="148"/>
        <v>84133.072043855005</v>
      </c>
      <c r="AX134" s="8">
        <f t="shared" si="148"/>
        <v>84133.072043855005</v>
      </c>
      <c r="AY134" s="8">
        <f t="shared" si="148"/>
        <v>84133.072043855005</v>
      </c>
      <c r="AZ134" s="8">
        <f t="shared" si="148"/>
        <v>84133.072043855005</v>
      </c>
      <c r="BA134" s="8">
        <f t="shared" si="148"/>
        <v>84133.072043855005</v>
      </c>
      <c r="BB134" s="8">
        <f t="shared" si="148"/>
        <v>84133.072043855005</v>
      </c>
      <c r="BC134" s="8">
        <f t="shared" si="148"/>
        <v>84133.072043855005</v>
      </c>
      <c r="BD134" s="8">
        <f t="shared" si="148"/>
        <v>84133.072043855005</v>
      </c>
      <c r="BE134" s="8">
        <f t="shared" si="148"/>
        <v>84133.072043855005</v>
      </c>
      <c r="BF134" s="8">
        <f t="shared" si="148"/>
        <v>84133.072043855005</v>
      </c>
      <c r="BG134" s="8">
        <f t="shared" si="148"/>
        <v>84133.072043855005</v>
      </c>
      <c r="BH134" s="8">
        <f t="shared" si="148"/>
        <v>84133.072043855005</v>
      </c>
      <c r="BI134" s="8">
        <f t="shared" si="148"/>
        <v>84133.072043855005</v>
      </c>
      <c r="BJ134" s="8">
        <f t="shared" si="148"/>
        <v>84133.072043855005</v>
      </c>
      <c r="BK134" s="8">
        <f t="shared" si="148"/>
        <v>0</v>
      </c>
      <c r="BL134" s="8">
        <f t="shared" si="148"/>
        <v>0</v>
      </c>
      <c r="BM134" s="8">
        <f t="shared" si="148"/>
        <v>0</v>
      </c>
      <c r="BN134" s="8">
        <f t="shared" si="148"/>
        <v>0</v>
      </c>
      <c r="BO134" s="8">
        <f t="shared" si="148"/>
        <v>0</v>
      </c>
      <c r="BP134" s="8">
        <f t="shared" si="148"/>
        <v>0</v>
      </c>
      <c r="BQ134" s="8">
        <f t="shared" si="148"/>
        <v>0</v>
      </c>
      <c r="BR134" s="8">
        <f t="shared" si="148"/>
        <v>0</v>
      </c>
      <c r="BS134" s="8">
        <f t="shared" si="148"/>
        <v>0</v>
      </c>
      <c r="BT134" s="8">
        <f t="shared" si="148"/>
        <v>0</v>
      </c>
      <c r="BU134" s="8">
        <f t="shared" si="148"/>
        <v>0</v>
      </c>
      <c r="BV134" s="8">
        <f t="shared" si="148"/>
        <v>0</v>
      </c>
      <c r="BW134" s="8">
        <f t="shared" si="148"/>
        <v>0</v>
      </c>
      <c r="BX134" s="8">
        <f t="shared" si="148"/>
        <v>0</v>
      </c>
      <c r="BY134" s="8">
        <f t="shared" si="148"/>
        <v>0</v>
      </c>
      <c r="BZ134" s="8">
        <f t="shared" si="148"/>
        <v>0</v>
      </c>
      <c r="CA134" s="8">
        <f t="shared" ref="CA134:DA134" si="149">IF(CA132&lt;=$B$3,BZ134,0)</f>
        <v>0</v>
      </c>
      <c r="CB134" s="8">
        <f t="shared" si="149"/>
        <v>0</v>
      </c>
      <c r="CC134" s="8">
        <f t="shared" si="149"/>
        <v>0</v>
      </c>
      <c r="CD134" s="8">
        <f t="shared" si="149"/>
        <v>0</v>
      </c>
      <c r="CE134" s="8">
        <f t="shared" si="149"/>
        <v>0</v>
      </c>
      <c r="CF134" s="8">
        <f t="shared" si="149"/>
        <v>0</v>
      </c>
      <c r="CG134" s="8">
        <f t="shared" si="149"/>
        <v>0</v>
      </c>
      <c r="CH134" s="8">
        <f t="shared" si="149"/>
        <v>0</v>
      </c>
      <c r="CI134" s="8">
        <f t="shared" si="149"/>
        <v>0</v>
      </c>
      <c r="CJ134" s="8">
        <f t="shared" si="149"/>
        <v>0</v>
      </c>
      <c r="CK134" s="8">
        <f t="shared" si="149"/>
        <v>0</v>
      </c>
      <c r="CL134" s="8">
        <f t="shared" si="149"/>
        <v>0</v>
      </c>
      <c r="CM134" s="8">
        <f t="shared" si="149"/>
        <v>0</v>
      </c>
      <c r="CN134" s="8">
        <f t="shared" si="149"/>
        <v>0</v>
      </c>
      <c r="CO134" s="8">
        <f t="shared" si="149"/>
        <v>0</v>
      </c>
      <c r="CP134" s="8">
        <f t="shared" si="149"/>
        <v>0</v>
      </c>
      <c r="CQ134" s="8">
        <f t="shared" si="149"/>
        <v>0</v>
      </c>
      <c r="CR134" s="8">
        <f t="shared" si="149"/>
        <v>0</v>
      </c>
      <c r="CS134" s="8">
        <f t="shared" si="149"/>
        <v>0</v>
      </c>
      <c r="CT134" s="8">
        <f t="shared" si="149"/>
        <v>0</v>
      </c>
      <c r="CU134" s="8">
        <f t="shared" si="149"/>
        <v>0</v>
      </c>
      <c r="CV134" s="8">
        <f t="shared" si="149"/>
        <v>0</v>
      </c>
      <c r="CW134" s="8">
        <f t="shared" si="149"/>
        <v>0</v>
      </c>
      <c r="CX134" s="8">
        <f t="shared" si="149"/>
        <v>0</v>
      </c>
      <c r="CY134" s="8">
        <f t="shared" si="149"/>
        <v>0</v>
      </c>
      <c r="CZ134" s="8">
        <f t="shared" si="149"/>
        <v>0</v>
      </c>
      <c r="DA134" s="8">
        <f t="shared" si="149"/>
        <v>0</v>
      </c>
      <c r="DB134" s="8"/>
      <c r="DC134" s="8"/>
      <c r="DD134" s="8"/>
      <c r="DE134" s="8"/>
    </row>
    <row r="135" spans="3:109" x14ac:dyDescent="0.4">
      <c r="D135" t="s">
        <v>154</v>
      </c>
      <c r="L135" s="8">
        <f>HLOOKUP(M133,$F$3:$O$10,7,0)</f>
        <v>4206653.6021927502</v>
      </c>
      <c r="M135" s="8">
        <f>IF(ROUND(L136,4)=-ROUND(L135,4),0,L135)</f>
        <v>4206653.6021927502</v>
      </c>
      <c r="N135" s="8">
        <f t="shared" ref="N135:BY135" si="150">IF(ROUND(M136,4)=-ROUND(M135,4),0,M135)</f>
        <v>4206653.6021927502</v>
      </c>
      <c r="O135" s="8">
        <f t="shared" si="150"/>
        <v>4206653.6021927502</v>
      </c>
      <c r="P135" s="8">
        <f t="shared" si="150"/>
        <v>4206653.6021927502</v>
      </c>
      <c r="Q135" s="8">
        <f t="shared" si="150"/>
        <v>4206653.6021927502</v>
      </c>
      <c r="R135" s="8">
        <f t="shared" si="150"/>
        <v>4206653.6021927502</v>
      </c>
      <c r="S135" s="8">
        <f t="shared" si="150"/>
        <v>4206653.6021927502</v>
      </c>
      <c r="T135" s="8">
        <f t="shared" si="150"/>
        <v>4206653.6021927502</v>
      </c>
      <c r="U135" s="8">
        <f t="shared" si="150"/>
        <v>4206653.6021927502</v>
      </c>
      <c r="V135" s="8">
        <f t="shared" si="150"/>
        <v>4206653.6021927502</v>
      </c>
      <c r="W135" s="8">
        <f t="shared" si="150"/>
        <v>4206653.6021927502</v>
      </c>
      <c r="X135" s="8">
        <f t="shared" si="150"/>
        <v>4206653.6021927502</v>
      </c>
      <c r="Y135" s="8">
        <f t="shared" si="150"/>
        <v>4206653.6021927502</v>
      </c>
      <c r="Z135" s="8">
        <f t="shared" si="150"/>
        <v>4206653.6021927502</v>
      </c>
      <c r="AA135" s="8">
        <f t="shared" si="150"/>
        <v>4206653.6021927502</v>
      </c>
      <c r="AB135" s="8">
        <f t="shared" si="150"/>
        <v>4206653.6021927502</v>
      </c>
      <c r="AC135" s="8">
        <f t="shared" si="150"/>
        <v>4206653.6021927502</v>
      </c>
      <c r="AD135" s="8">
        <f t="shared" si="150"/>
        <v>4206653.6021927502</v>
      </c>
      <c r="AE135" s="8">
        <f t="shared" si="150"/>
        <v>4206653.6021927502</v>
      </c>
      <c r="AF135" s="8">
        <f t="shared" si="150"/>
        <v>4206653.6021927502</v>
      </c>
      <c r="AG135" s="8">
        <f t="shared" si="150"/>
        <v>4206653.6021927502</v>
      </c>
      <c r="AH135" s="8">
        <f t="shared" si="150"/>
        <v>4206653.6021927502</v>
      </c>
      <c r="AI135" s="8">
        <f t="shared" si="150"/>
        <v>4206653.6021927502</v>
      </c>
      <c r="AJ135" s="8">
        <f t="shared" si="150"/>
        <v>4206653.6021927502</v>
      </c>
      <c r="AK135" s="8">
        <f t="shared" si="150"/>
        <v>4206653.6021927502</v>
      </c>
      <c r="AL135" s="8">
        <f t="shared" si="150"/>
        <v>4206653.6021927502</v>
      </c>
      <c r="AM135" s="8">
        <f t="shared" si="150"/>
        <v>4206653.6021927502</v>
      </c>
      <c r="AN135" s="8">
        <f t="shared" si="150"/>
        <v>4206653.6021927502</v>
      </c>
      <c r="AO135" s="8">
        <f t="shared" si="150"/>
        <v>4206653.6021927502</v>
      </c>
      <c r="AP135" s="8">
        <f t="shared" si="150"/>
        <v>4206653.6021927502</v>
      </c>
      <c r="AQ135" s="8">
        <f t="shared" si="150"/>
        <v>4206653.6021927502</v>
      </c>
      <c r="AR135" s="8">
        <f t="shared" si="150"/>
        <v>4206653.6021927502</v>
      </c>
      <c r="AS135" s="8">
        <f t="shared" si="150"/>
        <v>4206653.6021927502</v>
      </c>
      <c r="AT135" s="8">
        <f t="shared" si="150"/>
        <v>4206653.6021927502</v>
      </c>
      <c r="AU135" s="8">
        <f t="shared" si="150"/>
        <v>4206653.6021927502</v>
      </c>
      <c r="AV135" s="8">
        <f t="shared" si="150"/>
        <v>4206653.6021927502</v>
      </c>
      <c r="AW135" s="8">
        <f t="shared" si="150"/>
        <v>4206653.6021927502</v>
      </c>
      <c r="AX135" s="8">
        <f t="shared" si="150"/>
        <v>4206653.6021927502</v>
      </c>
      <c r="AY135" s="8">
        <f t="shared" si="150"/>
        <v>4206653.6021927502</v>
      </c>
      <c r="AZ135" s="8">
        <f t="shared" si="150"/>
        <v>4206653.6021927502</v>
      </c>
      <c r="BA135" s="8">
        <f t="shared" si="150"/>
        <v>4206653.6021927502</v>
      </c>
      <c r="BB135" s="8">
        <f t="shared" si="150"/>
        <v>4206653.6021927502</v>
      </c>
      <c r="BC135" s="8">
        <f t="shared" si="150"/>
        <v>4206653.6021927502</v>
      </c>
      <c r="BD135" s="8">
        <f t="shared" si="150"/>
        <v>4206653.6021927502</v>
      </c>
      <c r="BE135" s="8">
        <f t="shared" si="150"/>
        <v>4206653.6021927502</v>
      </c>
      <c r="BF135" s="8">
        <f t="shared" si="150"/>
        <v>4206653.6021927502</v>
      </c>
      <c r="BG135" s="8">
        <f t="shared" si="150"/>
        <v>4206653.6021927502</v>
      </c>
      <c r="BH135" s="8">
        <f t="shared" si="150"/>
        <v>4206653.6021927502</v>
      </c>
      <c r="BI135" s="8">
        <f t="shared" si="150"/>
        <v>4206653.6021927502</v>
      </c>
      <c r="BJ135" s="8">
        <f t="shared" si="150"/>
        <v>4206653.6021927502</v>
      </c>
      <c r="BK135" s="8">
        <f t="shared" si="150"/>
        <v>0</v>
      </c>
      <c r="BL135" s="8">
        <f t="shared" si="150"/>
        <v>0</v>
      </c>
      <c r="BM135" s="8">
        <f t="shared" si="150"/>
        <v>0</v>
      </c>
      <c r="BN135" s="8">
        <f t="shared" si="150"/>
        <v>0</v>
      </c>
      <c r="BO135" s="8">
        <f t="shared" si="150"/>
        <v>0</v>
      </c>
      <c r="BP135" s="8">
        <f t="shared" si="150"/>
        <v>0</v>
      </c>
      <c r="BQ135" s="8">
        <f t="shared" si="150"/>
        <v>0</v>
      </c>
      <c r="BR135" s="8">
        <f t="shared" si="150"/>
        <v>0</v>
      </c>
      <c r="BS135" s="8">
        <f t="shared" si="150"/>
        <v>0</v>
      </c>
      <c r="BT135" s="8">
        <f t="shared" si="150"/>
        <v>0</v>
      </c>
      <c r="BU135" s="8">
        <f t="shared" si="150"/>
        <v>0</v>
      </c>
      <c r="BV135" s="8">
        <f t="shared" si="150"/>
        <v>0</v>
      </c>
      <c r="BW135" s="8">
        <f t="shared" si="150"/>
        <v>0</v>
      </c>
      <c r="BX135" s="8">
        <f t="shared" si="150"/>
        <v>0</v>
      </c>
      <c r="BY135" s="8">
        <f t="shared" si="150"/>
        <v>0</v>
      </c>
      <c r="BZ135" s="8">
        <f t="shared" ref="BZ135:DA135" si="151">IF(ROUND(BY136,4)=-ROUND(BY135,4),0,BY135)</f>
        <v>0</v>
      </c>
      <c r="CA135" s="8">
        <f t="shared" si="151"/>
        <v>0</v>
      </c>
      <c r="CB135" s="8">
        <f t="shared" si="151"/>
        <v>0</v>
      </c>
      <c r="CC135" s="8">
        <f t="shared" si="151"/>
        <v>0</v>
      </c>
      <c r="CD135" s="8">
        <f t="shared" si="151"/>
        <v>0</v>
      </c>
      <c r="CE135" s="8">
        <f t="shared" si="151"/>
        <v>0</v>
      </c>
      <c r="CF135" s="8">
        <f t="shared" si="151"/>
        <v>0</v>
      </c>
      <c r="CG135" s="8">
        <f t="shared" si="151"/>
        <v>0</v>
      </c>
      <c r="CH135" s="8">
        <f t="shared" si="151"/>
        <v>0</v>
      </c>
      <c r="CI135" s="8">
        <f t="shared" si="151"/>
        <v>0</v>
      </c>
      <c r="CJ135" s="8">
        <f t="shared" si="151"/>
        <v>0</v>
      </c>
      <c r="CK135" s="8">
        <f t="shared" si="151"/>
        <v>0</v>
      </c>
      <c r="CL135" s="8">
        <f t="shared" si="151"/>
        <v>0</v>
      </c>
      <c r="CM135" s="8">
        <f t="shared" si="151"/>
        <v>0</v>
      </c>
      <c r="CN135" s="8">
        <f t="shared" si="151"/>
        <v>0</v>
      </c>
      <c r="CO135" s="8">
        <f t="shared" si="151"/>
        <v>0</v>
      </c>
      <c r="CP135" s="8">
        <f t="shared" si="151"/>
        <v>0</v>
      </c>
      <c r="CQ135" s="8">
        <f t="shared" si="151"/>
        <v>0</v>
      </c>
      <c r="CR135" s="8">
        <f t="shared" si="151"/>
        <v>0</v>
      </c>
      <c r="CS135" s="8">
        <f t="shared" si="151"/>
        <v>0</v>
      </c>
      <c r="CT135" s="8">
        <f t="shared" si="151"/>
        <v>0</v>
      </c>
      <c r="CU135" s="8">
        <f t="shared" si="151"/>
        <v>0</v>
      </c>
      <c r="CV135" s="8">
        <f t="shared" si="151"/>
        <v>0</v>
      </c>
      <c r="CW135" s="8">
        <f t="shared" si="151"/>
        <v>0</v>
      </c>
      <c r="CX135" s="8">
        <f t="shared" si="151"/>
        <v>0</v>
      </c>
      <c r="CY135" s="8">
        <f t="shared" si="151"/>
        <v>0</v>
      </c>
      <c r="CZ135" s="8">
        <f t="shared" si="151"/>
        <v>0</v>
      </c>
      <c r="DA135" s="8">
        <f t="shared" si="151"/>
        <v>0</v>
      </c>
      <c r="DB135" s="8"/>
      <c r="DC135" s="8"/>
      <c r="DD135" s="8"/>
      <c r="DE135" s="8"/>
    </row>
    <row r="136" spans="3:109" x14ac:dyDescent="0.4">
      <c r="D136" t="s">
        <v>208</v>
      </c>
      <c r="L136" s="8"/>
      <c r="M136" s="8">
        <f>IF(M132&lt;=$B$3,-SUM($E134:M134),0)</f>
        <v>-84133.072043855005</v>
      </c>
      <c r="N136" s="8">
        <f>IF(N132&lt;=$B$3,-SUM($E134:N134),0)</f>
        <v>-168266.14408771001</v>
      </c>
      <c r="O136" s="8">
        <f>IF(O132&lt;=$B$3,-SUM($E134:O134),0)</f>
        <v>-252399.21613156502</v>
      </c>
      <c r="P136" s="8">
        <f>IF(P132&lt;=$B$3,-SUM($E134:P134),0)</f>
        <v>-336532.28817542002</v>
      </c>
      <c r="Q136" s="8">
        <f>IF(Q132&lt;=$B$3,-SUM($E134:Q134),0)</f>
        <v>-420665.360219275</v>
      </c>
      <c r="R136" s="8">
        <f>IF(R132&lt;=$B$3,-SUM($E134:R134),0)</f>
        <v>-504798.43226312997</v>
      </c>
      <c r="S136" s="8">
        <f>IF(S132&lt;=$B$3,-SUM($E134:S134),0)</f>
        <v>-588931.50430698495</v>
      </c>
      <c r="T136" s="8">
        <f>IF(T132&lt;=$B$3,-SUM($E134:T134),0)</f>
        <v>-673064.57635083992</v>
      </c>
      <c r="U136" s="8">
        <f>IF(U132&lt;=$B$3,-SUM($E134:U134),0)</f>
        <v>-757197.6483946949</v>
      </c>
      <c r="V136" s="8">
        <f>IF(V132&lt;=$B$3,-SUM($E134:V134),0)</f>
        <v>-841330.72043854988</v>
      </c>
      <c r="W136" s="8">
        <f>IF(W132&lt;=$B$3,-SUM($E134:W134),0)</f>
        <v>-925463.79248240485</v>
      </c>
      <c r="X136" s="8">
        <f>IF(X132&lt;=$B$3,-SUM($E134:X134),0)</f>
        <v>-1009596.8645262598</v>
      </c>
      <c r="Y136" s="8">
        <f>IF(Y132&lt;=$B$3,-SUM($E134:Y134),0)</f>
        <v>-1093729.9365701149</v>
      </c>
      <c r="Z136" s="8">
        <f>IF(Z132&lt;=$B$3,-SUM($E134:Z134),0)</f>
        <v>-1177863.0086139699</v>
      </c>
      <c r="AA136" s="8">
        <f>IF(AA132&lt;=$B$3,-SUM($E134:AA134),0)</f>
        <v>-1261996.0806578249</v>
      </c>
      <c r="AB136" s="8">
        <f>IF(AB132&lt;=$B$3,-SUM($E134:AB134),0)</f>
        <v>-1346129.1527016798</v>
      </c>
      <c r="AC136" s="8">
        <f>IF(AC132&lt;=$B$3,-SUM($E134:AC134),0)</f>
        <v>-1430262.2247455348</v>
      </c>
      <c r="AD136" s="8">
        <f>IF(AD132&lt;=$B$3,-SUM($E134:AD134),0)</f>
        <v>-1514395.2967893898</v>
      </c>
      <c r="AE136" s="8">
        <f>IF(AE132&lt;=$B$3,-SUM($E134:AE134),0)</f>
        <v>-1598528.3688332448</v>
      </c>
      <c r="AF136" s="8">
        <f>IF(AF132&lt;=$B$3,-SUM($E134:AF134),0)</f>
        <v>-1682661.4408770998</v>
      </c>
      <c r="AG136" s="8">
        <f>IF(AG132&lt;=$B$3,-SUM($E134:AG134),0)</f>
        <v>-1766794.5129209547</v>
      </c>
      <c r="AH136" s="8">
        <f>IF(AH132&lt;=$B$3,-SUM($E134:AH134),0)</f>
        <v>-1850927.5849648097</v>
      </c>
      <c r="AI136" s="8">
        <f>IF(AI132&lt;=$B$3,-SUM($E134:AI134),0)</f>
        <v>-1935060.6570086647</v>
      </c>
      <c r="AJ136" s="8">
        <f>IF(AJ132&lt;=$B$3,-SUM($E134:AJ134),0)</f>
        <v>-2019193.7290525197</v>
      </c>
      <c r="AK136" s="8">
        <f>IF(AK132&lt;=$B$3,-SUM($E134:AK134),0)</f>
        <v>-2103326.8010963746</v>
      </c>
      <c r="AL136" s="8">
        <f>IF(AL132&lt;=$B$3,-SUM($E134:AL134),0)</f>
        <v>-2187459.8731402298</v>
      </c>
      <c r="AM136" s="8">
        <f>IF(AM132&lt;=$B$3,-SUM($E134:AM134),0)</f>
        <v>-2271592.9451840851</v>
      </c>
      <c r="AN136" s="8">
        <f>IF(AN132&lt;=$B$3,-SUM($E134:AN134),0)</f>
        <v>-2355726.0172279403</v>
      </c>
      <c r="AO136" s="8">
        <f>IF(AO132&lt;=$B$3,-SUM($E134:AO134),0)</f>
        <v>-2439859.0892717955</v>
      </c>
      <c r="AP136" s="8">
        <f>IF(AP132&lt;=$B$3,-SUM($E134:AP134),0)</f>
        <v>-2523992.1613156507</v>
      </c>
      <c r="AQ136" s="8">
        <f>IF(AQ132&lt;=$B$3,-SUM($E134:AQ134),0)</f>
        <v>-2608125.2333595059</v>
      </c>
      <c r="AR136" s="8">
        <f>IF(AR132&lt;=$B$3,-SUM($E134:AR134),0)</f>
        <v>-2692258.3054033611</v>
      </c>
      <c r="AS136" s="8">
        <f>IF(AS132&lt;=$B$3,-SUM($E134:AS134),0)</f>
        <v>-2776391.3774472163</v>
      </c>
      <c r="AT136" s="8">
        <f>IF(AT132&lt;=$B$3,-SUM($E134:AT134),0)</f>
        <v>-2860524.4494910715</v>
      </c>
      <c r="AU136" s="8">
        <f>IF(AU132&lt;=$B$3,-SUM($E134:AU134),0)</f>
        <v>-2944657.5215349267</v>
      </c>
      <c r="AV136" s="8">
        <f>IF(AV132&lt;=$B$3,-SUM($E134:AV134),0)</f>
        <v>-3028790.5935787819</v>
      </c>
      <c r="AW136" s="8">
        <f>IF(AW132&lt;=$B$3,-SUM($E134:AW134),0)</f>
        <v>-3112923.6656226371</v>
      </c>
      <c r="AX136" s="8">
        <f>IF(AX132&lt;=$B$3,-SUM($E134:AX134),0)</f>
        <v>-3197056.7376664924</v>
      </c>
      <c r="AY136" s="8">
        <f>IF(AY132&lt;=$B$3,-SUM($E134:AY134),0)</f>
        <v>-3281189.8097103476</v>
      </c>
      <c r="AZ136" s="8">
        <f>IF(AZ132&lt;=$B$3,-SUM($E134:AZ134),0)</f>
        <v>-3365322.8817542028</v>
      </c>
      <c r="BA136" s="8">
        <f>IF(BA132&lt;=$B$3,-SUM($E134:BA134),0)</f>
        <v>-3449455.953798058</v>
      </c>
      <c r="BB136" s="8">
        <f>IF(BB132&lt;=$B$3,-SUM($E134:BB134),0)</f>
        <v>-3533589.0258419132</v>
      </c>
      <c r="BC136" s="8">
        <f>IF(BC132&lt;=$B$3,-SUM($E134:BC134),0)</f>
        <v>-3617722.0978857684</v>
      </c>
      <c r="BD136" s="8">
        <f>IF(BD132&lt;=$B$3,-SUM($E134:BD134),0)</f>
        <v>-3701855.1699296236</v>
      </c>
      <c r="BE136" s="8">
        <f>IF(BE132&lt;=$B$3,-SUM($E134:BE134),0)</f>
        <v>-3785988.2419734788</v>
      </c>
      <c r="BF136" s="8">
        <f>IF(BF132&lt;=$B$3,-SUM($E134:BF134),0)</f>
        <v>-3870121.314017334</v>
      </c>
      <c r="BG136" s="8">
        <f>IF(BG132&lt;=$B$3,-SUM($E134:BG134),0)</f>
        <v>-3954254.3860611892</v>
      </c>
      <c r="BH136" s="8">
        <f>IF(BH132&lt;=$B$3,-SUM($E134:BH134),0)</f>
        <v>-4038387.4581050444</v>
      </c>
      <c r="BI136" s="8">
        <f>IF(BI132&lt;=$B$3,-SUM($E134:BI134),0)</f>
        <v>-4122520.5301488996</v>
      </c>
      <c r="BJ136" s="8">
        <f>IF(BJ132&lt;=$B$3,-SUM($E134:BJ134),0)</f>
        <v>-4206653.6021927549</v>
      </c>
      <c r="BK136" s="8">
        <f>IF(BK132&lt;=$B$3,-SUM($E134:BK134),0)</f>
        <v>0</v>
      </c>
      <c r="BL136" s="8">
        <f>IF(BL132&lt;=$B$3,-SUM($E134:BL134),0)</f>
        <v>0</v>
      </c>
      <c r="BM136" s="8">
        <f>IF(BM132&lt;=$B$3,-SUM($E134:BM134),0)</f>
        <v>0</v>
      </c>
      <c r="BN136" s="8">
        <f>IF(BN132&lt;=$B$3,-SUM($E134:BN134),0)</f>
        <v>0</v>
      </c>
      <c r="BO136" s="8">
        <f>IF(BO132&lt;=$B$3,-SUM($E134:BO134),0)</f>
        <v>0</v>
      </c>
      <c r="BP136" s="8">
        <f>IF(BP132&lt;=$B$3,-SUM($E134:BP134),0)</f>
        <v>0</v>
      </c>
      <c r="BQ136" s="8">
        <f>IF(BQ132&lt;=$B$3,-SUM($E134:BQ134),0)</f>
        <v>0</v>
      </c>
      <c r="BR136" s="8">
        <f>IF(BR132&lt;=$B$3,-SUM($E134:BR134),0)</f>
        <v>0</v>
      </c>
      <c r="BS136" s="8">
        <f>IF(BS132&lt;=$B$3,-SUM($E134:BS134),0)</f>
        <v>0</v>
      </c>
      <c r="BT136" s="8">
        <f>IF(BT132&lt;=$B$3,-SUM($E134:BT134),0)</f>
        <v>0</v>
      </c>
      <c r="BU136" s="8">
        <f>IF(BU132&lt;=$B$3,-SUM($E134:BU134),0)</f>
        <v>0</v>
      </c>
      <c r="BV136" s="8">
        <f>IF(BV132&lt;=$B$3,-SUM($E134:BV134),0)</f>
        <v>0</v>
      </c>
      <c r="BW136" s="8">
        <f>IF(BW132&lt;=$B$3,-SUM($E134:BW134),0)</f>
        <v>0</v>
      </c>
      <c r="BX136" s="8">
        <f>IF(BX132&lt;=$B$3,-SUM($E134:BX134),0)</f>
        <v>0</v>
      </c>
      <c r="BY136" s="8">
        <f>IF(BY132&lt;=$B$3,-SUM($E134:BY134),0)</f>
        <v>0</v>
      </c>
      <c r="BZ136" s="8">
        <f>IF(BZ132&lt;=$B$3,-SUM($E134:BZ134),0)</f>
        <v>0</v>
      </c>
      <c r="CA136" s="8">
        <f>IF(CA132&lt;=$B$3,-SUM($E134:CA134),0)</f>
        <v>0</v>
      </c>
      <c r="CB136" s="8">
        <f>IF(CB132&lt;=$B$3,-SUM($E134:CB134),0)</f>
        <v>0</v>
      </c>
      <c r="CC136" s="8">
        <f>IF(CC132&lt;=$B$3,-SUM($E134:CC134),0)</f>
        <v>0</v>
      </c>
      <c r="CD136" s="8">
        <f>IF(CD132&lt;=$B$3,-SUM($E134:CD134),0)</f>
        <v>0</v>
      </c>
      <c r="CE136" s="8">
        <f>IF(CE132&lt;=$B$3,-SUM($E134:CE134),0)</f>
        <v>0</v>
      </c>
      <c r="CF136" s="8">
        <f>IF(CF132&lt;=$B$3,-SUM($E134:CF134),0)</f>
        <v>0</v>
      </c>
      <c r="CG136" s="8">
        <f>IF(CG132&lt;=$B$3,-SUM($E134:CG134),0)</f>
        <v>0</v>
      </c>
      <c r="CH136" s="8">
        <f>IF(CH132&lt;=$B$3,-SUM($E134:CH134),0)</f>
        <v>0</v>
      </c>
      <c r="CI136" s="8">
        <f>IF(CI132&lt;=$B$3,-SUM($E134:CI134),0)</f>
        <v>0</v>
      </c>
      <c r="CJ136" s="8">
        <f>IF(CJ132&lt;=$B$3,-SUM($E134:CJ134),0)</f>
        <v>0</v>
      </c>
      <c r="CK136" s="8">
        <f>IF(CK132&lt;=$B$3,-SUM($E134:CK134),0)</f>
        <v>0</v>
      </c>
      <c r="CL136" s="8">
        <f>IF(CL132&lt;=$B$3,-SUM($E134:CL134),0)</f>
        <v>0</v>
      </c>
      <c r="CM136" s="8">
        <f>IF(CM132&lt;=$B$3,-SUM($E134:CM134),0)</f>
        <v>0</v>
      </c>
      <c r="CN136" s="8">
        <f>IF(CN132&lt;=$B$3,-SUM($E134:CN134),0)</f>
        <v>0</v>
      </c>
      <c r="CO136" s="8">
        <f>IF(CO132&lt;=$B$3,-SUM($E134:CO134),0)</f>
        <v>0</v>
      </c>
      <c r="CP136" s="8">
        <f>IF(CP132&lt;=$B$3,-SUM($E134:CP134),0)</f>
        <v>0</v>
      </c>
      <c r="CQ136" s="8">
        <f>IF(CQ132&lt;=$B$3,-SUM($E134:CQ134),0)</f>
        <v>0</v>
      </c>
      <c r="CR136" s="8">
        <f>IF(CR132&lt;=$B$3,-SUM($E134:CR134),0)</f>
        <v>0</v>
      </c>
      <c r="CS136" s="8">
        <f>IF(CS132&lt;=$B$3,-SUM($E134:CS134),0)</f>
        <v>0</v>
      </c>
      <c r="CT136" s="8">
        <f>IF(CT132&lt;=$B$3,-SUM($E134:CT134),0)</f>
        <v>0</v>
      </c>
      <c r="CU136" s="8">
        <f>IF(CU132&lt;=$B$3,-SUM($E134:CU134),0)</f>
        <v>0</v>
      </c>
      <c r="CV136" s="8">
        <f>IF(CV132&lt;=$B$3,-SUM($E134:CV134),0)</f>
        <v>0</v>
      </c>
      <c r="CW136" s="8">
        <f>IF(CW132&lt;=$B$3,-SUM($E134:CW134),0)</f>
        <v>0</v>
      </c>
      <c r="CX136" s="8">
        <f>IF(CX132&lt;=$B$3,-SUM($E134:CX134),0)</f>
        <v>0</v>
      </c>
      <c r="CY136" s="8">
        <f>IF(CY132&lt;=$B$3,-SUM($E134:CY134),0)</f>
        <v>0</v>
      </c>
      <c r="CZ136" s="8">
        <f>IF(CZ132&lt;=$B$3,-SUM($E134:CZ134),0)</f>
        <v>0</v>
      </c>
      <c r="DA136" s="8">
        <f>IF(DA132&lt;=$B$3,-SUM($E134:DA134),0)</f>
        <v>0</v>
      </c>
      <c r="DB136" s="8"/>
      <c r="DC136" s="8"/>
      <c r="DD136" s="8"/>
      <c r="DE136" s="8"/>
    </row>
    <row r="137" spans="3:109" x14ac:dyDescent="0.4">
      <c r="D137" t="s">
        <v>167</v>
      </c>
      <c r="L137" s="8"/>
      <c r="M137" s="8">
        <f>L138</f>
        <v>4206653.6021927502</v>
      </c>
      <c r="N137" s="8">
        <f t="shared" ref="N137:BY137" si="152">M138</f>
        <v>4122520.530148895</v>
      </c>
      <c r="O137" s="8">
        <f t="shared" si="152"/>
        <v>4038387.4581050402</v>
      </c>
      <c r="P137" s="8">
        <f t="shared" si="152"/>
        <v>3954254.386061185</v>
      </c>
      <c r="Q137" s="8">
        <f t="shared" si="152"/>
        <v>3870121.3140173303</v>
      </c>
      <c r="R137" s="8">
        <f t="shared" si="152"/>
        <v>3785988.2419734751</v>
      </c>
      <c r="S137" s="8">
        <f t="shared" si="152"/>
        <v>3701855.1699296203</v>
      </c>
      <c r="T137" s="8">
        <f t="shared" si="152"/>
        <v>3617722.0978857651</v>
      </c>
      <c r="U137" s="8">
        <f t="shared" si="152"/>
        <v>3533589.0258419104</v>
      </c>
      <c r="V137" s="8">
        <f t="shared" si="152"/>
        <v>3449455.9537980552</v>
      </c>
      <c r="W137" s="8">
        <f t="shared" si="152"/>
        <v>3365322.8817542004</v>
      </c>
      <c r="X137" s="8">
        <f t="shared" si="152"/>
        <v>3281189.8097103452</v>
      </c>
      <c r="Y137" s="8">
        <f t="shared" si="152"/>
        <v>3197056.7376664905</v>
      </c>
      <c r="Z137" s="8">
        <f t="shared" si="152"/>
        <v>3112923.6656226353</v>
      </c>
      <c r="AA137" s="8">
        <f t="shared" si="152"/>
        <v>3028790.5935787801</v>
      </c>
      <c r="AB137" s="8">
        <f t="shared" si="152"/>
        <v>2944657.5215349253</v>
      </c>
      <c r="AC137" s="8">
        <f t="shared" si="152"/>
        <v>2860524.4494910706</v>
      </c>
      <c r="AD137" s="8">
        <f t="shared" si="152"/>
        <v>2776391.3774472154</v>
      </c>
      <c r="AE137" s="8">
        <f t="shared" si="152"/>
        <v>2692258.3054033602</v>
      </c>
      <c r="AF137" s="8">
        <f t="shared" si="152"/>
        <v>2608125.2333595054</v>
      </c>
      <c r="AG137" s="8">
        <f t="shared" si="152"/>
        <v>2523992.1613156507</v>
      </c>
      <c r="AH137" s="8">
        <f t="shared" si="152"/>
        <v>2439859.0892717955</v>
      </c>
      <c r="AI137" s="8">
        <f t="shared" si="152"/>
        <v>2355726.0172279403</v>
      </c>
      <c r="AJ137" s="8">
        <f t="shared" si="152"/>
        <v>2271592.9451840855</v>
      </c>
      <c r="AK137" s="8">
        <f t="shared" si="152"/>
        <v>2187459.8731402308</v>
      </c>
      <c r="AL137" s="8">
        <f t="shared" si="152"/>
        <v>2103326.8010963756</v>
      </c>
      <c r="AM137" s="8">
        <f t="shared" si="152"/>
        <v>2019193.7290525204</v>
      </c>
      <c r="AN137" s="8">
        <f t="shared" si="152"/>
        <v>1935060.6570086651</v>
      </c>
      <c r="AO137" s="8">
        <f t="shared" si="152"/>
        <v>1850927.5849648099</v>
      </c>
      <c r="AP137" s="8">
        <f t="shared" si="152"/>
        <v>1766794.5129209547</v>
      </c>
      <c r="AQ137" s="8">
        <f t="shared" si="152"/>
        <v>1682661.4408770995</v>
      </c>
      <c r="AR137" s="8">
        <f t="shared" si="152"/>
        <v>1598528.3688332443</v>
      </c>
      <c r="AS137" s="8">
        <f t="shared" si="152"/>
        <v>1514395.2967893891</v>
      </c>
      <c r="AT137" s="8">
        <f t="shared" si="152"/>
        <v>1430262.2247455339</v>
      </c>
      <c r="AU137" s="8">
        <f t="shared" si="152"/>
        <v>1346129.1527016787</v>
      </c>
      <c r="AV137" s="8">
        <f t="shared" si="152"/>
        <v>1261996.0806578235</v>
      </c>
      <c r="AW137" s="8">
        <f t="shared" si="152"/>
        <v>1177863.0086139683</v>
      </c>
      <c r="AX137" s="8">
        <f t="shared" si="152"/>
        <v>1093729.9365701131</v>
      </c>
      <c r="AY137" s="8">
        <f t="shared" si="152"/>
        <v>1009596.8645262579</v>
      </c>
      <c r="AZ137" s="8">
        <f t="shared" si="152"/>
        <v>925463.79248240264</v>
      </c>
      <c r="BA137" s="8">
        <f t="shared" si="152"/>
        <v>841330.72043854743</v>
      </c>
      <c r="BB137" s="8">
        <f t="shared" si="152"/>
        <v>757197.64839469222</v>
      </c>
      <c r="BC137" s="8">
        <f t="shared" si="152"/>
        <v>673064.57635083701</v>
      </c>
      <c r="BD137" s="8">
        <f t="shared" si="152"/>
        <v>588931.50430698181</v>
      </c>
      <c r="BE137" s="8">
        <f t="shared" si="152"/>
        <v>504798.4322631266</v>
      </c>
      <c r="BF137" s="8">
        <f t="shared" si="152"/>
        <v>420665.36021927139</v>
      </c>
      <c r="BG137" s="8">
        <f t="shared" si="152"/>
        <v>336532.28817541618</v>
      </c>
      <c r="BH137" s="8">
        <f t="shared" si="152"/>
        <v>252399.21613156097</v>
      </c>
      <c r="BI137" s="8">
        <f t="shared" si="152"/>
        <v>168266.14408770576</v>
      </c>
      <c r="BJ137" s="8">
        <f t="shared" si="152"/>
        <v>84133.072043850552</v>
      </c>
      <c r="BK137" s="8">
        <f t="shared" si="152"/>
        <v>0</v>
      </c>
      <c r="BL137" s="8">
        <f t="shared" si="152"/>
        <v>0</v>
      </c>
      <c r="BM137" s="8">
        <f t="shared" si="152"/>
        <v>0</v>
      </c>
      <c r="BN137" s="8">
        <f t="shared" si="152"/>
        <v>0</v>
      </c>
      <c r="BO137" s="8">
        <f t="shared" si="152"/>
        <v>0</v>
      </c>
      <c r="BP137" s="8">
        <f t="shared" si="152"/>
        <v>0</v>
      </c>
      <c r="BQ137" s="8">
        <f t="shared" si="152"/>
        <v>0</v>
      </c>
      <c r="BR137" s="8">
        <f t="shared" si="152"/>
        <v>0</v>
      </c>
      <c r="BS137" s="8">
        <f t="shared" si="152"/>
        <v>0</v>
      </c>
      <c r="BT137" s="8">
        <f t="shared" si="152"/>
        <v>0</v>
      </c>
      <c r="BU137" s="8">
        <f t="shared" si="152"/>
        <v>0</v>
      </c>
      <c r="BV137" s="8">
        <f t="shared" si="152"/>
        <v>0</v>
      </c>
      <c r="BW137" s="8">
        <f t="shared" si="152"/>
        <v>0</v>
      </c>
      <c r="BX137" s="8">
        <f t="shared" si="152"/>
        <v>0</v>
      </c>
      <c r="BY137" s="8">
        <f t="shared" si="152"/>
        <v>0</v>
      </c>
      <c r="BZ137" s="8">
        <f t="shared" ref="BZ137:DA137" si="153">BY138</f>
        <v>0</v>
      </c>
      <c r="CA137" s="8">
        <f t="shared" si="153"/>
        <v>0</v>
      </c>
      <c r="CB137" s="8">
        <f t="shared" si="153"/>
        <v>0</v>
      </c>
      <c r="CC137" s="8">
        <f t="shared" si="153"/>
        <v>0</v>
      </c>
      <c r="CD137" s="8">
        <f t="shared" si="153"/>
        <v>0</v>
      </c>
      <c r="CE137" s="8">
        <f t="shared" si="153"/>
        <v>0</v>
      </c>
      <c r="CF137" s="8">
        <f t="shared" si="153"/>
        <v>0</v>
      </c>
      <c r="CG137" s="8">
        <f t="shared" si="153"/>
        <v>0</v>
      </c>
      <c r="CH137" s="8">
        <f t="shared" si="153"/>
        <v>0</v>
      </c>
      <c r="CI137" s="8">
        <f t="shared" si="153"/>
        <v>0</v>
      </c>
      <c r="CJ137" s="8">
        <f t="shared" si="153"/>
        <v>0</v>
      </c>
      <c r="CK137" s="8">
        <f t="shared" si="153"/>
        <v>0</v>
      </c>
      <c r="CL137" s="8">
        <f t="shared" si="153"/>
        <v>0</v>
      </c>
      <c r="CM137" s="8">
        <f t="shared" si="153"/>
        <v>0</v>
      </c>
      <c r="CN137" s="8">
        <f t="shared" si="153"/>
        <v>0</v>
      </c>
      <c r="CO137" s="8">
        <f t="shared" si="153"/>
        <v>0</v>
      </c>
      <c r="CP137" s="8">
        <f t="shared" si="153"/>
        <v>0</v>
      </c>
      <c r="CQ137" s="8">
        <f t="shared" si="153"/>
        <v>0</v>
      </c>
      <c r="CR137" s="8">
        <f t="shared" si="153"/>
        <v>0</v>
      </c>
      <c r="CS137" s="8">
        <f t="shared" si="153"/>
        <v>0</v>
      </c>
      <c r="CT137" s="8">
        <f t="shared" si="153"/>
        <v>0</v>
      </c>
      <c r="CU137" s="8">
        <f t="shared" si="153"/>
        <v>0</v>
      </c>
      <c r="CV137" s="8">
        <f t="shared" si="153"/>
        <v>0</v>
      </c>
      <c r="CW137" s="8">
        <f t="shared" si="153"/>
        <v>0</v>
      </c>
      <c r="CX137" s="8">
        <f t="shared" si="153"/>
        <v>0</v>
      </c>
      <c r="CY137" s="8">
        <f t="shared" si="153"/>
        <v>0</v>
      </c>
      <c r="CZ137" s="8">
        <f t="shared" si="153"/>
        <v>0</v>
      </c>
      <c r="DA137" s="8">
        <f t="shared" si="153"/>
        <v>0</v>
      </c>
      <c r="DB137" s="8"/>
      <c r="DC137" s="8"/>
      <c r="DD137" s="8"/>
      <c r="DE137" s="8"/>
    </row>
    <row r="138" spans="3:109" x14ac:dyDescent="0.4">
      <c r="D138" t="s">
        <v>168</v>
      </c>
      <c r="L138" s="8">
        <f>L135+L136</f>
        <v>4206653.6021927502</v>
      </c>
      <c r="M138" s="8">
        <f>M135+M136</f>
        <v>4122520.530148895</v>
      </c>
      <c r="N138" s="8">
        <f t="shared" ref="N138:BY138" si="154">N135+N136</f>
        <v>4038387.4581050402</v>
      </c>
      <c r="O138" s="8">
        <f t="shared" si="154"/>
        <v>3954254.386061185</v>
      </c>
      <c r="P138" s="8">
        <f t="shared" si="154"/>
        <v>3870121.3140173303</v>
      </c>
      <c r="Q138" s="8">
        <f t="shared" si="154"/>
        <v>3785988.2419734751</v>
      </c>
      <c r="R138" s="8">
        <f t="shared" si="154"/>
        <v>3701855.1699296203</v>
      </c>
      <c r="S138" s="8">
        <f t="shared" si="154"/>
        <v>3617722.0978857651</v>
      </c>
      <c r="T138" s="8">
        <f t="shared" si="154"/>
        <v>3533589.0258419104</v>
      </c>
      <c r="U138" s="8">
        <f t="shared" si="154"/>
        <v>3449455.9537980552</v>
      </c>
      <c r="V138" s="8">
        <f t="shared" si="154"/>
        <v>3365322.8817542004</v>
      </c>
      <c r="W138" s="8">
        <f t="shared" si="154"/>
        <v>3281189.8097103452</v>
      </c>
      <c r="X138" s="8">
        <f t="shared" si="154"/>
        <v>3197056.7376664905</v>
      </c>
      <c r="Y138" s="8">
        <f t="shared" si="154"/>
        <v>3112923.6656226353</v>
      </c>
      <c r="Z138" s="8">
        <f t="shared" si="154"/>
        <v>3028790.5935787801</v>
      </c>
      <c r="AA138" s="8">
        <f t="shared" si="154"/>
        <v>2944657.5215349253</v>
      </c>
      <c r="AB138" s="8">
        <f t="shared" si="154"/>
        <v>2860524.4494910706</v>
      </c>
      <c r="AC138" s="8">
        <f t="shared" si="154"/>
        <v>2776391.3774472154</v>
      </c>
      <c r="AD138" s="8">
        <f t="shared" si="154"/>
        <v>2692258.3054033602</v>
      </c>
      <c r="AE138" s="8">
        <f t="shared" si="154"/>
        <v>2608125.2333595054</v>
      </c>
      <c r="AF138" s="8">
        <f t="shared" si="154"/>
        <v>2523992.1613156507</v>
      </c>
      <c r="AG138" s="8">
        <f t="shared" si="154"/>
        <v>2439859.0892717955</v>
      </c>
      <c r="AH138" s="8">
        <f t="shared" si="154"/>
        <v>2355726.0172279403</v>
      </c>
      <c r="AI138" s="8">
        <f t="shared" si="154"/>
        <v>2271592.9451840855</v>
      </c>
      <c r="AJ138" s="8">
        <f t="shared" si="154"/>
        <v>2187459.8731402308</v>
      </c>
      <c r="AK138" s="8">
        <f t="shared" si="154"/>
        <v>2103326.8010963756</v>
      </c>
      <c r="AL138" s="8">
        <f t="shared" si="154"/>
        <v>2019193.7290525204</v>
      </c>
      <c r="AM138" s="8">
        <f t="shared" si="154"/>
        <v>1935060.6570086651</v>
      </c>
      <c r="AN138" s="8">
        <f t="shared" si="154"/>
        <v>1850927.5849648099</v>
      </c>
      <c r="AO138" s="8">
        <f t="shared" si="154"/>
        <v>1766794.5129209547</v>
      </c>
      <c r="AP138" s="8">
        <f t="shared" si="154"/>
        <v>1682661.4408770995</v>
      </c>
      <c r="AQ138" s="8">
        <f t="shared" si="154"/>
        <v>1598528.3688332443</v>
      </c>
      <c r="AR138" s="8">
        <f t="shared" si="154"/>
        <v>1514395.2967893891</v>
      </c>
      <c r="AS138" s="8">
        <f t="shared" si="154"/>
        <v>1430262.2247455339</v>
      </c>
      <c r="AT138" s="8">
        <f t="shared" si="154"/>
        <v>1346129.1527016787</v>
      </c>
      <c r="AU138" s="8">
        <f t="shared" si="154"/>
        <v>1261996.0806578235</v>
      </c>
      <c r="AV138" s="8">
        <f t="shared" si="154"/>
        <v>1177863.0086139683</v>
      </c>
      <c r="AW138" s="8">
        <f t="shared" si="154"/>
        <v>1093729.9365701131</v>
      </c>
      <c r="AX138" s="8">
        <f t="shared" si="154"/>
        <v>1009596.8645262579</v>
      </c>
      <c r="AY138" s="8">
        <f t="shared" si="154"/>
        <v>925463.79248240264</v>
      </c>
      <c r="AZ138" s="8">
        <f t="shared" si="154"/>
        <v>841330.72043854743</v>
      </c>
      <c r="BA138" s="8">
        <f t="shared" si="154"/>
        <v>757197.64839469222</v>
      </c>
      <c r="BB138" s="8">
        <f t="shared" si="154"/>
        <v>673064.57635083701</v>
      </c>
      <c r="BC138" s="8">
        <f t="shared" si="154"/>
        <v>588931.50430698181</v>
      </c>
      <c r="BD138" s="8">
        <f t="shared" si="154"/>
        <v>504798.4322631266</v>
      </c>
      <c r="BE138" s="8">
        <f t="shared" si="154"/>
        <v>420665.36021927139</v>
      </c>
      <c r="BF138" s="8">
        <f t="shared" si="154"/>
        <v>336532.28817541618</v>
      </c>
      <c r="BG138" s="8">
        <f t="shared" si="154"/>
        <v>252399.21613156097</v>
      </c>
      <c r="BH138" s="8">
        <f t="shared" si="154"/>
        <v>168266.14408770576</v>
      </c>
      <c r="BI138" s="8">
        <f t="shared" si="154"/>
        <v>84133.072043850552</v>
      </c>
      <c r="BJ138" s="8">
        <f t="shared" si="154"/>
        <v>0</v>
      </c>
      <c r="BK138" s="8">
        <f t="shared" si="154"/>
        <v>0</v>
      </c>
      <c r="BL138" s="8">
        <f t="shared" si="154"/>
        <v>0</v>
      </c>
      <c r="BM138" s="8">
        <f t="shared" si="154"/>
        <v>0</v>
      </c>
      <c r="BN138" s="8">
        <f t="shared" si="154"/>
        <v>0</v>
      </c>
      <c r="BO138" s="8">
        <f t="shared" si="154"/>
        <v>0</v>
      </c>
      <c r="BP138" s="8">
        <f t="shared" si="154"/>
        <v>0</v>
      </c>
      <c r="BQ138" s="8">
        <f t="shared" si="154"/>
        <v>0</v>
      </c>
      <c r="BR138" s="8">
        <f t="shared" si="154"/>
        <v>0</v>
      </c>
      <c r="BS138" s="8">
        <f t="shared" si="154"/>
        <v>0</v>
      </c>
      <c r="BT138" s="8">
        <f t="shared" si="154"/>
        <v>0</v>
      </c>
      <c r="BU138" s="8">
        <f t="shared" si="154"/>
        <v>0</v>
      </c>
      <c r="BV138" s="8">
        <f t="shared" si="154"/>
        <v>0</v>
      </c>
      <c r="BW138" s="8">
        <f t="shared" si="154"/>
        <v>0</v>
      </c>
      <c r="BX138" s="8">
        <f t="shared" si="154"/>
        <v>0</v>
      </c>
      <c r="BY138" s="8">
        <f t="shared" si="154"/>
        <v>0</v>
      </c>
      <c r="BZ138" s="8">
        <f t="shared" ref="BZ138:DA138" si="155">BZ135+BZ136</f>
        <v>0</v>
      </c>
      <c r="CA138" s="8">
        <f t="shared" si="155"/>
        <v>0</v>
      </c>
      <c r="CB138" s="8">
        <f t="shared" si="155"/>
        <v>0</v>
      </c>
      <c r="CC138" s="8">
        <f t="shared" si="155"/>
        <v>0</v>
      </c>
      <c r="CD138" s="8">
        <f t="shared" si="155"/>
        <v>0</v>
      </c>
      <c r="CE138" s="8">
        <f t="shared" si="155"/>
        <v>0</v>
      </c>
      <c r="CF138" s="8">
        <f t="shared" si="155"/>
        <v>0</v>
      </c>
      <c r="CG138" s="8">
        <f t="shared" si="155"/>
        <v>0</v>
      </c>
      <c r="CH138" s="8">
        <f t="shared" si="155"/>
        <v>0</v>
      </c>
      <c r="CI138" s="8">
        <f t="shared" si="155"/>
        <v>0</v>
      </c>
      <c r="CJ138" s="8">
        <f t="shared" si="155"/>
        <v>0</v>
      </c>
      <c r="CK138" s="8">
        <f t="shared" si="155"/>
        <v>0</v>
      </c>
      <c r="CL138" s="8">
        <f t="shared" si="155"/>
        <v>0</v>
      </c>
      <c r="CM138" s="8">
        <f t="shared" si="155"/>
        <v>0</v>
      </c>
      <c r="CN138" s="8">
        <f t="shared" si="155"/>
        <v>0</v>
      </c>
      <c r="CO138" s="8">
        <f t="shared" si="155"/>
        <v>0</v>
      </c>
      <c r="CP138" s="8">
        <f t="shared" si="155"/>
        <v>0</v>
      </c>
      <c r="CQ138" s="8">
        <f t="shared" si="155"/>
        <v>0</v>
      </c>
      <c r="CR138" s="8">
        <f t="shared" si="155"/>
        <v>0</v>
      </c>
      <c r="CS138" s="8">
        <f t="shared" si="155"/>
        <v>0</v>
      </c>
      <c r="CT138" s="8">
        <f t="shared" si="155"/>
        <v>0</v>
      </c>
      <c r="CU138" s="8">
        <f t="shared" si="155"/>
        <v>0</v>
      </c>
      <c r="CV138" s="8">
        <f t="shared" si="155"/>
        <v>0</v>
      </c>
      <c r="CW138" s="8">
        <f t="shared" si="155"/>
        <v>0</v>
      </c>
      <c r="CX138" s="8">
        <f t="shared" si="155"/>
        <v>0</v>
      </c>
      <c r="CY138" s="8">
        <f t="shared" si="155"/>
        <v>0</v>
      </c>
      <c r="CZ138" s="8">
        <f t="shared" si="155"/>
        <v>0</v>
      </c>
      <c r="DA138" s="8">
        <f t="shared" si="155"/>
        <v>0</v>
      </c>
      <c r="DB138" s="8"/>
      <c r="DC138" s="8"/>
      <c r="DD138" s="8"/>
      <c r="DE138" s="8"/>
    </row>
    <row r="139" spans="3:109" x14ac:dyDescent="0.4"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8"/>
      <c r="DD139" s="8"/>
      <c r="DE139" s="8"/>
    </row>
    <row r="140" spans="3:109" x14ac:dyDescent="0.4">
      <c r="D140" t="s">
        <v>169</v>
      </c>
      <c r="L140" s="8"/>
      <c r="M140" s="8">
        <f>IF(M132&lt;=$B$4+1,M135*VLOOKUP(M132,Assumptions!$A$70:$B$90,2,0),0)</f>
        <v>157749.51008222814</v>
      </c>
      <c r="N140" s="8">
        <f>IF(N132&lt;=$B$4+1,N135*VLOOKUP(N132,Assumptions!$A$70:$B$90,2,0),0)</f>
        <v>303678.32354229467</v>
      </c>
      <c r="O140" s="8">
        <f>IF(O132&lt;=$B$4+1,O135*VLOOKUP(O132,Assumptions!$A$70:$B$90,2,0),0)</f>
        <v>280878.26101840992</v>
      </c>
      <c r="P140" s="8">
        <f>IF(P132&lt;=$B$4+1,P135*VLOOKUP(P132,Assumptions!$A$70:$B$90,2,0),0)</f>
        <v>259844.99300744617</v>
      </c>
      <c r="Q140" s="8">
        <f>IF(Q132&lt;=$B$4+1,Q135*VLOOKUP(Q132,Assumptions!$A$70:$B$90,2,0),0)</f>
        <v>240326.12029327182</v>
      </c>
      <c r="R140" s="8">
        <f>IF(R132&lt;=$B$4+1,R135*VLOOKUP(R132,Assumptions!$A$70:$B$90,2,0),0)</f>
        <v>222321.64287588684</v>
      </c>
      <c r="S140" s="8">
        <f>IF(S132&lt;=$B$4+1,S135*VLOOKUP(S132,Assumptions!$A$70:$B$90,2,0),0)</f>
        <v>205621.22807518163</v>
      </c>
      <c r="T140" s="8">
        <f>IF(T132&lt;=$B$4+1,T135*VLOOKUP(T132,Assumptions!$A$70:$B$90,2,0),0)</f>
        <v>190224.87589115617</v>
      </c>
      <c r="U140" s="8">
        <f>IF(U132&lt;=$B$4+1,U135*VLOOKUP(U132,Assumptions!$A$70:$B$90,2,0),0)</f>
        <v>187700.88372984051</v>
      </c>
      <c r="V140" s="8">
        <f>IF(V132&lt;=$B$4+1,V135*VLOOKUP(V132,Assumptions!$A$70:$B$90,2,0),0)</f>
        <v>187658.81719381857</v>
      </c>
      <c r="W140" s="8">
        <f>IF(W132&lt;=$B$4+1,W135*VLOOKUP(W132,Assumptions!$A$70:$B$90,2,0),0)</f>
        <v>187700.88372984051</v>
      </c>
      <c r="X140" s="8">
        <f>IF(X132&lt;=$B$4+1,X135*VLOOKUP(X132,Assumptions!$A$70:$B$90,2,0),0)</f>
        <v>187658.81719381857</v>
      </c>
      <c r="Y140" s="8">
        <f>IF(Y132&lt;=$B$4+1,Y135*VLOOKUP(Y132,Assumptions!$A$70:$B$90,2,0),0)</f>
        <v>187700.88372984051</v>
      </c>
      <c r="Z140" s="8">
        <f>IF(Z132&lt;=$B$4+1,Z135*VLOOKUP(Z132,Assumptions!$A$70:$B$90,2,0),0)</f>
        <v>187658.81719381857</v>
      </c>
      <c r="AA140" s="8">
        <f>IF(AA132&lt;=$B$4+1,AA135*VLOOKUP(AA132,Assumptions!$A$70:$B$90,2,0),0)</f>
        <v>187700.88372984051</v>
      </c>
      <c r="AB140" s="8">
        <f>IF(AB132&lt;=$B$4+1,AB135*VLOOKUP(AB132,Assumptions!$A$70:$B$90,2,0),0)</f>
        <v>187658.81719381857</v>
      </c>
      <c r="AC140" s="8">
        <f>IF(AC132&lt;=$B$4+1,AC135*VLOOKUP(AC132,Assumptions!$A$70:$B$90,2,0),0)</f>
        <v>187700.88372984051</v>
      </c>
      <c r="AD140" s="8">
        <f>IF(AD132&lt;=$B$4+1,AD135*VLOOKUP(AD132,Assumptions!$A$70:$B$90,2,0),0)</f>
        <v>187658.81719381857</v>
      </c>
      <c r="AE140" s="8">
        <f>IF(AE132&lt;=$B$4+1,AE135*VLOOKUP(AE132,Assumptions!$A$70:$B$90,2,0),0)</f>
        <v>187700.88372984051</v>
      </c>
      <c r="AF140" s="8">
        <f>IF(AF132&lt;=$B$4+1,AF135*VLOOKUP(AF132,Assumptions!$A$70:$B$90,2,0),0)</f>
        <v>187658.81719381857</v>
      </c>
      <c r="AG140" s="8">
        <f>IF(AG132&lt;=$B$4+1,AG135*VLOOKUP(AG132,Assumptions!$A$70:$B$90,2,0),0)</f>
        <v>93850.441864920256</v>
      </c>
      <c r="AH140" s="8">
        <f>IF(AH132&lt;=$B$4+1,AH135*VLOOKUP(AH132,Assumptions!$A$70:$B$90,2,0),0)</f>
        <v>0</v>
      </c>
      <c r="AI140" s="8">
        <f>IF(AI132&lt;=$B$4+1,AI135*VLOOKUP(AI132,Assumptions!$A$70:$B$90,2,0),0)</f>
        <v>0</v>
      </c>
      <c r="AJ140" s="8">
        <f>IF(AJ132&lt;=$B$4+1,AJ135*VLOOKUP(AJ132,Assumptions!$A$70:$B$90,2,0),0)</f>
        <v>0</v>
      </c>
      <c r="AK140" s="8">
        <f>IF(AK132&lt;=$B$4+1,AK135*VLOOKUP(AK132,Assumptions!$A$70:$B$90,2,0),0)</f>
        <v>0</v>
      </c>
      <c r="AL140" s="8">
        <f>IF(AL132&lt;=$B$4+1,AL135*VLOOKUP(AL132,Assumptions!$A$70:$B$90,2,0),0)</f>
        <v>0</v>
      </c>
      <c r="AM140" s="8">
        <f>IF(AM132&lt;=$B$4+1,AM135*VLOOKUP(AM132,Assumptions!$A$70:$B$90,2,0),0)</f>
        <v>0</v>
      </c>
      <c r="AN140" s="8">
        <f>IF(AN132&lt;=$B$4+1,AN135*VLOOKUP(AN132,Assumptions!$A$70:$B$90,2,0),0)</f>
        <v>0</v>
      </c>
      <c r="AO140" s="8">
        <f>IF(AO132&lt;=$B$4+1,AO135*VLOOKUP(AO132,Assumptions!$A$70:$B$90,2,0),0)</f>
        <v>0</v>
      </c>
      <c r="AP140" s="8">
        <f>IF(AP132&lt;=$B$4+1,AP135*VLOOKUP(AP132,Assumptions!$A$70:$B$90,2,0),0)</f>
        <v>0</v>
      </c>
      <c r="AQ140" s="8">
        <f>IF(AQ132&lt;=$B$4+1,AQ135*VLOOKUP(AQ132,Assumptions!$A$70:$B$90,2,0),0)</f>
        <v>0</v>
      </c>
      <c r="AR140" s="8">
        <f>IF(AR132&lt;=$B$4+1,AR135*VLOOKUP(AR132,Assumptions!$A$70:$B$90,2,0),0)</f>
        <v>0</v>
      </c>
      <c r="AS140" s="8">
        <f>IF(AS132&lt;=$B$4+1,AS135*VLOOKUP(AS132,Assumptions!$A$70:$B$90,2,0),0)</f>
        <v>0</v>
      </c>
      <c r="AT140" s="8">
        <f>IF(AT132&lt;=$B$4+1,AT135*VLOOKUP(AT132,Assumptions!$A$70:$B$90,2,0),0)</f>
        <v>0</v>
      </c>
      <c r="AU140" s="8">
        <f>IF(AU132&lt;=$B$4+1,AU135*VLOOKUP(AU132,Assumptions!$A$70:$B$90,2,0),0)</f>
        <v>0</v>
      </c>
      <c r="AV140" s="8">
        <f>IF(AV132&lt;=$B$4+1,AV135*VLOOKUP(AV132,Assumptions!$A$70:$B$90,2,0),0)</f>
        <v>0</v>
      </c>
      <c r="AW140" s="8">
        <f>IF(AW132&lt;=$B$4+1,AW135*VLOOKUP(AW132,Assumptions!$A$70:$B$90,2,0),0)</f>
        <v>0</v>
      </c>
      <c r="AX140" s="8">
        <f>IF(AX132&lt;=$B$4+1,AX135*VLOOKUP(AX132,Assumptions!$A$70:$B$90,2,0),0)</f>
        <v>0</v>
      </c>
      <c r="AY140" s="8">
        <f>IF(AY132&lt;=$B$4+1,AY135*VLOOKUP(AY132,Assumptions!$A$70:$B$90,2,0),0)</f>
        <v>0</v>
      </c>
      <c r="AZ140" s="8">
        <f>IF(AZ132&lt;=$B$4+1,AZ135*VLOOKUP(AZ132,Assumptions!$A$70:$B$90,2,0),0)</f>
        <v>0</v>
      </c>
      <c r="BA140" s="8">
        <f>IF(BA132&lt;=$B$4+1,BA135*VLOOKUP(BA132,Assumptions!$A$70:$B$90,2,0),0)</f>
        <v>0</v>
      </c>
      <c r="BB140" s="8">
        <f>IF(BB132&lt;=$B$4+1,BB135*VLOOKUP(BB132,Assumptions!$A$70:$B$90,2,0),0)</f>
        <v>0</v>
      </c>
      <c r="BC140" s="8">
        <f>IF(BC132&lt;=$B$4+1,BC135*VLOOKUP(BC132,Assumptions!$A$70:$B$90,2,0),0)</f>
        <v>0</v>
      </c>
      <c r="BD140" s="8">
        <f>IF(BD132&lt;=$B$4+1,BD135*VLOOKUP(BD132,Assumptions!$A$70:$B$90,2,0),0)</f>
        <v>0</v>
      </c>
      <c r="BE140" s="8">
        <f>IF(BE132&lt;=$B$4+1,BE135*VLOOKUP(BE132,Assumptions!$A$70:$B$90,2,0),0)</f>
        <v>0</v>
      </c>
      <c r="BF140" s="8">
        <f>IF(BF132&lt;=$B$4+1,BF135*VLOOKUP(BF132,Assumptions!$A$70:$B$90,2,0),0)</f>
        <v>0</v>
      </c>
      <c r="BG140" s="8">
        <f>IF(BG132&lt;=$B$4+1,BG135*VLOOKUP(BG132,Assumptions!$A$70:$B$90,2,0),0)</f>
        <v>0</v>
      </c>
      <c r="BH140" s="8">
        <f>IF(BH132&lt;=$B$4+1,BH135*VLOOKUP(BH132,Assumptions!$A$70:$B$90,2,0),0)</f>
        <v>0</v>
      </c>
      <c r="BI140" s="8">
        <f>IF(BI132&lt;=$B$4+1,BI135*VLOOKUP(BI132,Assumptions!$A$70:$B$90,2,0),0)</f>
        <v>0</v>
      </c>
      <c r="BJ140" s="8">
        <f>IF(BJ132&lt;=$B$4+1,BJ135*VLOOKUP(BJ132,Assumptions!$A$70:$B$90,2,0),0)</f>
        <v>0</v>
      </c>
      <c r="BK140" s="8">
        <f>IF(BK132&lt;=$B$4+1,BK135*VLOOKUP(BK132,Assumptions!$A$70:$B$90,2,0),0)</f>
        <v>0</v>
      </c>
      <c r="BL140" s="8">
        <f>IF(BL132&lt;=$B$4+1,BL135*VLOOKUP(BL132,Assumptions!$A$70:$B$90,2,0),0)</f>
        <v>0</v>
      </c>
      <c r="BM140" s="8">
        <f>IF(BM132&lt;=$B$4+1,BM135*VLOOKUP(BM132,Assumptions!$A$70:$B$90,2,0),0)</f>
        <v>0</v>
      </c>
      <c r="BN140" s="8">
        <f>IF(BN132&lt;=$B$4+1,BN135*VLOOKUP(BN132,Assumptions!$A$70:$B$90,2,0),0)</f>
        <v>0</v>
      </c>
      <c r="BO140" s="8">
        <f>IF(BO132&lt;=$B$4+1,BO135*VLOOKUP(BO132,Assumptions!$A$70:$B$90,2,0),0)</f>
        <v>0</v>
      </c>
      <c r="BP140" s="8">
        <f>IF(BP132&lt;=$B$4+1,BP135*VLOOKUP(BP132,Assumptions!$A$70:$B$90,2,0),0)</f>
        <v>0</v>
      </c>
      <c r="BQ140" s="8">
        <f>IF(BQ132&lt;=$B$4+1,BQ135*VLOOKUP(BQ132,Assumptions!$A$70:$B$90,2,0),0)</f>
        <v>0</v>
      </c>
      <c r="BR140" s="8">
        <f>IF(BR132&lt;=$B$4+1,BR135*VLOOKUP(BR132,Assumptions!$A$70:$B$90,2,0),0)</f>
        <v>0</v>
      </c>
      <c r="BS140" s="8">
        <f>IF(BS132&lt;=$B$4+1,BS135*VLOOKUP(BS132,Assumptions!$A$70:$B$90,2,0),0)</f>
        <v>0</v>
      </c>
      <c r="BT140" s="8">
        <f>IF(BT132&lt;=$B$4+1,BT135*VLOOKUP(BT132,Assumptions!$A$70:$B$90,2,0),0)</f>
        <v>0</v>
      </c>
      <c r="BU140" s="8">
        <f>IF(BU132&lt;=$B$4+1,BU135*VLOOKUP(BU132,Assumptions!$A$70:$B$90,2,0),0)</f>
        <v>0</v>
      </c>
      <c r="BV140" s="8">
        <f>IF(BV132&lt;=$B$4+1,BV135*VLOOKUP(BV132,Assumptions!$A$70:$B$90,2,0),0)</f>
        <v>0</v>
      </c>
      <c r="BW140" s="8">
        <f>IF(BW132&lt;=$B$4+1,BW135*VLOOKUP(BW132,Assumptions!$A$70:$B$90,2,0),0)</f>
        <v>0</v>
      </c>
      <c r="BX140" s="8">
        <f>IF(BX132&lt;=$B$4+1,BX135*VLOOKUP(BX132,Assumptions!$A$70:$B$90,2,0),0)</f>
        <v>0</v>
      </c>
      <c r="BY140" s="8">
        <f>IF(BY132&lt;=$B$4+1,BY135*VLOOKUP(BY132,Assumptions!$A$70:$B$90,2,0),0)</f>
        <v>0</v>
      </c>
      <c r="BZ140" s="8">
        <f>IF(BZ132&lt;=$B$4+1,BZ135*VLOOKUP(BZ132,Assumptions!$A$70:$B$90,2,0),0)</f>
        <v>0</v>
      </c>
      <c r="CA140" s="8">
        <f>IF(CA132&lt;=$B$4+1,CA135*VLOOKUP(CA132,Assumptions!$A$70:$B$90,2,0),0)</f>
        <v>0</v>
      </c>
      <c r="CB140" s="8">
        <f>IF(CB132&lt;=$B$4+1,CB135*VLOOKUP(CB132,Assumptions!$A$70:$B$90,2,0),0)</f>
        <v>0</v>
      </c>
      <c r="CC140" s="8">
        <f>IF(CC132&lt;=$B$4+1,CC135*VLOOKUP(CC132,Assumptions!$A$70:$B$90,2,0),0)</f>
        <v>0</v>
      </c>
      <c r="CD140" s="8">
        <f>IF(CD132&lt;=$B$4+1,CD135*VLOOKUP(CD132,Assumptions!$A$70:$B$90,2,0),0)</f>
        <v>0</v>
      </c>
      <c r="CE140" s="8">
        <f>IF(CE132&lt;=$B$4+1,CE135*VLOOKUP(CE132,Assumptions!$A$70:$B$90,2,0),0)</f>
        <v>0</v>
      </c>
      <c r="CF140" s="8">
        <f>IF(CF132&lt;=$B$4+1,CF135*VLOOKUP(CF132,Assumptions!$A$70:$B$90,2,0),0)</f>
        <v>0</v>
      </c>
      <c r="CG140" s="8">
        <f>IF(CG132&lt;=$B$4+1,CG135*VLOOKUP(CG132,Assumptions!$A$70:$B$90,2,0),0)</f>
        <v>0</v>
      </c>
      <c r="CH140" s="8">
        <f>IF(CH132&lt;=$B$4+1,CH135*VLOOKUP(CH132,Assumptions!$A$70:$B$90,2,0),0)</f>
        <v>0</v>
      </c>
      <c r="CI140" s="8">
        <f>IF(CI132&lt;=$B$4+1,CI135*VLOOKUP(CI132,Assumptions!$A$70:$B$90,2,0),0)</f>
        <v>0</v>
      </c>
      <c r="CJ140" s="8">
        <f>IF(CJ132&lt;=$B$4+1,CJ135*VLOOKUP(CJ132,Assumptions!$A$70:$B$90,2,0),0)</f>
        <v>0</v>
      </c>
      <c r="CK140" s="8">
        <f>IF(CK132&lt;=$B$4+1,CK135*VLOOKUP(CK132,Assumptions!$A$70:$B$90,2,0),0)</f>
        <v>0</v>
      </c>
      <c r="CL140" s="8">
        <f>IF(CL132&lt;=$B$4+1,CL135*VLOOKUP(CL132,Assumptions!$A$70:$B$90,2,0),0)</f>
        <v>0</v>
      </c>
      <c r="CM140" s="8">
        <f>IF(CM132&lt;=$B$4+1,CM135*VLOOKUP(CM132,Assumptions!$A$70:$B$90,2,0),0)</f>
        <v>0</v>
      </c>
      <c r="CN140" s="8">
        <f>IF(CN132&lt;=$B$4+1,CN135*VLOOKUP(CN132,Assumptions!$A$70:$B$90,2,0),0)</f>
        <v>0</v>
      </c>
      <c r="CO140" s="8">
        <f>IF(CO132&lt;=$B$4+1,CO135*VLOOKUP(CO132,Assumptions!$A$70:$B$90,2,0),0)</f>
        <v>0</v>
      </c>
      <c r="CP140" s="8">
        <f>IF(CP132&lt;=$B$4+1,CP135*VLOOKUP(CP132,Assumptions!$A$70:$B$90,2,0),0)</f>
        <v>0</v>
      </c>
      <c r="CQ140" s="8">
        <f>IF(CQ132&lt;=$B$4+1,CQ135*VLOOKUP(CQ132,Assumptions!$A$70:$B$90,2,0),0)</f>
        <v>0</v>
      </c>
      <c r="CR140" s="8">
        <f>IF(CR132&lt;=$B$4+1,CR135*VLOOKUP(CR132,Assumptions!$A$70:$B$90,2,0),0)</f>
        <v>0</v>
      </c>
      <c r="CS140" s="8">
        <f>IF(CS132&lt;=$B$4+1,CS135*VLOOKUP(CS132,Assumptions!$A$70:$B$90,2,0),0)</f>
        <v>0</v>
      </c>
      <c r="CT140" s="8">
        <f>IF(CT132&lt;=$B$4+1,CT135*VLOOKUP(CT132,Assumptions!$A$70:$B$90,2,0),0)</f>
        <v>0</v>
      </c>
      <c r="CU140" s="8">
        <f>IF(CU132&lt;=$B$4+1,CU135*VLOOKUP(CU132,Assumptions!$A$70:$B$90,2,0),0)</f>
        <v>0</v>
      </c>
      <c r="CV140" s="8">
        <f>IF(CV132&lt;=$B$4+1,CV135*VLOOKUP(CV132,Assumptions!$A$70:$B$90,2,0),0)</f>
        <v>0</v>
      </c>
      <c r="CW140" s="8">
        <f>IF(CW132&lt;=$B$4+1,CW135*VLOOKUP(CW132,Assumptions!$A$70:$B$90,2,0),0)</f>
        <v>0</v>
      </c>
      <c r="CX140" s="8">
        <f>IF(CX132&lt;=$B$4+1,CX135*VLOOKUP(CX132,Assumptions!$A$70:$B$90,2,0),0)</f>
        <v>0</v>
      </c>
      <c r="CY140" s="8">
        <f>IF(CY132&lt;=$B$4+1,CY135*VLOOKUP(CY132,Assumptions!$A$70:$B$90,2,0),0)</f>
        <v>0</v>
      </c>
      <c r="CZ140" s="8">
        <f>IF(CZ132&lt;=$B$4+1,CZ135*VLOOKUP(CZ132,Assumptions!$A$70:$B$90,2,0),0)</f>
        <v>0</v>
      </c>
      <c r="DA140" s="8">
        <f>IF(DA132&lt;=$B$4+1,DA135*VLOOKUP(DA132,Assumptions!$A$70:$B$90,2,0),0)</f>
        <v>0</v>
      </c>
      <c r="DB140" s="8"/>
      <c r="DC140" s="8"/>
      <c r="DD140" s="8"/>
      <c r="DE140" s="8"/>
    </row>
    <row r="141" spans="3:109" x14ac:dyDescent="0.4">
      <c r="D141" t="s">
        <v>170</v>
      </c>
      <c r="L141" s="8"/>
      <c r="M141" s="8">
        <f>L142</f>
        <v>0</v>
      </c>
      <c r="N141" s="8">
        <f t="shared" ref="N141:BY141" si="156">M142</f>
        <v>-20402.795802335113</v>
      </c>
      <c r="O141" s="8">
        <f t="shared" si="156"/>
        <v>-81249.762255127673</v>
      </c>
      <c r="P141" s="8">
        <f t="shared" si="156"/>
        <v>-135777.69137942558</v>
      </c>
      <c r="Q141" s="8">
        <f t="shared" si="156"/>
        <v>-184476.25027448486</v>
      </c>
      <c r="R141" s="8">
        <f t="shared" si="156"/>
        <v>-227765.15359681073</v>
      </c>
      <c r="S141" s="8">
        <f t="shared" si="156"/>
        <v>-266064.11600290838</v>
      </c>
      <c r="T141" s="8">
        <f t="shared" si="156"/>
        <v>-299734.55844699056</v>
      </c>
      <c r="U141" s="8">
        <f t="shared" si="156"/>
        <v>-329137.90188327007</v>
      </c>
      <c r="V141" s="8">
        <f t="shared" si="156"/>
        <v>-357841.72089204093</v>
      </c>
      <c r="W141" s="8">
        <f t="shared" si="156"/>
        <v>-386533.88116035331</v>
      </c>
      <c r="X141" s="8">
        <f t="shared" si="156"/>
        <v>-415237.70016912417</v>
      </c>
      <c r="Y141" s="8">
        <f t="shared" si="156"/>
        <v>-443929.86043743655</v>
      </c>
      <c r="Z141" s="8">
        <f t="shared" si="156"/>
        <v>-472633.67944620742</v>
      </c>
      <c r="AA141" s="8">
        <f t="shared" si="156"/>
        <v>-501325.8397145198</v>
      </c>
      <c r="AB141" s="8">
        <f t="shared" si="156"/>
        <v>-530029.65872329066</v>
      </c>
      <c r="AC141" s="8">
        <f t="shared" si="156"/>
        <v>-558721.8189916031</v>
      </c>
      <c r="AD141" s="8">
        <f t="shared" si="156"/>
        <v>-587425.63800037396</v>
      </c>
      <c r="AE141" s="8">
        <f t="shared" si="156"/>
        <v>-616117.7982686864</v>
      </c>
      <c r="AF141" s="8">
        <f t="shared" si="156"/>
        <v>-644821.61727745726</v>
      </c>
      <c r="AG141" s="8">
        <f t="shared" si="156"/>
        <v>-673513.7775457697</v>
      </c>
      <c r="AH141" s="8">
        <f t="shared" si="156"/>
        <v>-676206.94659167796</v>
      </c>
      <c r="AI141" s="8">
        <f t="shared" si="156"/>
        <v>-652889.4656747235</v>
      </c>
      <c r="AJ141" s="8">
        <f t="shared" si="156"/>
        <v>-629571.98475776904</v>
      </c>
      <c r="AK141" s="8">
        <f t="shared" si="156"/>
        <v>-606254.50384081458</v>
      </c>
      <c r="AL141" s="8">
        <f t="shared" si="156"/>
        <v>-582937.02292386012</v>
      </c>
      <c r="AM141" s="8">
        <f t="shared" si="156"/>
        <v>-559619.54200690566</v>
      </c>
      <c r="AN141" s="8">
        <f t="shared" si="156"/>
        <v>-536302.0610899512</v>
      </c>
      <c r="AO141" s="8">
        <f t="shared" si="156"/>
        <v>-512984.58017299679</v>
      </c>
      <c r="AP141" s="8">
        <f t="shared" si="156"/>
        <v>-489667.09925604239</v>
      </c>
      <c r="AQ141" s="8">
        <f t="shared" si="156"/>
        <v>-466349.61833908799</v>
      </c>
      <c r="AR141" s="8">
        <f t="shared" si="156"/>
        <v>-443032.13742213359</v>
      </c>
      <c r="AS141" s="8">
        <f t="shared" si="156"/>
        <v>-419714.65650517918</v>
      </c>
      <c r="AT141" s="8">
        <f t="shared" si="156"/>
        <v>-396397.17558822478</v>
      </c>
      <c r="AU141" s="8">
        <f t="shared" si="156"/>
        <v>-373079.69467127038</v>
      </c>
      <c r="AV141" s="8">
        <f t="shared" si="156"/>
        <v>-349762.21375431598</v>
      </c>
      <c r="AW141" s="8">
        <f t="shared" si="156"/>
        <v>-326444.73283736157</v>
      </c>
      <c r="AX141" s="8">
        <f t="shared" si="156"/>
        <v>-303127.25192040717</v>
      </c>
      <c r="AY141" s="8">
        <f t="shared" si="156"/>
        <v>-279809.77100345277</v>
      </c>
      <c r="AZ141" s="8">
        <f t="shared" si="156"/>
        <v>-256492.29008649837</v>
      </c>
      <c r="BA141" s="8">
        <f t="shared" si="156"/>
        <v>-233174.80916954397</v>
      </c>
      <c r="BB141" s="8">
        <f t="shared" si="156"/>
        <v>-209857.32825258956</v>
      </c>
      <c r="BC141" s="8">
        <f t="shared" si="156"/>
        <v>-186539.84733563516</v>
      </c>
      <c r="BD141" s="8">
        <f t="shared" si="156"/>
        <v>-163222.36641868076</v>
      </c>
      <c r="BE141" s="8">
        <f t="shared" si="156"/>
        <v>-139904.88550172636</v>
      </c>
      <c r="BF141" s="8">
        <f t="shared" si="156"/>
        <v>-116587.40458477194</v>
      </c>
      <c r="BG141" s="8">
        <f t="shared" si="156"/>
        <v>-93269.923667817522</v>
      </c>
      <c r="BH141" s="8">
        <f t="shared" si="156"/>
        <v>-69952.442750863105</v>
      </c>
      <c r="BI141" s="8">
        <f t="shared" si="156"/>
        <v>-46634.961833908688</v>
      </c>
      <c r="BJ141" s="8">
        <f t="shared" si="156"/>
        <v>-23317.480916954271</v>
      </c>
      <c r="BK141" s="8">
        <f t="shared" si="156"/>
        <v>1.4551915228366852E-10</v>
      </c>
      <c r="BL141" s="8">
        <f t="shared" si="156"/>
        <v>1.4551915228366852E-10</v>
      </c>
      <c r="BM141" s="8">
        <f t="shared" si="156"/>
        <v>1.4551915228366852E-10</v>
      </c>
      <c r="BN141" s="8">
        <f t="shared" si="156"/>
        <v>1.4551915228366852E-10</v>
      </c>
      <c r="BO141" s="8">
        <f t="shared" si="156"/>
        <v>1.4551915228366852E-10</v>
      </c>
      <c r="BP141" s="8">
        <f t="shared" si="156"/>
        <v>1.4551915228366852E-10</v>
      </c>
      <c r="BQ141" s="8">
        <f t="shared" si="156"/>
        <v>1.4551915228366852E-10</v>
      </c>
      <c r="BR141" s="8">
        <f t="shared" si="156"/>
        <v>1.4551915228366852E-10</v>
      </c>
      <c r="BS141" s="8">
        <f t="shared" si="156"/>
        <v>1.4551915228366852E-10</v>
      </c>
      <c r="BT141" s="8">
        <f t="shared" si="156"/>
        <v>1.4551915228366852E-10</v>
      </c>
      <c r="BU141" s="8">
        <f t="shared" si="156"/>
        <v>1.4551915228366852E-10</v>
      </c>
      <c r="BV141" s="8">
        <f t="shared" si="156"/>
        <v>1.4551915228366852E-10</v>
      </c>
      <c r="BW141" s="8">
        <f t="shared" si="156"/>
        <v>1.4551915228366852E-10</v>
      </c>
      <c r="BX141" s="8">
        <f t="shared" si="156"/>
        <v>1.4551915228366852E-10</v>
      </c>
      <c r="BY141" s="8">
        <f t="shared" si="156"/>
        <v>1.4551915228366852E-10</v>
      </c>
      <c r="BZ141" s="8">
        <f t="shared" ref="BZ141:DA141" si="157">BY142</f>
        <v>1.4551915228366852E-10</v>
      </c>
      <c r="CA141" s="8">
        <f t="shared" si="157"/>
        <v>1.4551915228366852E-10</v>
      </c>
      <c r="CB141" s="8">
        <f t="shared" si="157"/>
        <v>1.4551915228366852E-10</v>
      </c>
      <c r="CC141" s="8">
        <f t="shared" si="157"/>
        <v>1.4551915228366852E-10</v>
      </c>
      <c r="CD141" s="8">
        <f t="shared" si="157"/>
        <v>1.4551915228366852E-10</v>
      </c>
      <c r="CE141" s="8">
        <f t="shared" si="157"/>
        <v>1.4551915228366852E-10</v>
      </c>
      <c r="CF141" s="8">
        <f t="shared" si="157"/>
        <v>1.4551915228366852E-10</v>
      </c>
      <c r="CG141" s="8">
        <f t="shared" si="157"/>
        <v>1.4551915228366852E-10</v>
      </c>
      <c r="CH141" s="8">
        <f t="shared" si="157"/>
        <v>1.4551915228366852E-10</v>
      </c>
      <c r="CI141" s="8">
        <f t="shared" si="157"/>
        <v>1.4551915228366852E-10</v>
      </c>
      <c r="CJ141" s="8">
        <f t="shared" si="157"/>
        <v>1.4551915228366852E-10</v>
      </c>
      <c r="CK141" s="8">
        <f t="shared" si="157"/>
        <v>1.4551915228366852E-10</v>
      </c>
      <c r="CL141" s="8">
        <f t="shared" si="157"/>
        <v>1.4551915228366852E-10</v>
      </c>
      <c r="CM141" s="8">
        <f t="shared" si="157"/>
        <v>1.4551915228366852E-10</v>
      </c>
      <c r="CN141" s="8">
        <f t="shared" si="157"/>
        <v>1.4551915228366852E-10</v>
      </c>
      <c r="CO141" s="8">
        <f t="shared" si="157"/>
        <v>1.4551915228366852E-10</v>
      </c>
      <c r="CP141" s="8">
        <f t="shared" si="157"/>
        <v>1.4551915228366852E-10</v>
      </c>
      <c r="CQ141" s="8">
        <f t="shared" si="157"/>
        <v>1.4551915228366852E-10</v>
      </c>
      <c r="CR141" s="8">
        <f t="shared" si="157"/>
        <v>1.4551915228366852E-10</v>
      </c>
      <c r="CS141" s="8">
        <f t="shared" si="157"/>
        <v>1.4551915228366852E-10</v>
      </c>
      <c r="CT141" s="8">
        <f t="shared" si="157"/>
        <v>1.4551915228366852E-10</v>
      </c>
      <c r="CU141" s="8">
        <f t="shared" si="157"/>
        <v>1.4551915228366852E-10</v>
      </c>
      <c r="CV141" s="8">
        <f t="shared" si="157"/>
        <v>1.4551915228366852E-10</v>
      </c>
      <c r="CW141" s="8">
        <f t="shared" si="157"/>
        <v>1.4551915228366852E-10</v>
      </c>
      <c r="CX141" s="8">
        <f t="shared" si="157"/>
        <v>1.4551915228366852E-10</v>
      </c>
      <c r="CY141" s="8">
        <f t="shared" si="157"/>
        <v>1.4551915228366852E-10</v>
      </c>
      <c r="CZ141" s="8">
        <f t="shared" si="157"/>
        <v>1.4551915228366852E-10</v>
      </c>
      <c r="DA141" s="8">
        <f t="shared" si="157"/>
        <v>1.4551915228366852E-10</v>
      </c>
      <c r="DB141" s="8"/>
      <c r="DC141" s="8"/>
      <c r="DD141" s="8"/>
      <c r="DE141" s="8"/>
    </row>
    <row r="142" spans="3:109" x14ac:dyDescent="0.4">
      <c r="D142" t="s">
        <v>171</v>
      </c>
      <c r="L142" s="8"/>
      <c r="M142" s="8">
        <f t="shared" ref="M142:AR142" si="158">L142+((M134-M140)*INC_TAX_RATE)</f>
        <v>-20402.795802335113</v>
      </c>
      <c r="N142" s="8">
        <f t="shared" si="158"/>
        <v>-81249.762255127673</v>
      </c>
      <c r="O142" s="8">
        <f t="shared" si="158"/>
        <v>-135777.69137942558</v>
      </c>
      <c r="P142" s="8">
        <f t="shared" si="158"/>
        <v>-184476.25027448486</v>
      </c>
      <c r="Q142" s="8">
        <f t="shared" si="158"/>
        <v>-227765.15359681073</v>
      </c>
      <c r="R142" s="8">
        <f t="shared" si="158"/>
        <v>-266064.11600290838</v>
      </c>
      <c r="S142" s="8">
        <f t="shared" si="158"/>
        <v>-299734.55844699056</v>
      </c>
      <c r="T142" s="8">
        <f t="shared" si="158"/>
        <v>-329137.90188327007</v>
      </c>
      <c r="U142" s="8">
        <f t="shared" si="158"/>
        <v>-357841.72089204093</v>
      </c>
      <c r="V142" s="8">
        <f t="shared" si="158"/>
        <v>-386533.88116035331</v>
      </c>
      <c r="W142" s="8">
        <f t="shared" si="158"/>
        <v>-415237.70016912417</v>
      </c>
      <c r="X142" s="8">
        <f t="shared" si="158"/>
        <v>-443929.86043743655</v>
      </c>
      <c r="Y142" s="8">
        <f t="shared" si="158"/>
        <v>-472633.67944620742</v>
      </c>
      <c r="Z142" s="8">
        <f t="shared" si="158"/>
        <v>-501325.8397145198</v>
      </c>
      <c r="AA142" s="8">
        <f t="shared" si="158"/>
        <v>-530029.65872329066</v>
      </c>
      <c r="AB142" s="8">
        <f t="shared" si="158"/>
        <v>-558721.8189916031</v>
      </c>
      <c r="AC142" s="8">
        <f t="shared" si="158"/>
        <v>-587425.63800037396</v>
      </c>
      <c r="AD142" s="8">
        <f t="shared" si="158"/>
        <v>-616117.7982686864</v>
      </c>
      <c r="AE142" s="8">
        <f t="shared" si="158"/>
        <v>-644821.61727745726</v>
      </c>
      <c r="AF142" s="8">
        <f t="shared" si="158"/>
        <v>-673513.7775457697</v>
      </c>
      <c r="AG142" s="8">
        <f t="shared" si="158"/>
        <v>-676206.94659167796</v>
      </c>
      <c r="AH142" s="8">
        <f t="shared" si="158"/>
        <v>-652889.4656747235</v>
      </c>
      <c r="AI142" s="8">
        <f t="shared" si="158"/>
        <v>-629571.98475776904</v>
      </c>
      <c r="AJ142" s="8">
        <f t="shared" si="158"/>
        <v>-606254.50384081458</v>
      </c>
      <c r="AK142" s="8">
        <f t="shared" si="158"/>
        <v>-582937.02292386012</v>
      </c>
      <c r="AL142" s="8">
        <f t="shared" si="158"/>
        <v>-559619.54200690566</v>
      </c>
      <c r="AM142" s="8">
        <f t="shared" si="158"/>
        <v>-536302.0610899512</v>
      </c>
      <c r="AN142" s="8">
        <f t="shared" si="158"/>
        <v>-512984.58017299679</v>
      </c>
      <c r="AO142" s="8">
        <f t="shared" si="158"/>
        <v>-489667.09925604239</v>
      </c>
      <c r="AP142" s="8">
        <f t="shared" si="158"/>
        <v>-466349.61833908799</v>
      </c>
      <c r="AQ142" s="8">
        <f t="shared" si="158"/>
        <v>-443032.13742213359</v>
      </c>
      <c r="AR142" s="8">
        <f t="shared" si="158"/>
        <v>-419714.65650517918</v>
      </c>
      <c r="AS142" s="8">
        <f t="shared" ref="AS142:BX142" si="159">AR142+((AS134-AS140)*INC_TAX_RATE)</f>
        <v>-396397.17558822478</v>
      </c>
      <c r="AT142" s="8">
        <f t="shared" si="159"/>
        <v>-373079.69467127038</v>
      </c>
      <c r="AU142" s="8">
        <f t="shared" si="159"/>
        <v>-349762.21375431598</v>
      </c>
      <c r="AV142" s="8">
        <f t="shared" si="159"/>
        <v>-326444.73283736157</v>
      </c>
      <c r="AW142" s="8">
        <f t="shared" si="159"/>
        <v>-303127.25192040717</v>
      </c>
      <c r="AX142" s="8">
        <f t="shared" si="159"/>
        <v>-279809.77100345277</v>
      </c>
      <c r="AY142" s="8">
        <f t="shared" si="159"/>
        <v>-256492.29008649837</v>
      </c>
      <c r="AZ142" s="8">
        <f t="shared" si="159"/>
        <v>-233174.80916954397</v>
      </c>
      <c r="BA142" s="8">
        <f t="shared" si="159"/>
        <v>-209857.32825258956</v>
      </c>
      <c r="BB142" s="8">
        <f t="shared" si="159"/>
        <v>-186539.84733563516</v>
      </c>
      <c r="BC142" s="8">
        <f t="shared" si="159"/>
        <v>-163222.36641868076</v>
      </c>
      <c r="BD142" s="8">
        <f t="shared" si="159"/>
        <v>-139904.88550172636</v>
      </c>
      <c r="BE142" s="8">
        <f t="shared" si="159"/>
        <v>-116587.40458477194</v>
      </c>
      <c r="BF142" s="8">
        <f t="shared" si="159"/>
        <v>-93269.923667817522</v>
      </c>
      <c r="BG142" s="8">
        <f t="shared" si="159"/>
        <v>-69952.442750863105</v>
      </c>
      <c r="BH142" s="8">
        <f t="shared" si="159"/>
        <v>-46634.961833908688</v>
      </c>
      <c r="BI142" s="8">
        <f t="shared" si="159"/>
        <v>-23317.480916954271</v>
      </c>
      <c r="BJ142" s="8">
        <f t="shared" si="159"/>
        <v>1.4551915228366852E-10</v>
      </c>
      <c r="BK142" s="8">
        <f t="shared" si="159"/>
        <v>1.4551915228366852E-10</v>
      </c>
      <c r="BL142" s="8">
        <f t="shared" si="159"/>
        <v>1.4551915228366852E-10</v>
      </c>
      <c r="BM142" s="8">
        <f t="shared" si="159"/>
        <v>1.4551915228366852E-10</v>
      </c>
      <c r="BN142" s="8">
        <f t="shared" si="159"/>
        <v>1.4551915228366852E-10</v>
      </c>
      <c r="BO142" s="8">
        <f t="shared" si="159"/>
        <v>1.4551915228366852E-10</v>
      </c>
      <c r="BP142" s="8">
        <f t="shared" si="159"/>
        <v>1.4551915228366852E-10</v>
      </c>
      <c r="BQ142" s="8">
        <f t="shared" si="159"/>
        <v>1.4551915228366852E-10</v>
      </c>
      <c r="BR142" s="8">
        <f t="shared" si="159"/>
        <v>1.4551915228366852E-10</v>
      </c>
      <c r="BS142" s="8">
        <f t="shared" si="159"/>
        <v>1.4551915228366852E-10</v>
      </c>
      <c r="BT142" s="8">
        <f t="shared" si="159"/>
        <v>1.4551915228366852E-10</v>
      </c>
      <c r="BU142" s="8">
        <f t="shared" si="159"/>
        <v>1.4551915228366852E-10</v>
      </c>
      <c r="BV142" s="8">
        <f t="shared" si="159"/>
        <v>1.4551915228366852E-10</v>
      </c>
      <c r="BW142" s="8">
        <f t="shared" si="159"/>
        <v>1.4551915228366852E-10</v>
      </c>
      <c r="BX142" s="8">
        <f t="shared" si="159"/>
        <v>1.4551915228366852E-10</v>
      </c>
      <c r="BY142" s="8">
        <f t="shared" ref="BY142:DA142" si="160">BX142+((BY134-BY140)*INC_TAX_RATE)</f>
        <v>1.4551915228366852E-10</v>
      </c>
      <c r="BZ142" s="8">
        <f t="shared" si="160"/>
        <v>1.4551915228366852E-10</v>
      </c>
      <c r="CA142" s="8">
        <f t="shared" si="160"/>
        <v>1.4551915228366852E-10</v>
      </c>
      <c r="CB142" s="8">
        <f t="shared" si="160"/>
        <v>1.4551915228366852E-10</v>
      </c>
      <c r="CC142" s="8">
        <f t="shared" si="160"/>
        <v>1.4551915228366852E-10</v>
      </c>
      <c r="CD142" s="8">
        <f t="shared" si="160"/>
        <v>1.4551915228366852E-10</v>
      </c>
      <c r="CE142" s="8">
        <f t="shared" si="160"/>
        <v>1.4551915228366852E-10</v>
      </c>
      <c r="CF142" s="8">
        <f t="shared" si="160"/>
        <v>1.4551915228366852E-10</v>
      </c>
      <c r="CG142" s="8">
        <f t="shared" si="160"/>
        <v>1.4551915228366852E-10</v>
      </c>
      <c r="CH142" s="8">
        <f t="shared" si="160"/>
        <v>1.4551915228366852E-10</v>
      </c>
      <c r="CI142" s="8">
        <f t="shared" si="160"/>
        <v>1.4551915228366852E-10</v>
      </c>
      <c r="CJ142" s="8">
        <f t="shared" si="160"/>
        <v>1.4551915228366852E-10</v>
      </c>
      <c r="CK142" s="8">
        <f t="shared" si="160"/>
        <v>1.4551915228366852E-10</v>
      </c>
      <c r="CL142" s="8">
        <f t="shared" si="160"/>
        <v>1.4551915228366852E-10</v>
      </c>
      <c r="CM142" s="8">
        <f t="shared" si="160"/>
        <v>1.4551915228366852E-10</v>
      </c>
      <c r="CN142" s="8">
        <f t="shared" si="160"/>
        <v>1.4551915228366852E-10</v>
      </c>
      <c r="CO142" s="8">
        <f t="shared" si="160"/>
        <v>1.4551915228366852E-10</v>
      </c>
      <c r="CP142" s="8">
        <f t="shared" si="160"/>
        <v>1.4551915228366852E-10</v>
      </c>
      <c r="CQ142" s="8">
        <f t="shared" si="160"/>
        <v>1.4551915228366852E-10</v>
      </c>
      <c r="CR142" s="8">
        <f t="shared" si="160"/>
        <v>1.4551915228366852E-10</v>
      </c>
      <c r="CS142" s="8">
        <f t="shared" si="160"/>
        <v>1.4551915228366852E-10</v>
      </c>
      <c r="CT142" s="8">
        <f t="shared" si="160"/>
        <v>1.4551915228366852E-10</v>
      </c>
      <c r="CU142" s="8">
        <f t="shared" si="160"/>
        <v>1.4551915228366852E-10</v>
      </c>
      <c r="CV142" s="8">
        <f t="shared" si="160"/>
        <v>1.4551915228366852E-10</v>
      </c>
      <c r="CW142" s="8">
        <f t="shared" si="160"/>
        <v>1.4551915228366852E-10</v>
      </c>
      <c r="CX142" s="8">
        <f t="shared" si="160"/>
        <v>1.4551915228366852E-10</v>
      </c>
      <c r="CY142" s="8">
        <f t="shared" si="160"/>
        <v>1.4551915228366852E-10</v>
      </c>
      <c r="CZ142" s="8">
        <f t="shared" si="160"/>
        <v>1.4551915228366852E-10</v>
      </c>
      <c r="DA142" s="8">
        <f t="shared" si="160"/>
        <v>1.4551915228366852E-10</v>
      </c>
      <c r="DB142" s="8"/>
      <c r="DC142" s="8"/>
      <c r="DD142" s="8"/>
      <c r="DE142" s="8"/>
    </row>
    <row r="143" spans="3:109" x14ac:dyDescent="0.4"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</row>
    <row r="144" spans="3:109" x14ac:dyDescent="0.4">
      <c r="D144" t="s">
        <v>158</v>
      </c>
      <c r="L144" s="8"/>
      <c r="M144" s="8">
        <f>AVERAGE(M137:M138)+AVERAGE(M141:M142)</f>
        <v>4154385.6682696552</v>
      </c>
      <c r="N144" s="8">
        <f t="shared" ref="N144:BY144" si="161">AVERAGE(N137:N138)+AVERAGE(N141:N142)</f>
        <v>4029627.7150982362</v>
      </c>
      <c r="O144" s="8">
        <f t="shared" si="161"/>
        <v>3887807.1952658356</v>
      </c>
      <c r="P144" s="8">
        <f t="shared" si="161"/>
        <v>3752060.8792123026</v>
      </c>
      <c r="Q144" s="8">
        <f t="shared" si="161"/>
        <v>3621934.0760597549</v>
      </c>
      <c r="R144" s="8">
        <f t="shared" si="161"/>
        <v>3497007.0711516882</v>
      </c>
      <c r="S144" s="8">
        <f t="shared" si="161"/>
        <v>3376889.2966827429</v>
      </c>
      <c r="T144" s="8">
        <f t="shared" si="161"/>
        <v>3261219.3316987073</v>
      </c>
      <c r="U144" s="8">
        <f t="shared" si="161"/>
        <v>3148032.6784323277</v>
      </c>
      <c r="V144" s="8">
        <f t="shared" si="161"/>
        <v>3035201.6167499307</v>
      </c>
      <c r="W144" s="8">
        <f t="shared" si="161"/>
        <v>2922370.5550675336</v>
      </c>
      <c r="X144" s="8">
        <f t="shared" si="161"/>
        <v>2809539.4933851375</v>
      </c>
      <c r="Y144" s="8">
        <f t="shared" si="161"/>
        <v>2696708.431702741</v>
      </c>
      <c r="Z144" s="8">
        <f t="shared" si="161"/>
        <v>2583877.3700203439</v>
      </c>
      <c r="AA144" s="8">
        <f t="shared" si="161"/>
        <v>2471046.3083379474</v>
      </c>
      <c r="AB144" s="8">
        <f t="shared" si="161"/>
        <v>2358215.2466555508</v>
      </c>
      <c r="AC144" s="8">
        <f t="shared" si="161"/>
        <v>2245384.1849731547</v>
      </c>
      <c r="AD144" s="8">
        <f t="shared" si="161"/>
        <v>2132553.1232907576</v>
      </c>
      <c r="AE144" s="8">
        <f t="shared" si="161"/>
        <v>2019722.0616083611</v>
      </c>
      <c r="AF144" s="8">
        <f t="shared" si="161"/>
        <v>1906890.9999259645</v>
      </c>
      <c r="AG144" s="8">
        <f t="shared" si="161"/>
        <v>1807065.2632249994</v>
      </c>
      <c r="AH144" s="8">
        <f t="shared" si="161"/>
        <v>1733244.3471166668</v>
      </c>
      <c r="AI144" s="8">
        <f t="shared" si="161"/>
        <v>1672428.7559897667</v>
      </c>
      <c r="AJ144" s="8">
        <f t="shared" si="161"/>
        <v>1611613.1648628663</v>
      </c>
      <c r="AK144" s="8">
        <f t="shared" si="161"/>
        <v>1550797.5737359661</v>
      </c>
      <c r="AL144" s="8">
        <f t="shared" si="161"/>
        <v>1489981.982609065</v>
      </c>
      <c r="AM144" s="8">
        <f t="shared" si="161"/>
        <v>1429166.3914821644</v>
      </c>
      <c r="AN144" s="8">
        <f t="shared" si="161"/>
        <v>1368350.8003552635</v>
      </c>
      <c r="AO144" s="8">
        <f t="shared" si="161"/>
        <v>1307535.2092283629</v>
      </c>
      <c r="AP144" s="8">
        <f t="shared" si="161"/>
        <v>1246719.6181014618</v>
      </c>
      <c r="AQ144" s="8">
        <f t="shared" si="161"/>
        <v>1185904.0269745612</v>
      </c>
      <c r="AR144" s="8">
        <f t="shared" si="161"/>
        <v>1125088.4358476603</v>
      </c>
      <c r="AS144" s="8">
        <f t="shared" si="161"/>
        <v>1064272.8447207594</v>
      </c>
      <c r="AT144" s="8">
        <f t="shared" si="161"/>
        <v>1003457.2535938587</v>
      </c>
      <c r="AU144" s="8">
        <f t="shared" si="161"/>
        <v>942641.66246695793</v>
      </c>
      <c r="AV144" s="8">
        <f t="shared" si="161"/>
        <v>881826.07134005707</v>
      </c>
      <c r="AW144" s="8">
        <f t="shared" si="161"/>
        <v>821010.48021315632</v>
      </c>
      <c r="AX144" s="8">
        <f t="shared" si="161"/>
        <v>760194.88908625545</v>
      </c>
      <c r="AY144" s="8">
        <f t="shared" si="161"/>
        <v>699379.29795935471</v>
      </c>
      <c r="AZ144" s="8">
        <f t="shared" si="161"/>
        <v>638563.70683245384</v>
      </c>
      <c r="BA144" s="8">
        <f t="shared" si="161"/>
        <v>577748.11570555309</v>
      </c>
      <c r="BB144" s="8">
        <f t="shared" si="161"/>
        <v>516932.52457865223</v>
      </c>
      <c r="BC144" s="8">
        <f t="shared" si="161"/>
        <v>456116.93345175148</v>
      </c>
      <c r="BD144" s="8">
        <f t="shared" si="161"/>
        <v>395301.34232485062</v>
      </c>
      <c r="BE144" s="8">
        <f t="shared" si="161"/>
        <v>334485.75119794987</v>
      </c>
      <c r="BF144" s="8">
        <f t="shared" si="161"/>
        <v>273670.16007104906</v>
      </c>
      <c r="BG144" s="8">
        <f t="shared" si="161"/>
        <v>212854.56894414825</v>
      </c>
      <c r="BH144" s="8">
        <f t="shared" si="161"/>
        <v>152038.97781724748</v>
      </c>
      <c r="BI144" s="8">
        <f t="shared" si="161"/>
        <v>91223.38669034667</v>
      </c>
      <c r="BJ144" s="8">
        <f t="shared" si="161"/>
        <v>30407.795563448213</v>
      </c>
      <c r="BK144" s="8">
        <f t="shared" si="161"/>
        <v>1.4551915228366852E-10</v>
      </c>
      <c r="BL144" s="8">
        <f t="shared" si="161"/>
        <v>1.4551915228366852E-10</v>
      </c>
      <c r="BM144" s="8">
        <f t="shared" si="161"/>
        <v>1.4551915228366852E-10</v>
      </c>
      <c r="BN144" s="8">
        <f t="shared" si="161"/>
        <v>1.4551915228366852E-10</v>
      </c>
      <c r="BO144" s="8">
        <f t="shared" si="161"/>
        <v>1.4551915228366852E-10</v>
      </c>
      <c r="BP144" s="8">
        <f t="shared" si="161"/>
        <v>1.4551915228366852E-10</v>
      </c>
      <c r="BQ144" s="8">
        <f t="shared" si="161"/>
        <v>1.4551915228366852E-10</v>
      </c>
      <c r="BR144" s="8">
        <f t="shared" si="161"/>
        <v>1.4551915228366852E-10</v>
      </c>
      <c r="BS144" s="8">
        <f t="shared" si="161"/>
        <v>1.4551915228366852E-10</v>
      </c>
      <c r="BT144" s="8">
        <f t="shared" si="161"/>
        <v>1.4551915228366852E-10</v>
      </c>
      <c r="BU144" s="8">
        <f t="shared" si="161"/>
        <v>1.4551915228366852E-10</v>
      </c>
      <c r="BV144" s="8">
        <f t="shared" si="161"/>
        <v>1.4551915228366852E-10</v>
      </c>
      <c r="BW144" s="8">
        <f t="shared" si="161"/>
        <v>1.4551915228366852E-10</v>
      </c>
      <c r="BX144" s="8">
        <f t="shared" si="161"/>
        <v>1.4551915228366852E-10</v>
      </c>
      <c r="BY144" s="8">
        <f t="shared" si="161"/>
        <v>1.4551915228366852E-10</v>
      </c>
      <c r="BZ144" s="8">
        <f t="shared" ref="BZ144:DA144" si="162">AVERAGE(BZ137:BZ138)+AVERAGE(BZ141:BZ142)</f>
        <v>1.4551915228366852E-10</v>
      </c>
      <c r="CA144" s="8">
        <f t="shared" si="162"/>
        <v>1.4551915228366852E-10</v>
      </c>
      <c r="CB144" s="8">
        <f t="shared" si="162"/>
        <v>1.4551915228366852E-10</v>
      </c>
      <c r="CC144" s="8">
        <f t="shared" si="162"/>
        <v>1.4551915228366852E-10</v>
      </c>
      <c r="CD144" s="8">
        <f t="shared" si="162"/>
        <v>1.4551915228366852E-10</v>
      </c>
      <c r="CE144" s="8">
        <f t="shared" si="162"/>
        <v>1.4551915228366852E-10</v>
      </c>
      <c r="CF144" s="8">
        <f t="shared" si="162"/>
        <v>1.4551915228366852E-10</v>
      </c>
      <c r="CG144" s="8">
        <f t="shared" si="162"/>
        <v>1.4551915228366852E-10</v>
      </c>
      <c r="CH144" s="8">
        <f t="shared" si="162"/>
        <v>1.4551915228366852E-10</v>
      </c>
      <c r="CI144" s="8">
        <f t="shared" si="162"/>
        <v>1.4551915228366852E-10</v>
      </c>
      <c r="CJ144" s="8">
        <f t="shared" si="162"/>
        <v>1.4551915228366852E-10</v>
      </c>
      <c r="CK144" s="8">
        <f t="shared" si="162"/>
        <v>1.4551915228366852E-10</v>
      </c>
      <c r="CL144" s="8">
        <f t="shared" si="162"/>
        <v>1.4551915228366852E-10</v>
      </c>
      <c r="CM144" s="8">
        <f t="shared" si="162"/>
        <v>1.4551915228366852E-10</v>
      </c>
      <c r="CN144" s="8">
        <f t="shared" si="162"/>
        <v>1.4551915228366852E-10</v>
      </c>
      <c r="CO144" s="8">
        <f t="shared" si="162"/>
        <v>1.4551915228366852E-10</v>
      </c>
      <c r="CP144" s="8">
        <f t="shared" si="162"/>
        <v>1.4551915228366852E-10</v>
      </c>
      <c r="CQ144" s="8">
        <f t="shared" si="162"/>
        <v>1.4551915228366852E-10</v>
      </c>
      <c r="CR144" s="8">
        <f t="shared" si="162"/>
        <v>1.4551915228366852E-10</v>
      </c>
      <c r="CS144" s="8">
        <f t="shared" si="162"/>
        <v>1.4551915228366852E-10</v>
      </c>
      <c r="CT144" s="8">
        <f t="shared" si="162"/>
        <v>1.4551915228366852E-10</v>
      </c>
      <c r="CU144" s="8">
        <f t="shared" si="162"/>
        <v>1.4551915228366852E-10</v>
      </c>
      <c r="CV144" s="8">
        <f t="shared" si="162"/>
        <v>1.4551915228366852E-10</v>
      </c>
      <c r="CW144" s="8">
        <f t="shared" si="162"/>
        <v>1.4551915228366852E-10</v>
      </c>
      <c r="CX144" s="8">
        <f t="shared" si="162"/>
        <v>1.4551915228366852E-10</v>
      </c>
      <c r="CY144" s="8">
        <f t="shared" si="162"/>
        <v>1.4551915228366852E-10</v>
      </c>
      <c r="CZ144" s="8">
        <f t="shared" si="162"/>
        <v>1.4551915228366852E-10</v>
      </c>
      <c r="DA144" s="8">
        <f t="shared" si="162"/>
        <v>1.4551915228366852E-10</v>
      </c>
      <c r="DB144" s="8"/>
      <c r="DC144" s="8"/>
      <c r="DD144" s="8"/>
      <c r="DE144" s="8"/>
    </row>
    <row r="145" spans="3:110" x14ac:dyDescent="0.4"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  <c r="DD145" s="8"/>
      <c r="DE145" s="8"/>
    </row>
    <row r="146" spans="3:110" x14ac:dyDescent="0.4">
      <c r="D146" t="s">
        <v>209</v>
      </c>
      <c r="L146" s="8"/>
      <c r="M146" s="8">
        <f t="shared" ref="M146:AR146" si="163">M144*AVG_PRE_TAX_RATE</f>
        <v>370986.64017648023</v>
      </c>
      <c r="N146" s="8">
        <f t="shared" si="163"/>
        <v>359845.7549582725</v>
      </c>
      <c r="O146" s="8">
        <f t="shared" si="163"/>
        <v>347181.18253723916</v>
      </c>
      <c r="P146" s="8">
        <f t="shared" si="163"/>
        <v>335059.03651365865</v>
      </c>
      <c r="Q146" s="8">
        <f t="shared" si="163"/>
        <v>323438.71299213613</v>
      </c>
      <c r="R146" s="8">
        <f t="shared" si="163"/>
        <v>312282.7314538458</v>
      </c>
      <c r="S146" s="8">
        <f t="shared" si="163"/>
        <v>301556.21419376897</v>
      </c>
      <c r="T146" s="8">
        <f t="shared" si="163"/>
        <v>291226.88632069458</v>
      </c>
      <c r="U146" s="8">
        <f t="shared" si="163"/>
        <v>281119.3181840069</v>
      </c>
      <c r="V146" s="8">
        <f t="shared" si="163"/>
        <v>271043.50437576883</v>
      </c>
      <c r="W146" s="8">
        <f t="shared" si="163"/>
        <v>260967.69056753078</v>
      </c>
      <c r="X146" s="8">
        <f t="shared" si="163"/>
        <v>250891.87675929279</v>
      </c>
      <c r="Y146" s="8">
        <f t="shared" si="163"/>
        <v>240816.06295105477</v>
      </c>
      <c r="Z146" s="8">
        <f t="shared" si="163"/>
        <v>230740.24914281673</v>
      </c>
      <c r="AA146" s="8">
        <f t="shared" si="163"/>
        <v>220664.43533457871</v>
      </c>
      <c r="AB146" s="8">
        <f t="shared" si="163"/>
        <v>210588.62152634069</v>
      </c>
      <c r="AC146" s="8">
        <f t="shared" si="163"/>
        <v>200512.80771810273</v>
      </c>
      <c r="AD146" s="8">
        <f t="shared" si="163"/>
        <v>190436.99390986466</v>
      </c>
      <c r="AE146" s="8">
        <f t="shared" si="163"/>
        <v>180361.18010162664</v>
      </c>
      <c r="AF146" s="8">
        <f t="shared" si="163"/>
        <v>170285.36629338865</v>
      </c>
      <c r="AG146" s="8">
        <f t="shared" si="163"/>
        <v>161370.92800599246</v>
      </c>
      <c r="AH146" s="8">
        <f t="shared" si="163"/>
        <v>154778.72019751836</v>
      </c>
      <c r="AI146" s="8">
        <f t="shared" si="163"/>
        <v>149347.88790988617</v>
      </c>
      <c r="AJ146" s="8">
        <f t="shared" si="163"/>
        <v>143917.05562225397</v>
      </c>
      <c r="AK146" s="8">
        <f t="shared" si="163"/>
        <v>138486.22333462178</v>
      </c>
      <c r="AL146" s="8">
        <f t="shared" si="163"/>
        <v>133055.39104698951</v>
      </c>
      <c r="AM146" s="8">
        <f t="shared" si="163"/>
        <v>127624.55875935729</v>
      </c>
      <c r="AN146" s="8">
        <f t="shared" si="163"/>
        <v>122193.72647172504</v>
      </c>
      <c r="AO146" s="8">
        <f t="shared" si="163"/>
        <v>116762.89418409282</v>
      </c>
      <c r="AP146" s="8">
        <f t="shared" si="163"/>
        <v>111332.06189646054</v>
      </c>
      <c r="AQ146" s="8">
        <f t="shared" si="163"/>
        <v>105901.22960882832</v>
      </c>
      <c r="AR146" s="8">
        <f t="shared" si="163"/>
        <v>100470.39732119607</v>
      </c>
      <c r="AS146" s="8">
        <f t="shared" ref="AS146:BX146" si="164">AS144*AVG_PRE_TAX_RATE</f>
        <v>95039.56503356382</v>
      </c>
      <c r="AT146" s="8">
        <f t="shared" si="164"/>
        <v>89608.732745931586</v>
      </c>
      <c r="AU146" s="8">
        <f t="shared" si="164"/>
        <v>84177.900458299351</v>
      </c>
      <c r="AV146" s="8">
        <f t="shared" si="164"/>
        <v>78747.068170667102</v>
      </c>
      <c r="AW146" s="8">
        <f t="shared" si="164"/>
        <v>73316.235883034868</v>
      </c>
      <c r="AX146" s="8">
        <f t="shared" si="164"/>
        <v>67885.403595402619</v>
      </c>
      <c r="AY146" s="8">
        <f t="shared" si="164"/>
        <v>62454.571307770377</v>
      </c>
      <c r="AZ146" s="8">
        <f t="shared" si="164"/>
        <v>57023.739020138128</v>
      </c>
      <c r="BA146" s="8">
        <f t="shared" si="164"/>
        <v>51592.906732505893</v>
      </c>
      <c r="BB146" s="8">
        <f t="shared" si="164"/>
        <v>46162.074444873644</v>
      </c>
      <c r="BC146" s="8">
        <f t="shared" si="164"/>
        <v>40731.24215724141</v>
      </c>
      <c r="BD146" s="8">
        <f t="shared" si="164"/>
        <v>35300.409869609161</v>
      </c>
      <c r="BE146" s="8">
        <f t="shared" si="164"/>
        <v>29869.577581976926</v>
      </c>
      <c r="BF146" s="8">
        <f t="shared" si="164"/>
        <v>24438.745294344681</v>
      </c>
      <c r="BG146" s="8">
        <f t="shared" si="164"/>
        <v>19007.913006712439</v>
      </c>
      <c r="BH146" s="8">
        <f t="shared" si="164"/>
        <v>13577.080719080201</v>
      </c>
      <c r="BI146" s="8">
        <f t="shared" si="164"/>
        <v>8146.248431447958</v>
      </c>
      <c r="BJ146" s="8">
        <f t="shared" si="164"/>
        <v>2715.4161438159254</v>
      </c>
      <c r="BK146" s="8">
        <f t="shared" si="164"/>
        <v>1.2994860298931599E-11</v>
      </c>
      <c r="BL146" s="8">
        <f t="shared" si="164"/>
        <v>1.2994860298931599E-11</v>
      </c>
      <c r="BM146" s="8">
        <f t="shared" si="164"/>
        <v>1.2994860298931599E-11</v>
      </c>
      <c r="BN146" s="8">
        <f t="shared" si="164"/>
        <v>1.2994860298931599E-11</v>
      </c>
      <c r="BO146" s="8">
        <f t="shared" si="164"/>
        <v>1.2994860298931599E-11</v>
      </c>
      <c r="BP146" s="8">
        <f t="shared" si="164"/>
        <v>1.2994860298931599E-11</v>
      </c>
      <c r="BQ146" s="8">
        <f t="shared" si="164"/>
        <v>1.2994860298931599E-11</v>
      </c>
      <c r="BR146" s="8">
        <f t="shared" si="164"/>
        <v>1.2994860298931599E-11</v>
      </c>
      <c r="BS146" s="8">
        <f t="shared" si="164"/>
        <v>1.2994860298931599E-11</v>
      </c>
      <c r="BT146" s="8">
        <f t="shared" si="164"/>
        <v>1.2994860298931599E-11</v>
      </c>
      <c r="BU146" s="8">
        <f t="shared" si="164"/>
        <v>1.2994860298931599E-11</v>
      </c>
      <c r="BV146" s="8">
        <f t="shared" si="164"/>
        <v>1.2994860298931599E-11</v>
      </c>
      <c r="BW146" s="8">
        <f t="shared" si="164"/>
        <v>1.2994860298931599E-11</v>
      </c>
      <c r="BX146" s="8">
        <f t="shared" si="164"/>
        <v>1.2994860298931599E-11</v>
      </c>
      <c r="BY146" s="8">
        <f t="shared" ref="BY146:DA146" si="165">BY144*AVG_PRE_TAX_RATE</f>
        <v>1.2994860298931599E-11</v>
      </c>
      <c r="BZ146" s="8">
        <f t="shared" si="165"/>
        <v>1.2994860298931599E-11</v>
      </c>
      <c r="CA146" s="8">
        <f t="shared" si="165"/>
        <v>1.2994860298931599E-11</v>
      </c>
      <c r="CB146" s="8">
        <f t="shared" si="165"/>
        <v>1.2994860298931599E-11</v>
      </c>
      <c r="CC146" s="8">
        <f t="shared" si="165"/>
        <v>1.2994860298931599E-11</v>
      </c>
      <c r="CD146" s="8">
        <f t="shared" si="165"/>
        <v>1.2994860298931599E-11</v>
      </c>
      <c r="CE146" s="8">
        <f t="shared" si="165"/>
        <v>1.2994860298931599E-11</v>
      </c>
      <c r="CF146" s="8">
        <f t="shared" si="165"/>
        <v>1.2994860298931599E-11</v>
      </c>
      <c r="CG146" s="8">
        <f t="shared" si="165"/>
        <v>1.2994860298931599E-11</v>
      </c>
      <c r="CH146" s="8">
        <f t="shared" si="165"/>
        <v>1.2994860298931599E-11</v>
      </c>
      <c r="CI146" s="8">
        <f t="shared" si="165"/>
        <v>1.2994860298931599E-11</v>
      </c>
      <c r="CJ146" s="8">
        <f t="shared" si="165"/>
        <v>1.2994860298931599E-11</v>
      </c>
      <c r="CK146" s="8">
        <f t="shared" si="165"/>
        <v>1.2994860298931599E-11</v>
      </c>
      <c r="CL146" s="8">
        <f t="shared" si="165"/>
        <v>1.2994860298931599E-11</v>
      </c>
      <c r="CM146" s="8">
        <f t="shared" si="165"/>
        <v>1.2994860298931599E-11</v>
      </c>
      <c r="CN146" s="8">
        <f t="shared" si="165"/>
        <v>1.2994860298931599E-11</v>
      </c>
      <c r="CO146" s="8">
        <f t="shared" si="165"/>
        <v>1.2994860298931599E-11</v>
      </c>
      <c r="CP146" s="8">
        <f t="shared" si="165"/>
        <v>1.2994860298931599E-11</v>
      </c>
      <c r="CQ146" s="8">
        <f t="shared" si="165"/>
        <v>1.2994860298931599E-11</v>
      </c>
      <c r="CR146" s="8">
        <f t="shared" si="165"/>
        <v>1.2994860298931599E-11</v>
      </c>
      <c r="CS146" s="8">
        <f t="shared" si="165"/>
        <v>1.2994860298931599E-11</v>
      </c>
      <c r="CT146" s="8">
        <f t="shared" si="165"/>
        <v>1.2994860298931599E-11</v>
      </c>
      <c r="CU146" s="8">
        <f t="shared" si="165"/>
        <v>1.2994860298931599E-11</v>
      </c>
      <c r="CV146" s="8">
        <f t="shared" si="165"/>
        <v>1.2994860298931599E-11</v>
      </c>
      <c r="CW146" s="8">
        <f t="shared" si="165"/>
        <v>1.2994860298931599E-11</v>
      </c>
      <c r="CX146" s="8">
        <f t="shared" si="165"/>
        <v>1.2994860298931599E-11</v>
      </c>
      <c r="CY146" s="8">
        <f t="shared" si="165"/>
        <v>1.2994860298931599E-11</v>
      </c>
      <c r="CZ146" s="8">
        <f t="shared" si="165"/>
        <v>1.2994860298931599E-11</v>
      </c>
      <c r="DA146" s="8">
        <f t="shared" si="165"/>
        <v>1.2994860298931599E-11</v>
      </c>
      <c r="DB146" s="8"/>
      <c r="DC146" s="8"/>
      <c r="DD146" s="8"/>
      <c r="DE146" s="8"/>
    </row>
    <row r="149" spans="3:110" x14ac:dyDescent="0.4">
      <c r="C149" s="58" t="str">
        <f>C132</f>
        <v>Investment year in service</v>
      </c>
      <c r="E149" t="str">
        <f>IF(E150&lt;$C150,"",E150-$C150)</f>
        <v/>
      </c>
      <c r="F149" t="str">
        <f>IF(F150&lt;$C150,"",F150-$C150)</f>
        <v/>
      </c>
      <c r="G149" t="str">
        <f t="shared" ref="G149:BR149" si="166">IF(G150&lt;$C150,"",G150-$C150)</f>
        <v/>
      </c>
      <c r="H149" t="str">
        <f t="shared" si="166"/>
        <v/>
      </c>
      <c r="I149" t="str">
        <f t="shared" si="166"/>
        <v/>
      </c>
      <c r="J149" t="str">
        <f t="shared" si="166"/>
        <v/>
      </c>
      <c r="K149" t="str">
        <f t="shared" si="166"/>
        <v/>
      </c>
      <c r="L149" t="str">
        <f t="shared" si="166"/>
        <v/>
      </c>
      <c r="M149">
        <f t="shared" si="166"/>
        <v>0</v>
      </c>
      <c r="N149">
        <f t="shared" si="166"/>
        <v>1</v>
      </c>
      <c r="O149">
        <f t="shared" si="166"/>
        <v>2</v>
      </c>
      <c r="P149">
        <f t="shared" si="166"/>
        <v>3</v>
      </c>
      <c r="Q149">
        <f t="shared" si="166"/>
        <v>4</v>
      </c>
      <c r="R149">
        <f t="shared" si="166"/>
        <v>5</v>
      </c>
      <c r="S149">
        <f t="shared" si="166"/>
        <v>6</v>
      </c>
      <c r="T149">
        <f t="shared" si="166"/>
        <v>7</v>
      </c>
      <c r="U149">
        <f t="shared" si="166"/>
        <v>8</v>
      </c>
      <c r="V149">
        <f t="shared" si="166"/>
        <v>9</v>
      </c>
      <c r="W149">
        <f t="shared" si="166"/>
        <v>10</v>
      </c>
      <c r="X149">
        <f t="shared" si="166"/>
        <v>11</v>
      </c>
      <c r="Y149">
        <f t="shared" si="166"/>
        <v>12</v>
      </c>
      <c r="Z149">
        <f t="shared" si="166"/>
        <v>13</v>
      </c>
      <c r="AA149">
        <f t="shared" si="166"/>
        <v>14</v>
      </c>
      <c r="AB149">
        <f t="shared" si="166"/>
        <v>15</v>
      </c>
      <c r="AC149">
        <f t="shared" si="166"/>
        <v>16</v>
      </c>
      <c r="AD149">
        <f t="shared" si="166"/>
        <v>17</v>
      </c>
      <c r="AE149">
        <f t="shared" si="166"/>
        <v>18</v>
      </c>
      <c r="AF149">
        <f t="shared" si="166"/>
        <v>19</v>
      </c>
      <c r="AG149">
        <f t="shared" si="166"/>
        <v>20</v>
      </c>
      <c r="AH149">
        <f t="shared" si="166"/>
        <v>21</v>
      </c>
      <c r="AI149">
        <f t="shared" si="166"/>
        <v>22</v>
      </c>
      <c r="AJ149">
        <f t="shared" si="166"/>
        <v>23</v>
      </c>
      <c r="AK149">
        <f t="shared" si="166"/>
        <v>24</v>
      </c>
      <c r="AL149">
        <f t="shared" si="166"/>
        <v>25</v>
      </c>
      <c r="AM149">
        <f t="shared" si="166"/>
        <v>26</v>
      </c>
      <c r="AN149">
        <f t="shared" si="166"/>
        <v>27</v>
      </c>
      <c r="AO149">
        <f t="shared" si="166"/>
        <v>28</v>
      </c>
      <c r="AP149">
        <f t="shared" si="166"/>
        <v>29</v>
      </c>
      <c r="AQ149">
        <f t="shared" si="166"/>
        <v>30</v>
      </c>
      <c r="AR149">
        <f t="shared" si="166"/>
        <v>31</v>
      </c>
      <c r="AS149">
        <f t="shared" si="166"/>
        <v>32</v>
      </c>
      <c r="AT149">
        <f t="shared" si="166"/>
        <v>33</v>
      </c>
      <c r="AU149">
        <f t="shared" si="166"/>
        <v>34</v>
      </c>
      <c r="AV149">
        <f t="shared" si="166"/>
        <v>35</v>
      </c>
      <c r="AW149">
        <f t="shared" si="166"/>
        <v>36</v>
      </c>
      <c r="AX149">
        <f t="shared" si="166"/>
        <v>37</v>
      </c>
      <c r="AY149">
        <f t="shared" si="166"/>
        <v>38</v>
      </c>
      <c r="AZ149">
        <f t="shared" si="166"/>
        <v>39</v>
      </c>
      <c r="BA149">
        <f t="shared" si="166"/>
        <v>40</v>
      </c>
      <c r="BB149">
        <f t="shared" si="166"/>
        <v>41</v>
      </c>
      <c r="BC149">
        <f t="shared" si="166"/>
        <v>42</v>
      </c>
      <c r="BD149">
        <f t="shared" si="166"/>
        <v>43</v>
      </c>
      <c r="BE149">
        <f t="shared" si="166"/>
        <v>44</v>
      </c>
      <c r="BF149">
        <f t="shared" si="166"/>
        <v>45</v>
      </c>
      <c r="BG149">
        <f t="shared" si="166"/>
        <v>46</v>
      </c>
      <c r="BH149">
        <f t="shared" si="166"/>
        <v>47</v>
      </c>
      <c r="BI149">
        <f t="shared" si="166"/>
        <v>48</v>
      </c>
      <c r="BJ149">
        <f t="shared" si="166"/>
        <v>49</v>
      </c>
      <c r="BK149">
        <f t="shared" si="166"/>
        <v>50</v>
      </c>
      <c r="BL149">
        <f t="shared" si="166"/>
        <v>51</v>
      </c>
      <c r="BM149">
        <f t="shared" si="166"/>
        <v>52</v>
      </c>
      <c r="BN149">
        <f t="shared" si="166"/>
        <v>53</v>
      </c>
      <c r="BO149">
        <f t="shared" si="166"/>
        <v>54</v>
      </c>
      <c r="BP149">
        <f t="shared" si="166"/>
        <v>55</v>
      </c>
      <c r="BQ149">
        <f t="shared" si="166"/>
        <v>56</v>
      </c>
      <c r="BR149">
        <f t="shared" si="166"/>
        <v>57</v>
      </c>
      <c r="BS149">
        <f t="shared" ref="BS149:DA149" si="167">IF(BS150&lt;$C150,"",BS150-$C150)</f>
        <v>58</v>
      </c>
      <c r="BT149">
        <f t="shared" si="167"/>
        <v>59</v>
      </c>
      <c r="BU149">
        <f t="shared" si="167"/>
        <v>60</v>
      </c>
      <c r="BV149">
        <f t="shared" si="167"/>
        <v>61</v>
      </c>
      <c r="BW149">
        <f t="shared" si="167"/>
        <v>62</v>
      </c>
      <c r="BX149">
        <f t="shared" si="167"/>
        <v>63</v>
      </c>
      <c r="BY149">
        <f t="shared" si="167"/>
        <v>64</v>
      </c>
      <c r="BZ149">
        <f t="shared" si="167"/>
        <v>65</v>
      </c>
      <c r="CA149">
        <f t="shared" si="167"/>
        <v>66</v>
      </c>
      <c r="CB149">
        <f t="shared" si="167"/>
        <v>67</v>
      </c>
      <c r="CC149">
        <f t="shared" si="167"/>
        <v>68</v>
      </c>
      <c r="CD149">
        <f t="shared" si="167"/>
        <v>69</v>
      </c>
      <c r="CE149">
        <f t="shared" si="167"/>
        <v>70</v>
      </c>
      <c r="CF149">
        <f t="shared" si="167"/>
        <v>71</v>
      </c>
      <c r="CG149">
        <f t="shared" si="167"/>
        <v>72</v>
      </c>
      <c r="CH149">
        <f t="shared" si="167"/>
        <v>73</v>
      </c>
      <c r="CI149">
        <f t="shared" si="167"/>
        <v>74</v>
      </c>
      <c r="CJ149">
        <f t="shared" si="167"/>
        <v>75</v>
      </c>
      <c r="CK149">
        <f t="shared" si="167"/>
        <v>76</v>
      </c>
      <c r="CL149">
        <f t="shared" si="167"/>
        <v>77</v>
      </c>
      <c r="CM149">
        <f t="shared" si="167"/>
        <v>78</v>
      </c>
      <c r="CN149">
        <f t="shared" si="167"/>
        <v>79</v>
      </c>
      <c r="CO149">
        <f t="shared" si="167"/>
        <v>80</v>
      </c>
      <c r="CP149">
        <f t="shared" si="167"/>
        <v>81</v>
      </c>
      <c r="CQ149">
        <f t="shared" si="167"/>
        <v>82</v>
      </c>
      <c r="CR149">
        <f t="shared" si="167"/>
        <v>83</v>
      </c>
      <c r="CS149">
        <f t="shared" si="167"/>
        <v>84</v>
      </c>
      <c r="CT149">
        <f t="shared" si="167"/>
        <v>85</v>
      </c>
      <c r="CU149">
        <f t="shared" si="167"/>
        <v>86</v>
      </c>
      <c r="CV149">
        <f t="shared" si="167"/>
        <v>87</v>
      </c>
      <c r="CW149">
        <f t="shared" si="167"/>
        <v>88</v>
      </c>
      <c r="CX149">
        <f t="shared" si="167"/>
        <v>89</v>
      </c>
      <c r="CY149">
        <f t="shared" si="167"/>
        <v>90</v>
      </c>
      <c r="CZ149">
        <f t="shared" si="167"/>
        <v>91</v>
      </c>
      <c r="DA149">
        <f t="shared" si="167"/>
        <v>92</v>
      </c>
    </row>
    <row r="150" spans="3:110" x14ac:dyDescent="0.4">
      <c r="C150">
        <f>C133+1</f>
        <v>2035</v>
      </c>
      <c r="D150" s="5" t="s">
        <v>434</v>
      </c>
      <c r="E150" s="5">
        <v>2027</v>
      </c>
      <c r="F150" s="5">
        <v>2028</v>
      </c>
      <c r="G150" s="5">
        <v>2029</v>
      </c>
      <c r="H150" s="5">
        <v>2030</v>
      </c>
      <c r="I150" s="5">
        <v>2031</v>
      </c>
      <c r="J150" s="5">
        <v>2032</v>
      </c>
      <c r="K150" s="5">
        <v>2033</v>
      </c>
      <c r="L150" s="5">
        <v>2034</v>
      </c>
      <c r="M150" s="5">
        <v>2035</v>
      </c>
      <c r="N150" s="5">
        <v>2036</v>
      </c>
      <c r="O150" s="5">
        <v>2037</v>
      </c>
      <c r="P150" s="5">
        <v>2038</v>
      </c>
      <c r="Q150" s="5">
        <v>2039</v>
      </c>
      <c r="R150" s="5">
        <v>2040</v>
      </c>
      <c r="S150" s="5">
        <v>2041</v>
      </c>
      <c r="T150" s="5">
        <v>2042</v>
      </c>
      <c r="U150" s="5">
        <v>2043</v>
      </c>
      <c r="V150" s="5">
        <v>2044</v>
      </c>
      <c r="W150" s="5">
        <v>2045</v>
      </c>
      <c r="X150" s="5">
        <v>2046</v>
      </c>
      <c r="Y150" s="5">
        <v>2047</v>
      </c>
      <c r="Z150" s="5">
        <v>2048</v>
      </c>
      <c r="AA150" s="5">
        <v>2049</v>
      </c>
      <c r="AB150" s="5">
        <v>2050</v>
      </c>
      <c r="AC150" s="5">
        <v>2051</v>
      </c>
      <c r="AD150" s="5">
        <v>2052</v>
      </c>
      <c r="AE150" s="5">
        <v>2053</v>
      </c>
      <c r="AF150" s="5">
        <v>2054</v>
      </c>
      <c r="AG150" s="5">
        <v>2055</v>
      </c>
      <c r="AH150" s="5">
        <v>2056</v>
      </c>
      <c r="AI150" s="5">
        <v>2057</v>
      </c>
      <c r="AJ150" s="5">
        <v>2058</v>
      </c>
      <c r="AK150" s="5">
        <v>2059</v>
      </c>
      <c r="AL150" s="5">
        <v>2060</v>
      </c>
      <c r="AM150" s="5">
        <v>2061</v>
      </c>
      <c r="AN150" s="5">
        <v>2062</v>
      </c>
      <c r="AO150" s="5">
        <v>2063</v>
      </c>
      <c r="AP150" s="5">
        <v>2064</v>
      </c>
      <c r="AQ150" s="5">
        <v>2065</v>
      </c>
      <c r="AR150" s="5">
        <v>2066</v>
      </c>
      <c r="AS150" s="5">
        <v>2067</v>
      </c>
      <c r="AT150" s="5">
        <v>2068</v>
      </c>
      <c r="AU150" s="5">
        <v>2069</v>
      </c>
      <c r="AV150" s="5">
        <v>2070</v>
      </c>
      <c r="AW150" s="5">
        <v>2071</v>
      </c>
      <c r="AX150" s="5">
        <v>2072</v>
      </c>
      <c r="AY150" s="5">
        <v>2073</v>
      </c>
      <c r="AZ150" s="5">
        <v>2074</v>
      </c>
      <c r="BA150" s="5">
        <v>2075</v>
      </c>
      <c r="BB150" s="5">
        <v>2076</v>
      </c>
      <c r="BC150" s="5">
        <v>2077</v>
      </c>
      <c r="BD150" s="5">
        <v>2078</v>
      </c>
      <c r="BE150" s="5">
        <v>2079</v>
      </c>
      <c r="BF150" s="5">
        <v>2080</v>
      </c>
      <c r="BG150" s="5">
        <v>2081</v>
      </c>
      <c r="BH150" s="5">
        <v>2082</v>
      </c>
      <c r="BI150" s="5">
        <v>2083</v>
      </c>
      <c r="BJ150" s="5">
        <v>2084</v>
      </c>
      <c r="BK150" s="5">
        <v>2085</v>
      </c>
      <c r="BL150" s="5">
        <v>2086</v>
      </c>
      <c r="BM150" s="5">
        <v>2087</v>
      </c>
      <c r="BN150" s="5">
        <v>2088</v>
      </c>
      <c r="BO150" s="5">
        <v>2089</v>
      </c>
      <c r="BP150" s="5">
        <v>2090</v>
      </c>
      <c r="BQ150" s="5">
        <v>2091</v>
      </c>
      <c r="BR150" s="5">
        <v>2092</v>
      </c>
      <c r="BS150" s="5">
        <v>2093</v>
      </c>
      <c r="BT150" s="5">
        <v>2094</v>
      </c>
      <c r="BU150" s="5">
        <v>2095</v>
      </c>
      <c r="BV150" s="5">
        <v>2096</v>
      </c>
      <c r="BW150" s="5">
        <v>2097</v>
      </c>
      <c r="BX150" s="5">
        <v>2098</v>
      </c>
      <c r="BY150" s="5">
        <v>2099</v>
      </c>
      <c r="BZ150" s="5">
        <v>2100</v>
      </c>
      <c r="CA150" s="5">
        <v>2101</v>
      </c>
      <c r="CB150" s="5">
        <v>2102</v>
      </c>
      <c r="CC150" s="5">
        <v>2103</v>
      </c>
      <c r="CD150" s="5">
        <v>2104</v>
      </c>
      <c r="CE150" s="5">
        <v>2105</v>
      </c>
      <c r="CF150" s="5">
        <v>2106</v>
      </c>
      <c r="CG150" s="5">
        <v>2107</v>
      </c>
      <c r="CH150" s="5">
        <v>2108</v>
      </c>
      <c r="CI150" s="5">
        <v>2109</v>
      </c>
      <c r="CJ150" s="5">
        <v>2110</v>
      </c>
      <c r="CK150" s="5">
        <v>2111</v>
      </c>
      <c r="CL150" s="5">
        <v>2112</v>
      </c>
      <c r="CM150" s="5">
        <v>2113</v>
      </c>
      <c r="CN150" s="5">
        <v>2114</v>
      </c>
      <c r="CO150" s="5">
        <v>2115</v>
      </c>
      <c r="CP150" s="5">
        <v>2116</v>
      </c>
      <c r="CQ150" s="5">
        <v>2117</v>
      </c>
      <c r="CR150" s="5">
        <v>2118</v>
      </c>
      <c r="CS150" s="5">
        <v>2119</v>
      </c>
      <c r="CT150" s="5">
        <v>2120</v>
      </c>
      <c r="CU150" s="5">
        <v>2121</v>
      </c>
      <c r="CV150" s="5">
        <v>2122</v>
      </c>
      <c r="CW150" s="5">
        <v>2123</v>
      </c>
      <c r="CX150" s="5">
        <v>2124</v>
      </c>
      <c r="CY150" s="5">
        <v>2125</v>
      </c>
      <c r="CZ150" s="5">
        <v>2126</v>
      </c>
      <c r="DA150" s="5">
        <v>2127</v>
      </c>
    </row>
    <row r="151" spans="3:110" x14ac:dyDescent="0.4">
      <c r="D151" t="s">
        <v>207</v>
      </c>
      <c r="N151" s="8">
        <f>IF(N$13&lt;=$B$3,N152/$B$3,0)</f>
        <v>85983.999628819802</v>
      </c>
      <c r="O151" s="8">
        <f>IF(O149&lt;=$B$3,N151,0)</f>
        <v>85983.999628819802</v>
      </c>
      <c r="P151" s="8">
        <f t="shared" ref="P151:CA151" si="168">IF(P149&lt;=$B$3,O151,0)</f>
        <v>85983.999628819802</v>
      </c>
      <c r="Q151" s="8">
        <f t="shared" si="168"/>
        <v>85983.999628819802</v>
      </c>
      <c r="R151" s="8">
        <f t="shared" si="168"/>
        <v>85983.999628819802</v>
      </c>
      <c r="S151" s="8">
        <f t="shared" si="168"/>
        <v>85983.999628819802</v>
      </c>
      <c r="T151" s="8">
        <f t="shared" si="168"/>
        <v>85983.999628819802</v>
      </c>
      <c r="U151" s="8">
        <f t="shared" si="168"/>
        <v>85983.999628819802</v>
      </c>
      <c r="V151" s="8">
        <f t="shared" si="168"/>
        <v>85983.999628819802</v>
      </c>
      <c r="W151" s="8">
        <f t="shared" si="168"/>
        <v>85983.999628819802</v>
      </c>
      <c r="X151" s="8">
        <f t="shared" si="168"/>
        <v>85983.999628819802</v>
      </c>
      <c r="Y151" s="8">
        <f t="shared" si="168"/>
        <v>85983.999628819802</v>
      </c>
      <c r="Z151" s="8">
        <f t="shared" si="168"/>
        <v>85983.999628819802</v>
      </c>
      <c r="AA151" s="8">
        <f t="shared" si="168"/>
        <v>85983.999628819802</v>
      </c>
      <c r="AB151" s="8">
        <f t="shared" si="168"/>
        <v>85983.999628819802</v>
      </c>
      <c r="AC151" s="8">
        <f t="shared" si="168"/>
        <v>85983.999628819802</v>
      </c>
      <c r="AD151" s="8">
        <f t="shared" si="168"/>
        <v>85983.999628819802</v>
      </c>
      <c r="AE151" s="8">
        <f t="shared" si="168"/>
        <v>85983.999628819802</v>
      </c>
      <c r="AF151" s="8">
        <f t="shared" si="168"/>
        <v>85983.999628819802</v>
      </c>
      <c r="AG151" s="8">
        <f t="shared" si="168"/>
        <v>85983.999628819802</v>
      </c>
      <c r="AH151" s="8">
        <f t="shared" si="168"/>
        <v>85983.999628819802</v>
      </c>
      <c r="AI151" s="8">
        <f t="shared" si="168"/>
        <v>85983.999628819802</v>
      </c>
      <c r="AJ151" s="8">
        <f t="shared" si="168"/>
        <v>85983.999628819802</v>
      </c>
      <c r="AK151" s="8">
        <f t="shared" si="168"/>
        <v>85983.999628819802</v>
      </c>
      <c r="AL151" s="8">
        <f t="shared" si="168"/>
        <v>85983.999628819802</v>
      </c>
      <c r="AM151" s="8">
        <f t="shared" si="168"/>
        <v>85983.999628819802</v>
      </c>
      <c r="AN151" s="8">
        <f t="shared" si="168"/>
        <v>85983.999628819802</v>
      </c>
      <c r="AO151" s="8">
        <f t="shared" si="168"/>
        <v>85983.999628819802</v>
      </c>
      <c r="AP151" s="8">
        <f t="shared" si="168"/>
        <v>85983.999628819802</v>
      </c>
      <c r="AQ151" s="8">
        <f t="shared" si="168"/>
        <v>85983.999628819802</v>
      </c>
      <c r="AR151" s="8">
        <f t="shared" si="168"/>
        <v>85983.999628819802</v>
      </c>
      <c r="AS151" s="8">
        <f t="shared" si="168"/>
        <v>85983.999628819802</v>
      </c>
      <c r="AT151" s="8">
        <f t="shared" si="168"/>
        <v>85983.999628819802</v>
      </c>
      <c r="AU151" s="8">
        <f t="shared" si="168"/>
        <v>85983.999628819802</v>
      </c>
      <c r="AV151" s="8">
        <f t="shared" si="168"/>
        <v>85983.999628819802</v>
      </c>
      <c r="AW151" s="8">
        <f t="shared" si="168"/>
        <v>85983.999628819802</v>
      </c>
      <c r="AX151" s="8">
        <f t="shared" si="168"/>
        <v>85983.999628819802</v>
      </c>
      <c r="AY151" s="8">
        <f t="shared" si="168"/>
        <v>85983.999628819802</v>
      </c>
      <c r="AZ151" s="8">
        <f t="shared" si="168"/>
        <v>85983.999628819802</v>
      </c>
      <c r="BA151" s="8">
        <f t="shared" si="168"/>
        <v>85983.999628819802</v>
      </c>
      <c r="BB151" s="8">
        <f t="shared" si="168"/>
        <v>85983.999628819802</v>
      </c>
      <c r="BC151" s="8">
        <f t="shared" si="168"/>
        <v>85983.999628819802</v>
      </c>
      <c r="BD151" s="8">
        <f t="shared" si="168"/>
        <v>85983.999628819802</v>
      </c>
      <c r="BE151" s="8">
        <f t="shared" si="168"/>
        <v>85983.999628819802</v>
      </c>
      <c r="BF151" s="8">
        <f t="shared" si="168"/>
        <v>85983.999628819802</v>
      </c>
      <c r="BG151" s="8">
        <f t="shared" si="168"/>
        <v>85983.999628819802</v>
      </c>
      <c r="BH151" s="8">
        <f t="shared" si="168"/>
        <v>85983.999628819802</v>
      </c>
      <c r="BI151" s="8">
        <f t="shared" si="168"/>
        <v>85983.999628819802</v>
      </c>
      <c r="BJ151" s="8">
        <f t="shared" si="168"/>
        <v>85983.999628819802</v>
      </c>
      <c r="BK151" s="8">
        <f t="shared" si="168"/>
        <v>85983.999628819802</v>
      </c>
      <c r="BL151" s="8">
        <f t="shared" si="168"/>
        <v>0</v>
      </c>
      <c r="BM151" s="8">
        <f t="shared" si="168"/>
        <v>0</v>
      </c>
      <c r="BN151" s="8">
        <f t="shared" si="168"/>
        <v>0</v>
      </c>
      <c r="BO151" s="8">
        <f t="shared" si="168"/>
        <v>0</v>
      </c>
      <c r="BP151" s="8">
        <f t="shared" si="168"/>
        <v>0</v>
      </c>
      <c r="BQ151" s="8">
        <f t="shared" si="168"/>
        <v>0</v>
      </c>
      <c r="BR151" s="8">
        <f t="shared" si="168"/>
        <v>0</v>
      </c>
      <c r="BS151" s="8">
        <f t="shared" si="168"/>
        <v>0</v>
      </c>
      <c r="BT151" s="8">
        <f t="shared" si="168"/>
        <v>0</v>
      </c>
      <c r="BU151" s="8">
        <f t="shared" si="168"/>
        <v>0</v>
      </c>
      <c r="BV151" s="8">
        <f t="shared" si="168"/>
        <v>0</v>
      </c>
      <c r="BW151" s="8">
        <f t="shared" si="168"/>
        <v>0</v>
      </c>
      <c r="BX151" s="8">
        <f t="shared" si="168"/>
        <v>0</v>
      </c>
      <c r="BY151" s="8">
        <f t="shared" si="168"/>
        <v>0</v>
      </c>
      <c r="BZ151" s="8">
        <f t="shared" si="168"/>
        <v>0</v>
      </c>
      <c r="CA151" s="8">
        <f t="shared" si="168"/>
        <v>0</v>
      </c>
      <c r="CB151" s="8">
        <f t="shared" ref="CB151:DA151" si="169">IF(CB149&lt;=$B$3,CA151,0)</f>
        <v>0</v>
      </c>
      <c r="CC151" s="8">
        <f t="shared" si="169"/>
        <v>0</v>
      </c>
      <c r="CD151" s="8">
        <f t="shared" si="169"/>
        <v>0</v>
      </c>
      <c r="CE151" s="8">
        <f t="shared" si="169"/>
        <v>0</v>
      </c>
      <c r="CF151" s="8">
        <f t="shared" si="169"/>
        <v>0</v>
      </c>
      <c r="CG151" s="8">
        <f t="shared" si="169"/>
        <v>0</v>
      </c>
      <c r="CH151" s="8">
        <f t="shared" si="169"/>
        <v>0</v>
      </c>
      <c r="CI151" s="8">
        <f t="shared" si="169"/>
        <v>0</v>
      </c>
      <c r="CJ151" s="8">
        <f t="shared" si="169"/>
        <v>0</v>
      </c>
      <c r="CK151" s="8">
        <f t="shared" si="169"/>
        <v>0</v>
      </c>
      <c r="CL151" s="8">
        <f t="shared" si="169"/>
        <v>0</v>
      </c>
      <c r="CM151" s="8">
        <f t="shared" si="169"/>
        <v>0</v>
      </c>
      <c r="CN151" s="8">
        <f t="shared" si="169"/>
        <v>0</v>
      </c>
      <c r="CO151" s="8">
        <f t="shared" si="169"/>
        <v>0</v>
      </c>
      <c r="CP151" s="8">
        <f t="shared" si="169"/>
        <v>0</v>
      </c>
      <c r="CQ151" s="8">
        <f t="shared" si="169"/>
        <v>0</v>
      </c>
      <c r="CR151" s="8">
        <f t="shared" si="169"/>
        <v>0</v>
      </c>
      <c r="CS151" s="8">
        <f t="shared" si="169"/>
        <v>0</v>
      </c>
      <c r="CT151" s="8">
        <f t="shared" si="169"/>
        <v>0</v>
      </c>
      <c r="CU151" s="8">
        <f t="shared" si="169"/>
        <v>0</v>
      </c>
      <c r="CV151" s="8">
        <f t="shared" si="169"/>
        <v>0</v>
      </c>
      <c r="CW151" s="8">
        <f t="shared" si="169"/>
        <v>0</v>
      </c>
      <c r="CX151" s="8">
        <f t="shared" si="169"/>
        <v>0</v>
      </c>
      <c r="CY151" s="8">
        <f t="shared" si="169"/>
        <v>0</v>
      </c>
      <c r="CZ151" s="8">
        <f t="shared" si="169"/>
        <v>0</v>
      </c>
      <c r="DA151" s="8">
        <f t="shared" si="169"/>
        <v>0</v>
      </c>
      <c r="DB151" s="8"/>
      <c r="DC151" s="8"/>
      <c r="DD151" s="8"/>
      <c r="DE151" s="8"/>
      <c r="DF151" s="8"/>
    </row>
    <row r="152" spans="3:110" x14ac:dyDescent="0.4">
      <c r="D152" t="s">
        <v>154</v>
      </c>
      <c r="M152" s="8">
        <f>HLOOKUP(N150,$F$3:$O$10,7,0)</f>
        <v>4299199.9814409902</v>
      </c>
      <c r="N152" s="8">
        <f>IF(ROUND(M153,4)=-ROUND(M152,4),0,M152)</f>
        <v>4299199.9814409902</v>
      </c>
      <c r="O152" s="8">
        <f t="shared" ref="O152:BZ152" si="170">IF(ROUND(N153,4)=-ROUND(N152,4),0,N152)</f>
        <v>4299199.9814409902</v>
      </c>
      <c r="P152" s="8">
        <f t="shared" si="170"/>
        <v>4299199.9814409902</v>
      </c>
      <c r="Q152" s="8">
        <f t="shared" si="170"/>
        <v>4299199.9814409902</v>
      </c>
      <c r="R152" s="8">
        <f t="shared" si="170"/>
        <v>4299199.9814409902</v>
      </c>
      <c r="S152" s="8">
        <f t="shared" si="170"/>
        <v>4299199.9814409902</v>
      </c>
      <c r="T152" s="8">
        <f t="shared" si="170"/>
        <v>4299199.9814409902</v>
      </c>
      <c r="U152" s="8">
        <f t="shared" si="170"/>
        <v>4299199.9814409902</v>
      </c>
      <c r="V152" s="8">
        <f t="shared" si="170"/>
        <v>4299199.9814409902</v>
      </c>
      <c r="W152" s="8">
        <f t="shared" si="170"/>
        <v>4299199.9814409902</v>
      </c>
      <c r="X152" s="8">
        <f t="shared" si="170"/>
        <v>4299199.9814409902</v>
      </c>
      <c r="Y152" s="8">
        <f t="shared" si="170"/>
        <v>4299199.9814409902</v>
      </c>
      <c r="Z152" s="8">
        <f t="shared" si="170"/>
        <v>4299199.9814409902</v>
      </c>
      <c r="AA152" s="8">
        <f t="shared" si="170"/>
        <v>4299199.9814409902</v>
      </c>
      <c r="AB152" s="8">
        <f t="shared" si="170"/>
        <v>4299199.9814409902</v>
      </c>
      <c r="AC152" s="8">
        <f t="shared" si="170"/>
        <v>4299199.9814409902</v>
      </c>
      <c r="AD152" s="8">
        <f t="shared" si="170"/>
        <v>4299199.9814409902</v>
      </c>
      <c r="AE152" s="8">
        <f t="shared" si="170"/>
        <v>4299199.9814409902</v>
      </c>
      <c r="AF152" s="8">
        <f t="shared" si="170"/>
        <v>4299199.9814409902</v>
      </c>
      <c r="AG152" s="8">
        <f t="shared" si="170"/>
        <v>4299199.9814409902</v>
      </c>
      <c r="AH152" s="8">
        <f t="shared" si="170"/>
        <v>4299199.9814409902</v>
      </c>
      <c r="AI152" s="8">
        <f t="shared" si="170"/>
        <v>4299199.9814409902</v>
      </c>
      <c r="AJ152" s="8">
        <f t="shared" si="170"/>
        <v>4299199.9814409902</v>
      </c>
      <c r="AK152" s="8">
        <f t="shared" si="170"/>
        <v>4299199.9814409902</v>
      </c>
      <c r="AL152" s="8">
        <f t="shared" si="170"/>
        <v>4299199.9814409902</v>
      </c>
      <c r="AM152" s="8">
        <f t="shared" si="170"/>
        <v>4299199.9814409902</v>
      </c>
      <c r="AN152" s="8">
        <f t="shared" si="170"/>
        <v>4299199.9814409902</v>
      </c>
      <c r="AO152" s="8">
        <f t="shared" si="170"/>
        <v>4299199.9814409902</v>
      </c>
      <c r="AP152" s="8">
        <f t="shared" si="170"/>
        <v>4299199.9814409902</v>
      </c>
      <c r="AQ152" s="8">
        <f t="shared" si="170"/>
        <v>4299199.9814409902</v>
      </c>
      <c r="AR152" s="8">
        <f t="shared" si="170"/>
        <v>4299199.9814409902</v>
      </c>
      <c r="AS152" s="8">
        <f t="shared" si="170"/>
        <v>4299199.9814409902</v>
      </c>
      <c r="AT152" s="8">
        <f t="shared" si="170"/>
        <v>4299199.9814409902</v>
      </c>
      <c r="AU152" s="8">
        <f t="shared" si="170"/>
        <v>4299199.9814409902</v>
      </c>
      <c r="AV152" s="8">
        <f t="shared" si="170"/>
        <v>4299199.9814409902</v>
      </c>
      <c r="AW152" s="8">
        <f t="shared" si="170"/>
        <v>4299199.9814409902</v>
      </c>
      <c r="AX152" s="8">
        <f t="shared" si="170"/>
        <v>4299199.9814409902</v>
      </c>
      <c r="AY152" s="8">
        <f t="shared" si="170"/>
        <v>4299199.9814409902</v>
      </c>
      <c r="AZ152" s="8">
        <f t="shared" si="170"/>
        <v>4299199.9814409902</v>
      </c>
      <c r="BA152" s="8">
        <f t="shared" si="170"/>
        <v>4299199.9814409902</v>
      </c>
      <c r="BB152" s="8">
        <f t="shared" si="170"/>
        <v>4299199.9814409902</v>
      </c>
      <c r="BC152" s="8">
        <f t="shared" si="170"/>
        <v>4299199.9814409902</v>
      </c>
      <c r="BD152" s="8">
        <f t="shared" si="170"/>
        <v>4299199.9814409902</v>
      </c>
      <c r="BE152" s="8">
        <f t="shared" si="170"/>
        <v>4299199.9814409902</v>
      </c>
      <c r="BF152" s="8">
        <f t="shared" si="170"/>
        <v>4299199.9814409902</v>
      </c>
      <c r="BG152" s="8">
        <f t="shared" si="170"/>
        <v>4299199.9814409902</v>
      </c>
      <c r="BH152" s="8">
        <f t="shared" si="170"/>
        <v>4299199.9814409902</v>
      </c>
      <c r="BI152" s="8">
        <f t="shared" si="170"/>
        <v>4299199.9814409902</v>
      </c>
      <c r="BJ152" s="8">
        <f t="shared" si="170"/>
        <v>4299199.9814409902</v>
      </c>
      <c r="BK152" s="8">
        <f t="shared" si="170"/>
        <v>4299199.9814409902</v>
      </c>
      <c r="BL152" s="8">
        <f t="shared" si="170"/>
        <v>0</v>
      </c>
      <c r="BM152" s="8">
        <f t="shared" si="170"/>
        <v>0</v>
      </c>
      <c r="BN152" s="8">
        <f t="shared" si="170"/>
        <v>0</v>
      </c>
      <c r="BO152" s="8">
        <f t="shared" si="170"/>
        <v>0</v>
      </c>
      <c r="BP152" s="8">
        <f t="shared" si="170"/>
        <v>0</v>
      </c>
      <c r="BQ152" s="8">
        <f t="shared" si="170"/>
        <v>0</v>
      </c>
      <c r="BR152" s="8">
        <f t="shared" si="170"/>
        <v>0</v>
      </c>
      <c r="BS152" s="8">
        <f t="shared" si="170"/>
        <v>0</v>
      </c>
      <c r="BT152" s="8">
        <f t="shared" si="170"/>
        <v>0</v>
      </c>
      <c r="BU152" s="8">
        <f t="shared" si="170"/>
        <v>0</v>
      </c>
      <c r="BV152" s="8">
        <f t="shared" si="170"/>
        <v>0</v>
      </c>
      <c r="BW152" s="8">
        <f t="shared" si="170"/>
        <v>0</v>
      </c>
      <c r="BX152" s="8">
        <f t="shared" si="170"/>
        <v>0</v>
      </c>
      <c r="BY152" s="8">
        <f t="shared" si="170"/>
        <v>0</v>
      </c>
      <c r="BZ152" s="8">
        <f t="shared" si="170"/>
        <v>0</v>
      </c>
      <c r="CA152" s="8">
        <f t="shared" ref="CA152:DA152" si="171">IF(ROUND(BZ153,4)=-ROUND(BZ152,4),0,BZ152)</f>
        <v>0</v>
      </c>
      <c r="CB152" s="8">
        <f t="shared" si="171"/>
        <v>0</v>
      </c>
      <c r="CC152" s="8">
        <f t="shared" si="171"/>
        <v>0</v>
      </c>
      <c r="CD152" s="8">
        <f t="shared" si="171"/>
        <v>0</v>
      </c>
      <c r="CE152" s="8">
        <f t="shared" si="171"/>
        <v>0</v>
      </c>
      <c r="CF152" s="8">
        <f t="shared" si="171"/>
        <v>0</v>
      </c>
      <c r="CG152" s="8">
        <f t="shared" si="171"/>
        <v>0</v>
      </c>
      <c r="CH152" s="8">
        <f t="shared" si="171"/>
        <v>0</v>
      </c>
      <c r="CI152" s="8">
        <f t="shared" si="171"/>
        <v>0</v>
      </c>
      <c r="CJ152" s="8">
        <f t="shared" si="171"/>
        <v>0</v>
      </c>
      <c r="CK152" s="8">
        <f t="shared" si="171"/>
        <v>0</v>
      </c>
      <c r="CL152" s="8">
        <f t="shared" si="171"/>
        <v>0</v>
      </c>
      <c r="CM152" s="8">
        <f t="shared" si="171"/>
        <v>0</v>
      </c>
      <c r="CN152" s="8">
        <f t="shared" si="171"/>
        <v>0</v>
      </c>
      <c r="CO152" s="8">
        <f t="shared" si="171"/>
        <v>0</v>
      </c>
      <c r="CP152" s="8">
        <f t="shared" si="171"/>
        <v>0</v>
      </c>
      <c r="CQ152" s="8">
        <f t="shared" si="171"/>
        <v>0</v>
      </c>
      <c r="CR152" s="8">
        <f t="shared" si="171"/>
        <v>0</v>
      </c>
      <c r="CS152" s="8">
        <f t="shared" si="171"/>
        <v>0</v>
      </c>
      <c r="CT152" s="8">
        <f t="shared" si="171"/>
        <v>0</v>
      </c>
      <c r="CU152" s="8">
        <f t="shared" si="171"/>
        <v>0</v>
      </c>
      <c r="CV152" s="8">
        <f t="shared" si="171"/>
        <v>0</v>
      </c>
      <c r="CW152" s="8">
        <f t="shared" si="171"/>
        <v>0</v>
      </c>
      <c r="CX152" s="8">
        <f t="shared" si="171"/>
        <v>0</v>
      </c>
      <c r="CY152" s="8">
        <f t="shared" si="171"/>
        <v>0</v>
      </c>
      <c r="CZ152" s="8">
        <f t="shared" si="171"/>
        <v>0</v>
      </c>
      <c r="DA152" s="8">
        <f t="shared" si="171"/>
        <v>0</v>
      </c>
      <c r="DB152" s="8"/>
      <c r="DC152" s="8"/>
      <c r="DD152" s="8"/>
      <c r="DE152" s="8"/>
      <c r="DF152" s="8"/>
    </row>
    <row r="153" spans="3:110" x14ac:dyDescent="0.4">
      <c r="D153" t="s">
        <v>208</v>
      </c>
      <c r="M153" s="8"/>
      <c r="N153" s="8">
        <f>IF(N149&lt;=$B$3,-SUM($E151:N151),0)</f>
        <v>-85983.999628819802</v>
      </c>
      <c r="O153" s="8">
        <f>IF(O149&lt;=$B$3,-SUM($E151:O151),0)</f>
        <v>-171967.9992576396</v>
      </c>
      <c r="P153" s="8">
        <f>IF(P149&lt;=$B$3,-SUM($E151:P151),0)</f>
        <v>-257951.99888645939</v>
      </c>
      <c r="Q153" s="8">
        <f>IF(Q149&lt;=$B$3,-SUM($E151:Q151),0)</f>
        <v>-343935.99851527921</v>
      </c>
      <c r="R153" s="8">
        <f>IF(R149&lt;=$B$3,-SUM($E151:R151),0)</f>
        <v>-429919.99814409902</v>
      </c>
      <c r="S153" s="8">
        <f>IF(S149&lt;=$B$3,-SUM($E151:S151),0)</f>
        <v>-515903.99777291884</v>
      </c>
      <c r="T153" s="8">
        <f>IF(T149&lt;=$B$3,-SUM($E151:T151),0)</f>
        <v>-601887.99740173866</v>
      </c>
      <c r="U153" s="8">
        <f>IF(U149&lt;=$B$3,-SUM($E151:U151),0)</f>
        <v>-687871.99703055841</v>
      </c>
      <c r="V153" s="8">
        <f>IF(V149&lt;=$B$3,-SUM($E151:V151),0)</f>
        <v>-773855.99665937817</v>
      </c>
      <c r="W153" s="8">
        <f>IF(W149&lt;=$B$3,-SUM($E151:W151),0)</f>
        <v>-859839.99628819793</v>
      </c>
      <c r="X153" s="8">
        <f>IF(X149&lt;=$B$3,-SUM($E151:X151),0)</f>
        <v>-945823.99591701769</v>
      </c>
      <c r="Y153" s="8">
        <f>IF(Y149&lt;=$B$3,-SUM($E151:Y151),0)</f>
        <v>-1031807.9955458374</v>
      </c>
      <c r="Z153" s="8">
        <f>IF(Z149&lt;=$B$3,-SUM($E151:Z151),0)</f>
        <v>-1117791.9951746573</v>
      </c>
      <c r="AA153" s="8">
        <f>IF(AA149&lt;=$B$3,-SUM($E151:AA151),0)</f>
        <v>-1203775.9948034771</v>
      </c>
      <c r="AB153" s="8">
        <f>IF(AB149&lt;=$B$3,-SUM($E151:AB151),0)</f>
        <v>-1289759.9944322968</v>
      </c>
      <c r="AC153" s="8">
        <f>IF(AC149&lt;=$B$3,-SUM($E151:AC151),0)</f>
        <v>-1375743.9940611166</v>
      </c>
      <c r="AD153" s="8">
        <f>IF(AD149&lt;=$B$3,-SUM($E151:AD151),0)</f>
        <v>-1461727.9936899364</v>
      </c>
      <c r="AE153" s="8">
        <f>IF(AE149&lt;=$B$3,-SUM($E151:AE151),0)</f>
        <v>-1547711.9933187561</v>
      </c>
      <c r="AF153" s="8">
        <f>IF(AF149&lt;=$B$3,-SUM($E151:AF151),0)</f>
        <v>-1633695.9929475759</v>
      </c>
      <c r="AG153" s="8">
        <f>IF(AG149&lt;=$B$3,-SUM($E151:AG151),0)</f>
        <v>-1719679.9925763956</v>
      </c>
      <c r="AH153" s="8">
        <f>IF(AH149&lt;=$B$3,-SUM($E151:AH151),0)</f>
        <v>-1805663.9922052154</v>
      </c>
      <c r="AI153" s="8">
        <f>IF(AI149&lt;=$B$3,-SUM($E151:AI151),0)</f>
        <v>-1891647.9918340351</v>
      </c>
      <c r="AJ153" s="8">
        <f>IF(AJ149&lt;=$B$3,-SUM($E151:AJ151),0)</f>
        <v>-1977631.9914628549</v>
      </c>
      <c r="AK153" s="8">
        <f>IF(AK149&lt;=$B$3,-SUM($E151:AK151),0)</f>
        <v>-2063615.9910916747</v>
      </c>
      <c r="AL153" s="8">
        <f>IF(AL149&lt;=$B$3,-SUM($E151:AL151),0)</f>
        <v>-2149599.9907204947</v>
      </c>
      <c r="AM153" s="8">
        <f>IF(AM149&lt;=$B$3,-SUM($E151:AM151),0)</f>
        <v>-2235583.9903493146</v>
      </c>
      <c r="AN153" s="8">
        <f>IF(AN149&lt;=$B$3,-SUM($E151:AN151),0)</f>
        <v>-2321567.9899781346</v>
      </c>
      <c r="AO153" s="8">
        <f>IF(AO149&lt;=$B$3,-SUM($E151:AO151),0)</f>
        <v>-2407551.9896069546</v>
      </c>
      <c r="AP153" s="8">
        <f>IF(AP149&lt;=$B$3,-SUM($E151:AP151),0)</f>
        <v>-2493535.9892357746</v>
      </c>
      <c r="AQ153" s="8">
        <f>IF(AQ149&lt;=$B$3,-SUM($E151:AQ151),0)</f>
        <v>-2579519.9888645946</v>
      </c>
      <c r="AR153" s="8">
        <f>IF(AR149&lt;=$B$3,-SUM($E151:AR151),0)</f>
        <v>-2665503.9884934146</v>
      </c>
      <c r="AS153" s="8">
        <f>IF(AS149&lt;=$B$3,-SUM($E151:AS151),0)</f>
        <v>-2751487.9881222346</v>
      </c>
      <c r="AT153" s="8">
        <f>IF(AT149&lt;=$B$3,-SUM($E151:AT151),0)</f>
        <v>-2837471.9877510546</v>
      </c>
      <c r="AU153" s="8">
        <f>IF(AU149&lt;=$B$3,-SUM($E151:AU151),0)</f>
        <v>-2923455.9873798746</v>
      </c>
      <c r="AV153" s="8">
        <f>IF(AV149&lt;=$B$3,-SUM($E151:AV151),0)</f>
        <v>-3009439.9870086946</v>
      </c>
      <c r="AW153" s="8">
        <f>IF(AW149&lt;=$B$3,-SUM($E151:AW151),0)</f>
        <v>-3095423.9866375146</v>
      </c>
      <c r="AX153" s="8">
        <f>IF(AX149&lt;=$B$3,-SUM($E151:AX151),0)</f>
        <v>-3181407.9862663345</v>
      </c>
      <c r="AY153" s="8">
        <f>IF(AY149&lt;=$B$3,-SUM($E151:AY151),0)</f>
        <v>-3267391.9858951545</v>
      </c>
      <c r="AZ153" s="8">
        <f>IF(AZ149&lt;=$B$3,-SUM($E151:AZ151),0)</f>
        <v>-3353375.9855239745</v>
      </c>
      <c r="BA153" s="8">
        <f>IF(BA149&lt;=$B$3,-SUM($E151:BA151),0)</f>
        <v>-3439359.9851527945</v>
      </c>
      <c r="BB153" s="8">
        <f>IF(BB149&lt;=$B$3,-SUM($E151:BB151),0)</f>
        <v>-3525343.9847816145</v>
      </c>
      <c r="BC153" s="8">
        <f>IF(BC149&lt;=$B$3,-SUM($E151:BC151),0)</f>
        <v>-3611327.9844104345</v>
      </c>
      <c r="BD153" s="8">
        <f>IF(BD149&lt;=$B$3,-SUM($E151:BD151),0)</f>
        <v>-3697311.9840392545</v>
      </c>
      <c r="BE153" s="8">
        <f>IF(BE149&lt;=$B$3,-SUM($E151:BE151),0)</f>
        <v>-3783295.9836680745</v>
      </c>
      <c r="BF153" s="8">
        <f>IF(BF149&lt;=$B$3,-SUM($E151:BF151),0)</f>
        <v>-3869279.9832968945</v>
      </c>
      <c r="BG153" s="8">
        <f>IF(BG149&lt;=$B$3,-SUM($E151:BG151),0)</f>
        <v>-3955263.9829257145</v>
      </c>
      <c r="BH153" s="8">
        <f>IF(BH149&lt;=$B$3,-SUM($E151:BH151),0)</f>
        <v>-4041247.9825545345</v>
      </c>
      <c r="BI153" s="8">
        <f>IF(BI149&lt;=$B$3,-SUM($E151:BI151),0)</f>
        <v>-4127231.9821833544</v>
      </c>
      <c r="BJ153" s="8">
        <f>IF(BJ149&lt;=$B$3,-SUM($E151:BJ151),0)</f>
        <v>-4213215.9818121744</v>
      </c>
      <c r="BK153" s="8">
        <f>IF(BK149&lt;=$B$3,-SUM($E151:BK151),0)</f>
        <v>-4299199.981440994</v>
      </c>
      <c r="BL153" s="8">
        <f>IF(BL149&lt;=$B$3,-SUM($E151:BL151),0)</f>
        <v>0</v>
      </c>
      <c r="BM153" s="8">
        <f>IF(BM149&lt;=$B$3,-SUM($E151:BM151),0)</f>
        <v>0</v>
      </c>
      <c r="BN153" s="8">
        <f>IF(BN149&lt;=$B$3,-SUM($E151:BN151),0)</f>
        <v>0</v>
      </c>
      <c r="BO153" s="8">
        <f>IF(BO149&lt;=$B$3,-SUM($E151:BO151),0)</f>
        <v>0</v>
      </c>
      <c r="BP153" s="8">
        <f>IF(BP149&lt;=$B$3,-SUM($E151:BP151),0)</f>
        <v>0</v>
      </c>
      <c r="BQ153" s="8">
        <f>IF(BQ149&lt;=$B$3,-SUM($E151:BQ151),0)</f>
        <v>0</v>
      </c>
      <c r="BR153" s="8">
        <f>IF(BR149&lt;=$B$3,-SUM($E151:BR151),0)</f>
        <v>0</v>
      </c>
      <c r="BS153" s="8">
        <f>IF(BS149&lt;=$B$3,-SUM($E151:BS151),0)</f>
        <v>0</v>
      </c>
      <c r="BT153" s="8">
        <f>IF(BT149&lt;=$B$3,-SUM($E151:BT151),0)</f>
        <v>0</v>
      </c>
      <c r="BU153" s="8">
        <f>IF(BU149&lt;=$B$3,-SUM($E151:BU151),0)</f>
        <v>0</v>
      </c>
      <c r="BV153" s="8">
        <f>IF(BV149&lt;=$B$3,-SUM($E151:BV151),0)</f>
        <v>0</v>
      </c>
      <c r="BW153" s="8">
        <f>IF(BW149&lt;=$B$3,-SUM($E151:BW151),0)</f>
        <v>0</v>
      </c>
      <c r="BX153" s="8">
        <f>IF(BX149&lt;=$B$3,-SUM($E151:BX151),0)</f>
        <v>0</v>
      </c>
      <c r="BY153" s="8">
        <f>IF(BY149&lt;=$B$3,-SUM($E151:BY151),0)</f>
        <v>0</v>
      </c>
      <c r="BZ153" s="8">
        <f>IF(BZ149&lt;=$B$3,-SUM($E151:BZ151),0)</f>
        <v>0</v>
      </c>
      <c r="CA153" s="8">
        <f>IF(CA149&lt;=$B$3,-SUM($E151:CA151),0)</f>
        <v>0</v>
      </c>
      <c r="CB153" s="8">
        <f>IF(CB149&lt;=$B$3,-SUM($E151:CB151),0)</f>
        <v>0</v>
      </c>
      <c r="CC153" s="8">
        <f>IF(CC149&lt;=$B$3,-SUM($E151:CC151),0)</f>
        <v>0</v>
      </c>
      <c r="CD153" s="8">
        <f>IF(CD149&lt;=$B$3,-SUM($E151:CD151),0)</f>
        <v>0</v>
      </c>
      <c r="CE153" s="8">
        <f>IF(CE149&lt;=$B$3,-SUM($E151:CE151),0)</f>
        <v>0</v>
      </c>
      <c r="CF153" s="8">
        <f>IF(CF149&lt;=$B$3,-SUM($E151:CF151),0)</f>
        <v>0</v>
      </c>
      <c r="CG153" s="8">
        <f>IF(CG149&lt;=$B$3,-SUM($E151:CG151),0)</f>
        <v>0</v>
      </c>
      <c r="CH153" s="8">
        <f>IF(CH149&lt;=$B$3,-SUM($E151:CH151),0)</f>
        <v>0</v>
      </c>
      <c r="CI153" s="8">
        <f>IF(CI149&lt;=$B$3,-SUM($E151:CI151),0)</f>
        <v>0</v>
      </c>
      <c r="CJ153" s="8">
        <f>IF(CJ149&lt;=$B$3,-SUM($E151:CJ151),0)</f>
        <v>0</v>
      </c>
      <c r="CK153" s="8">
        <f>IF(CK149&lt;=$B$3,-SUM($E151:CK151),0)</f>
        <v>0</v>
      </c>
      <c r="CL153" s="8">
        <f>IF(CL149&lt;=$B$3,-SUM($E151:CL151),0)</f>
        <v>0</v>
      </c>
      <c r="CM153" s="8">
        <f>IF(CM149&lt;=$B$3,-SUM($E151:CM151),0)</f>
        <v>0</v>
      </c>
      <c r="CN153" s="8">
        <f>IF(CN149&lt;=$B$3,-SUM($E151:CN151),0)</f>
        <v>0</v>
      </c>
      <c r="CO153" s="8">
        <f>IF(CO149&lt;=$B$3,-SUM($E151:CO151),0)</f>
        <v>0</v>
      </c>
      <c r="CP153" s="8">
        <f>IF(CP149&lt;=$B$3,-SUM($E151:CP151),0)</f>
        <v>0</v>
      </c>
      <c r="CQ153" s="8">
        <f>IF(CQ149&lt;=$B$3,-SUM($E151:CQ151),0)</f>
        <v>0</v>
      </c>
      <c r="CR153" s="8">
        <f>IF(CR149&lt;=$B$3,-SUM($E151:CR151),0)</f>
        <v>0</v>
      </c>
      <c r="CS153" s="8">
        <f>IF(CS149&lt;=$B$3,-SUM($E151:CS151),0)</f>
        <v>0</v>
      </c>
      <c r="CT153" s="8">
        <f>IF(CT149&lt;=$B$3,-SUM($E151:CT151),0)</f>
        <v>0</v>
      </c>
      <c r="CU153" s="8">
        <f>IF(CU149&lt;=$B$3,-SUM($E151:CU151),0)</f>
        <v>0</v>
      </c>
      <c r="CV153" s="8">
        <f>IF(CV149&lt;=$B$3,-SUM($E151:CV151),0)</f>
        <v>0</v>
      </c>
      <c r="CW153" s="8">
        <f>IF(CW149&lt;=$B$3,-SUM($E151:CW151),0)</f>
        <v>0</v>
      </c>
      <c r="CX153" s="8">
        <f>IF(CX149&lt;=$B$3,-SUM($E151:CX151),0)</f>
        <v>0</v>
      </c>
      <c r="CY153" s="8">
        <f>IF(CY149&lt;=$B$3,-SUM($E151:CY151),0)</f>
        <v>0</v>
      </c>
      <c r="CZ153" s="8">
        <f>IF(CZ149&lt;=$B$3,-SUM($E151:CZ151),0)</f>
        <v>0</v>
      </c>
      <c r="DA153" s="8">
        <f>IF(DA149&lt;=$B$3,-SUM($E151:DA151),0)</f>
        <v>0</v>
      </c>
      <c r="DB153" s="8"/>
      <c r="DC153" s="8"/>
      <c r="DD153" s="8"/>
      <c r="DE153" s="8"/>
      <c r="DF153" s="8"/>
    </row>
    <row r="154" spans="3:110" x14ac:dyDescent="0.4">
      <c r="D154" t="s">
        <v>167</v>
      </c>
      <c r="M154" s="8"/>
      <c r="N154" s="8">
        <f>M155</f>
        <v>4299199.9814409902</v>
      </c>
      <c r="O154" s="8">
        <f t="shared" ref="O154:BZ154" si="172">N155</f>
        <v>4213215.9818121707</v>
      </c>
      <c r="P154" s="8">
        <f t="shared" si="172"/>
        <v>4127231.9821833507</v>
      </c>
      <c r="Q154" s="8">
        <f t="shared" si="172"/>
        <v>4041247.9825545307</v>
      </c>
      <c r="R154" s="8">
        <f t="shared" si="172"/>
        <v>3955263.9829257112</v>
      </c>
      <c r="S154" s="8">
        <f t="shared" si="172"/>
        <v>3869279.9832968912</v>
      </c>
      <c r="T154" s="8">
        <f t="shared" si="172"/>
        <v>3783295.9836680712</v>
      </c>
      <c r="U154" s="8">
        <f t="shared" si="172"/>
        <v>3697311.9840392517</v>
      </c>
      <c r="V154" s="8">
        <f t="shared" si="172"/>
        <v>3611327.9844104317</v>
      </c>
      <c r="W154" s="8">
        <f t="shared" si="172"/>
        <v>3525343.9847816122</v>
      </c>
      <c r="X154" s="8">
        <f t="shared" si="172"/>
        <v>3439359.9851527922</v>
      </c>
      <c r="Y154" s="8">
        <f t="shared" si="172"/>
        <v>3353375.9855239727</v>
      </c>
      <c r="Z154" s="8">
        <f t="shared" si="172"/>
        <v>3267391.9858951527</v>
      </c>
      <c r="AA154" s="8">
        <f t="shared" si="172"/>
        <v>3181407.9862663327</v>
      </c>
      <c r="AB154" s="8">
        <f t="shared" si="172"/>
        <v>3095423.9866375132</v>
      </c>
      <c r="AC154" s="8">
        <f t="shared" si="172"/>
        <v>3009439.9870086936</v>
      </c>
      <c r="AD154" s="8">
        <f t="shared" si="172"/>
        <v>2923455.9873798736</v>
      </c>
      <c r="AE154" s="8">
        <f t="shared" si="172"/>
        <v>2837471.9877510536</v>
      </c>
      <c r="AF154" s="8">
        <f t="shared" si="172"/>
        <v>2751487.9881222341</v>
      </c>
      <c r="AG154" s="8">
        <f t="shared" si="172"/>
        <v>2665503.9884934146</v>
      </c>
      <c r="AH154" s="8">
        <f t="shared" si="172"/>
        <v>2579519.9888645946</v>
      </c>
      <c r="AI154" s="8">
        <f t="shared" si="172"/>
        <v>2493535.9892357746</v>
      </c>
      <c r="AJ154" s="8">
        <f t="shared" si="172"/>
        <v>2407551.9896069551</v>
      </c>
      <c r="AK154" s="8">
        <f t="shared" si="172"/>
        <v>2321567.9899781356</v>
      </c>
      <c r="AL154" s="8">
        <f t="shared" si="172"/>
        <v>2235583.9903493156</v>
      </c>
      <c r="AM154" s="8">
        <f t="shared" si="172"/>
        <v>2149599.9907204956</v>
      </c>
      <c r="AN154" s="8">
        <f t="shared" si="172"/>
        <v>2063615.9910916756</v>
      </c>
      <c r="AO154" s="8">
        <f t="shared" si="172"/>
        <v>1977631.9914628556</v>
      </c>
      <c r="AP154" s="8">
        <f t="shared" si="172"/>
        <v>1891647.9918340356</v>
      </c>
      <c r="AQ154" s="8">
        <f t="shared" si="172"/>
        <v>1805663.9922052156</v>
      </c>
      <c r="AR154" s="8">
        <f t="shared" si="172"/>
        <v>1719679.9925763956</v>
      </c>
      <c r="AS154" s="8">
        <f t="shared" si="172"/>
        <v>1633695.9929475756</v>
      </c>
      <c r="AT154" s="8">
        <f t="shared" si="172"/>
        <v>1547711.9933187556</v>
      </c>
      <c r="AU154" s="8">
        <f t="shared" si="172"/>
        <v>1461727.9936899357</v>
      </c>
      <c r="AV154" s="8">
        <f t="shared" si="172"/>
        <v>1375743.9940611157</v>
      </c>
      <c r="AW154" s="8">
        <f t="shared" si="172"/>
        <v>1289759.9944322957</v>
      </c>
      <c r="AX154" s="8">
        <f t="shared" si="172"/>
        <v>1203775.9948034757</v>
      </c>
      <c r="AY154" s="8">
        <f t="shared" si="172"/>
        <v>1117791.9951746557</v>
      </c>
      <c r="AZ154" s="8">
        <f t="shared" si="172"/>
        <v>1031807.9955458357</v>
      </c>
      <c r="BA154" s="8">
        <f t="shared" si="172"/>
        <v>945823.99591701571</v>
      </c>
      <c r="BB154" s="8">
        <f t="shared" si="172"/>
        <v>859839.99628819572</v>
      </c>
      <c r="BC154" s="8">
        <f t="shared" si="172"/>
        <v>773855.99665937573</v>
      </c>
      <c r="BD154" s="8">
        <f t="shared" si="172"/>
        <v>687871.99703055574</v>
      </c>
      <c r="BE154" s="8">
        <f t="shared" si="172"/>
        <v>601887.99740173575</v>
      </c>
      <c r="BF154" s="8">
        <f t="shared" si="172"/>
        <v>515903.99777291575</v>
      </c>
      <c r="BG154" s="8">
        <f t="shared" si="172"/>
        <v>429919.99814409576</v>
      </c>
      <c r="BH154" s="8">
        <f t="shared" si="172"/>
        <v>343935.99851527577</v>
      </c>
      <c r="BI154" s="8">
        <f t="shared" si="172"/>
        <v>257951.99888645578</v>
      </c>
      <c r="BJ154" s="8">
        <f t="shared" si="172"/>
        <v>171967.99925763579</v>
      </c>
      <c r="BK154" s="8">
        <f t="shared" si="172"/>
        <v>85983.9996288158</v>
      </c>
      <c r="BL154" s="8">
        <f t="shared" si="172"/>
        <v>0</v>
      </c>
      <c r="BM154" s="8">
        <f t="shared" si="172"/>
        <v>0</v>
      </c>
      <c r="BN154" s="8">
        <f t="shared" si="172"/>
        <v>0</v>
      </c>
      <c r="BO154" s="8">
        <f t="shared" si="172"/>
        <v>0</v>
      </c>
      <c r="BP154" s="8">
        <f t="shared" si="172"/>
        <v>0</v>
      </c>
      <c r="BQ154" s="8">
        <f t="shared" si="172"/>
        <v>0</v>
      </c>
      <c r="BR154" s="8">
        <f t="shared" si="172"/>
        <v>0</v>
      </c>
      <c r="BS154" s="8">
        <f t="shared" si="172"/>
        <v>0</v>
      </c>
      <c r="BT154" s="8">
        <f t="shared" si="172"/>
        <v>0</v>
      </c>
      <c r="BU154" s="8">
        <f t="shared" si="172"/>
        <v>0</v>
      </c>
      <c r="BV154" s="8">
        <f t="shared" si="172"/>
        <v>0</v>
      </c>
      <c r="BW154" s="8">
        <f t="shared" si="172"/>
        <v>0</v>
      </c>
      <c r="BX154" s="8">
        <f t="shared" si="172"/>
        <v>0</v>
      </c>
      <c r="BY154" s="8">
        <f t="shared" si="172"/>
        <v>0</v>
      </c>
      <c r="BZ154" s="8">
        <f t="shared" si="172"/>
        <v>0</v>
      </c>
      <c r="CA154" s="8">
        <f t="shared" ref="CA154:DA154" si="173">BZ155</f>
        <v>0</v>
      </c>
      <c r="CB154" s="8">
        <f t="shared" si="173"/>
        <v>0</v>
      </c>
      <c r="CC154" s="8">
        <f t="shared" si="173"/>
        <v>0</v>
      </c>
      <c r="CD154" s="8">
        <f t="shared" si="173"/>
        <v>0</v>
      </c>
      <c r="CE154" s="8">
        <f t="shared" si="173"/>
        <v>0</v>
      </c>
      <c r="CF154" s="8">
        <f t="shared" si="173"/>
        <v>0</v>
      </c>
      <c r="CG154" s="8">
        <f t="shared" si="173"/>
        <v>0</v>
      </c>
      <c r="CH154" s="8">
        <f t="shared" si="173"/>
        <v>0</v>
      </c>
      <c r="CI154" s="8">
        <f t="shared" si="173"/>
        <v>0</v>
      </c>
      <c r="CJ154" s="8">
        <f t="shared" si="173"/>
        <v>0</v>
      </c>
      <c r="CK154" s="8">
        <f t="shared" si="173"/>
        <v>0</v>
      </c>
      <c r="CL154" s="8">
        <f t="shared" si="173"/>
        <v>0</v>
      </c>
      <c r="CM154" s="8">
        <f t="shared" si="173"/>
        <v>0</v>
      </c>
      <c r="CN154" s="8">
        <f t="shared" si="173"/>
        <v>0</v>
      </c>
      <c r="CO154" s="8">
        <f t="shared" si="173"/>
        <v>0</v>
      </c>
      <c r="CP154" s="8">
        <f t="shared" si="173"/>
        <v>0</v>
      </c>
      <c r="CQ154" s="8">
        <f t="shared" si="173"/>
        <v>0</v>
      </c>
      <c r="CR154" s="8">
        <f t="shared" si="173"/>
        <v>0</v>
      </c>
      <c r="CS154" s="8">
        <f t="shared" si="173"/>
        <v>0</v>
      </c>
      <c r="CT154" s="8">
        <f t="shared" si="173"/>
        <v>0</v>
      </c>
      <c r="CU154" s="8">
        <f t="shared" si="173"/>
        <v>0</v>
      </c>
      <c r="CV154" s="8">
        <f t="shared" si="173"/>
        <v>0</v>
      </c>
      <c r="CW154" s="8">
        <f t="shared" si="173"/>
        <v>0</v>
      </c>
      <c r="CX154" s="8">
        <f t="shared" si="173"/>
        <v>0</v>
      </c>
      <c r="CY154" s="8">
        <f t="shared" si="173"/>
        <v>0</v>
      </c>
      <c r="CZ154" s="8">
        <f t="shared" si="173"/>
        <v>0</v>
      </c>
      <c r="DA154" s="8">
        <f t="shared" si="173"/>
        <v>0</v>
      </c>
      <c r="DB154" s="8"/>
      <c r="DC154" s="8"/>
      <c r="DD154" s="8"/>
      <c r="DE154" s="8"/>
      <c r="DF154" s="8"/>
    </row>
    <row r="155" spans="3:110" x14ac:dyDescent="0.4">
      <c r="D155" t="s">
        <v>168</v>
      </c>
      <c r="M155" s="8">
        <f>M152+M153</f>
        <v>4299199.9814409902</v>
      </c>
      <c r="N155" s="8">
        <f>N152+N153</f>
        <v>4213215.9818121707</v>
      </c>
      <c r="O155" s="8">
        <f t="shared" ref="O155:BZ155" si="174">O152+O153</f>
        <v>4127231.9821833507</v>
      </c>
      <c r="P155" s="8">
        <f t="shared" si="174"/>
        <v>4041247.9825545307</v>
      </c>
      <c r="Q155" s="8">
        <f t="shared" si="174"/>
        <v>3955263.9829257112</v>
      </c>
      <c r="R155" s="8">
        <f t="shared" si="174"/>
        <v>3869279.9832968912</v>
      </c>
      <c r="S155" s="8">
        <f t="shared" si="174"/>
        <v>3783295.9836680712</v>
      </c>
      <c r="T155" s="8">
        <f t="shared" si="174"/>
        <v>3697311.9840392517</v>
      </c>
      <c r="U155" s="8">
        <f t="shared" si="174"/>
        <v>3611327.9844104317</v>
      </c>
      <c r="V155" s="8">
        <f t="shared" si="174"/>
        <v>3525343.9847816122</v>
      </c>
      <c r="W155" s="8">
        <f t="shared" si="174"/>
        <v>3439359.9851527922</v>
      </c>
      <c r="X155" s="8">
        <f t="shared" si="174"/>
        <v>3353375.9855239727</v>
      </c>
      <c r="Y155" s="8">
        <f t="shared" si="174"/>
        <v>3267391.9858951527</v>
      </c>
      <c r="Z155" s="8">
        <f t="shared" si="174"/>
        <v>3181407.9862663327</v>
      </c>
      <c r="AA155" s="8">
        <f t="shared" si="174"/>
        <v>3095423.9866375132</v>
      </c>
      <c r="AB155" s="8">
        <f t="shared" si="174"/>
        <v>3009439.9870086936</v>
      </c>
      <c r="AC155" s="8">
        <f t="shared" si="174"/>
        <v>2923455.9873798736</v>
      </c>
      <c r="AD155" s="8">
        <f t="shared" si="174"/>
        <v>2837471.9877510536</v>
      </c>
      <c r="AE155" s="8">
        <f t="shared" si="174"/>
        <v>2751487.9881222341</v>
      </c>
      <c r="AF155" s="8">
        <f t="shared" si="174"/>
        <v>2665503.9884934146</v>
      </c>
      <c r="AG155" s="8">
        <f t="shared" si="174"/>
        <v>2579519.9888645946</v>
      </c>
      <c r="AH155" s="8">
        <f t="shared" si="174"/>
        <v>2493535.9892357746</v>
      </c>
      <c r="AI155" s="8">
        <f t="shared" si="174"/>
        <v>2407551.9896069551</v>
      </c>
      <c r="AJ155" s="8">
        <f t="shared" si="174"/>
        <v>2321567.9899781356</v>
      </c>
      <c r="AK155" s="8">
        <f t="shared" si="174"/>
        <v>2235583.9903493156</v>
      </c>
      <c r="AL155" s="8">
        <f t="shared" si="174"/>
        <v>2149599.9907204956</v>
      </c>
      <c r="AM155" s="8">
        <f t="shared" si="174"/>
        <v>2063615.9910916756</v>
      </c>
      <c r="AN155" s="8">
        <f t="shared" si="174"/>
        <v>1977631.9914628556</v>
      </c>
      <c r="AO155" s="8">
        <f t="shared" si="174"/>
        <v>1891647.9918340356</v>
      </c>
      <c r="AP155" s="8">
        <f t="shared" si="174"/>
        <v>1805663.9922052156</v>
      </c>
      <c r="AQ155" s="8">
        <f t="shared" si="174"/>
        <v>1719679.9925763956</v>
      </c>
      <c r="AR155" s="8">
        <f t="shared" si="174"/>
        <v>1633695.9929475756</v>
      </c>
      <c r="AS155" s="8">
        <f t="shared" si="174"/>
        <v>1547711.9933187556</v>
      </c>
      <c r="AT155" s="8">
        <f t="shared" si="174"/>
        <v>1461727.9936899357</v>
      </c>
      <c r="AU155" s="8">
        <f t="shared" si="174"/>
        <v>1375743.9940611157</v>
      </c>
      <c r="AV155" s="8">
        <f t="shared" si="174"/>
        <v>1289759.9944322957</v>
      </c>
      <c r="AW155" s="8">
        <f t="shared" si="174"/>
        <v>1203775.9948034757</v>
      </c>
      <c r="AX155" s="8">
        <f t="shared" si="174"/>
        <v>1117791.9951746557</v>
      </c>
      <c r="AY155" s="8">
        <f t="shared" si="174"/>
        <v>1031807.9955458357</v>
      </c>
      <c r="AZ155" s="8">
        <f t="shared" si="174"/>
        <v>945823.99591701571</v>
      </c>
      <c r="BA155" s="8">
        <f t="shared" si="174"/>
        <v>859839.99628819572</v>
      </c>
      <c r="BB155" s="8">
        <f t="shared" si="174"/>
        <v>773855.99665937573</v>
      </c>
      <c r="BC155" s="8">
        <f t="shared" si="174"/>
        <v>687871.99703055574</v>
      </c>
      <c r="BD155" s="8">
        <f t="shared" si="174"/>
        <v>601887.99740173575</v>
      </c>
      <c r="BE155" s="8">
        <f t="shared" si="174"/>
        <v>515903.99777291575</v>
      </c>
      <c r="BF155" s="8">
        <f t="shared" si="174"/>
        <v>429919.99814409576</v>
      </c>
      <c r="BG155" s="8">
        <f t="shared" si="174"/>
        <v>343935.99851527577</v>
      </c>
      <c r="BH155" s="8">
        <f t="shared" si="174"/>
        <v>257951.99888645578</v>
      </c>
      <c r="BI155" s="8">
        <f t="shared" si="174"/>
        <v>171967.99925763579</v>
      </c>
      <c r="BJ155" s="8">
        <f t="shared" si="174"/>
        <v>85983.9996288158</v>
      </c>
      <c r="BK155" s="8">
        <f t="shared" si="174"/>
        <v>0</v>
      </c>
      <c r="BL155" s="8">
        <f t="shared" si="174"/>
        <v>0</v>
      </c>
      <c r="BM155" s="8">
        <f t="shared" si="174"/>
        <v>0</v>
      </c>
      <c r="BN155" s="8">
        <f t="shared" si="174"/>
        <v>0</v>
      </c>
      <c r="BO155" s="8">
        <f t="shared" si="174"/>
        <v>0</v>
      </c>
      <c r="BP155" s="8">
        <f t="shared" si="174"/>
        <v>0</v>
      </c>
      <c r="BQ155" s="8">
        <f t="shared" si="174"/>
        <v>0</v>
      </c>
      <c r="BR155" s="8">
        <f t="shared" si="174"/>
        <v>0</v>
      </c>
      <c r="BS155" s="8">
        <f t="shared" si="174"/>
        <v>0</v>
      </c>
      <c r="BT155" s="8">
        <f t="shared" si="174"/>
        <v>0</v>
      </c>
      <c r="BU155" s="8">
        <f t="shared" si="174"/>
        <v>0</v>
      </c>
      <c r="BV155" s="8">
        <f t="shared" si="174"/>
        <v>0</v>
      </c>
      <c r="BW155" s="8">
        <f t="shared" si="174"/>
        <v>0</v>
      </c>
      <c r="BX155" s="8">
        <f t="shared" si="174"/>
        <v>0</v>
      </c>
      <c r="BY155" s="8">
        <f t="shared" si="174"/>
        <v>0</v>
      </c>
      <c r="BZ155" s="8">
        <f t="shared" si="174"/>
        <v>0</v>
      </c>
      <c r="CA155" s="8">
        <f t="shared" ref="CA155:DA155" si="175">CA152+CA153</f>
        <v>0</v>
      </c>
      <c r="CB155" s="8">
        <f t="shared" si="175"/>
        <v>0</v>
      </c>
      <c r="CC155" s="8">
        <f t="shared" si="175"/>
        <v>0</v>
      </c>
      <c r="CD155" s="8">
        <f t="shared" si="175"/>
        <v>0</v>
      </c>
      <c r="CE155" s="8">
        <f t="shared" si="175"/>
        <v>0</v>
      </c>
      <c r="CF155" s="8">
        <f t="shared" si="175"/>
        <v>0</v>
      </c>
      <c r="CG155" s="8">
        <f t="shared" si="175"/>
        <v>0</v>
      </c>
      <c r="CH155" s="8">
        <f t="shared" si="175"/>
        <v>0</v>
      </c>
      <c r="CI155" s="8">
        <f t="shared" si="175"/>
        <v>0</v>
      </c>
      <c r="CJ155" s="8">
        <f t="shared" si="175"/>
        <v>0</v>
      </c>
      <c r="CK155" s="8">
        <f t="shared" si="175"/>
        <v>0</v>
      </c>
      <c r="CL155" s="8">
        <f t="shared" si="175"/>
        <v>0</v>
      </c>
      <c r="CM155" s="8">
        <f t="shared" si="175"/>
        <v>0</v>
      </c>
      <c r="CN155" s="8">
        <f t="shared" si="175"/>
        <v>0</v>
      </c>
      <c r="CO155" s="8">
        <f t="shared" si="175"/>
        <v>0</v>
      </c>
      <c r="CP155" s="8">
        <f t="shared" si="175"/>
        <v>0</v>
      </c>
      <c r="CQ155" s="8">
        <f t="shared" si="175"/>
        <v>0</v>
      </c>
      <c r="CR155" s="8">
        <f t="shared" si="175"/>
        <v>0</v>
      </c>
      <c r="CS155" s="8">
        <f t="shared" si="175"/>
        <v>0</v>
      </c>
      <c r="CT155" s="8">
        <f t="shared" si="175"/>
        <v>0</v>
      </c>
      <c r="CU155" s="8">
        <f t="shared" si="175"/>
        <v>0</v>
      </c>
      <c r="CV155" s="8">
        <f t="shared" si="175"/>
        <v>0</v>
      </c>
      <c r="CW155" s="8">
        <f t="shared" si="175"/>
        <v>0</v>
      </c>
      <c r="CX155" s="8">
        <f t="shared" si="175"/>
        <v>0</v>
      </c>
      <c r="CY155" s="8">
        <f t="shared" si="175"/>
        <v>0</v>
      </c>
      <c r="CZ155" s="8">
        <f t="shared" si="175"/>
        <v>0</v>
      </c>
      <c r="DA155" s="8">
        <f t="shared" si="175"/>
        <v>0</v>
      </c>
      <c r="DB155" s="8"/>
      <c r="DC155" s="8"/>
      <c r="DD155" s="8"/>
      <c r="DE155" s="8"/>
      <c r="DF155" s="8"/>
    </row>
    <row r="156" spans="3:110" x14ac:dyDescent="0.4"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8"/>
      <c r="DF156" s="8"/>
    </row>
    <row r="157" spans="3:110" x14ac:dyDescent="0.4">
      <c r="D157" t="s">
        <v>169</v>
      </c>
      <c r="M157" s="8"/>
      <c r="N157" s="8">
        <f>IF(N149&lt;=$B$4+1,N152*VLOOKUP(N149,Assumptions!$A$70:$B$90,2,0),0)</f>
        <v>161219.99930403713</v>
      </c>
      <c r="O157" s="8">
        <f>IF(O149&lt;=$B$4+1,O152*VLOOKUP(O149,Assumptions!$A$70:$B$90,2,0),0)</f>
        <v>310359.24666022509</v>
      </c>
      <c r="P157" s="8">
        <f>IF(P149&lt;=$B$4+1,P152*VLOOKUP(P149,Assumptions!$A$70:$B$90,2,0),0)</f>
        <v>287057.58276081493</v>
      </c>
      <c r="Q157" s="8">
        <f>IF(Q149&lt;=$B$4+1,Q152*VLOOKUP(Q149,Assumptions!$A$70:$B$90,2,0),0)</f>
        <v>265561.58285360999</v>
      </c>
      <c r="R157" s="8">
        <f>IF(R149&lt;=$B$4+1,R152*VLOOKUP(R149,Assumptions!$A$70:$B$90,2,0),0)</f>
        <v>245613.29493972377</v>
      </c>
      <c r="S157" s="8">
        <f>IF(S149&lt;=$B$4+1,S152*VLOOKUP(S149,Assumptions!$A$70:$B$90,2,0),0)</f>
        <v>227212.71901915633</v>
      </c>
      <c r="T157" s="8">
        <f>IF(T149&lt;=$B$4+1,T152*VLOOKUP(T149,Assumptions!$A$70:$B$90,2,0),0)</f>
        <v>210144.89509283559</v>
      </c>
      <c r="U157" s="8">
        <f>IF(U149&lt;=$B$4+1,U152*VLOOKUP(U149,Assumptions!$A$70:$B$90,2,0),0)</f>
        <v>194409.82316076159</v>
      </c>
      <c r="V157" s="8">
        <f>IF(V149&lt;=$B$4+1,V152*VLOOKUP(V149,Assumptions!$A$70:$B$90,2,0),0)</f>
        <v>191830.30317189699</v>
      </c>
      <c r="W157" s="8">
        <f>IF(W149&lt;=$B$4+1,W152*VLOOKUP(W149,Assumptions!$A$70:$B$90,2,0),0)</f>
        <v>191787.31117208255</v>
      </c>
      <c r="X157" s="8">
        <f>IF(X149&lt;=$B$4+1,X152*VLOOKUP(X149,Assumptions!$A$70:$B$90,2,0),0)</f>
        <v>191830.30317189699</v>
      </c>
      <c r="Y157" s="8">
        <f>IF(Y149&lt;=$B$4+1,Y152*VLOOKUP(Y149,Assumptions!$A$70:$B$90,2,0),0)</f>
        <v>191787.31117208255</v>
      </c>
      <c r="Z157" s="8">
        <f>IF(Z149&lt;=$B$4+1,Z152*VLOOKUP(Z149,Assumptions!$A$70:$B$90,2,0),0)</f>
        <v>191830.30317189699</v>
      </c>
      <c r="AA157" s="8">
        <f>IF(AA149&lt;=$B$4+1,AA152*VLOOKUP(AA149,Assumptions!$A$70:$B$90,2,0),0)</f>
        <v>191787.31117208255</v>
      </c>
      <c r="AB157" s="8">
        <f>IF(AB149&lt;=$B$4+1,AB152*VLOOKUP(AB149,Assumptions!$A$70:$B$90,2,0),0)</f>
        <v>191830.30317189699</v>
      </c>
      <c r="AC157" s="8">
        <f>IF(AC149&lt;=$B$4+1,AC152*VLOOKUP(AC149,Assumptions!$A$70:$B$90,2,0),0)</f>
        <v>191787.31117208255</v>
      </c>
      <c r="AD157" s="8">
        <f>IF(AD149&lt;=$B$4+1,AD152*VLOOKUP(AD149,Assumptions!$A$70:$B$90,2,0),0)</f>
        <v>191830.30317189699</v>
      </c>
      <c r="AE157" s="8">
        <f>IF(AE149&lt;=$B$4+1,AE152*VLOOKUP(AE149,Assumptions!$A$70:$B$90,2,0),0)</f>
        <v>191787.31117208255</v>
      </c>
      <c r="AF157" s="8">
        <f>IF(AF149&lt;=$B$4+1,AF152*VLOOKUP(AF149,Assumptions!$A$70:$B$90,2,0),0)</f>
        <v>191830.30317189699</v>
      </c>
      <c r="AG157" s="8">
        <f>IF(AG149&lt;=$B$4+1,AG152*VLOOKUP(AG149,Assumptions!$A$70:$B$90,2,0),0)</f>
        <v>191787.31117208255</v>
      </c>
      <c r="AH157" s="8">
        <f>IF(AH149&lt;=$B$4+1,AH152*VLOOKUP(AH149,Assumptions!$A$70:$B$90,2,0),0)</f>
        <v>95915.151585948493</v>
      </c>
      <c r="AI157" s="8">
        <f>IF(AI149&lt;=$B$4+1,AI152*VLOOKUP(AI149,Assumptions!$A$70:$B$90,2,0),0)</f>
        <v>0</v>
      </c>
      <c r="AJ157" s="8">
        <f>IF(AJ149&lt;=$B$4+1,AJ152*VLOOKUP(AJ149,Assumptions!$A$70:$B$90,2,0),0)</f>
        <v>0</v>
      </c>
      <c r="AK157" s="8">
        <f>IF(AK149&lt;=$B$4+1,AK152*VLOOKUP(AK149,Assumptions!$A$70:$B$90,2,0),0)</f>
        <v>0</v>
      </c>
      <c r="AL157" s="8">
        <f>IF(AL149&lt;=$B$4+1,AL152*VLOOKUP(AL149,Assumptions!$A$70:$B$90,2,0),0)</f>
        <v>0</v>
      </c>
      <c r="AM157" s="8">
        <f>IF(AM149&lt;=$B$4+1,AM152*VLOOKUP(AM149,Assumptions!$A$70:$B$90,2,0),0)</f>
        <v>0</v>
      </c>
      <c r="AN157" s="8">
        <f>IF(AN149&lt;=$B$4+1,AN152*VLOOKUP(AN149,Assumptions!$A$70:$B$90,2,0),0)</f>
        <v>0</v>
      </c>
      <c r="AO157" s="8">
        <f>IF(AO149&lt;=$B$4+1,AO152*VLOOKUP(AO149,Assumptions!$A$70:$B$90,2,0),0)</f>
        <v>0</v>
      </c>
      <c r="AP157" s="8">
        <f>IF(AP149&lt;=$B$4+1,AP152*VLOOKUP(AP149,Assumptions!$A$70:$B$90,2,0),0)</f>
        <v>0</v>
      </c>
      <c r="AQ157" s="8">
        <f>IF(AQ149&lt;=$B$4+1,AQ152*VLOOKUP(AQ149,Assumptions!$A$70:$B$90,2,0),0)</f>
        <v>0</v>
      </c>
      <c r="AR157" s="8">
        <f>IF(AR149&lt;=$B$4+1,AR152*VLOOKUP(AR149,Assumptions!$A$70:$B$90,2,0),0)</f>
        <v>0</v>
      </c>
      <c r="AS157" s="8">
        <f>IF(AS149&lt;=$B$4+1,AS152*VLOOKUP(AS149,Assumptions!$A$70:$B$90,2,0),0)</f>
        <v>0</v>
      </c>
      <c r="AT157" s="8">
        <f>IF(AT149&lt;=$B$4+1,AT152*VLOOKUP(AT149,Assumptions!$A$70:$B$90,2,0),0)</f>
        <v>0</v>
      </c>
      <c r="AU157" s="8">
        <f>IF(AU149&lt;=$B$4+1,AU152*VLOOKUP(AU149,Assumptions!$A$70:$B$90,2,0),0)</f>
        <v>0</v>
      </c>
      <c r="AV157" s="8">
        <f>IF(AV149&lt;=$B$4+1,AV152*VLOOKUP(AV149,Assumptions!$A$70:$B$90,2,0),0)</f>
        <v>0</v>
      </c>
      <c r="AW157" s="8">
        <f>IF(AW149&lt;=$B$4+1,AW152*VLOOKUP(AW149,Assumptions!$A$70:$B$90,2,0),0)</f>
        <v>0</v>
      </c>
      <c r="AX157" s="8">
        <f>IF(AX149&lt;=$B$4+1,AX152*VLOOKUP(AX149,Assumptions!$A$70:$B$90,2,0),0)</f>
        <v>0</v>
      </c>
      <c r="AY157" s="8">
        <f>IF(AY149&lt;=$B$4+1,AY152*VLOOKUP(AY149,Assumptions!$A$70:$B$90,2,0),0)</f>
        <v>0</v>
      </c>
      <c r="AZ157" s="8">
        <f>IF(AZ149&lt;=$B$4+1,AZ152*VLOOKUP(AZ149,Assumptions!$A$70:$B$90,2,0),0)</f>
        <v>0</v>
      </c>
      <c r="BA157" s="8">
        <f>IF(BA149&lt;=$B$4+1,BA152*VLOOKUP(BA149,Assumptions!$A$70:$B$90,2,0),0)</f>
        <v>0</v>
      </c>
      <c r="BB157" s="8">
        <f>IF(BB149&lt;=$B$4+1,BB152*VLOOKUP(BB149,Assumptions!$A$70:$B$90,2,0),0)</f>
        <v>0</v>
      </c>
      <c r="BC157" s="8">
        <f>IF(BC149&lt;=$B$4+1,BC152*VLOOKUP(BC149,Assumptions!$A$70:$B$90,2,0),0)</f>
        <v>0</v>
      </c>
      <c r="BD157" s="8">
        <f>IF(BD149&lt;=$B$4+1,BD152*VLOOKUP(BD149,Assumptions!$A$70:$B$90,2,0),0)</f>
        <v>0</v>
      </c>
      <c r="BE157" s="8">
        <f>IF(BE149&lt;=$B$4+1,BE152*VLOOKUP(BE149,Assumptions!$A$70:$B$90,2,0),0)</f>
        <v>0</v>
      </c>
      <c r="BF157" s="8">
        <f>IF(BF149&lt;=$B$4+1,BF152*VLOOKUP(BF149,Assumptions!$A$70:$B$90,2,0),0)</f>
        <v>0</v>
      </c>
      <c r="BG157" s="8">
        <f>IF(BG149&lt;=$B$4+1,BG152*VLOOKUP(BG149,Assumptions!$A$70:$B$90,2,0),0)</f>
        <v>0</v>
      </c>
      <c r="BH157" s="8">
        <f>IF(BH149&lt;=$B$4+1,BH152*VLOOKUP(BH149,Assumptions!$A$70:$B$90,2,0),0)</f>
        <v>0</v>
      </c>
      <c r="BI157" s="8">
        <f>IF(BI149&lt;=$B$4+1,BI152*VLOOKUP(BI149,Assumptions!$A$70:$B$90,2,0),0)</f>
        <v>0</v>
      </c>
      <c r="BJ157" s="8">
        <f>IF(BJ149&lt;=$B$4+1,BJ152*VLOOKUP(BJ149,Assumptions!$A$70:$B$90,2,0),0)</f>
        <v>0</v>
      </c>
      <c r="BK157" s="8">
        <f>IF(BK149&lt;=$B$4+1,BK152*VLOOKUP(BK149,Assumptions!$A$70:$B$90,2,0),0)</f>
        <v>0</v>
      </c>
      <c r="BL157" s="8">
        <f>IF(BL149&lt;=$B$4+1,BL152*VLOOKUP(BL149,Assumptions!$A$70:$B$90,2,0),0)</f>
        <v>0</v>
      </c>
      <c r="BM157" s="8">
        <f>IF(BM149&lt;=$B$4+1,BM152*VLOOKUP(BM149,Assumptions!$A$70:$B$90,2,0),0)</f>
        <v>0</v>
      </c>
      <c r="BN157" s="8">
        <f>IF(BN149&lt;=$B$4+1,BN152*VLOOKUP(BN149,Assumptions!$A$70:$B$90,2,0),0)</f>
        <v>0</v>
      </c>
      <c r="BO157" s="8">
        <f>IF(BO149&lt;=$B$4+1,BO152*VLOOKUP(BO149,Assumptions!$A$70:$B$90,2,0),0)</f>
        <v>0</v>
      </c>
      <c r="BP157" s="8">
        <f>IF(BP149&lt;=$B$4+1,BP152*VLOOKUP(BP149,Assumptions!$A$70:$B$90,2,0),0)</f>
        <v>0</v>
      </c>
      <c r="BQ157" s="8">
        <f>IF(BQ149&lt;=$B$4+1,BQ152*VLOOKUP(BQ149,Assumptions!$A$70:$B$90,2,0),0)</f>
        <v>0</v>
      </c>
      <c r="BR157" s="8">
        <f>IF(BR149&lt;=$B$4+1,BR152*VLOOKUP(BR149,Assumptions!$A$70:$B$90,2,0),0)</f>
        <v>0</v>
      </c>
      <c r="BS157" s="8">
        <f>IF(BS149&lt;=$B$4+1,BS152*VLOOKUP(BS149,Assumptions!$A$70:$B$90,2,0),0)</f>
        <v>0</v>
      </c>
      <c r="BT157" s="8">
        <f>IF(BT149&lt;=$B$4+1,BT152*VLOOKUP(BT149,Assumptions!$A$70:$B$90,2,0),0)</f>
        <v>0</v>
      </c>
      <c r="BU157" s="8">
        <f>IF(BU149&lt;=$B$4+1,BU152*VLOOKUP(BU149,Assumptions!$A$70:$B$90,2,0),0)</f>
        <v>0</v>
      </c>
      <c r="BV157" s="8">
        <f>IF(BV149&lt;=$B$4+1,BV152*VLOOKUP(BV149,Assumptions!$A$70:$B$90,2,0),0)</f>
        <v>0</v>
      </c>
      <c r="BW157" s="8">
        <f>IF(BW149&lt;=$B$4+1,BW152*VLOOKUP(BW149,Assumptions!$A$70:$B$90,2,0),0)</f>
        <v>0</v>
      </c>
      <c r="BX157" s="8">
        <f>IF(BX149&lt;=$B$4+1,BX152*VLOOKUP(BX149,Assumptions!$A$70:$B$90,2,0),0)</f>
        <v>0</v>
      </c>
      <c r="BY157" s="8">
        <f>IF(BY149&lt;=$B$4+1,BY152*VLOOKUP(BY149,Assumptions!$A$70:$B$90,2,0),0)</f>
        <v>0</v>
      </c>
      <c r="BZ157" s="8">
        <f>IF(BZ149&lt;=$B$4+1,BZ152*VLOOKUP(BZ149,Assumptions!$A$70:$B$90,2,0),0)</f>
        <v>0</v>
      </c>
      <c r="CA157" s="8">
        <f>IF(CA149&lt;=$B$4+1,CA152*VLOOKUP(CA149,Assumptions!$A$70:$B$90,2,0),0)</f>
        <v>0</v>
      </c>
      <c r="CB157" s="8">
        <f>IF(CB149&lt;=$B$4+1,CB152*VLOOKUP(CB149,Assumptions!$A$70:$B$90,2,0),0)</f>
        <v>0</v>
      </c>
      <c r="CC157" s="8">
        <f>IF(CC149&lt;=$B$4+1,CC152*VLOOKUP(CC149,Assumptions!$A$70:$B$90,2,0),0)</f>
        <v>0</v>
      </c>
      <c r="CD157" s="8">
        <f>IF(CD149&lt;=$B$4+1,CD152*VLOOKUP(CD149,Assumptions!$A$70:$B$90,2,0),0)</f>
        <v>0</v>
      </c>
      <c r="CE157" s="8">
        <f>IF(CE149&lt;=$B$4+1,CE152*VLOOKUP(CE149,Assumptions!$A$70:$B$90,2,0),0)</f>
        <v>0</v>
      </c>
      <c r="CF157" s="8">
        <f>IF(CF149&lt;=$B$4+1,CF152*VLOOKUP(CF149,Assumptions!$A$70:$B$90,2,0),0)</f>
        <v>0</v>
      </c>
      <c r="CG157" s="8">
        <f>IF(CG149&lt;=$B$4+1,CG152*VLOOKUP(CG149,Assumptions!$A$70:$B$90,2,0),0)</f>
        <v>0</v>
      </c>
      <c r="CH157" s="8">
        <f>IF(CH149&lt;=$B$4+1,CH152*VLOOKUP(CH149,Assumptions!$A$70:$B$90,2,0),0)</f>
        <v>0</v>
      </c>
      <c r="CI157" s="8">
        <f>IF(CI149&lt;=$B$4+1,CI152*VLOOKUP(CI149,Assumptions!$A$70:$B$90,2,0),0)</f>
        <v>0</v>
      </c>
      <c r="CJ157" s="8">
        <f>IF(CJ149&lt;=$B$4+1,CJ152*VLOOKUP(CJ149,Assumptions!$A$70:$B$90,2,0),0)</f>
        <v>0</v>
      </c>
      <c r="CK157" s="8">
        <f>IF(CK149&lt;=$B$4+1,CK152*VLOOKUP(CK149,Assumptions!$A$70:$B$90,2,0),0)</f>
        <v>0</v>
      </c>
      <c r="CL157" s="8">
        <f>IF(CL149&lt;=$B$4+1,CL152*VLOOKUP(CL149,Assumptions!$A$70:$B$90,2,0),0)</f>
        <v>0</v>
      </c>
      <c r="CM157" s="8">
        <f>IF(CM149&lt;=$B$4+1,CM152*VLOOKUP(CM149,Assumptions!$A$70:$B$90,2,0),0)</f>
        <v>0</v>
      </c>
      <c r="CN157" s="8">
        <f>IF(CN149&lt;=$B$4+1,CN152*VLOOKUP(CN149,Assumptions!$A$70:$B$90,2,0),0)</f>
        <v>0</v>
      </c>
      <c r="CO157" s="8">
        <f>IF(CO149&lt;=$B$4+1,CO152*VLOOKUP(CO149,Assumptions!$A$70:$B$90,2,0),0)</f>
        <v>0</v>
      </c>
      <c r="CP157" s="8">
        <f>IF(CP149&lt;=$B$4+1,CP152*VLOOKUP(CP149,Assumptions!$A$70:$B$90,2,0),0)</f>
        <v>0</v>
      </c>
      <c r="CQ157" s="8">
        <f>IF(CQ149&lt;=$B$4+1,CQ152*VLOOKUP(CQ149,Assumptions!$A$70:$B$90,2,0),0)</f>
        <v>0</v>
      </c>
      <c r="CR157" s="8">
        <f>IF(CR149&lt;=$B$4+1,CR152*VLOOKUP(CR149,Assumptions!$A$70:$B$90,2,0),0)</f>
        <v>0</v>
      </c>
      <c r="CS157" s="8">
        <f>IF(CS149&lt;=$B$4+1,CS152*VLOOKUP(CS149,Assumptions!$A$70:$B$90,2,0),0)</f>
        <v>0</v>
      </c>
      <c r="CT157" s="8">
        <f>IF(CT149&lt;=$B$4+1,CT152*VLOOKUP(CT149,Assumptions!$A$70:$B$90,2,0),0)</f>
        <v>0</v>
      </c>
      <c r="CU157" s="8">
        <f>IF(CU149&lt;=$B$4+1,CU152*VLOOKUP(CU149,Assumptions!$A$70:$B$90,2,0),0)</f>
        <v>0</v>
      </c>
      <c r="CV157" s="8">
        <f>IF(CV149&lt;=$B$4+1,CV152*VLOOKUP(CV149,Assumptions!$A$70:$B$90,2,0),0)</f>
        <v>0</v>
      </c>
      <c r="CW157" s="8">
        <f>IF(CW149&lt;=$B$4+1,CW152*VLOOKUP(CW149,Assumptions!$A$70:$B$90,2,0),0)</f>
        <v>0</v>
      </c>
      <c r="CX157" s="8">
        <f>IF(CX149&lt;=$B$4+1,CX152*VLOOKUP(CX149,Assumptions!$A$70:$B$90,2,0),0)</f>
        <v>0</v>
      </c>
      <c r="CY157" s="8">
        <f>IF(CY149&lt;=$B$4+1,CY152*VLOOKUP(CY149,Assumptions!$A$70:$B$90,2,0),0)</f>
        <v>0</v>
      </c>
      <c r="CZ157" s="8">
        <f>IF(CZ149&lt;=$B$4+1,CZ152*VLOOKUP(CZ149,Assumptions!$A$70:$B$90,2,0),0)</f>
        <v>0</v>
      </c>
      <c r="DA157" s="8">
        <f>IF(DA149&lt;=$B$4+1,DA152*VLOOKUP(DA149,Assumptions!$A$70:$B$90,2,0),0)</f>
        <v>0</v>
      </c>
      <c r="DB157" s="8"/>
      <c r="DC157" s="8"/>
      <c r="DD157" s="8"/>
      <c r="DE157" s="8"/>
      <c r="DF157" s="8"/>
    </row>
    <row r="158" spans="3:110" x14ac:dyDescent="0.4">
      <c r="D158" t="s">
        <v>170</v>
      </c>
      <c r="M158" s="8"/>
      <c r="N158" s="8">
        <f>M159</f>
        <v>0</v>
      </c>
      <c r="O158" s="8">
        <f t="shared" ref="O158:BZ158" si="176">N159</f>
        <v>-20851.657309986484</v>
      </c>
      <c r="P158" s="8">
        <f t="shared" si="176"/>
        <v>-83037.257024740451</v>
      </c>
      <c r="Q158" s="8">
        <f t="shared" si="176"/>
        <v>-138764.8005897729</v>
      </c>
      <c r="R158" s="8">
        <f t="shared" si="176"/>
        <v>-188534.72778052351</v>
      </c>
      <c r="S158" s="8">
        <f t="shared" si="176"/>
        <v>-232775.98697594056</v>
      </c>
      <c r="T158" s="8">
        <f t="shared" si="176"/>
        <v>-271917.52655497234</v>
      </c>
      <c r="U158" s="8">
        <f t="shared" si="176"/>
        <v>-306328.71873282432</v>
      </c>
      <c r="V158" s="8">
        <f t="shared" si="176"/>
        <v>-336378.93572470197</v>
      </c>
      <c r="W158" s="8">
        <f t="shared" si="176"/>
        <v>-365714.23875166581</v>
      </c>
      <c r="X158" s="8">
        <f t="shared" si="176"/>
        <v>-395037.6265458811</v>
      </c>
      <c r="Y158" s="8">
        <f t="shared" si="176"/>
        <v>-424372.92957284494</v>
      </c>
      <c r="Z158" s="8">
        <f t="shared" si="176"/>
        <v>-453696.31736706023</v>
      </c>
      <c r="AA158" s="8">
        <f t="shared" si="176"/>
        <v>-483031.62039402407</v>
      </c>
      <c r="AB158" s="8">
        <f t="shared" si="176"/>
        <v>-512355.00818823936</v>
      </c>
      <c r="AC158" s="8">
        <f t="shared" si="176"/>
        <v>-541690.31121520326</v>
      </c>
      <c r="AD158" s="8">
        <f t="shared" si="176"/>
        <v>-571013.69900941849</v>
      </c>
      <c r="AE158" s="8">
        <f t="shared" si="176"/>
        <v>-600349.00203638233</v>
      </c>
      <c r="AF158" s="8">
        <f t="shared" si="176"/>
        <v>-629672.38983059756</v>
      </c>
      <c r="AG158" s="8">
        <f t="shared" si="176"/>
        <v>-659007.6928575614</v>
      </c>
      <c r="AH158" s="8">
        <f t="shared" si="176"/>
        <v>-688331.08065177663</v>
      </c>
      <c r="AI158" s="8">
        <f t="shared" si="176"/>
        <v>-691083.49941669486</v>
      </c>
      <c r="AJ158" s="8">
        <f t="shared" si="176"/>
        <v>-667253.03391956748</v>
      </c>
      <c r="AK158" s="8">
        <f t="shared" si="176"/>
        <v>-643422.56842244009</v>
      </c>
      <c r="AL158" s="8">
        <f t="shared" si="176"/>
        <v>-619592.10292531271</v>
      </c>
      <c r="AM158" s="8">
        <f t="shared" si="176"/>
        <v>-595761.63742818532</v>
      </c>
      <c r="AN158" s="8">
        <f t="shared" si="176"/>
        <v>-571931.17193105794</v>
      </c>
      <c r="AO158" s="8">
        <f t="shared" si="176"/>
        <v>-548100.70643393055</v>
      </c>
      <c r="AP158" s="8">
        <f t="shared" si="176"/>
        <v>-524270.24093680317</v>
      </c>
      <c r="AQ158" s="8">
        <f t="shared" si="176"/>
        <v>-500439.77543967578</v>
      </c>
      <c r="AR158" s="8">
        <f t="shared" si="176"/>
        <v>-476609.3099425484</v>
      </c>
      <c r="AS158" s="8">
        <f t="shared" si="176"/>
        <v>-452778.84444542101</v>
      </c>
      <c r="AT158" s="8">
        <f t="shared" si="176"/>
        <v>-428948.37894829363</v>
      </c>
      <c r="AU158" s="8">
        <f t="shared" si="176"/>
        <v>-405117.91345116624</v>
      </c>
      <c r="AV158" s="8">
        <f t="shared" si="176"/>
        <v>-381287.44795403886</v>
      </c>
      <c r="AW158" s="8">
        <f t="shared" si="176"/>
        <v>-357456.98245691147</v>
      </c>
      <c r="AX158" s="8">
        <f t="shared" si="176"/>
        <v>-333626.51695978409</v>
      </c>
      <c r="AY158" s="8">
        <f t="shared" si="176"/>
        <v>-309796.0514626567</v>
      </c>
      <c r="AZ158" s="8">
        <f t="shared" si="176"/>
        <v>-285965.58596552932</v>
      </c>
      <c r="BA158" s="8">
        <f t="shared" si="176"/>
        <v>-262135.1204684019</v>
      </c>
      <c r="BB158" s="8">
        <f t="shared" si="176"/>
        <v>-238304.65497127449</v>
      </c>
      <c r="BC158" s="8">
        <f t="shared" si="176"/>
        <v>-214474.18947414708</v>
      </c>
      <c r="BD158" s="8">
        <f t="shared" si="176"/>
        <v>-190643.72397701966</v>
      </c>
      <c r="BE158" s="8">
        <f t="shared" si="176"/>
        <v>-166813.25847989225</v>
      </c>
      <c r="BF158" s="8">
        <f t="shared" si="176"/>
        <v>-142982.79298276483</v>
      </c>
      <c r="BG158" s="8">
        <f t="shared" si="176"/>
        <v>-119152.32748563742</v>
      </c>
      <c r="BH158" s="8">
        <f t="shared" si="176"/>
        <v>-95321.861988510005</v>
      </c>
      <c r="BI158" s="8">
        <f t="shared" si="176"/>
        <v>-71491.396491382591</v>
      </c>
      <c r="BJ158" s="8">
        <f t="shared" si="176"/>
        <v>-47660.930994255177</v>
      </c>
      <c r="BK158" s="8">
        <f t="shared" si="176"/>
        <v>-23830.465497127767</v>
      </c>
      <c r="BL158" s="8">
        <f t="shared" si="176"/>
        <v>-3.5652192309498787E-10</v>
      </c>
      <c r="BM158" s="8">
        <f t="shared" si="176"/>
        <v>-3.5652192309498787E-10</v>
      </c>
      <c r="BN158" s="8">
        <f t="shared" si="176"/>
        <v>-3.5652192309498787E-10</v>
      </c>
      <c r="BO158" s="8">
        <f t="shared" si="176"/>
        <v>-3.5652192309498787E-10</v>
      </c>
      <c r="BP158" s="8">
        <f t="shared" si="176"/>
        <v>-3.5652192309498787E-10</v>
      </c>
      <c r="BQ158" s="8">
        <f t="shared" si="176"/>
        <v>-3.5652192309498787E-10</v>
      </c>
      <c r="BR158" s="8">
        <f t="shared" si="176"/>
        <v>-3.5652192309498787E-10</v>
      </c>
      <c r="BS158" s="8">
        <f t="shared" si="176"/>
        <v>-3.5652192309498787E-10</v>
      </c>
      <c r="BT158" s="8">
        <f t="shared" si="176"/>
        <v>-3.5652192309498787E-10</v>
      </c>
      <c r="BU158" s="8">
        <f t="shared" si="176"/>
        <v>-3.5652192309498787E-10</v>
      </c>
      <c r="BV158" s="8">
        <f t="shared" si="176"/>
        <v>-3.5652192309498787E-10</v>
      </c>
      <c r="BW158" s="8">
        <f t="shared" si="176"/>
        <v>-3.5652192309498787E-10</v>
      </c>
      <c r="BX158" s="8">
        <f t="shared" si="176"/>
        <v>-3.5652192309498787E-10</v>
      </c>
      <c r="BY158" s="8">
        <f t="shared" si="176"/>
        <v>-3.5652192309498787E-10</v>
      </c>
      <c r="BZ158" s="8">
        <f t="shared" si="176"/>
        <v>-3.5652192309498787E-10</v>
      </c>
      <c r="CA158" s="8">
        <f t="shared" ref="CA158:DA158" si="177">BZ159</f>
        <v>-3.5652192309498787E-10</v>
      </c>
      <c r="CB158" s="8">
        <f t="shared" si="177"/>
        <v>-3.5652192309498787E-10</v>
      </c>
      <c r="CC158" s="8">
        <f t="shared" si="177"/>
        <v>-3.5652192309498787E-10</v>
      </c>
      <c r="CD158" s="8">
        <f t="shared" si="177"/>
        <v>-3.5652192309498787E-10</v>
      </c>
      <c r="CE158" s="8">
        <f t="shared" si="177"/>
        <v>-3.5652192309498787E-10</v>
      </c>
      <c r="CF158" s="8">
        <f t="shared" si="177"/>
        <v>-3.5652192309498787E-10</v>
      </c>
      <c r="CG158" s="8">
        <f t="shared" si="177"/>
        <v>-3.5652192309498787E-10</v>
      </c>
      <c r="CH158" s="8">
        <f t="shared" si="177"/>
        <v>-3.5652192309498787E-10</v>
      </c>
      <c r="CI158" s="8">
        <f t="shared" si="177"/>
        <v>-3.5652192309498787E-10</v>
      </c>
      <c r="CJ158" s="8">
        <f t="shared" si="177"/>
        <v>-3.5652192309498787E-10</v>
      </c>
      <c r="CK158" s="8">
        <f t="shared" si="177"/>
        <v>-3.5652192309498787E-10</v>
      </c>
      <c r="CL158" s="8">
        <f t="shared" si="177"/>
        <v>-3.5652192309498787E-10</v>
      </c>
      <c r="CM158" s="8">
        <f t="shared" si="177"/>
        <v>-3.5652192309498787E-10</v>
      </c>
      <c r="CN158" s="8">
        <f t="shared" si="177"/>
        <v>-3.5652192309498787E-10</v>
      </c>
      <c r="CO158" s="8">
        <f t="shared" si="177"/>
        <v>-3.5652192309498787E-10</v>
      </c>
      <c r="CP158" s="8">
        <f t="shared" si="177"/>
        <v>-3.5652192309498787E-10</v>
      </c>
      <c r="CQ158" s="8">
        <f t="shared" si="177"/>
        <v>-3.5652192309498787E-10</v>
      </c>
      <c r="CR158" s="8">
        <f t="shared" si="177"/>
        <v>-3.5652192309498787E-10</v>
      </c>
      <c r="CS158" s="8">
        <f t="shared" si="177"/>
        <v>-3.5652192309498787E-10</v>
      </c>
      <c r="CT158" s="8">
        <f t="shared" si="177"/>
        <v>-3.5652192309498787E-10</v>
      </c>
      <c r="CU158" s="8">
        <f t="shared" si="177"/>
        <v>-3.5652192309498787E-10</v>
      </c>
      <c r="CV158" s="8">
        <f t="shared" si="177"/>
        <v>-3.5652192309498787E-10</v>
      </c>
      <c r="CW158" s="8">
        <f t="shared" si="177"/>
        <v>-3.5652192309498787E-10</v>
      </c>
      <c r="CX158" s="8">
        <f t="shared" si="177"/>
        <v>-3.5652192309498787E-10</v>
      </c>
      <c r="CY158" s="8">
        <f t="shared" si="177"/>
        <v>-3.5652192309498787E-10</v>
      </c>
      <c r="CZ158" s="8">
        <f t="shared" si="177"/>
        <v>-3.5652192309498787E-10</v>
      </c>
      <c r="DA158" s="8">
        <f t="shared" si="177"/>
        <v>-3.5652192309498787E-10</v>
      </c>
      <c r="DB158" s="8"/>
      <c r="DC158" s="8"/>
      <c r="DD158" s="8"/>
      <c r="DE158" s="8"/>
      <c r="DF158" s="8"/>
    </row>
    <row r="159" spans="3:110" x14ac:dyDescent="0.4">
      <c r="D159" t="s">
        <v>171</v>
      </c>
      <c r="M159" s="8"/>
      <c r="N159" s="8">
        <f t="shared" ref="N159:AS159" si="178">M159+((N151-N157)*INC_TAX_RATE)</f>
        <v>-20851.657309986484</v>
      </c>
      <c r="O159" s="8">
        <f t="shared" si="178"/>
        <v>-83037.257024740451</v>
      </c>
      <c r="P159" s="8">
        <f t="shared" si="178"/>
        <v>-138764.8005897729</v>
      </c>
      <c r="Q159" s="8">
        <f t="shared" si="178"/>
        <v>-188534.72778052351</v>
      </c>
      <c r="R159" s="8">
        <f t="shared" si="178"/>
        <v>-232775.98697594056</v>
      </c>
      <c r="S159" s="8">
        <f t="shared" si="178"/>
        <v>-271917.52655497234</v>
      </c>
      <c r="T159" s="8">
        <f t="shared" si="178"/>
        <v>-306328.71873282432</v>
      </c>
      <c r="U159" s="8">
        <f t="shared" si="178"/>
        <v>-336378.93572470197</v>
      </c>
      <c r="V159" s="8">
        <f t="shared" si="178"/>
        <v>-365714.23875166581</v>
      </c>
      <c r="W159" s="8">
        <f t="shared" si="178"/>
        <v>-395037.6265458811</v>
      </c>
      <c r="X159" s="8">
        <f t="shared" si="178"/>
        <v>-424372.92957284494</v>
      </c>
      <c r="Y159" s="8">
        <f t="shared" si="178"/>
        <v>-453696.31736706023</v>
      </c>
      <c r="Z159" s="8">
        <f t="shared" si="178"/>
        <v>-483031.62039402407</v>
      </c>
      <c r="AA159" s="8">
        <f t="shared" si="178"/>
        <v>-512355.00818823936</v>
      </c>
      <c r="AB159" s="8">
        <f t="shared" si="178"/>
        <v>-541690.31121520326</v>
      </c>
      <c r="AC159" s="8">
        <f t="shared" si="178"/>
        <v>-571013.69900941849</v>
      </c>
      <c r="AD159" s="8">
        <f t="shared" si="178"/>
        <v>-600349.00203638233</v>
      </c>
      <c r="AE159" s="8">
        <f t="shared" si="178"/>
        <v>-629672.38983059756</v>
      </c>
      <c r="AF159" s="8">
        <f t="shared" si="178"/>
        <v>-659007.6928575614</v>
      </c>
      <c r="AG159" s="8">
        <f t="shared" si="178"/>
        <v>-688331.08065177663</v>
      </c>
      <c r="AH159" s="8">
        <f t="shared" si="178"/>
        <v>-691083.49941669486</v>
      </c>
      <c r="AI159" s="8">
        <f t="shared" si="178"/>
        <v>-667253.03391956748</v>
      </c>
      <c r="AJ159" s="8">
        <f t="shared" si="178"/>
        <v>-643422.56842244009</v>
      </c>
      <c r="AK159" s="8">
        <f t="shared" si="178"/>
        <v>-619592.10292531271</v>
      </c>
      <c r="AL159" s="8">
        <f t="shared" si="178"/>
        <v>-595761.63742818532</v>
      </c>
      <c r="AM159" s="8">
        <f t="shared" si="178"/>
        <v>-571931.17193105794</v>
      </c>
      <c r="AN159" s="8">
        <f t="shared" si="178"/>
        <v>-548100.70643393055</v>
      </c>
      <c r="AO159" s="8">
        <f t="shared" si="178"/>
        <v>-524270.24093680317</v>
      </c>
      <c r="AP159" s="8">
        <f t="shared" si="178"/>
        <v>-500439.77543967578</v>
      </c>
      <c r="AQ159" s="8">
        <f t="shared" si="178"/>
        <v>-476609.3099425484</v>
      </c>
      <c r="AR159" s="8">
        <f t="shared" si="178"/>
        <v>-452778.84444542101</v>
      </c>
      <c r="AS159" s="8">
        <f t="shared" si="178"/>
        <v>-428948.37894829363</v>
      </c>
      <c r="AT159" s="8">
        <f t="shared" ref="AT159:BY159" si="179">AS159+((AT151-AT157)*INC_TAX_RATE)</f>
        <v>-405117.91345116624</v>
      </c>
      <c r="AU159" s="8">
        <f t="shared" si="179"/>
        <v>-381287.44795403886</v>
      </c>
      <c r="AV159" s="8">
        <f t="shared" si="179"/>
        <v>-357456.98245691147</v>
      </c>
      <c r="AW159" s="8">
        <f t="shared" si="179"/>
        <v>-333626.51695978409</v>
      </c>
      <c r="AX159" s="8">
        <f t="shared" si="179"/>
        <v>-309796.0514626567</v>
      </c>
      <c r="AY159" s="8">
        <f t="shared" si="179"/>
        <v>-285965.58596552932</v>
      </c>
      <c r="AZ159" s="8">
        <f t="shared" si="179"/>
        <v>-262135.1204684019</v>
      </c>
      <c r="BA159" s="8">
        <f t="shared" si="179"/>
        <v>-238304.65497127449</v>
      </c>
      <c r="BB159" s="8">
        <f t="shared" si="179"/>
        <v>-214474.18947414708</v>
      </c>
      <c r="BC159" s="8">
        <f t="shared" si="179"/>
        <v>-190643.72397701966</v>
      </c>
      <c r="BD159" s="8">
        <f t="shared" si="179"/>
        <v>-166813.25847989225</v>
      </c>
      <c r="BE159" s="8">
        <f t="shared" si="179"/>
        <v>-142982.79298276483</v>
      </c>
      <c r="BF159" s="8">
        <f t="shared" si="179"/>
        <v>-119152.32748563742</v>
      </c>
      <c r="BG159" s="8">
        <f t="shared" si="179"/>
        <v>-95321.861988510005</v>
      </c>
      <c r="BH159" s="8">
        <f t="shared" si="179"/>
        <v>-71491.396491382591</v>
      </c>
      <c r="BI159" s="8">
        <f t="shared" si="179"/>
        <v>-47660.930994255177</v>
      </c>
      <c r="BJ159" s="8">
        <f t="shared" si="179"/>
        <v>-23830.465497127767</v>
      </c>
      <c r="BK159" s="8">
        <f t="shared" si="179"/>
        <v>-3.5652192309498787E-10</v>
      </c>
      <c r="BL159" s="8">
        <f t="shared" si="179"/>
        <v>-3.5652192309498787E-10</v>
      </c>
      <c r="BM159" s="8">
        <f t="shared" si="179"/>
        <v>-3.5652192309498787E-10</v>
      </c>
      <c r="BN159" s="8">
        <f t="shared" si="179"/>
        <v>-3.5652192309498787E-10</v>
      </c>
      <c r="BO159" s="8">
        <f t="shared" si="179"/>
        <v>-3.5652192309498787E-10</v>
      </c>
      <c r="BP159" s="8">
        <f t="shared" si="179"/>
        <v>-3.5652192309498787E-10</v>
      </c>
      <c r="BQ159" s="8">
        <f t="shared" si="179"/>
        <v>-3.5652192309498787E-10</v>
      </c>
      <c r="BR159" s="8">
        <f t="shared" si="179"/>
        <v>-3.5652192309498787E-10</v>
      </c>
      <c r="BS159" s="8">
        <f t="shared" si="179"/>
        <v>-3.5652192309498787E-10</v>
      </c>
      <c r="BT159" s="8">
        <f t="shared" si="179"/>
        <v>-3.5652192309498787E-10</v>
      </c>
      <c r="BU159" s="8">
        <f t="shared" si="179"/>
        <v>-3.5652192309498787E-10</v>
      </c>
      <c r="BV159" s="8">
        <f t="shared" si="179"/>
        <v>-3.5652192309498787E-10</v>
      </c>
      <c r="BW159" s="8">
        <f t="shared" si="179"/>
        <v>-3.5652192309498787E-10</v>
      </c>
      <c r="BX159" s="8">
        <f t="shared" si="179"/>
        <v>-3.5652192309498787E-10</v>
      </c>
      <c r="BY159" s="8">
        <f t="shared" si="179"/>
        <v>-3.5652192309498787E-10</v>
      </c>
      <c r="BZ159" s="8">
        <f t="shared" ref="BZ159:DA159" si="180">BY159+((BZ151-BZ157)*INC_TAX_RATE)</f>
        <v>-3.5652192309498787E-10</v>
      </c>
      <c r="CA159" s="8">
        <f t="shared" si="180"/>
        <v>-3.5652192309498787E-10</v>
      </c>
      <c r="CB159" s="8">
        <f t="shared" si="180"/>
        <v>-3.5652192309498787E-10</v>
      </c>
      <c r="CC159" s="8">
        <f t="shared" si="180"/>
        <v>-3.5652192309498787E-10</v>
      </c>
      <c r="CD159" s="8">
        <f t="shared" si="180"/>
        <v>-3.5652192309498787E-10</v>
      </c>
      <c r="CE159" s="8">
        <f t="shared" si="180"/>
        <v>-3.5652192309498787E-10</v>
      </c>
      <c r="CF159" s="8">
        <f t="shared" si="180"/>
        <v>-3.5652192309498787E-10</v>
      </c>
      <c r="CG159" s="8">
        <f t="shared" si="180"/>
        <v>-3.5652192309498787E-10</v>
      </c>
      <c r="CH159" s="8">
        <f t="shared" si="180"/>
        <v>-3.5652192309498787E-10</v>
      </c>
      <c r="CI159" s="8">
        <f t="shared" si="180"/>
        <v>-3.5652192309498787E-10</v>
      </c>
      <c r="CJ159" s="8">
        <f t="shared" si="180"/>
        <v>-3.5652192309498787E-10</v>
      </c>
      <c r="CK159" s="8">
        <f t="shared" si="180"/>
        <v>-3.5652192309498787E-10</v>
      </c>
      <c r="CL159" s="8">
        <f t="shared" si="180"/>
        <v>-3.5652192309498787E-10</v>
      </c>
      <c r="CM159" s="8">
        <f t="shared" si="180"/>
        <v>-3.5652192309498787E-10</v>
      </c>
      <c r="CN159" s="8">
        <f t="shared" si="180"/>
        <v>-3.5652192309498787E-10</v>
      </c>
      <c r="CO159" s="8">
        <f t="shared" si="180"/>
        <v>-3.5652192309498787E-10</v>
      </c>
      <c r="CP159" s="8">
        <f t="shared" si="180"/>
        <v>-3.5652192309498787E-10</v>
      </c>
      <c r="CQ159" s="8">
        <f t="shared" si="180"/>
        <v>-3.5652192309498787E-10</v>
      </c>
      <c r="CR159" s="8">
        <f t="shared" si="180"/>
        <v>-3.5652192309498787E-10</v>
      </c>
      <c r="CS159" s="8">
        <f t="shared" si="180"/>
        <v>-3.5652192309498787E-10</v>
      </c>
      <c r="CT159" s="8">
        <f t="shared" si="180"/>
        <v>-3.5652192309498787E-10</v>
      </c>
      <c r="CU159" s="8">
        <f t="shared" si="180"/>
        <v>-3.5652192309498787E-10</v>
      </c>
      <c r="CV159" s="8">
        <f t="shared" si="180"/>
        <v>-3.5652192309498787E-10</v>
      </c>
      <c r="CW159" s="8">
        <f t="shared" si="180"/>
        <v>-3.5652192309498787E-10</v>
      </c>
      <c r="CX159" s="8">
        <f t="shared" si="180"/>
        <v>-3.5652192309498787E-10</v>
      </c>
      <c r="CY159" s="8">
        <f t="shared" si="180"/>
        <v>-3.5652192309498787E-10</v>
      </c>
      <c r="CZ159" s="8">
        <f t="shared" si="180"/>
        <v>-3.5652192309498787E-10</v>
      </c>
      <c r="DA159" s="8">
        <f t="shared" si="180"/>
        <v>-3.5652192309498787E-10</v>
      </c>
      <c r="DB159" s="8"/>
      <c r="DC159" s="8"/>
      <c r="DD159" s="8"/>
      <c r="DE159" s="8"/>
      <c r="DF159" s="8"/>
    </row>
    <row r="160" spans="3:110" x14ac:dyDescent="0.4"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8"/>
      <c r="DD160" s="8"/>
      <c r="DE160" s="8"/>
      <c r="DF160" s="8"/>
    </row>
    <row r="161" spans="1:111" x14ac:dyDescent="0.4">
      <c r="D161" t="s">
        <v>158</v>
      </c>
      <c r="M161" s="8"/>
      <c r="N161" s="8">
        <f>AVERAGE(N154:N155)+AVERAGE(N158:N159)</f>
        <v>4245782.1529715871</v>
      </c>
      <c r="O161" s="8">
        <f t="shared" ref="O161:BZ161" si="181">AVERAGE(O154:O155)+AVERAGE(O158:O159)</f>
        <v>4118279.5248303977</v>
      </c>
      <c r="P161" s="8">
        <f t="shared" si="181"/>
        <v>3973338.9535616837</v>
      </c>
      <c r="Q161" s="8">
        <f t="shared" si="181"/>
        <v>3834606.2185549727</v>
      </c>
      <c r="R161" s="8">
        <f t="shared" si="181"/>
        <v>3701616.6257330696</v>
      </c>
      <c r="S161" s="8">
        <f t="shared" si="181"/>
        <v>3573941.2267170246</v>
      </c>
      <c r="T161" s="8">
        <f t="shared" si="181"/>
        <v>3451180.8612097632</v>
      </c>
      <c r="U161" s="8">
        <f t="shared" si="181"/>
        <v>3332966.1569960788</v>
      </c>
      <c r="V161" s="8">
        <f t="shared" si="181"/>
        <v>3217289.3973578382</v>
      </c>
      <c r="W161" s="8">
        <f t="shared" si="181"/>
        <v>3101976.0523184286</v>
      </c>
      <c r="X161" s="8">
        <f t="shared" si="181"/>
        <v>2986662.7072790195</v>
      </c>
      <c r="Y161" s="8">
        <f t="shared" si="181"/>
        <v>2871349.3622396104</v>
      </c>
      <c r="Z161" s="8">
        <f t="shared" si="181"/>
        <v>2756036.0172002004</v>
      </c>
      <c r="AA161" s="8">
        <f t="shared" si="181"/>
        <v>2640722.6721607912</v>
      </c>
      <c r="AB161" s="8">
        <f t="shared" si="181"/>
        <v>2525409.3271213821</v>
      </c>
      <c r="AC161" s="8">
        <f t="shared" si="181"/>
        <v>2410095.982081973</v>
      </c>
      <c r="AD161" s="8">
        <f t="shared" si="181"/>
        <v>2294782.6370425629</v>
      </c>
      <c r="AE161" s="8">
        <f t="shared" si="181"/>
        <v>2179469.2920031538</v>
      </c>
      <c r="AF161" s="8">
        <f t="shared" si="181"/>
        <v>2064155.9469637449</v>
      </c>
      <c r="AG161" s="8">
        <f t="shared" si="181"/>
        <v>1948842.6019243358</v>
      </c>
      <c r="AH161" s="8">
        <f t="shared" si="181"/>
        <v>1846820.6990159487</v>
      </c>
      <c r="AI161" s="8">
        <f t="shared" si="181"/>
        <v>1771375.7227532337</v>
      </c>
      <c r="AJ161" s="8">
        <f t="shared" si="181"/>
        <v>1709222.1886215415</v>
      </c>
      <c r="AK161" s="8">
        <f t="shared" si="181"/>
        <v>1647068.6544898495</v>
      </c>
      <c r="AL161" s="8">
        <f t="shared" si="181"/>
        <v>1584915.1203581563</v>
      </c>
      <c r="AM161" s="8">
        <f t="shared" si="181"/>
        <v>1522761.5862264642</v>
      </c>
      <c r="AN161" s="8">
        <f t="shared" si="181"/>
        <v>1460608.0520947713</v>
      </c>
      <c r="AO161" s="8">
        <f t="shared" si="181"/>
        <v>1398454.5179630788</v>
      </c>
      <c r="AP161" s="8">
        <f t="shared" si="181"/>
        <v>1336300.9838313861</v>
      </c>
      <c r="AQ161" s="8">
        <f t="shared" si="181"/>
        <v>1274147.4496996936</v>
      </c>
      <c r="AR161" s="8">
        <f t="shared" si="181"/>
        <v>1211993.9155680009</v>
      </c>
      <c r="AS161" s="8">
        <f t="shared" si="181"/>
        <v>1149840.3814363084</v>
      </c>
      <c r="AT161" s="8">
        <f t="shared" si="181"/>
        <v>1087686.8473046157</v>
      </c>
      <c r="AU161" s="8">
        <f t="shared" si="181"/>
        <v>1025533.3131729232</v>
      </c>
      <c r="AV161" s="8">
        <f t="shared" si="181"/>
        <v>963379.77904123045</v>
      </c>
      <c r="AW161" s="8">
        <f t="shared" si="181"/>
        <v>901226.24490953796</v>
      </c>
      <c r="AX161" s="8">
        <f t="shared" si="181"/>
        <v>839072.71077784523</v>
      </c>
      <c r="AY161" s="8">
        <f t="shared" si="181"/>
        <v>776919.17664615274</v>
      </c>
      <c r="AZ161" s="8">
        <f t="shared" si="181"/>
        <v>714765.64251446002</v>
      </c>
      <c r="BA161" s="8">
        <f t="shared" si="181"/>
        <v>652612.10838276753</v>
      </c>
      <c r="BB161" s="8">
        <f t="shared" si="181"/>
        <v>590458.57425107493</v>
      </c>
      <c r="BC161" s="8">
        <f t="shared" si="181"/>
        <v>528305.04011938232</v>
      </c>
      <c r="BD161" s="8">
        <f t="shared" si="181"/>
        <v>466151.50598768977</v>
      </c>
      <c r="BE161" s="8">
        <f t="shared" si="181"/>
        <v>403997.97185599722</v>
      </c>
      <c r="BF161" s="8">
        <f t="shared" si="181"/>
        <v>341844.43772430462</v>
      </c>
      <c r="BG161" s="8">
        <f t="shared" si="181"/>
        <v>279690.90359261207</v>
      </c>
      <c r="BH161" s="8">
        <f t="shared" si="181"/>
        <v>217537.36946091946</v>
      </c>
      <c r="BI161" s="8">
        <f t="shared" si="181"/>
        <v>155383.83532922692</v>
      </c>
      <c r="BJ161" s="8">
        <f t="shared" si="181"/>
        <v>93230.301197534325</v>
      </c>
      <c r="BK161" s="8">
        <f t="shared" si="181"/>
        <v>31076.767065843836</v>
      </c>
      <c r="BL161" s="8">
        <f t="shared" si="181"/>
        <v>-3.5652192309498787E-10</v>
      </c>
      <c r="BM161" s="8">
        <f t="shared" si="181"/>
        <v>-3.5652192309498787E-10</v>
      </c>
      <c r="BN161" s="8">
        <f t="shared" si="181"/>
        <v>-3.5652192309498787E-10</v>
      </c>
      <c r="BO161" s="8">
        <f t="shared" si="181"/>
        <v>-3.5652192309498787E-10</v>
      </c>
      <c r="BP161" s="8">
        <f t="shared" si="181"/>
        <v>-3.5652192309498787E-10</v>
      </c>
      <c r="BQ161" s="8">
        <f t="shared" si="181"/>
        <v>-3.5652192309498787E-10</v>
      </c>
      <c r="BR161" s="8">
        <f t="shared" si="181"/>
        <v>-3.5652192309498787E-10</v>
      </c>
      <c r="BS161" s="8">
        <f t="shared" si="181"/>
        <v>-3.5652192309498787E-10</v>
      </c>
      <c r="BT161" s="8">
        <f t="shared" si="181"/>
        <v>-3.5652192309498787E-10</v>
      </c>
      <c r="BU161" s="8">
        <f t="shared" si="181"/>
        <v>-3.5652192309498787E-10</v>
      </c>
      <c r="BV161" s="8">
        <f t="shared" si="181"/>
        <v>-3.5652192309498787E-10</v>
      </c>
      <c r="BW161" s="8">
        <f t="shared" si="181"/>
        <v>-3.5652192309498787E-10</v>
      </c>
      <c r="BX161" s="8">
        <f t="shared" si="181"/>
        <v>-3.5652192309498787E-10</v>
      </c>
      <c r="BY161" s="8">
        <f t="shared" si="181"/>
        <v>-3.5652192309498787E-10</v>
      </c>
      <c r="BZ161" s="8">
        <f t="shared" si="181"/>
        <v>-3.5652192309498787E-10</v>
      </c>
      <c r="CA161" s="8">
        <f t="shared" ref="CA161:DA161" si="182">AVERAGE(CA154:CA155)+AVERAGE(CA158:CA159)</f>
        <v>-3.5652192309498787E-10</v>
      </c>
      <c r="CB161" s="8">
        <f t="shared" si="182"/>
        <v>-3.5652192309498787E-10</v>
      </c>
      <c r="CC161" s="8">
        <f t="shared" si="182"/>
        <v>-3.5652192309498787E-10</v>
      </c>
      <c r="CD161" s="8">
        <f t="shared" si="182"/>
        <v>-3.5652192309498787E-10</v>
      </c>
      <c r="CE161" s="8">
        <f t="shared" si="182"/>
        <v>-3.5652192309498787E-10</v>
      </c>
      <c r="CF161" s="8">
        <f t="shared" si="182"/>
        <v>-3.5652192309498787E-10</v>
      </c>
      <c r="CG161" s="8">
        <f t="shared" si="182"/>
        <v>-3.5652192309498787E-10</v>
      </c>
      <c r="CH161" s="8">
        <f t="shared" si="182"/>
        <v>-3.5652192309498787E-10</v>
      </c>
      <c r="CI161" s="8">
        <f t="shared" si="182"/>
        <v>-3.5652192309498787E-10</v>
      </c>
      <c r="CJ161" s="8">
        <f t="shared" si="182"/>
        <v>-3.5652192309498787E-10</v>
      </c>
      <c r="CK161" s="8">
        <f t="shared" si="182"/>
        <v>-3.5652192309498787E-10</v>
      </c>
      <c r="CL161" s="8">
        <f t="shared" si="182"/>
        <v>-3.5652192309498787E-10</v>
      </c>
      <c r="CM161" s="8">
        <f t="shared" si="182"/>
        <v>-3.5652192309498787E-10</v>
      </c>
      <c r="CN161" s="8">
        <f t="shared" si="182"/>
        <v>-3.5652192309498787E-10</v>
      </c>
      <c r="CO161" s="8">
        <f t="shared" si="182"/>
        <v>-3.5652192309498787E-10</v>
      </c>
      <c r="CP161" s="8">
        <f t="shared" si="182"/>
        <v>-3.5652192309498787E-10</v>
      </c>
      <c r="CQ161" s="8">
        <f t="shared" si="182"/>
        <v>-3.5652192309498787E-10</v>
      </c>
      <c r="CR161" s="8">
        <f t="shared" si="182"/>
        <v>-3.5652192309498787E-10</v>
      </c>
      <c r="CS161" s="8">
        <f t="shared" si="182"/>
        <v>-3.5652192309498787E-10</v>
      </c>
      <c r="CT161" s="8">
        <f t="shared" si="182"/>
        <v>-3.5652192309498787E-10</v>
      </c>
      <c r="CU161" s="8">
        <f t="shared" si="182"/>
        <v>-3.5652192309498787E-10</v>
      </c>
      <c r="CV161" s="8">
        <f t="shared" si="182"/>
        <v>-3.5652192309498787E-10</v>
      </c>
      <c r="CW161" s="8">
        <f t="shared" si="182"/>
        <v>-3.5652192309498787E-10</v>
      </c>
      <c r="CX161" s="8">
        <f t="shared" si="182"/>
        <v>-3.5652192309498787E-10</v>
      </c>
      <c r="CY161" s="8">
        <f t="shared" si="182"/>
        <v>-3.5652192309498787E-10</v>
      </c>
      <c r="CZ161" s="8">
        <f t="shared" si="182"/>
        <v>-3.5652192309498787E-10</v>
      </c>
      <c r="DA161" s="8">
        <f t="shared" si="182"/>
        <v>-3.5652192309498787E-10</v>
      </c>
      <c r="DB161" s="8"/>
      <c r="DC161" s="8"/>
      <c r="DD161" s="8"/>
      <c r="DE161" s="8"/>
      <c r="DF161" s="8"/>
    </row>
    <row r="162" spans="1:111" x14ac:dyDescent="0.4"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8"/>
      <c r="DD162" s="8"/>
      <c r="DE162" s="8"/>
      <c r="DF162" s="8"/>
    </row>
    <row r="163" spans="1:111" x14ac:dyDescent="0.4">
      <c r="D163" t="s">
        <v>209</v>
      </c>
      <c r="M163" s="8"/>
      <c r="N163" s="8">
        <f t="shared" ref="N163:AS163" si="183">N161*AVG_PRE_TAX_RATE</f>
        <v>379148.34626036277</v>
      </c>
      <c r="O163" s="8">
        <f t="shared" si="183"/>
        <v>367762.36156735453</v>
      </c>
      <c r="P163" s="8">
        <f t="shared" si="183"/>
        <v>354819.16855305835</v>
      </c>
      <c r="Q163" s="8">
        <f t="shared" si="183"/>
        <v>342430.33531695907</v>
      </c>
      <c r="R163" s="8">
        <f t="shared" si="183"/>
        <v>330554.36467796314</v>
      </c>
      <c r="S163" s="8">
        <f t="shared" si="183"/>
        <v>319152.95154583029</v>
      </c>
      <c r="T163" s="8">
        <f t="shared" si="183"/>
        <v>308190.45090603188</v>
      </c>
      <c r="U163" s="8">
        <f t="shared" si="183"/>
        <v>297633.87781974988</v>
      </c>
      <c r="V163" s="8">
        <f t="shared" si="183"/>
        <v>287303.94318405498</v>
      </c>
      <c r="W163" s="8">
        <f t="shared" si="183"/>
        <v>277006.46147203568</v>
      </c>
      <c r="X163" s="8">
        <f t="shared" si="183"/>
        <v>266708.97976001643</v>
      </c>
      <c r="Y163" s="8">
        <f t="shared" si="183"/>
        <v>256411.49804799721</v>
      </c>
      <c r="Z163" s="8">
        <f t="shared" si="183"/>
        <v>246114.01633597791</v>
      </c>
      <c r="AA163" s="8">
        <f t="shared" si="183"/>
        <v>235816.53462395867</v>
      </c>
      <c r="AB163" s="8">
        <f t="shared" si="183"/>
        <v>225519.05291193942</v>
      </c>
      <c r="AC163" s="8">
        <f t="shared" si="183"/>
        <v>215221.5711999202</v>
      </c>
      <c r="AD163" s="8">
        <f t="shared" si="183"/>
        <v>204924.08948790087</v>
      </c>
      <c r="AE163" s="8">
        <f t="shared" si="183"/>
        <v>194626.60777588165</v>
      </c>
      <c r="AF163" s="8">
        <f t="shared" si="183"/>
        <v>184329.12606386244</v>
      </c>
      <c r="AG163" s="8">
        <f t="shared" si="183"/>
        <v>174031.64435184319</v>
      </c>
      <c r="AH163" s="8">
        <f t="shared" si="183"/>
        <v>164921.08842212422</v>
      </c>
      <c r="AI163" s="8">
        <f t="shared" si="183"/>
        <v>158183.85204186378</v>
      </c>
      <c r="AJ163" s="8">
        <f t="shared" si="183"/>
        <v>152633.54144390367</v>
      </c>
      <c r="AK163" s="8">
        <f t="shared" si="183"/>
        <v>147083.23084594356</v>
      </c>
      <c r="AL163" s="8">
        <f t="shared" si="183"/>
        <v>141532.92024798336</v>
      </c>
      <c r="AM163" s="8">
        <f t="shared" si="183"/>
        <v>135982.60965002325</v>
      </c>
      <c r="AN163" s="8">
        <f t="shared" si="183"/>
        <v>130432.29905206308</v>
      </c>
      <c r="AO163" s="8">
        <f t="shared" si="183"/>
        <v>124881.98845410295</v>
      </c>
      <c r="AP163" s="8">
        <f t="shared" si="183"/>
        <v>119331.67785614278</v>
      </c>
      <c r="AQ163" s="8">
        <f t="shared" si="183"/>
        <v>113781.36725818264</v>
      </c>
      <c r="AR163" s="8">
        <f t="shared" si="183"/>
        <v>108231.05666022249</v>
      </c>
      <c r="AS163" s="8">
        <f t="shared" si="183"/>
        <v>102680.74606226235</v>
      </c>
      <c r="AT163" s="8">
        <f t="shared" ref="AT163:BY163" si="184">AT161*AVG_PRE_TAX_RATE</f>
        <v>97130.43546430218</v>
      </c>
      <c r="AU163" s="8">
        <f t="shared" si="184"/>
        <v>91580.124866342041</v>
      </c>
      <c r="AV163" s="8">
        <f t="shared" si="184"/>
        <v>86029.814268381888</v>
      </c>
      <c r="AW163" s="8">
        <f t="shared" si="184"/>
        <v>80479.503670421749</v>
      </c>
      <c r="AX163" s="8">
        <f t="shared" si="184"/>
        <v>74929.193072461581</v>
      </c>
      <c r="AY163" s="8">
        <f t="shared" si="184"/>
        <v>69378.882474501443</v>
      </c>
      <c r="AZ163" s="8">
        <f t="shared" si="184"/>
        <v>63828.571876541282</v>
      </c>
      <c r="BA163" s="8">
        <f t="shared" si="184"/>
        <v>58278.261278581143</v>
      </c>
      <c r="BB163" s="8">
        <f t="shared" si="184"/>
        <v>52727.95068062099</v>
      </c>
      <c r="BC163" s="8">
        <f t="shared" si="184"/>
        <v>47177.640082660844</v>
      </c>
      <c r="BD163" s="8">
        <f t="shared" si="184"/>
        <v>41627.329484700698</v>
      </c>
      <c r="BE163" s="8">
        <f t="shared" si="184"/>
        <v>36077.018886740552</v>
      </c>
      <c r="BF163" s="8">
        <f t="shared" si="184"/>
        <v>30526.708288780403</v>
      </c>
      <c r="BG163" s="8">
        <f t="shared" si="184"/>
        <v>24976.39769082026</v>
      </c>
      <c r="BH163" s="8">
        <f t="shared" si="184"/>
        <v>19426.087092860111</v>
      </c>
      <c r="BI163" s="8">
        <f t="shared" si="184"/>
        <v>13875.776494899965</v>
      </c>
      <c r="BJ163" s="8">
        <f t="shared" si="184"/>
        <v>8325.4658969398151</v>
      </c>
      <c r="BK163" s="8">
        <f t="shared" si="184"/>
        <v>2775.1552989798547</v>
      </c>
      <c r="BL163" s="8">
        <f t="shared" si="184"/>
        <v>-3.1837407732382418E-11</v>
      </c>
      <c r="BM163" s="8">
        <f t="shared" si="184"/>
        <v>-3.1837407732382418E-11</v>
      </c>
      <c r="BN163" s="8">
        <f t="shared" si="184"/>
        <v>-3.1837407732382418E-11</v>
      </c>
      <c r="BO163" s="8">
        <f t="shared" si="184"/>
        <v>-3.1837407732382418E-11</v>
      </c>
      <c r="BP163" s="8">
        <f t="shared" si="184"/>
        <v>-3.1837407732382418E-11</v>
      </c>
      <c r="BQ163" s="8">
        <f t="shared" si="184"/>
        <v>-3.1837407732382418E-11</v>
      </c>
      <c r="BR163" s="8">
        <f t="shared" si="184"/>
        <v>-3.1837407732382418E-11</v>
      </c>
      <c r="BS163" s="8">
        <f t="shared" si="184"/>
        <v>-3.1837407732382418E-11</v>
      </c>
      <c r="BT163" s="8">
        <f t="shared" si="184"/>
        <v>-3.1837407732382418E-11</v>
      </c>
      <c r="BU163" s="8">
        <f t="shared" si="184"/>
        <v>-3.1837407732382418E-11</v>
      </c>
      <c r="BV163" s="8">
        <f t="shared" si="184"/>
        <v>-3.1837407732382418E-11</v>
      </c>
      <c r="BW163" s="8">
        <f t="shared" si="184"/>
        <v>-3.1837407732382418E-11</v>
      </c>
      <c r="BX163" s="8">
        <f t="shared" si="184"/>
        <v>-3.1837407732382418E-11</v>
      </c>
      <c r="BY163" s="8">
        <f t="shared" si="184"/>
        <v>-3.1837407732382418E-11</v>
      </c>
      <c r="BZ163" s="8">
        <f t="shared" ref="BZ163:DA163" si="185">BZ161*AVG_PRE_TAX_RATE</f>
        <v>-3.1837407732382418E-11</v>
      </c>
      <c r="CA163" s="8">
        <f t="shared" si="185"/>
        <v>-3.1837407732382418E-11</v>
      </c>
      <c r="CB163" s="8">
        <f t="shared" si="185"/>
        <v>-3.1837407732382418E-11</v>
      </c>
      <c r="CC163" s="8">
        <f t="shared" si="185"/>
        <v>-3.1837407732382418E-11</v>
      </c>
      <c r="CD163" s="8">
        <f t="shared" si="185"/>
        <v>-3.1837407732382418E-11</v>
      </c>
      <c r="CE163" s="8">
        <f t="shared" si="185"/>
        <v>-3.1837407732382418E-11</v>
      </c>
      <c r="CF163" s="8">
        <f t="shared" si="185"/>
        <v>-3.1837407732382418E-11</v>
      </c>
      <c r="CG163" s="8">
        <f t="shared" si="185"/>
        <v>-3.1837407732382418E-11</v>
      </c>
      <c r="CH163" s="8">
        <f t="shared" si="185"/>
        <v>-3.1837407732382418E-11</v>
      </c>
      <c r="CI163" s="8">
        <f t="shared" si="185"/>
        <v>-3.1837407732382418E-11</v>
      </c>
      <c r="CJ163" s="8">
        <f t="shared" si="185"/>
        <v>-3.1837407732382418E-11</v>
      </c>
      <c r="CK163" s="8">
        <f t="shared" si="185"/>
        <v>-3.1837407732382418E-11</v>
      </c>
      <c r="CL163" s="8">
        <f t="shared" si="185"/>
        <v>-3.1837407732382418E-11</v>
      </c>
      <c r="CM163" s="8">
        <f t="shared" si="185"/>
        <v>-3.1837407732382418E-11</v>
      </c>
      <c r="CN163" s="8">
        <f t="shared" si="185"/>
        <v>-3.1837407732382418E-11</v>
      </c>
      <c r="CO163" s="8">
        <f t="shared" si="185"/>
        <v>-3.1837407732382418E-11</v>
      </c>
      <c r="CP163" s="8">
        <f t="shared" si="185"/>
        <v>-3.1837407732382418E-11</v>
      </c>
      <c r="CQ163" s="8">
        <f t="shared" si="185"/>
        <v>-3.1837407732382418E-11</v>
      </c>
      <c r="CR163" s="8">
        <f t="shared" si="185"/>
        <v>-3.1837407732382418E-11</v>
      </c>
      <c r="CS163" s="8">
        <f t="shared" si="185"/>
        <v>-3.1837407732382418E-11</v>
      </c>
      <c r="CT163" s="8">
        <f t="shared" si="185"/>
        <v>-3.1837407732382418E-11</v>
      </c>
      <c r="CU163" s="8">
        <f t="shared" si="185"/>
        <v>-3.1837407732382418E-11</v>
      </c>
      <c r="CV163" s="8">
        <f t="shared" si="185"/>
        <v>-3.1837407732382418E-11</v>
      </c>
      <c r="CW163" s="8">
        <f t="shared" si="185"/>
        <v>-3.1837407732382418E-11</v>
      </c>
      <c r="CX163" s="8">
        <f t="shared" si="185"/>
        <v>-3.1837407732382418E-11</v>
      </c>
      <c r="CY163" s="8">
        <f t="shared" si="185"/>
        <v>-3.1837407732382418E-11</v>
      </c>
      <c r="CZ163" s="8">
        <f t="shared" si="185"/>
        <v>-3.1837407732382418E-11</v>
      </c>
      <c r="DA163" s="8">
        <f t="shared" si="185"/>
        <v>-3.1837407732382418E-11</v>
      </c>
      <c r="DB163" s="8"/>
      <c r="DC163" s="8"/>
      <c r="DD163" s="8"/>
      <c r="DE163" s="8"/>
      <c r="DF163" s="8"/>
    </row>
    <row r="166" spans="1:111" x14ac:dyDescent="0.4">
      <c r="C166" s="58" t="str">
        <f>C149</f>
        <v>Investment year in service</v>
      </c>
      <c r="E166" t="str">
        <f>IF(E167&lt;$C167,"",E167-$C167)</f>
        <v/>
      </c>
      <c r="F166" t="str">
        <f>IF(F167&lt;$C167,"",F167-$C167)</f>
        <v/>
      </c>
      <c r="G166" t="str">
        <f t="shared" ref="G166:BR166" si="186">IF(G167&lt;$C167,"",G167-$C167)</f>
        <v/>
      </c>
      <c r="H166" t="str">
        <f t="shared" si="186"/>
        <v/>
      </c>
      <c r="I166" t="str">
        <f t="shared" si="186"/>
        <v/>
      </c>
      <c r="J166" t="str">
        <f t="shared" si="186"/>
        <v/>
      </c>
      <c r="K166" t="str">
        <f t="shared" si="186"/>
        <v/>
      </c>
      <c r="L166" t="str">
        <f t="shared" si="186"/>
        <v/>
      </c>
      <c r="M166" t="str">
        <f t="shared" si="186"/>
        <v/>
      </c>
      <c r="N166">
        <f t="shared" si="186"/>
        <v>0</v>
      </c>
      <c r="O166">
        <f t="shared" si="186"/>
        <v>1</v>
      </c>
      <c r="P166">
        <f t="shared" si="186"/>
        <v>2</v>
      </c>
      <c r="Q166">
        <f t="shared" si="186"/>
        <v>3</v>
      </c>
      <c r="R166">
        <f t="shared" si="186"/>
        <v>4</v>
      </c>
      <c r="S166">
        <f t="shared" si="186"/>
        <v>5</v>
      </c>
      <c r="T166">
        <f t="shared" si="186"/>
        <v>6</v>
      </c>
      <c r="U166">
        <f t="shared" si="186"/>
        <v>7</v>
      </c>
      <c r="V166">
        <f t="shared" si="186"/>
        <v>8</v>
      </c>
      <c r="W166">
        <f t="shared" si="186"/>
        <v>9</v>
      </c>
      <c r="X166">
        <f t="shared" si="186"/>
        <v>10</v>
      </c>
      <c r="Y166">
        <f t="shared" si="186"/>
        <v>11</v>
      </c>
      <c r="Z166">
        <f t="shared" si="186"/>
        <v>12</v>
      </c>
      <c r="AA166">
        <f t="shared" si="186"/>
        <v>13</v>
      </c>
      <c r="AB166">
        <f t="shared" si="186"/>
        <v>14</v>
      </c>
      <c r="AC166">
        <f t="shared" si="186"/>
        <v>15</v>
      </c>
      <c r="AD166">
        <f t="shared" si="186"/>
        <v>16</v>
      </c>
      <c r="AE166">
        <f t="shared" si="186"/>
        <v>17</v>
      </c>
      <c r="AF166">
        <f t="shared" si="186"/>
        <v>18</v>
      </c>
      <c r="AG166">
        <f t="shared" si="186"/>
        <v>19</v>
      </c>
      <c r="AH166">
        <f t="shared" si="186"/>
        <v>20</v>
      </c>
      <c r="AI166">
        <f t="shared" si="186"/>
        <v>21</v>
      </c>
      <c r="AJ166">
        <f t="shared" si="186"/>
        <v>22</v>
      </c>
      <c r="AK166">
        <f t="shared" si="186"/>
        <v>23</v>
      </c>
      <c r="AL166">
        <f t="shared" si="186"/>
        <v>24</v>
      </c>
      <c r="AM166">
        <f t="shared" si="186"/>
        <v>25</v>
      </c>
      <c r="AN166">
        <f t="shared" si="186"/>
        <v>26</v>
      </c>
      <c r="AO166">
        <f t="shared" si="186"/>
        <v>27</v>
      </c>
      <c r="AP166">
        <f t="shared" si="186"/>
        <v>28</v>
      </c>
      <c r="AQ166">
        <f t="shared" si="186"/>
        <v>29</v>
      </c>
      <c r="AR166">
        <f t="shared" si="186"/>
        <v>30</v>
      </c>
      <c r="AS166">
        <f t="shared" si="186"/>
        <v>31</v>
      </c>
      <c r="AT166">
        <f t="shared" si="186"/>
        <v>32</v>
      </c>
      <c r="AU166">
        <f t="shared" si="186"/>
        <v>33</v>
      </c>
      <c r="AV166">
        <f t="shared" si="186"/>
        <v>34</v>
      </c>
      <c r="AW166">
        <f t="shared" si="186"/>
        <v>35</v>
      </c>
      <c r="AX166">
        <f t="shared" si="186"/>
        <v>36</v>
      </c>
      <c r="AY166">
        <f t="shared" si="186"/>
        <v>37</v>
      </c>
      <c r="AZ166">
        <f t="shared" si="186"/>
        <v>38</v>
      </c>
      <c r="BA166">
        <f t="shared" si="186"/>
        <v>39</v>
      </c>
      <c r="BB166">
        <f t="shared" si="186"/>
        <v>40</v>
      </c>
      <c r="BC166">
        <f t="shared" si="186"/>
        <v>41</v>
      </c>
      <c r="BD166">
        <f t="shared" si="186"/>
        <v>42</v>
      </c>
      <c r="BE166">
        <f t="shared" si="186"/>
        <v>43</v>
      </c>
      <c r="BF166">
        <f t="shared" si="186"/>
        <v>44</v>
      </c>
      <c r="BG166">
        <f t="shared" si="186"/>
        <v>45</v>
      </c>
      <c r="BH166">
        <f t="shared" si="186"/>
        <v>46</v>
      </c>
      <c r="BI166">
        <f t="shared" si="186"/>
        <v>47</v>
      </c>
      <c r="BJ166">
        <f t="shared" si="186"/>
        <v>48</v>
      </c>
      <c r="BK166">
        <f t="shared" si="186"/>
        <v>49</v>
      </c>
      <c r="BL166">
        <f t="shared" si="186"/>
        <v>50</v>
      </c>
      <c r="BM166">
        <f t="shared" si="186"/>
        <v>51</v>
      </c>
      <c r="BN166">
        <f t="shared" si="186"/>
        <v>52</v>
      </c>
      <c r="BO166">
        <f t="shared" si="186"/>
        <v>53</v>
      </c>
      <c r="BP166">
        <f t="shared" si="186"/>
        <v>54</v>
      </c>
      <c r="BQ166">
        <f t="shared" si="186"/>
        <v>55</v>
      </c>
      <c r="BR166">
        <f t="shared" si="186"/>
        <v>56</v>
      </c>
      <c r="BS166">
        <f t="shared" ref="BS166:DA166" si="187">IF(BS167&lt;$C167,"",BS167-$C167)</f>
        <v>57</v>
      </c>
      <c r="BT166">
        <f t="shared" si="187"/>
        <v>58</v>
      </c>
      <c r="BU166">
        <f t="shared" si="187"/>
        <v>59</v>
      </c>
      <c r="BV166">
        <f t="shared" si="187"/>
        <v>60</v>
      </c>
      <c r="BW166">
        <f t="shared" si="187"/>
        <v>61</v>
      </c>
      <c r="BX166">
        <f t="shared" si="187"/>
        <v>62</v>
      </c>
      <c r="BY166">
        <f t="shared" si="187"/>
        <v>63</v>
      </c>
      <c r="BZ166">
        <f t="shared" si="187"/>
        <v>64</v>
      </c>
      <c r="CA166">
        <f t="shared" si="187"/>
        <v>65</v>
      </c>
      <c r="CB166">
        <f t="shared" si="187"/>
        <v>66</v>
      </c>
      <c r="CC166">
        <f t="shared" si="187"/>
        <v>67</v>
      </c>
      <c r="CD166">
        <f t="shared" si="187"/>
        <v>68</v>
      </c>
      <c r="CE166">
        <f t="shared" si="187"/>
        <v>69</v>
      </c>
      <c r="CF166">
        <f t="shared" si="187"/>
        <v>70</v>
      </c>
      <c r="CG166">
        <f t="shared" si="187"/>
        <v>71</v>
      </c>
      <c r="CH166">
        <f t="shared" si="187"/>
        <v>72</v>
      </c>
      <c r="CI166">
        <f t="shared" si="187"/>
        <v>73</v>
      </c>
      <c r="CJ166">
        <f t="shared" si="187"/>
        <v>74</v>
      </c>
      <c r="CK166">
        <f t="shared" si="187"/>
        <v>75</v>
      </c>
      <c r="CL166">
        <f t="shared" si="187"/>
        <v>76</v>
      </c>
      <c r="CM166">
        <f t="shared" si="187"/>
        <v>77</v>
      </c>
      <c r="CN166">
        <f t="shared" si="187"/>
        <v>78</v>
      </c>
      <c r="CO166">
        <f t="shared" si="187"/>
        <v>79</v>
      </c>
      <c r="CP166">
        <f t="shared" si="187"/>
        <v>80</v>
      </c>
      <c r="CQ166">
        <f t="shared" si="187"/>
        <v>81</v>
      </c>
      <c r="CR166">
        <f t="shared" si="187"/>
        <v>82</v>
      </c>
      <c r="CS166">
        <f t="shared" si="187"/>
        <v>83</v>
      </c>
      <c r="CT166">
        <f t="shared" si="187"/>
        <v>84</v>
      </c>
      <c r="CU166">
        <f t="shared" si="187"/>
        <v>85</v>
      </c>
      <c r="CV166">
        <f t="shared" si="187"/>
        <v>86</v>
      </c>
      <c r="CW166">
        <f t="shared" si="187"/>
        <v>87</v>
      </c>
      <c r="CX166">
        <f t="shared" si="187"/>
        <v>88</v>
      </c>
      <c r="CY166">
        <f t="shared" si="187"/>
        <v>89</v>
      </c>
      <c r="CZ166">
        <f t="shared" si="187"/>
        <v>90</v>
      </c>
      <c r="DA166">
        <f t="shared" si="187"/>
        <v>91</v>
      </c>
    </row>
    <row r="167" spans="1:111" x14ac:dyDescent="0.4">
      <c r="C167">
        <f>C150+1</f>
        <v>2036</v>
      </c>
      <c r="D167" s="5" t="s">
        <v>434</v>
      </c>
      <c r="E167" s="5">
        <v>2027</v>
      </c>
      <c r="F167" s="5">
        <v>2028</v>
      </c>
      <c r="G167" s="5">
        <v>2029</v>
      </c>
      <c r="H167" s="5">
        <v>2030</v>
      </c>
      <c r="I167" s="5">
        <v>2031</v>
      </c>
      <c r="J167" s="5">
        <v>2032</v>
      </c>
      <c r="K167" s="5">
        <v>2033</v>
      </c>
      <c r="L167" s="5">
        <v>2034</v>
      </c>
      <c r="M167" s="5">
        <v>2035</v>
      </c>
      <c r="N167" s="5">
        <v>2036</v>
      </c>
      <c r="O167" s="5">
        <v>2037</v>
      </c>
      <c r="P167" s="5">
        <v>2038</v>
      </c>
      <c r="Q167" s="5">
        <v>2039</v>
      </c>
      <c r="R167" s="5">
        <v>2040</v>
      </c>
      <c r="S167" s="5">
        <v>2041</v>
      </c>
      <c r="T167" s="5">
        <v>2042</v>
      </c>
      <c r="U167" s="5">
        <v>2043</v>
      </c>
      <c r="V167" s="5">
        <v>2044</v>
      </c>
      <c r="W167" s="5">
        <v>2045</v>
      </c>
      <c r="X167" s="5">
        <v>2046</v>
      </c>
      <c r="Y167" s="5">
        <v>2047</v>
      </c>
      <c r="Z167" s="5">
        <v>2048</v>
      </c>
      <c r="AA167" s="5">
        <v>2049</v>
      </c>
      <c r="AB167" s="5">
        <v>2050</v>
      </c>
      <c r="AC167" s="5">
        <v>2051</v>
      </c>
      <c r="AD167" s="5">
        <v>2052</v>
      </c>
      <c r="AE167" s="5">
        <v>2053</v>
      </c>
      <c r="AF167" s="5">
        <v>2054</v>
      </c>
      <c r="AG167" s="5">
        <v>2055</v>
      </c>
      <c r="AH167" s="5">
        <v>2056</v>
      </c>
      <c r="AI167" s="5">
        <v>2057</v>
      </c>
      <c r="AJ167" s="5">
        <v>2058</v>
      </c>
      <c r="AK167" s="5">
        <v>2059</v>
      </c>
      <c r="AL167" s="5">
        <v>2060</v>
      </c>
      <c r="AM167" s="5">
        <v>2061</v>
      </c>
      <c r="AN167" s="5">
        <v>2062</v>
      </c>
      <c r="AO167" s="5">
        <v>2063</v>
      </c>
      <c r="AP167" s="5">
        <v>2064</v>
      </c>
      <c r="AQ167" s="5">
        <v>2065</v>
      </c>
      <c r="AR167" s="5">
        <v>2066</v>
      </c>
      <c r="AS167" s="5">
        <v>2067</v>
      </c>
      <c r="AT167" s="5">
        <v>2068</v>
      </c>
      <c r="AU167" s="5">
        <v>2069</v>
      </c>
      <c r="AV167" s="5">
        <v>2070</v>
      </c>
      <c r="AW167" s="5">
        <v>2071</v>
      </c>
      <c r="AX167" s="5">
        <v>2072</v>
      </c>
      <c r="AY167" s="5">
        <v>2073</v>
      </c>
      <c r="AZ167" s="5">
        <v>2074</v>
      </c>
      <c r="BA167" s="5">
        <v>2075</v>
      </c>
      <c r="BB167" s="5">
        <v>2076</v>
      </c>
      <c r="BC167" s="5">
        <v>2077</v>
      </c>
      <c r="BD167" s="5">
        <v>2078</v>
      </c>
      <c r="BE167" s="5">
        <v>2079</v>
      </c>
      <c r="BF167" s="5">
        <v>2080</v>
      </c>
      <c r="BG167" s="5">
        <v>2081</v>
      </c>
      <c r="BH167" s="5">
        <v>2082</v>
      </c>
      <c r="BI167" s="5">
        <v>2083</v>
      </c>
      <c r="BJ167" s="5">
        <v>2084</v>
      </c>
      <c r="BK167" s="5">
        <v>2085</v>
      </c>
      <c r="BL167" s="5">
        <v>2086</v>
      </c>
      <c r="BM167" s="5">
        <v>2087</v>
      </c>
      <c r="BN167" s="5">
        <v>2088</v>
      </c>
      <c r="BO167" s="5">
        <v>2089</v>
      </c>
      <c r="BP167" s="5">
        <v>2090</v>
      </c>
      <c r="BQ167" s="5">
        <v>2091</v>
      </c>
      <c r="BR167" s="5">
        <v>2092</v>
      </c>
      <c r="BS167" s="5">
        <v>2093</v>
      </c>
      <c r="BT167" s="5">
        <v>2094</v>
      </c>
      <c r="BU167" s="5">
        <v>2095</v>
      </c>
      <c r="BV167" s="5">
        <v>2096</v>
      </c>
      <c r="BW167" s="5">
        <v>2097</v>
      </c>
      <c r="BX167" s="5">
        <v>2098</v>
      </c>
      <c r="BY167" s="5">
        <v>2099</v>
      </c>
      <c r="BZ167" s="5">
        <v>2100</v>
      </c>
      <c r="CA167" s="5">
        <v>2101</v>
      </c>
      <c r="CB167" s="5">
        <v>2102</v>
      </c>
      <c r="CC167" s="5">
        <v>2103</v>
      </c>
      <c r="CD167" s="5">
        <v>2104</v>
      </c>
      <c r="CE167" s="5">
        <v>2105</v>
      </c>
      <c r="CF167" s="5">
        <v>2106</v>
      </c>
      <c r="CG167" s="5">
        <v>2107</v>
      </c>
      <c r="CH167" s="5">
        <v>2108</v>
      </c>
      <c r="CI167" s="5">
        <v>2109</v>
      </c>
      <c r="CJ167" s="5">
        <v>2110</v>
      </c>
      <c r="CK167" s="5">
        <v>2111</v>
      </c>
      <c r="CL167" s="5">
        <v>2112</v>
      </c>
      <c r="CM167" s="5">
        <v>2113</v>
      </c>
      <c r="CN167" s="5">
        <v>2114</v>
      </c>
      <c r="CO167" s="5">
        <v>2115</v>
      </c>
      <c r="CP167" s="5">
        <v>2116</v>
      </c>
      <c r="CQ167" s="5">
        <v>2117</v>
      </c>
      <c r="CR167" s="5">
        <v>2118</v>
      </c>
      <c r="CS167" s="5">
        <v>2119</v>
      </c>
      <c r="CT167" s="5">
        <v>2120</v>
      </c>
      <c r="CU167" s="5">
        <v>2121</v>
      </c>
      <c r="CV167" s="5">
        <v>2122</v>
      </c>
      <c r="CW167" s="5">
        <v>2123</v>
      </c>
      <c r="CX167" s="5">
        <v>2124</v>
      </c>
      <c r="CY167" s="5">
        <v>2125</v>
      </c>
      <c r="CZ167" s="5">
        <v>2126</v>
      </c>
      <c r="DA167" s="5">
        <v>2127</v>
      </c>
    </row>
    <row r="168" spans="1:111" x14ac:dyDescent="0.4">
      <c r="A168" s="45"/>
      <c r="D168" t="s">
        <v>207</v>
      </c>
      <c r="O168" s="8">
        <f>IF(O$13&lt;=$B$3,O169/$B$3,0)</f>
        <v>87875.64762065385</v>
      </c>
      <c r="P168" s="8">
        <f>IF(P166&lt;=$B$3,O168,0)</f>
        <v>87875.64762065385</v>
      </c>
      <c r="Q168" s="8">
        <f t="shared" ref="Q168:CB168" si="188">IF(Q166&lt;=$B$3,P168,0)</f>
        <v>87875.64762065385</v>
      </c>
      <c r="R168" s="8">
        <f t="shared" si="188"/>
        <v>87875.64762065385</v>
      </c>
      <c r="S168" s="8">
        <f t="shared" si="188"/>
        <v>87875.64762065385</v>
      </c>
      <c r="T168" s="8">
        <f t="shared" si="188"/>
        <v>87875.64762065385</v>
      </c>
      <c r="U168" s="8">
        <f t="shared" si="188"/>
        <v>87875.64762065385</v>
      </c>
      <c r="V168" s="8">
        <f t="shared" si="188"/>
        <v>87875.64762065385</v>
      </c>
      <c r="W168" s="8">
        <f t="shared" si="188"/>
        <v>87875.64762065385</v>
      </c>
      <c r="X168" s="8">
        <f t="shared" si="188"/>
        <v>87875.64762065385</v>
      </c>
      <c r="Y168" s="8">
        <f t="shared" si="188"/>
        <v>87875.64762065385</v>
      </c>
      <c r="Z168" s="8">
        <f t="shared" si="188"/>
        <v>87875.64762065385</v>
      </c>
      <c r="AA168" s="8">
        <f t="shared" si="188"/>
        <v>87875.64762065385</v>
      </c>
      <c r="AB168" s="8">
        <f t="shared" si="188"/>
        <v>87875.64762065385</v>
      </c>
      <c r="AC168" s="8">
        <f t="shared" si="188"/>
        <v>87875.64762065385</v>
      </c>
      <c r="AD168" s="8">
        <f t="shared" si="188"/>
        <v>87875.64762065385</v>
      </c>
      <c r="AE168" s="8">
        <f t="shared" si="188"/>
        <v>87875.64762065385</v>
      </c>
      <c r="AF168" s="8">
        <f t="shared" si="188"/>
        <v>87875.64762065385</v>
      </c>
      <c r="AG168" s="8">
        <f t="shared" si="188"/>
        <v>87875.64762065385</v>
      </c>
      <c r="AH168" s="8">
        <f t="shared" si="188"/>
        <v>87875.64762065385</v>
      </c>
      <c r="AI168" s="8">
        <f t="shared" si="188"/>
        <v>87875.64762065385</v>
      </c>
      <c r="AJ168" s="8">
        <f t="shared" si="188"/>
        <v>87875.64762065385</v>
      </c>
      <c r="AK168" s="8">
        <f t="shared" si="188"/>
        <v>87875.64762065385</v>
      </c>
      <c r="AL168" s="8">
        <f t="shared" si="188"/>
        <v>87875.64762065385</v>
      </c>
      <c r="AM168" s="8">
        <f t="shared" si="188"/>
        <v>87875.64762065385</v>
      </c>
      <c r="AN168" s="8">
        <f t="shared" si="188"/>
        <v>87875.64762065385</v>
      </c>
      <c r="AO168" s="8">
        <f t="shared" si="188"/>
        <v>87875.64762065385</v>
      </c>
      <c r="AP168" s="8">
        <f t="shared" si="188"/>
        <v>87875.64762065385</v>
      </c>
      <c r="AQ168" s="8">
        <f t="shared" si="188"/>
        <v>87875.64762065385</v>
      </c>
      <c r="AR168" s="8">
        <f t="shared" si="188"/>
        <v>87875.64762065385</v>
      </c>
      <c r="AS168" s="8">
        <f t="shared" si="188"/>
        <v>87875.64762065385</v>
      </c>
      <c r="AT168" s="8">
        <f t="shared" si="188"/>
        <v>87875.64762065385</v>
      </c>
      <c r="AU168" s="8">
        <f t="shared" si="188"/>
        <v>87875.64762065385</v>
      </c>
      <c r="AV168" s="8">
        <f t="shared" si="188"/>
        <v>87875.64762065385</v>
      </c>
      <c r="AW168" s="8">
        <f t="shared" si="188"/>
        <v>87875.64762065385</v>
      </c>
      <c r="AX168" s="8">
        <f t="shared" si="188"/>
        <v>87875.64762065385</v>
      </c>
      <c r="AY168" s="8">
        <f t="shared" si="188"/>
        <v>87875.64762065385</v>
      </c>
      <c r="AZ168" s="8">
        <f t="shared" si="188"/>
        <v>87875.64762065385</v>
      </c>
      <c r="BA168" s="8">
        <f t="shared" si="188"/>
        <v>87875.64762065385</v>
      </c>
      <c r="BB168" s="8">
        <f t="shared" si="188"/>
        <v>87875.64762065385</v>
      </c>
      <c r="BC168" s="8">
        <f t="shared" si="188"/>
        <v>87875.64762065385</v>
      </c>
      <c r="BD168" s="8">
        <f t="shared" si="188"/>
        <v>87875.64762065385</v>
      </c>
      <c r="BE168" s="8">
        <f t="shared" si="188"/>
        <v>87875.64762065385</v>
      </c>
      <c r="BF168" s="8">
        <f t="shared" si="188"/>
        <v>87875.64762065385</v>
      </c>
      <c r="BG168" s="8">
        <f t="shared" si="188"/>
        <v>87875.64762065385</v>
      </c>
      <c r="BH168" s="8">
        <f t="shared" si="188"/>
        <v>87875.64762065385</v>
      </c>
      <c r="BI168" s="8">
        <f t="shared" si="188"/>
        <v>87875.64762065385</v>
      </c>
      <c r="BJ168" s="8">
        <f t="shared" si="188"/>
        <v>87875.64762065385</v>
      </c>
      <c r="BK168" s="8">
        <f t="shared" si="188"/>
        <v>87875.64762065385</v>
      </c>
      <c r="BL168" s="8">
        <f t="shared" si="188"/>
        <v>87875.64762065385</v>
      </c>
      <c r="BM168" s="8">
        <f t="shared" si="188"/>
        <v>0</v>
      </c>
      <c r="BN168" s="8">
        <f t="shared" si="188"/>
        <v>0</v>
      </c>
      <c r="BO168" s="8">
        <f t="shared" si="188"/>
        <v>0</v>
      </c>
      <c r="BP168" s="8">
        <f t="shared" si="188"/>
        <v>0</v>
      </c>
      <c r="BQ168" s="8">
        <f t="shared" si="188"/>
        <v>0</v>
      </c>
      <c r="BR168" s="8">
        <f t="shared" si="188"/>
        <v>0</v>
      </c>
      <c r="BS168" s="8">
        <f t="shared" si="188"/>
        <v>0</v>
      </c>
      <c r="BT168" s="8">
        <f t="shared" si="188"/>
        <v>0</v>
      </c>
      <c r="BU168" s="8">
        <f t="shared" si="188"/>
        <v>0</v>
      </c>
      <c r="BV168" s="8">
        <f t="shared" si="188"/>
        <v>0</v>
      </c>
      <c r="BW168" s="8">
        <f t="shared" si="188"/>
        <v>0</v>
      </c>
      <c r="BX168" s="8">
        <f t="shared" si="188"/>
        <v>0</v>
      </c>
      <c r="BY168" s="8">
        <f t="shared" si="188"/>
        <v>0</v>
      </c>
      <c r="BZ168" s="8">
        <f t="shared" si="188"/>
        <v>0</v>
      </c>
      <c r="CA168" s="8">
        <f t="shared" si="188"/>
        <v>0</v>
      </c>
      <c r="CB168" s="8">
        <f t="shared" si="188"/>
        <v>0</v>
      </c>
      <c r="CC168" s="8">
        <f t="shared" ref="CC168:DA168" si="189">IF(CC166&lt;=$B$3,CB168,0)</f>
        <v>0</v>
      </c>
      <c r="CD168" s="8">
        <f t="shared" si="189"/>
        <v>0</v>
      </c>
      <c r="CE168" s="8">
        <f t="shared" si="189"/>
        <v>0</v>
      </c>
      <c r="CF168" s="8">
        <f t="shared" si="189"/>
        <v>0</v>
      </c>
      <c r="CG168" s="8">
        <f t="shared" si="189"/>
        <v>0</v>
      </c>
      <c r="CH168" s="8">
        <f t="shared" si="189"/>
        <v>0</v>
      </c>
      <c r="CI168" s="8">
        <f t="shared" si="189"/>
        <v>0</v>
      </c>
      <c r="CJ168" s="8">
        <f t="shared" si="189"/>
        <v>0</v>
      </c>
      <c r="CK168" s="8">
        <f t="shared" si="189"/>
        <v>0</v>
      </c>
      <c r="CL168" s="8">
        <f t="shared" si="189"/>
        <v>0</v>
      </c>
      <c r="CM168" s="8">
        <f t="shared" si="189"/>
        <v>0</v>
      </c>
      <c r="CN168" s="8">
        <f t="shared" si="189"/>
        <v>0</v>
      </c>
      <c r="CO168" s="8">
        <f t="shared" si="189"/>
        <v>0</v>
      </c>
      <c r="CP168" s="8">
        <f t="shared" si="189"/>
        <v>0</v>
      </c>
      <c r="CQ168" s="8">
        <f t="shared" si="189"/>
        <v>0</v>
      </c>
      <c r="CR168" s="8">
        <f t="shared" si="189"/>
        <v>0</v>
      </c>
      <c r="CS168" s="8">
        <f t="shared" si="189"/>
        <v>0</v>
      </c>
      <c r="CT168" s="8">
        <f t="shared" si="189"/>
        <v>0</v>
      </c>
      <c r="CU168" s="8">
        <f t="shared" si="189"/>
        <v>0</v>
      </c>
      <c r="CV168" s="8">
        <f t="shared" si="189"/>
        <v>0</v>
      </c>
      <c r="CW168" s="8">
        <f t="shared" si="189"/>
        <v>0</v>
      </c>
      <c r="CX168" s="8">
        <f t="shared" si="189"/>
        <v>0</v>
      </c>
      <c r="CY168" s="8">
        <f t="shared" si="189"/>
        <v>0</v>
      </c>
      <c r="CZ168" s="8">
        <f t="shared" si="189"/>
        <v>0</v>
      </c>
      <c r="DA168" s="8">
        <f t="shared" si="189"/>
        <v>0</v>
      </c>
      <c r="DB168" s="8"/>
      <c r="DC168" s="8"/>
      <c r="DD168" s="8"/>
      <c r="DE168" s="8"/>
      <c r="DF168" s="8"/>
      <c r="DG168" s="8"/>
    </row>
    <row r="169" spans="1:111" x14ac:dyDescent="0.4">
      <c r="D169" t="s">
        <v>154</v>
      </c>
      <c r="N169" s="8">
        <f>HLOOKUP(O167,$F$3:$O$10,7,0)</f>
        <v>4393782.3810326923</v>
      </c>
      <c r="O169" s="8">
        <f>IF(ROUND(N170,4)=-ROUND(N169,4),0,N169)</f>
        <v>4393782.3810326923</v>
      </c>
      <c r="P169" s="8">
        <f t="shared" ref="P169:CA169" si="190">IF(ROUND(O170,4)=-ROUND(O169,4),0,O169)</f>
        <v>4393782.3810326923</v>
      </c>
      <c r="Q169" s="8">
        <f t="shared" si="190"/>
        <v>4393782.3810326923</v>
      </c>
      <c r="R169" s="8">
        <f t="shared" si="190"/>
        <v>4393782.3810326923</v>
      </c>
      <c r="S169" s="8">
        <f t="shared" si="190"/>
        <v>4393782.3810326923</v>
      </c>
      <c r="T169" s="8">
        <f t="shared" si="190"/>
        <v>4393782.3810326923</v>
      </c>
      <c r="U169" s="8">
        <f t="shared" si="190"/>
        <v>4393782.3810326923</v>
      </c>
      <c r="V169" s="8">
        <f t="shared" si="190"/>
        <v>4393782.3810326923</v>
      </c>
      <c r="W169" s="8">
        <f t="shared" si="190"/>
        <v>4393782.3810326923</v>
      </c>
      <c r="X169" s="8">
        <f t="shared" si="190"/>
        <v>4393782.3810326923</v>
      </c>
      <c r="Y169" s="8">
        <f t="shared" si="190"/>
        <v>4393782.3810326923</v>
      </c>
      <c r="Z169" s="8">
        <f t="shared" si="190"/>
        <v>4393782.3810326923</v>
      </c>
      <c r="AA169" s="8">
        <f t="shared" si="190"/>
        <v>4393782.3810326923</v>
      </c>
      <c r="AB169" s="8">
        <f t="shared" si="190"/>
        <v>4393782.3810326923</v>
      </c>
      <c r="AC169" s="8">
        <f t="shared" si="190"/>
        <v>4393782.3810326923</v>
      </c>
      <c r="AD169" s="8">
        <f t="shared" si="190"/>
        <v>4393782.3810326923</v>
      </c>
      <c r="AE169" s="8">
        <f t="shared" si="190"/>
        <v>4393782.3810326923</v>
      </c>
      <c r="AF169" s="8">
        <f t="shared" si="190"/>
        <v>4393782.3810326923</v>
      </c>
      <c r="AG169" s="8">
        <f t="shared" si="190"/>
        <v>4393782.3810326923</v>
      </c>
      <c r="AH169" s="8">
        <f t="shared" si="190"/>
        <v>4393782.3810326923</v>
      </c>
      <c r="AI169" s="8">
        <f t="shared" si="190"/>
        <v>4393782.3810326923</v>
      </c>
      <c r="AJ169" s="8">
        <f t="shared" si="190"/>
        <v>4393782.3810326923</v>
      </c>
      <c r="AK169" s="8">
        <f t="shared" si="190"/>
        <v>4393782.3810326923</v>
      </c>
      <c r="AL169" s="8">
        <f t="shared" si="190"/>
        <v>4393782.3810326923</v>
      </c>
      <c r="AM169" s="8">
        <f t="shared" si="190"/>
        <v>4393782.3810326923</v>
      </c>
      <c r="AN169" s="8">
        <f t="shared" si="190"/>
        <v>4393782.3810326923</v>
      </c>
      <c r="AO169" s="8">
        <f t="shared" si="190"/>
        <v>4393782.3810326923</v>
      </c>
      <c r="AP169" s="8">
        <f t="shared" si="190"/>
        <v>4393782.3810326923</v>
      </c>
      <c r="AQ169" s="8">
        <f t="shared" si="190"/>
        <v>4393782.3810326923</v>
      </c>
      <c r="AR169" s="8">
        <f t="shared" si="190"/>
        <v>4393782.3810326923</v>
      </c>
      <c r="AS169" s="8">
        <f t="shared" si="190"/>
        <v>4393782.3810326923</v>
      </c>
      <c r="AT169" s="8">
        <f t="shared" si="190"/>
        <v>4393782.3810326923</v>
      </c>
      <c r="AU169" s="8">
        <f t="shared" si="190"/>
        <v>4393782.3810326923</v>
      </c>
      <c r="AV169" s="8">
        <f t="shared" si="190"/>
        <v>4393782.3810326923</v>
      </c>
      <c r="AW169" s="8">
        <f t="shared" si="190"/>
        <v>4393782.3810326923</v>
      </c>
      <c r="AX169" s="8">
        <f t="shared" si="190"/>
        <v>4393782.3810326923</v>
      </c>
      <c r="AY169" s="8">
        <f t="shared" si="190"/>
        <v>4393782.3810326923</v>
      </c>
      <c r="AZ169" s="8">
        <f t="shared" si="190"/>
        <v>4393782.3810326923</v>
      </c>
      <c r="BA169" s="8">
        <f t="shared" si="190"/>
        <v>4393782.3810326923</v>
      </c>
      <c r="BB169" s="8">
        <f t="shared" si="190"/>
        <v>4393782.3810326923</v>
      </c>
      <c r="BC169" s="8">
        <f t="shared" si="190"/>
        <v>4393782.3810326923</v>
      </c>
      <c r="BD169" s="8">
        <f t="shared" si="190"/>
        <v>4393782.3810326923</v>
      </c>
      <c r="BE169" s="8">
        <f t="shared" si="190"/>
        <v>4393782.3810326923</v>
      </c>
      <c r="BF169" s="8">
        <f t="shared" si="190"/>
        <v>4393782.3810326923</v>
      </c>
      <c r="BG169" s="8">
        <f t="shared" si="190"/>
        <v>4393782.3810326923</v>
      </c>
      <c r="BH169" s="8">
        <f t="shared" si="190"/>
        <v>4393782.3810326923</v>
      </c>
      <c r="BI169" s="8">
        <f t="shared" si="190"/>
        <v>4393782.3810326923</v>
      </c>
      <c r="BJ169" s="8">
        <f t="shared" si="190"/>
        <v>4393782.3810326923</v>
      </c>
      <c r="BK169" s="8">
        <f t="shared" si="190"/>
        <v>4393782.3810326923</v>
      </c>
      <c r="BL169" s="8">
        <f t="shared" si="190"/>
        <v>4393782.3810326923</v>
      </c>
      <c r="BM169" s="8">
        <f t="shared" si="190"/>
        <v>0</v>
      </c>
      <c r="BN169" s="8">
        <f t="shared" si="190"/>
        <v>0</v>
      </c>
      <c r="BO169" s="8">
        <f t="shared" si="190"/>
        <v>0</v>
      </c>
      <c r="BP169" s="8">
        <f t="shared" si="190"/>
        <v>0</v>
      </c>
      <c r="BQ169" s="8">
        <f t="shared" si="190"/>
        <v>0</v>
      </c>
      <c r="BR169" s="8">
        <f t="shared" si="190"/>
        <v>0</v>
      </c>
      <c r="BS169" s="8">
        <f t="shared" si="190"/>
        <v>0</v>
      </c>
      <c r="BT169" s="8">
        <f t="shared" si="190"/>
        <v>0</v>
      </c>
      <c r="BU169" s="8">
        <f t="shared" si="190"/>
        <v>0</v>
      </c>
      <c r="BV169" s="8">
        <f t="shared" si="190"/>
        <v>0</v>
      </c>
      <c r="BW169" s="8">
        <f t="shared" si="190"/>
        <v>0</v>
      </c>
      <c r="BX169" s="8">
        <f t="shared" si="190"/>
        <v>0</v>
      </c>
      <c r="BY169" s="8">
        <f t="shared" si="190"/>
        <v>0</v>
      </c>
      <c r="BZ169" s="8">
        <f t="shared" si="190"/>
        <v>0</v>
      </c>
      <c r="CA169" s="8">
        <f t="shared" si="190"/>
        <v>0</v>
      </c>
      <c r="CB169" s="8">
        <f t="shared" ref="CB169:DA169" si="191">IF(ROUND(CA170,4)=-ROUND(CA169,4),0,CA169)</f>
        <v>0</v>
      </c>
      <c r="CC169" s="8">
        <f t="shared" si="191"/>
        <v>0</v>
      </c>
      <c r="CD169" s="8">
        <f t="shared" si="191"/>
        <v>0</v>
      </c>
      <c r="CE169" s="8">
        <f t="shared" si="191"/>
        <v>0</v>
      </c>
      <c r="CF169" s="8">
        <f t="shared" si="191"/>
        <v>0</v>
      </c>
      <c r="CG169" s="8">
        <f t="shared" si="191"/>
        <v>0</v>
      </c>
      <c r="CH169" s="8">
        <f t="shared" si="191"/>
        <v>0</v>
      </c>
      <c r="CI169" s="8">
        <f t="shared" si="191"/>
        <v>0</v>
      </c>
      <c r="CJ169" s="8">
        <f t="shared" si="191"/>
        <v>0</v>
      </c>
      <c r="CK169" s="8">
        <f t="shared" si="191"/>
        <v>0</v>
      </c>
      <c r="CL169" s="8">
        <f t="shared" si="191"/>
        <v>0</v>
      </c>
      <c r="CM169" s="8">
        <f t="shared" si="191"/>
        <v>0</v>
      </c>
      <c r="CN169" s="8">
        <f t="shared" si="191"/>
        <v>0</v>
      </c>
      <c r="CO169" s="8">
        <f t="shared" si="191"/>
        <v>0</v>
      </c>
      <c r="CP169" s="8">
        <f t="shared" si="191"/>
        <v>0</v>
      </c>
      <c r="CQ169" s="8">
        <f t="shared" si="191"/>
        <v>0</v>
      </c>
      <c r="CR169" s="8">
        <f t="shared" si="191"/>
        <v>0</v>
      </c>
      <c r="CS169" s="8">
        <f t="shared" si="191"/>
        <v>0</v>
      </c>
      <c r="CT169" s="8">
        <f t="shared" si="191"/>
        <v>0</v>
      </c>
      <c r="CU169" s="8">
        <f t="shared" si="191"/>
        <v>0</v>
      </c>
      <c r="CV169" s="8">
        <f t="shared" si="191"/>
        <v>0</v>
      </c>
      <c r="CW169" s="8">
        <f t="shared" si="191"/>
        <v>0</v>
      </c>
      <c r="CX169" s="8">
        <f t="shared" si="191"/>
        <v>0</v>
      </c>
      <c r="CY169" s="8">
        <f t="shared" si="191"/>
        <v>0</v>
      </c>
      <c r="CZ169" s="8">
        <f t="shared" si="191"/>
        <v>0</v>
      </c>
      <c r="DA169" s="8">
        <f t="shared" si="191"/>
        <v>0</v>
      </c>
      <c r="DB169" s="8"/>
      <c r="DC169" s="8"/>
      <c r="DD169" s="8"/>
      <c r="DE169" s="8"/>
      <c r="DF169" s="8"/>
      <c r="DG169" s="8"/>
    </row>
    <row r="170" spans="1:111" x14ac:dyDescent="0.4">
      <c r="D170" t="s">
        <v>208</v>
      </c>
      <c r="N170" s="8"/>
      <c r="O170" s="8">
        <f>IF(O166&lt;=$B$3,-SUM($E168:O168),0)</f>
        <v>-87875.64762065385</v>
      </c>
      <c r="P170" s="8">
        <f>IF(P166&lt;=$B$3,-SUM($E168:P168),0)</f>
        <v>-175751.2952413077</v>
      </c>
      <c r="Q170" s="8">
        <f>IF(Q166&lt;=$B$3,-SUM($E168:Q168),0)</f>
        <v>-263626.94286196155</v>
      </c>
      <c r="R170" s="8">
        <f>IF(R166&lt;=$B$3,-SUM($E168:R168),0)</f>
        <v>-351502.5904826154</v>
      </c>
      <c r="S170" s="8">
        <f>IF(S166&lt;=$B$3,-SUM($E168:S168),0)</f>
        <v>-439378.23810326925</v>
      </c>
      <c r="T170" s="8">
        <f>IF(T166&lt;=$B$3,-SUM($E168:T168),0)</f>
        <v>-527253.8857239231</v>
      </c>
      <c r="U170" s="8">
        <f>IF(U166&lt;=$B$3,-SUM($E168:U168),0)</f>
        <v>-615129.53334457695</v>
      </c>
      <c r="V170" s="8">
        <f>IF(V166&lt;=$B$3,-SUM($E168:V168),0)</f>
        <v>-703005.1809652308</v>
      </c>
      <c r="W170" s="8">
        <f>IF(W166&lt;=$B$3,-SUM($E168:W168),0)</f>
        <v>-790880.82858588465</v>
      </c>
      <c r="X170" s="8">
        <f>IF(X166&lt;=$B$3,-SUM($E168:X168),0)</f>
        <v>-878756.4762065385</v>
      </c>
      <c r="Y170" s="8">
        <f>IF(Y166&lt;=$B$3,-SUM($E168:Y168),0)</f>
        <v>-966632.12382719235</v>
      </c>
      <c r="Z170" s="8">
        <f>IF(Z166&lt;=$B$3,-SUM($E168:Z168),0)</f>
        <v>-1054507.7714478462</v>
      </c>
      <c r="AA170" s="8">
        <f>IF(AA166&lt;=$B$3,-SUM($E168:AA168),0)</f>
        <v>-1142383.4190684999</v>
      </c>
      <c r="AB170" s="8">
        <f>IF(AB166&lt;=$B$3,-SUM($E168:AB168),0)</f>
        <v>-1230259.0666891537</v>
      </c>
      <c r="AC170" s="8">
        <f>IF(AC166&lt;=$B$3,-SUM($E168:AC168),0)</f>
        <v>-1318134.7143098074</v>
      </c>
      <c r="AD170" s="8">
        <f>IF(AD166&lt;=$B$3,-SUM($E168:AD168),0)</f>
        <v>-1406010.3619304611</v>
      </c>
      <c r="AE170" s="8">
        <f>IF(AE166&lt;=$B$3,-SUM($E168:AE168),0)</f>
        <v>-1493886.0095511149</v>
      </c>
      <c r="AF170" s="8">
        <f>IF(AF166&lt;=$B$3,-SUM($E168:AF168),0)</f>
        <v>-1581761.6571717686</v>
      </c>
      <c r="AG170" s="8">
        <f>IF(AG166&lt;=$B$3,-SUM($E168:AG168),0)</f>
        <v>-1669637.3047924223</v>
      </c>
      <c r="AH170" s="8">
        <f>IF(AH166&lt;=$B$3,-SUM($E168:AH168),0)</f>
        <v>-1757512.9524130761</v>
      </c>
      <c r="AI170" s="8">
        <f>IF(AI166&lt;=$B$3,-SUM($E168:AI168),0)</f>
        <v>-1845388.6000337298</v>
      </c>
      <c r="AJ170" s="8">
        <f>IF(AJ166&lt;=$B$3,-SUM($E168:AJ168),0)</f>
        <v>-1933264.2476543835</v>
      </c>
      <c r="AK170" s="8">
        <f>IF(AK166&lt;=$B$3,-SUM($E168:AK168),0)</f>
        <v>-2021139.8952750373</v>
      </c>
      <c r="AL170" s="8">
        <f>IF(AL166&lt;=$B$3,-SUM($E168:AL168),0)</f>
        <v>-2109015.542895691</v>
      </c>
      <c r="AM170" s="8">
        <f>IF(AM166&lt;=$B$3,-SUM($E168:AM168),0)</f>
        <v>-2196891.1905163447</v>
      </c>
      <c r="AN170" s="8">
        <f>IF(AN166&lt;=$B$3,-SUM($E168:AN168),0)</f>
        <v>-2284766.8381369985</v>
      </c>
      <c r="AO170" s="8">
        <f>IF(AO166&lt;=$B$3,-SUM($E168:AO168),0)</f>
        <v>-2372642.4857576522</v>
      </c>
      <c r="AP170" s="8">
        <f>IF(AP166&lt;=$B$3,-SUM($E168:AP168),0)</f>
        <v>-2460518.1333783059</v>
      </c>
      <c r="AQ170" s="8">
        <f>IF(AQ166&lt;=$B$3,-SUM($E168:AQ168),0)</f>
        <v>-2548393.7809989597</v>
      </c>
      <c r="AR170" s="8">
        <f>IF(AR166&lt;=$B$3,-SUM($E168:AR168),0)</f>
        <v>-2636269.4286196134</v>
      </c>
      <c r="AS170" s="8">
        <f>IF(AS166&lt;=$B$3,-SUM($E168:AS168),0)</f>
        <v>-2724145.0762402671</v>
      </c>
      <c r="AT170" s="8">
        <f>IF(AT166&lt;=$B$3,-SUM($E168:AT168),0)</f>
        <v>-2812020.7238609209</v>
      </c>
      <c r="AU170" s="8">
        <f>IF(AU166&lt;=$B$3,-SUM($E168:AU168),0)</f>
        <v>-2899896.3714815746</v>
      </c>
      <c r="AV170" s="8">
        <f>IF(AV166&lt;=$B$3,-SUM($E168:AV168),0)</f>
        <v>-2987772.0191022283</v>
      </c>
      <c r="AW170" s="8">
        <f>IF(AW166&lt;=$B$3,-SUM($E168:AW168),0)</f>
        <v>-3075647.6667228821</v>
      </c>
      <c r="AX170" s="8">
        <f>IF(AX166&lt;=$B$3,-SUM($E168:AX168),0)</f>
        <v>-3163523.3143435358</v>
      </c>
      <c r="AY170" s="8">
        <f>IF(AY166&lt;=$B$3,-SUM($E168:AY168),0)</f>
        <v>-3251398.9619641895</v>
      </c>
      <c r="AZ170" s="8">
        <f>IF(AZ166&lt;=$B$3,-SUM($E168:AZ168),0)</f>
        <v>-3339274.6095848433</v>
      </c>
      <c r="BA170" s="8">
        <f>IF(BA166&lt;=$B$3,-SUM($E168:BA168),0)</f>
        <v>-3427150.257205497</v>
      </c>
      <c r="BB170" s="8">
        <f>IF(BB166&lt;=$B$3,-SUM($E168:BB168),0)</f>
        <v>-3515025.9048261507</v>
      </c>
      <c r="BC170" s="8">
        <f>IF(BC166&lt;=$B$3,-SUM($E168:BC168),0)</f>
        <v>-3602901.5524468045</v>
      </c>
      <c r="BD170" s="8">
        <f>IF(BD166&lt;=$B$3,-SUM($E168:BD168),0)</f>
        <v>-3690777.2000674582</v>
      </c>
      <c r="BE170" s="8">
        <f>IF(BE166&lt;=$B$3,-SUM($E168:BE168),0)</f>
        <v>-3778652.8476881119</v>
      </c>
      <c r="BF170" s="8">
        <f>IF(BF166&lt;=$B$3,-SUM($E168:BF168),0)</f>
        <v>-3866528.4953087657</v>
      </c>
      <c r="BG170" s="8">
        <f>IF(BG166&lt;=$B$3,-SUM($E168:BG168),0)</f>
        <v>-3954404.1429294194</v>
      </c>
      <c r="BH170" s="8">
        <f>IF(BH166&lt;=$B$3,-SUM($E168:BH168),0)</f>
        <v>-4042279.7905500731</v>
      </c>
      <c r="BI170" s="8">
        <f>IF(BI166&lt;=$B$3,-SUM($E168:BI168),0)</f>
        <v>-4130155.4381707269</v>
      </c>
      <c r="BJ170" s="8">
        <f>IF(BJ166&lt;=$B$3,-SUM($E168:BJ168),0)</f>
        <v>-4218031.0857913811</v>
      </c>
      <c r="BK170" s="8">
        <f>IF(BK166&lt;=$B$3,-SUM($E168:BK168),0)</f>
        <v>-4305906.7334120348</v>
      </c>
      <c r="BL170" s="8">
        <f>IF(BL166&lt;=$B$3,-SUM($E168:BL168),0)</f>
        <v>-4393782.3810326885</v>
      </c>
      <c r="BM170" s="8">
        <f>IF(BM166&lt;=$B$3,-SUM($E168:BM168),0)</f>
        <v>0</v>
      </c>
      <c r="BN170" s="8">
        <f>IF(BN166&lt;=$B$3,-SUM($E168:BN168),0)</f>
        <v>0</v>
      </c>
      <c r="BO170" s="8">
        <f>IF(BO166&lt;=$B$3,-SUM($E168:BO168),0)</f>
        <v>0</v>
      </c>
      <c r="BP170" s="8">
        <f>IF(BP166&lt;=$B$3,-SUM($E168:BP168),0)</f>
        <v>0</v>
      </c>
      <c r="BQ170" s="8">
        <f>IF(BQ166&lt;=$B$3,-SUM($E168:BQ168),0)</f>
        <v>0</v>
      </c>
      <c r="BR170" s="8">
        <f>IF(BR166&lt;=$B$3,-SUM($E168:BR168),0)</f>
        <v>0</v>
      </c>
      <c r="BS170" s="8">
        <f>IF(BS166&lt;=$B$3,-SUM($E168:BS168),0)</f>
        <v>0</v>
      </c>
      <c r="BT170" s="8">
        <f>IF(BT166&lt;=$B$3,-SUM($E168:BT168),0)</f>
        <v>0</v>
      </c>
      <c r="BU170" s="8">
        <f>IF(BU166&lt;=$B$3,-SUM($E168:BU168),0)</f>
        <v>0</v>
      </c>
      <c r="BV170" s="8">
        <f>IF(BV166&lt;=$B$3,-SUM($E168:BV168),0)</f>
        <v>0</v>
      </c>
      <c r="BW170" s="8">
        <f>IF(BW166&lt;=$B$3,-SUM($E168:BW168),0)</f>
        <v>0</v>
      </c>
      <c r="BX170" s="8">
        <f>IF(BX166&lt;=$B$3,-SUM($E168:BX168),0)</f>
        <v>0</v>
      </c>
      <c r="BY170" s="8">
        <f>IF(BY166&lt;=$B$3,-SUM($E168:BY168),0)</f>
        <v>0</v>
      </c>
      <c r="BZ170" s="8">
        <f>IF(BZ166&lt;=$B$3,-SUM($E168:BZ168),0)</f>
        <v>0</v>
      </c>
      <c r="CA170" s="8">
        <f>IF(CA166&lt;=$B$3,-SUM($E168:CA168),0)</f>
        <v>0</v>
      </c>
      <c r="CB170" s="8">
        <f>IF(CB166&lt;=$B$3,-SUM($E168:CB168),0)</f>
        <v>0</v>
      </c>
      <c r="CC170" s="8">
        <f>IF(CC166&lt;=$B$3,-SUM($E168:CC168),0)</f>
        <v>0</v>
      </c>
      <c r="CD170" s="8">
        <f>IF(CD166&lt;=$B$3,-SUM($E168:CD168),0)</f>
        <v>0</v>
      </c>
      <c r="CE170" s="8">
        <f>IF(CE166&lt;=$B$3,-SUM($E168:CE168),0)</f>
        <v>0</v>
      </c>
      <c r="CF170" s="8">
        <f>IF(CF166&lt;=$B$3,-SUM($E168:CF168),0)</f>
        <v>0</v>
      </c>
      <c r="CG170" s="8">
        <f>IF(CG166&lt;=$B$3,-SUM($E168:CG168),0)</f>
        <v>0</v>
      </c>
      <c r="CH170" s="8">
        <f>IF(CH166&lt;=$B$3,-SUM($E168:CH168),0)</f>
        <v>0</v>
      </c>
      <c r="CI170" s="8">
        <f>IF(CI166&lt;=$B$3,-SUM($E168:CI168),0)</f>
        <v>0</v>
      </c>
      <c r="CJ170" s="8">
        <f>IF(CJ166&lt;=$B$3,-SUM($E168:CJ168),0)</f>
        <v>0</v>
      </c>
      <c r="CK170" s="8">
        <f>IF(CK166&lt;=$B$3,-SUM($E168:CK168),0)</f>
        <v>0</v>
      </c>
      <c r="CL170" s="8">
        <f>IF(CL166&lt;=$B$3,-SUM($E168:CL168),0)</f>
        <v>0</v>
      </c>
      <c r="CM170" s="8">
        <f>IF(CM166&lt;=$B$3,-SUM($E168:CM168),0)</f>
        <v>0</v>
      </c>
      <c r="CN170" s="8">
        <f>IF(CN166&lt;=$B$3,-SUM($E168:CN168),0)</f>
        <v>0</v>
      </c>
      <c r="CO170" s="8">
        <f>IF(CO166&lt;=$B$3,-SUM($E168:CO168),0)</f>
        <v>0</v>
      </c>
      <c r="CP170" s="8">
        <f>IF(CP166&lt;=$B$3,-SUM($E168:CP168),0)</f>
        <v>0</v>
      </c>
      <c r="CQ170" s="8">
        <f>IF(CQ166&lt;=$B$3,-SUM($E168:CQ168),0)</f>
        <v>0</v>
      </c>
      <c r="CR170" s="8">
        <f>IF(CR166&lt;=$B$3,-SUM($E168:CR168),0)</f>
        <v>0</v>
      </c>
      <c r="CS170" s="8">
        <f>IF(CS166&lt;=$B$3,-SUM($E168:CS168),0)</f>
        <v>0</v>
      </c>
      <c r="CT170" s="8">
        <f>IF(CT166&lt;=$B$3,-SUM($E168:CT168),0)</f>
        <v>0</v>
      </c>
      <c r="CU170" s="8">
        <f>IF(CU166&lt;=$B$3,-SUM($E168:CU168),0)</f>
        <v>0</v>
      </c>
      <c r="CV170" s="8">
        <f>IF(CV166&lt;=$B$3,-SUM($E168:CV168),0)</f>
        <v>0</v>
      </c>
      <c r="CW170" s="8">
        <f>IF(CW166&lt;=$B$3,-SUM($E168:CW168),0)</f>
        <v>0</v>
      </c>
      <c r="CX170" s="8">
        <f>IF(CX166&lt;=$B$3,-SUM($E168:CX168),0)</f>
        <v>0</v>
      </c>
      <c r="CY170" s="8">
        <f>IF(CY166&lt;=$B$3,-SUM($E168:CY168),0)</f>
        <v>0</v>
      </c>
      <c r="CZ170" s="8">
        <f>IF(CZ166&lt;=$B$3,-SUM($E168:CZ168),0)</f>
        <v>0</v>
      </c>
      <c r="DA170" s="8">
        <f>IF(DA166&lt;=$B$3,-SUM($E168:DA168),0)</f>
        <v>0</v>
      </c>
      <c r="DB170" s="8"/>
      <c r="DC170" s="8"/>
      <c r="DD170" s="8"/>
      <c r="DE170" s="8"/>
      <c r="DF170" s="8"/>
      <c r="DG170" s="8"/>
    </row>
    <row r="171" spans="1:111" x14ac:dyDescent="0.4">
      <c r="D171" t="s">
        <v>167</v>
      </c>
      <c r="N171" s="8"/>
      <c r="O171" s="8">
        <f>N172</f>
        <v>4393782.3810326923</v>
      </c>
      <c r="P171" s="8">
        <f t="shared" ref="P171:CA171" si="192">O172</f>
        <v>4305906.7334120385</v>
      </c>
      <c r="Q171" s="8">
        <f t="shared" si="192"/>
        <v>4218031.0857913848</v>
      </c>
      <c r="R171" s="8">
        <f t="shared" si="192"/>
        <v>4130155.4381707306</v>
      </c>
      <c r="S171" s="8">
        <f t="shared" si="192"/>
        <v>4042279.7905500769</v>
      </c>
      <c r="T171" s="8">
        <f t="shared" si="192"/>
        <v>3954404.1429294231</v>
      </c>
      <c r="U171" s="8">
        <f t="shared" si="192"/>
        <v>3866528.4953087689</v>
      </c>
      <c r="V171" s="8">
        <f t="shared" si="192"/>
        <v>3778652.8476881152</v>
      </c>
      <c r="W171" s="8">
        <f t="shared" si="192"/>
        <v>3690777.2000674615</v>
      </c>
      <c r="X171" s="8">
        <f t="shared" si="192"/>
        <v>3602901.5524468077</v>
      </c>
      <c r="Y171" s="8">
        <f t="shared" si="192"/>
        <v>3515025.904826154</v>
      </c>
      <c r="Z171" s="8">
        <f t="shared" si="192"/>
        <v>3427150.2572054998</v>
      </c>
      <c r="AA171" s="8">
        <f t="shared" si="192"/>
        <v>3339274.6095848461</v>
      </c>
      <c r="AB171" s="8">
        <f t="shared" si="192"/>
        <v>3251398.9619641923</v>
      </c>
      <c r="AC171" s="8">
        <f t="shared" si="192"/>
        <v>3163523.3143435386</v>
      </c>
      <c r="AD171" s="8">
        <f t="shared" si="192"/>
        <v>3075647.6667228849</v>
      </c>
      <c r="AE171" s="8">
        <f t="shared" si="192"/>
        <v>2987772.0191022311</v>
      </c>
      <c r="AF171" s="8">
        <f t="shared" si="192"/>
        <v>2899896.3714815774</v>
      </c>
      <c r="AG171" s="8">
        <f t="shared" si="192"/>
        <v>2812020.7238609237</v>
      </c>
      <c r="AH171" s="8">
        <f t="shared" si="192"/>
        <v>2724145.0762402699</v>
      </c>
      <c r="AI171" s="8">
        <f t="shared" si="192"/>
        <v>2636269.4286196162</v>
      </c>
      <c r="AJ171" s="8">
        <f t="shared" si="192"/>
        <v>2548393.7809989625</v>
      </c>
      <c r="AK171" s="8">
        <f t="shared" si="192"/>
        <v>2460518.1333783087</v>
      </c>
      <c r="AL171" s="8">
        <f t="shared" si="192"/>
        <v>2372642.485757655</v>
      </c>
      <c r="AM171" s="8">
        <f t="shared" si="192"/>
        <v>2284766.8381370013</v>
      </c>
      <c r="AN171" s="8">
        <f t="shared" si="192"/>
        <v>2196891.1905163475</v>
      </c>
      <c r="AO171" s="8">
        <f t="shared" si="192"/>
        <v>2109015.5428956938</v>
      </c>
      <c r="AP171" s="8">
        <f t="shared" si="192"/>
        <v>2021139.8952750401</v>
      </c>
      <c r="AQ171" s="8">
        <f t="shared" si="192"/>
        <v>1933264.2476543863</v>
      </c>
      <c r="AR171" s="8">
        <f t="shared" si="192"/>
        <v>1845388.6000337326</v>
      </c>
      <c r="AS171" s="8">
        <f t="shared" si="192"/>
        <v>1757512.9524130789</v>
      </c>
      <c r="AT171" s="8">
        <f t="shared" si="192"/>
        <v>1669637.3047924251</v>
      </c>
      <c r="AU171" s="8">
        <f t="shared" si="192"/>
        <v>1581761.6571717714</v>
      </c>
      <c r="AV171" s="8">
        <f t="shared" si="192"/>
        <v>1493886.0095511177</v>
      </c>
      <c r="AW171" s="8">
        <f t="shared" si="192"/>
        <v>1406010.3619304639</v>
      </c>
      <c r="AX171" s="8">
        <f t="shared" si="192"/>
        <v>1318134.7143098102</v>
      </c>
      <c r="AY171" s="8">
        <f t="shared" si="192"/>
        <v>1230259.0666891565</v>
      </c>
      <c r="AZ171" s="8">
        <f t="shared" si="192"/>
        <v>1142383.4190685027</v>
      </c>
      <c r="BA171" s="8">
        <f t="shared" si="192"/>
        <v>1054507.771447849</v>
      </c>
      <c r="BB171" s="8">
        <f t="shared" si="192"/>
        <v>966632.12382719526</v>
      </c>
      <c r="BC171" s="8">
        <f t="shared" si="192"/>
        <v>878756.47620654153</v>
      </c>
      <c r="BD171" s="8">
        <f t="shared" si="192"/>
        <v>790880.82858588779</v>
      </c>
      <c r="BE171" s="8">
        <f t="shared" si="192"/>
        <v>703005.18096523406</v>
      </c>
      <c r="BF171" s="8">
        <f t="shared" si="192"/>
        <v>615129.53334458033</v>
      </c>
      <c r="BG171" s="8">
        <f t="shared" si="192"/>
        <v>527253.88572392659</v>
      </c>
      <c r="BH171" s="8">
        <f t="shared" si="192"/>
        <v>439378.23810327286</v>
      </c>
      <c r="BI171" s="8">
        <f t="shared" si="192"/>
        <v>351502.59048261913</v>
      </c>
      <c r="BJ171" s="8">
        <f t="shared" si="192"/>
        <v>263626.94286196539</v>
      </c>
      <c r="BK171" s="8">
        <f t="shared" si="192"/>
        <v>175751.29524131119</v>
      </c>
      <c r="BL171" s="8">
        <f t="shared" si="192"/>
        <v>87875.647620657459</v>
      </c>
      <c r="BM171" s="8">
        <f t="shared" si="192"/>
        <v>0</v>
      </c>
      <c r="BN171" s="8">
        <f t="shared" si="192"/>
        <v>0</v>
      </c>
      <c r="BO171" s="8">
        <f t="shared" si="192"/>
        <v>0</v>
      </c>
      <c r="BP171" s="8">
        <f t="shared" si="192"/>
        <v>0</v>
      </c>
      <c r="BQ171" s="8">
        <f t="shared" si="192"/>
        <v>0</v>
      </c>
      <c r="BR171" s="8">
        <f t="shared" si="192"/>
        <v>0</v>
      </c>
      <c r="BS171" s="8">
        <f t="shared" si="192"/>
        <v>0</v>
      </c>
      <c r="BT171" s="8">
        <f t="shared" si="192"/>
        <v>0</v>
      </c>
      <c r="BU171" s="8">
        <f t="shared" si="192"/>
        <v>0</v>
      </c>
      <c r="BV171" s="8">
        <f t="shared" si="192"/>
        <v>0</v>
      </c>
      <c r="BW171" s="8">
        <f t="shared" si="192"/>
        <v>0</v>
      </c>
      <c r="BX171" s="8">
        <f t="shared" si="192"/>
        <v>0</v>
      </c>
      <c r="BY171" s="8">
        <f t="shared" si="192"/>
        <v>0</v>
      </c>
      <c r="BZ171" s="8">
        <f t="shared" si="192"/>
        <v>0</v>
      </c>
      <c r="CA171" s="8">
        <f t="shared" si="192"/>
        <v>0</v>
      </c>
      <c r="CB171" s="8">
        <f t="shared" ref="CB171:DA171" si="193">CA172</f>
        <v>0</v>
      </c>
      <c r="CC171" s="8">
        <f t="shared" si="193"/>
        <v>0</v>
      </c>
      <c r="CD171" s="8">
        <f t="shared" si="193"/>
        <v>0</v>
      </c>
      <c r="CE171" s="8">
        <f t="shared" si="193"/>
        <v>0</v>
      </c>
      <c r="CF171" s="8">
        <f t="shared" si="193"/>
        <v>0</v>
      </c>
      <c r="CG171" s="8">
        <f t="shared" si="193"/>
        <v>0</v>
      </c>
      <c r="CH171" s="8">
        <f t="shared" si="193"/>
        <v>0</v>
      </c>
      <c r="CI171" s="8">
        <f t="shared" si="193"/>
        <v>0</v>
      </c>
      <c r="CJ171" s="8">
        <f t="shared" si="193"/>
        <v>0</v>
      </c>
      <c r="CK171" s="8">
        <f t="shared" si="193"/>
        <v>0</v>
      </c>
      <c r="CL171" s="8">
        <f t="shared" si="193"/>
        <v>0</v>
      </c>
      <c r="CM171" s="8">
        <f t="shared" si="193"/>
        <v>0</v>
      </c>
      <c r="CN171" s="8">
        <f t="shared" si="193"/>
        <v>0</v>
      </c>
      <c r="CO171" s="8">
        <f t="shared" si="193"/>
        <v>0</v>
      </c>
      <c r="CP171" s="8">
        <f t="shared" si="193"/>
        <v>0</v>
      </c>
      <c r="CQ171" s="8">
        <f t="shared" si="193"/>
        <v>0</v>
      </c>
      <c r="CR171" s="8">
        <f t="shared" si="193"/>
        <v>0</v>
      </c>
      <c r="CS171" s="8">
        <f t="shared" si="193"/>
        <v>0</v>
      </c>
      <c r="CT171" s="8">
        <f t="shared" si="193"/>
        <v>0</v>
      </c>
      <c r="CU171" s="8">
        <f t="shared" si="193"/>
        <v>0</v>
      </c>
      <c r="CV171" s="8">
        <f t="shared" si="193"/>
        <v>0</v>
      </c>
      <c r="CW171" s="8">
        <f t="shared" si="193"/>
        <v>0</v>
      </c>
      <c r="CX171" s="8">
        <f t="shared" si="193"/>
        <v>0</v>
      </c>
      <c r="CY171" s="8">
        <f t="shared" si="193"/>
        <v>0</v>
      </c>
      <c r="CZ171" s="8">
        <f t="shared" si="193"/>
        <v>0</v>
      </c>
      <c r="DA171" s="8">
        <f t="shared" si="193"/>
        <v>0</v>
      </c>
      <c r="DB171" s="8"/>
      <c r="DC171" s="8"/>
      <c r="DD171" s="8"/>
      <c r="DE171" s="8"/>
      <c r="DF171" s="8"/>
      <c r="DG171" s="8"/>
    </row>
    <row r="172" spans="1:111" x14ac:dyDescent="0.4">
      <c r="D172" t="s">
        <v>168</v>
      </c>
      <c r="N172" s="8">
        <f>N169+N170</f>
        <v>4393782.3810326923</v>
      </c>
      <c r="O172" s="8">
        <f>O169+O170</f>
        <v>4305906.7334120385</v>
      </c>
      <c r="P172" s="8">
        <f t="shared" ref="P172:CA172" si="194">P169+P170</f>
        <v>4218031.0857913848</v>
      </c>
      <c r="Q172" s="8">
        <f t="shared" si="194"/>
        <v>4130155.4381707306</v>
      </c>
      <c r="R172" s="8">
        <f t="shared" si="194"/>
        <v>4042279.7905500769</v>
      </c>
      <c r="S172" s="8">
        <f t="shared" si="194"/>
        <v>3954404.1429294231</v>
      </c>
      <c r="T172" s="8">
        <f t="shared" si="194"/>
        <v>3866528.4953087689</v>
      </c>
      <c r="U172" s="8">
        <f t="shared" si="194"/>
        <v>3778652.8476881152</v>
      </c>
      <c r="V172" s="8">
        <f t="shared" si="194"/>
        <v>3690777.2000674615</v>
      </c>
      <c r="W172" s="8">
        <f t="shared" si="194"/>
        <v>3602901.5524468077</v>
      </c>
      <c r="X172" s="8">
        <f t="shared" si="194"/>
        <v>3515025.904826154</v>
      </c>
      <c r="Y172" s="8">
        <f t="shared" si="194"/>
        <v>3427150.2572054998</v>
      </c>
      <c r="Z172" s="8">
        <f t="shared" si="194"/>
        <v>3339274.6095848461</v>
      </c>
      <c r="AA172" s="8">
        <f t="shared" si="194"/>
        <v>3251398.9619641923</v>
      </c>
      <c r="AB172" s="8">
        <f t="shared" si="194"/>
        <v>3163523.3143435386</v>
      </c>
      <c r="AC172" s="8">
        <f t="shared" si="194"/>
        <v>3075647.6667228849</v>
      </c>
      <c r="AD172" s="8">
        <f t="shared" si="194"/>
        <v>2987772.0191022311</v>
      </c>
      <c r="AE172" s="8">
        <f t="shared" si="194"/>
        <v>2899896.3714815774</v>
      </c>
      <c r="AF172" s="8">
        <f t="shared" si="194"/>
        <v>2812020.7238609237</v>
      </c>
      <c r="AG172" s="8">
        <f t="shared" si="194"/>
        <v>2724145.0762402699</v>
      </c>
      <c r="AH172" s="8">
        <f t="shared" si="194"/>
        <v>2636269.4286196162</v>
      </c>
      <c r="AI172" s="8">
        <f t="shared" si="194"/>
        <v>2548393.7809989625</v>
      </c>
      <c r="AJ172" s="8">
        <f t="shared" si="194"/>
        <v>2460518.1333783087</v>
      </c>
      <c r="AK172" s="8">
        <f t="shared" si="194"/>
        <v>2372642.485757655</v>
      </c>
      <c r="AL172" s="8">
        <f t="shared" si="194"/>
        <v>2284766.8381370013</v>
      </c>
      <c r="AM172" s="8">
        <f t="shared" si="194"/>
        <v>2196891.1905163475</v>
      </c>
      <c r="AN172" s="8">
        <f t="shared" si="194"/>
        <v>2109015.5428956938</v>
      </c>
      <c r="AO172" s="8">
        <f t="shared" si="194"/>
        <v>2021139.8952750401</v>
      </c>
      <c r="AP172" s="8">
        <f t="shared" si="194"/>
        <v>1933264.2476543863</v>
      </c>
      <c r="AQ172" s="8">
        <f t="shared" si="194"/>
        <v>1845388.6000337326</v>
      </c>
      <c r="AR172" s="8">
        <f t="shared" si="194"/>
        <v>1757512.9524130789</v>
      </c>
      <c r="AS172" s="8">
        <f t="shared" si="194"/>
        <v>1669637.3047924251</v>
      </c>
      <c r="AT172" s="8">
        <f t="shared" si="194"/>
        <v>1581761.6571717714</v>
      </c>
      <c r="AU172" s="8">
        <f t="shared" si="194"/>
        <v>1493886.0095511177</v>
      </c>
      <c r="AV172" s="8">
        <f t="shared" si="194"/>
        <v>1406010.3619304639</v>
      </c>
      <c r="AW172" s="8">
        <f t="shared" si="194"/>
        <v>1318134.7143098102</v>
      </c>
      <c r="AX172" s="8">
        <f t="shared" si="194"/>
        <v>1230259.0666891565</v>
      </c>
      <c r="AY172" s="8">
        <f t="shared" si="194"/>
        <v>1142383.4190685027</v>
      </c>
      <c r="AZ172" s="8">
        <f t="shared" si="194"/>
        <v>1054507.771447849</v>
      </c>
      <c r="BA172" s="8">
        <f t="shared" si="194"/>
        <v>966632.12382719526</v>
      </c>
      <c r="BB172" s="8">
        <f t="shared" si="194"/>
        <v>878756.47620654153</v>
      </c>
      <c r="BC172" s="8">
        <f t="shared" si="194"/>
        <v>790880.82858588779</v>
      </c>
      <c r="BD172" s="8">
        <f t="shared" si="194"/>
        <v>703005.18096523406</v>
      </c>
      <c r="BE172" s="8">
        <f t="shared" si="194"/>
        <v>615129.53334458033</v>
      </c>
      <c r="BF172" s="8">
        <f t="shared" si="194"/>
        <v>527253.88572392659</v>
      </c>
      <c r="BG172" s="8">
        <f t="shared" si="194"/>
        <v>439378.23810327286</v>
      </c>
      <c r="BH172" s="8">
        <f t="shared" si="194"/>
        <v>351502.59048261913</v>
      </c>
      <c r="BI172" s="8">
        <f t="shared" si="194"/>
        <v>263626.94286196539</v>
      </c>
      <c r="BJ172" s="8">
        <f t="shared" si="194"/>
        <v>175751.29524131119</v>
      </c>
      <c r="BK172" s="8">
        <f t="shared" si="194"/>
        <v>87875.647620657459</v>
      </c>
      <c r="BL172" s="8">
        <f t="shared" si="194"/>
        <v>0</v>
      </c>
      <c r="BM172" s="8">
        <f t="shared" si="194"/>
        <v>0</v>
      </c>
      <c r="BN172" s="8">
        <f t="shared" si="194"/>
        <v>0</v>
      </c>
      <c r="BO172" s="8">
        <f t="shared" si="194"/>
        <v>0</v>
      </c>
      <c r="BP172" s="8">
        <f t="shared" si="194"/>
        <v>0</v>
      </c>
      <c r="BQ172" s="8">
        <f t="shared" si="194"/>
        <v>0</v>
      </c>
      <c r="BR172" s="8">
        <f t="shared" si="194"/>
        <v>0</v>
      </c>
      <c r="BS172" s="8">
        <f t="shared" si="194"/>
        <v>0</v>
      </c>
      <c r="BT172" s="8">
        <f t="shared" si="194"/>
        <v>0</v>
      </c>
      <c r="BU172" s="8">
        <f t="shared" si="194"/>
        <v>0</v>
      </c>
      <c r="BV172" s="8">
        <f t="shared" si="194"/>
        <v>0</v>
      </c>
      <c r="BW172" s="8">
        <f t="shared" si="194"/>
        <v>0</v>
      </c>
      <c r="BX172" s="8">
        <f t="shared" si="194"/>
        <v>0</v>
      </c>
      <c r="BY172" s="8">
        <f t="shared" si="194"/>
        <v>0</v>
      </c>
      <c r="BZ172" s="8">
        <f t="shared" si="194"/>
        <v>0</v>
      </c>
      <c r="CA172" s="8">
        <f t="shared" si="194"/>
        <v>0</v>
      </c>
      <c r="CB172" s="8">
        <f t="shared" ref="CB172:DA172" si="195">CB169+CB170</f>
        <v>0</v>
      </c>
      <c r="CC172" s="8">
        <f t="shared" si="195"/>
        <v>0</v>
      </c>
      <c r="CD172" s="8">
        <f t="shared" si="195"/>
        <v>0</v>
      </c>
      <c r="CE172" s="8">
        <f t="shared" si="195"/>
        <v>0</v>
      </c>
      <c r="CF172" s="8">
        <f t="shared" si="195"/>
        <v>0</v>
      </c>
      <c r="CG172" s="8">
        <f t="shared" si="195"/>
        <v>0</v>
      </c>
      <c r="CH172" s="8">
        <f t="shared" si="195"/>
        <v>0</v>
      </c>
      <c r="CI172" s="8">
        <f t="shared" si="195"/>
        <v>0</v>
      </c>
      <c r="CJ172" s="8">
        <f t="shared" si="195"/>
        <v>0</v>
      </c>
      <c r="CK172" s="8">
        <f t="shared" si="195"/>
        <v>0</v>
      </c>
      <c r="CL172" s="8">
        <f t="shared" si="195"/>
        <v>0</v>
      </c>
      <c r="CM172" s="8">
        <f t="shared" si="195"/>
        <v>0</v>
      </c>
      <c r="CN172" s="8">
        <f t="shared" si="195"/>
        <v>0</v>
      </c>
      <c r="CO172" s="8">
        <f t="shared" si="195"/>
        <v>0</v>
      </c>
      <c r="CP172" s="8">
        <f t="shared" si="195"/>
        <v>0</v>
      </c>
      <c r="CQ172" s="8">
        <f t="shared" si="195"/>
        <v>0</v>
      </c>
      <c r="CR172" s="8">
        <f t="shared" si="195"/>
        <v>0</v>
      </c>
      <c r="CS172" s="8">
        <f t="shared" si="195"/>
        <v>0</v>
      </c>
      <c r="CT172" s="8">
        <f t="shared" si="195"/>
        <v>0</v>
      </c>
      <c r="CU172" s="8">
        <f t="shared" si="195"/>
        <v>0</v>
      </c>
      <c r="CV172" s="8">
        <f t="shared" si="195"/>
        <v>0</v>
      </c>
      <c r="CW172" s="8">
        <f t="shared" si="195"/>
        <v>0</v>
      </c>
      <c r="CX172" s="8">
        <f t="shared" si="195"/>
        <v>0</v>
      </c>
      <c r="CY172" s="8">
        <f t="shared" si="195"/>
        <v>0</v>
      </c>
      <c r="CZ172" s="8">
        <f t="shared" si="195"/>
        <v>0</v>
      </c>
      <c r="DA172" s="8">
        <f t="shared" si="195"/>
        <v>0</v>
      </c>
      <c r="DB172" s="8"/>
      <c r="DC172" s="8"/>
      <c r="DD172" s="8"/>
      <c r="DE172" s="8"/>
      <c r="DF172" s="8"/>
      <c r="DG172" s="8"/>
    </row>
    <row r="173" spans="1:111" x14ac:dyDescent="0.4"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8"/>
      <c r="DD173" s="8"/>
      <c r="DE173" s="8"/>
      <c r="DF173" s="8"/>
      <c r="DG173" s="8"/>
    </row>
    <row r="174" spans="1:111" x14ac:dyDescent="0.4">
      <c r="D174" t="s">
        <v>169</v>
      </c>
      <c r="N174" s="8"/>
      <c r="O174" s="8">
        <f>IF(O166&lt;=$B$4+1,O169*VLOOKUP(O166,Assumptions!$A$70:$B$90,2,0),0)</f>
        <v>164766.83928872595</v>
      </c>
      <c r="P174" s="8">
        <f>IF(P166&lt;=$B$4+1,P169*VLOOKUP(P166,Assumptions!$A$70:$B$90,2,0),0)</f>
        <v>317187.1500867501</v>
      </c>
      <c r="Q174" s="8">
        <f>IF(Q166&lt;=$B$4+1,Q169*VLOOKUP(Q166,Assumptions!$A$70:$B$90,2,0),0)</f>
        <v>293372.84958155284</v>
      </c>
      <c r="R174" s="8">
        <f>IF(R166&lt;=$B$4+1,R169*VLOOKUP(R166,Assumptions!$A$70:$B$90,2,0),0)</f>
        <v>271403.93767638941</v>
      </c>
      <c r="S174" s="8">
        <f>IF(S166&lt;=$B$4+1,S169*VLOOKUP(S166,Assumptions!$A$70:$B$90,2,0),0)</f>
        <v>251016.78742839771</v>
      </c>
      <c r="T174" s="8">
        <f>IF(T166&lt;=$B$4+1,T169*VLOOKUP(T166,Assumptions!$A$70:$B$90,2,0),0)</f>
        <v>232211.39883757778</v>
      </c>
      <c r="U174" s="8">
        <f>IF(U166&lt;=$B$4+1,U169*VLOOKUP(U166,Assumptions!$A$70:$B$90,2,0),0)</f>
        <v>214768.082784878</v>
      </c>
      <c r="V174" s="8">
        <f>IF(V166&lt;=$B$4+1,V169*VLOOKUP(V166,Assumptions!$A$70:$B$90,2,0),0)</f>
        <v>198686.83927029837</v>
      </c>
      <c r="W174" s="8">
        <f>IF(W166&lt;=$B$4+1,W169*VLOOKUP(W166,Assumptions!$A$70:$B$90,2,0),0)</f>
        <v>196050.56984167872</v>
      </c>
      <c r="X174" s="8">
        <f>IF(X166&lt;=$B$4+1,X169*VLOOKUP(X166,Assumptions!$A$70:$B$90,2,0),0)</f>
        <v>196006.6320178684</v>
      </c>
      <c r="Y174" s="8">
        <f>IF(Y166&lt;=$B$4+1,Y169*VLOOKUP(Y166,Assumptions!$A$70:$B$90,2,0),0)</f>
        <v>196050.56984167872</v>
      </c>
      <c r="Z174" s="8">
        <f>IF(Z166&lt;=$B$4+1,Z169*VLOOKUP(Z166,Assumptions!$A$70:$B$90,2,0),0)</f>
        <v>196006.6320178684</v>
      </c>
      <c r="AA174" s="8">
        <f>IF(AA166&lt;=$B$4+1,AA169*VLOOKUP(AA166,Assumptions!$A$70:$B$90,2,0),0)</f>
        <v>196050.56984167872</v>
      </c>
      <c r="AB174" s="8">
        <f>IF(AB166&lt;=$B$4+1,AB169*VLOOKUP(AB166,Assumptions!$A$70:$B$90,2,0),0)</f>
        <v>196006.6320178684</v>
      </c>
      <c r="AC174" s="8">
        <f>IF(AC166&lt;=$B$4+1,AC169*VLOOKUP(AC166,Assumptions!$A$70:$B$90,2,0),0)</f>
        <v>196050.56984167872</v>
      </c>
      <c r="AD174" s="8">
        <f>IF(AD166&lt;=$B$4+1,AD169*VLOOKUP(AD166,Assumptions!$A$70:$B$90,2,0),0)</f>
        <v>196006.6320178684</v>
      </c>
      <c r="AE174" s="8">
        <f>IF(AE166&lt;=$B$4+1,AE169*VLOOKUP(AE166,Assumptions!$A$70:$B$90,2,0),0)</f>
        <v>196050.56984167872</v>
      </c>
      <c r="AF174" s="8">
        <f>IF(AF166&lt;=$B$4+1,AF169*VLOOKUP(AF166,Assumptions!$A$70:$B$90,2,0),0)</f>
        <v>196006.6320178684</v>
      </c>
      <c r="AG174" s="8">
        <f>IF(AG166&lt;=$B$4+1,AG169*VLOOKUP(AG166,Assumptions!$A$70:$B$90,2,0),0)</f>
        <v>196050.56984167872</v>
      </c>
      <c r="AH174" s="8">
        <f>IF(AH166&lt;=$B$4+1,AH169*VLOOKUP(AH166,Assumptions!$A$70:$B$90,2,0),0)</f>
        <v>196006.6320178684</v>
      </c>
      <c r="AI174" s="8">
        <f>IF(AI166&lt;=$B$4+1,AI169*VLOOKUP(AI166,Assumptions!$A$70:$B$90,2,0),0)</f>
        <v>98025.28492083936</v>
      </c>
      <c r="AJ174" s="8">
        <f>IF(AJ166&lt;=$B$4+1,AJ169*VLOOKUP(AJ166,Assumptions!$A$70:$B$90,2,0),0)</f>
        <v>0</v>
      </c>
      <c r="AK174" s="8">
        <f>IF(AK166&lt;=$B$4+1,AK169*VLOOKUP(AK166,Assumptions!$A$70:$B$90,2,0),0)</f>
        <v>0</v>
      </c>
      <c r="AL174" s="8">
        <f>IF(AL166&lt;=$B$4+1,AL169*VLOOKUP(AL166,Assumptions!$A$70:$B$90,2,0),0)</f>
        <v>0</v>
      </c>
      <c r="AM174" s="8">
        <f>IF(AM166&lt;=$B$4+1,AM169*VLOOKUP(AM166,Assumptions!$A$70:$B$90,2,0),0)</f>
        <v>0</v>
      </c>
      <c r="AN174" s="8">
        <f>IF(AN166&lt;=$B$4+1,AN169*VLOOKUP(AN166,Assumptions!$A$70:$B$90,2,0),0)</f>
        <v>0</v>
      </c>
      <c r="AO174" s="8">
        <f>IF(AO166&lt;=$B$4+1,AO169*VLOOKUP(AO166,Assumptions!$A$70:$B$90,2,0),0)</f>
        <v>0</v>
      </c>
      <c r="AP174" s="8">
        <f>IF(AP166&lt;=$B$4+1,AP169*VLOOKUP(AP166,Assumptions!$A$70:$B$90,2,0),0)</f>
        <v>0</v>
      </c>
      <c r="AQ174" s="8">
        <f>IF(AQ166&lt;=$B$4+1,AQ169*VLOOKUP(AQ166,Assumptions!$A$70:$B$90,2,0),0)</f>
        <v>0</v>
      </c>
      <c r="AR174" s="8">
        <f>IF(AR166&lt;=$B$4+1,AR169*VLOOKUP(AR166,Assumptions!$A$70:$B$90,2,0),0)</f>
        <v>0</v>
      </c>
      <c r="AS174" s="8">
        <f>IF(AS166&lt;=$B$4+1,AS169*VLOOKUP(AS166,Assumptions!$A$70:$B$90,2,0),0)</f>
        <v>0</v>
      </c>
      <c r="AT174" s="8">
        <f>IF(AT166&lt;=$B$4+1,AT169*VLOOKUP(AT166,Assumptions!$A$70:$B$90,2,0),0)</f>
        <v>0</v>
      </c>
      <c r="AU174" s="8">
        <f>IF(AU166&lt;=$B$4+1,AU169*VLOOKUP(AU166,Assumptions!$A$70:$B$90,2,0),0)</f>
        <v>0</v>
      </c>
      <c r="AV174" s="8">
        <f>IF(AV166&lt;=$B$4+1,AV169*VLOOKUP(AV166,Assumptions!$A$70:$B$90,2,0),0)</f>
        <v>0</v>
      </c>
      <c r="AW174" s="8">
        <f>IF(AW166&lt;=$B$4+1,AW169*VLOOKUP(AW166,Assumptions!$A$70:$B$90,2,0),0)</f>
        <v>0</v>
      </c>
      <c r="AX174" s="8">
        <f>IF(AX166&lt;=$B$4+1,AX169*VLOOKUP(AX166,Assumptions!$A$70:$B$90,2,0),0)</f>
        <v>0</v>
      </c>
      <c r="AY174" s="8">
        <f>IF(AY166&lt;=$B$4+1,AY169*VLOOKUP(AY166,Assumptions!$A$70:$B$90,2,0),0)</f>
        <v>0</v>
      </c>
      <c r="AZ174" s="8">
        <f>IF(AZ166&lt;=$B$4+1,AZ169*VLOOKUP(AZ166,Assumptions!$A$70:$B$90,2,0),0)</f>
        <v>0</v>
      </c>
      <c r="BA174" s="8">
        <f>IF(BA166&lt;=$B$4+1,BA169*VLOOKUP(BA166,Assumptions!$A$70:$B$90,2,0),0)</f>
        <v>0</v>
      </c>
      <c r="BB174" s="8">
        <f>IF(BB166&lt;=$B$4+1,BB169*VLOOKUP(BB166,Assumptions!$A$70:$B$90,2,0),0)</f>
        <v>0</v>
      </c>
      <c r="BC174" s="8">
        <f>IF(BC166&lt;=$B$4+1,BC169*VLOOKUP(BC166,Assumptions!$A$70:$B$90,2,0),0)</f>
        <v>0</v>
      </c>
      <c r="BD174" s="8">
        <f>IF(BD166&lt;=$B$4+1,BD169*VLOOKUP(BD166,Assumptions!$A$70:$B$90,2,0),0)</f>
        <v>0</v>
      </c>
      <c r="BE174" s="8">
        <f>IF(BE166&lt;=$B$4+1,BE169*VLOOKUP(BE166,Assumptions!$A$70:$B$90,2,0),0)</f>
        <v>0</v>
      </c>
      <c r="BF174" s="8">
        <f>IF(BF166&lt;=$B$4+1,BF169*VLOOKUP(BF166,Assumptions!$A$70:$B$90,2,0),0)</f>
        <v>0</v>
      </c>
      <c r="BG174" s="8">
        <f>IF(BG166&lt;=$B$4+1,BG169*VLOOKUP(BG166,Assumptions!$A$70:$B$90,2,0),0)</f>
        <v>0</v>
      </c>
      <c r="BH174" s="8">
        <f>IF(BH166&lt;=$B$4+1,BH169*VLOOKUP(BH166,Assumptions!$A$70:$B$90,2,0),0)</f>
        <v>0</v>
      </c>
      <c r="BI174" s="8">
        <f>IF(BI166&lt;=$B$4+1,BI169*VLOOKUP(BI166,Assumptions!$A$70:$B$90,2,0),0)</f>
        <v>0</v>
      </c>
      <c r="BJ174" s="8">
        <f>IF(BJ166&lt;=$B$4+1,BJ169*VLOOKUP(BJ166,Assumptions!$A$70:$B$90,2,0),0)</f>
        <v>0</v>
      </c>
      <c r="BK174" s="8">
        <f>IF(BK166&lt;=$B$4+1,BK169*VLOOKUP(BK166,Assumptions!$A$70:$B$90,2,0),0)</f>
        <v>0</v>
      </c>
      <c r="BL174" s="8">
        <f>IF(BL166&lt;=$B$4+1,BL169*VLOOKUP(BL166,Assumptions!$A$70:$B$90,2,0),0)</f>
        <v>0</v>
      </c>
      <c r="BM174" s="8">
        <f>IF(BM166&lt;=$B$4+1,BM169*VLOOKUP(BM166,Assumptions!$A$70:$B$90,2,0),0)</f>
        <v>0</v>
      </c>
      <c r="BN174" s="8">
        <f>IF(BN166&lt;=$B$4+1,BN169*VLOOKUP(BN166,Assumptions!$A$70:$B$90,2,0),0)</f>
        <v>0</v>
      </c>
      <c r="BO174" s="8">
        <f>IF(BO166&lt;=$B$4+1,BO169*VLOOKUP(BO166,Assumptions!$A$70:$B$90,2,0),0)</f>
        <v>0</v>
      </c>
      <c r="BP174" s="8">
        <f>IF(BP166&lt;=$B$4+1,BP169*VLOOKUP(BP166,Assumptions!$A$70:$B$90,2,0),0)</f>
        <v>0</v>
      </c>
      <c r="BQ174" s="8">
        <f>IF(BQ166&lt;=$B$4+1,BQ169*VLOOKUP(BQ166,Assumptions!$A$70:$B$90,2,0),0)</f>
        <v>0</v>
      </c>
      <c r="BR174" s="8">
        <f>IF(BR166&lt;=$B$4+1,BR169*VLOOKUP(BR166,Assumptions!$A$70:$B$90,2,0),0)</f>
        <v>0</v>
      </c>
      <c r="BS174" s="8">
        <f>IF(BS166&lt;=$B$4+1,BS169*VLOOKUP(BS166,Assumptions!$A$70:$B$90,2,0),0)</f>
        <v>0</v>
      </c>
      <c r="BT174" s="8">
        <f>IF(BT166&lt;=$B$4+1,BT169*VLOOKUP(BT166,Assumptions!$A$70:$B$90,2,0),0)</f>
        <v>0</v>
      </c>
      <c r="BU174" s="8">
        <f>IF(BU166&lt;=$B$4+1,BU169*VLOOKUP(BU166,Assumptions!$A$70:$B$90,2,0),0)</f>
        <v>0</v>
      </c>
      <c r="BV174" s="8">
        <f>IF(BV166&lt;=$B$4+1,BV169*VLOOKUP(BV166,Assumptions!$A$70:$B$90,2,0),0)</f>
        <v>0</v>
      </c>
      <c r="BW174" s="8">
        <f>IF(BW166&lt;=$B$4+1,BW169*VLOOKUP(BW166,Assumptions!$A$70:$B$90,2,0),0)</f>
        <v>0</v>
      </c>
      <c r="BX174" s="8">
        <f>IF(BX166&lt;=$B$4+1,BX169*VLOOKUP(BX166,Assumptions!$A$70:$B$90,2,0),0)</f>
        <v>0</v>
      </c>
      <c r="BY174" s="8">
        <f>IF(BY166&lt;=$B$4+1,BY169*VLOOKUP(BY166,Assumptions!$A$70:$B$90,2,0),0)</f>
        <v>0</v>
      </c>
      <c r="BZ174" s="8">
        <f>IF(BZ166&lt;=$B$4+1,BZ169*VLOOKUP(BZ166,Assumptions!$A$70:$B$90,2,0),0)</f>
        <v>0</v>
      </c>
      <c r="CA174" s="8">
        <f>IF(CA166&lt;=$B$4+1,CA169*VLOOKUP(CA166,Assumptions!$A$70:$B$90,2,0),0)</f>
        <v>0</v>
      </c>
      <c r="CB174" s="8">
        <f>IF(CB166&lt;=$B$4+1,CB169*VLOOKUP(CB166,Assumptions!$A$70:$B$90,2,0),0)</f>
        <v>0</v>
      </c>
      <c r="CC174" s="8">
        <f>IF(CC166&lt;=$B$4+1,CC169*VLOOKUP(CC166,Assumptions!$A$70:$B$90,2,0),0)</f>
        <v>0</v>
      </c>
      <c r="CD174" s="8">
        <f>IF(CD166&lt;=$B$4+1,CD169*VLOOKUP(CD166,Assumptions!$A$70:$B$90,2,0),0)</f>
        <v>0</v>
      </c>
      <c r="CE174" s="8">
        <f>IF(CE166&lt;=$B$4+1,CE169*VLOOKUP(CE166,Assumptions!$A$70:$B$90,2,0),0)</f>
        <v>0</v>
      </c>
      <c r="CF174" s="8">
        <f>IF(CF166&lt;=$B$4+1,CF169*VLOOKUP(CF166,Assumptions!$A$70:$B$90,2,0),0)</f>
        <v>0</v>
      </c>
      <c r="CG174" s="8">
        <f>IF(CG166&lt;=$B$4+1,CG169*VLOOKUP(CG166,Assumptions!$A$70:$B$90,2,0),0)</f>
        <v>0</v>
      </c>
      <c r="CH174" s="8">
        <f>IF(CH166&lt;=$B$4+1,CH169*VLOOKUP(CH166,Assumptions!$A$70:$B$90,2,0),0)</f>
        <v>0</v>
      </c>
      <c r="CI174" s="8">
        <f>IF(CI166&lt;=$B$4+1,CI169*VLOOKUP(CI166,Assumptions!$A$70:$B$90,2,0),0)</f>
        <v>0</v>
      </c>
      <c r="CJ174" s="8">
        <f>IF(CJ166&lt;=$B$4+1,CJ169*VLOOKUP(CJ166,Assumptions!$A$70:$B$90,2,0),0)</f>
        <v>0</v>
      </c>
      <c r="CK174" s="8">
        <f>IF(CK166&lt;=$B$4+1,CK169*VLOOKUP(CK166,Assumptions!$A$70:$B$90,2,0),0)</f>
        <v>0</v>
      </c>
      <c r="CL174" s="8">
        <f>IF(CL166&lt;=$B$4+1,CL169*VLOOKUP(CL166,Assumptions!$A$70:$B$90,2,0),0)</f>
        <v>0</v>
      </c>
      <c r="CM174" s="8">
        <f>IF(CM166&lt;=$B$4+1,CM169*VLOOKUP(CM166,Assumptions!$A$70:$B$90,2,0),0)</f>
        <v>0</v>
      </c>
      <c r="CN174" s="8">
        <f>IF(CN166&lt;=$B$4+1,CN169*VLOOKUP(CN166,Assumptions!$A$70:$B$90,2,0),0)</f>
        <v>0</v>
      </c>
      <c r="CO174" s="8">
        <f>IF(CO166&lt;=$B$4+1,CO169*VLOOKUP(CO166,Assumptions!$A$70:$B$90,2,0),0)</f>
        <v>0</v>
      </c>
      <c r="CP174" s="8">
        <f>IF(CP166&lt;=$B$4+1,CP169*VLOOKUP(CP166,Assumptions!$A$70:$B$90,2,0),0)</f>
        <v>0</v>
      </c>
      <c r="CQ174" s="8">
        <f>IF(CQ166&lt;=$B$4+1,CQ169*VLOOKUP(CQ166,Assumptions!$A$70:$B$90,2,0),0)</f>
        <v>0</v>
      </c>
      <c r="CR174" s="8">
        <f>IF(CR166&lt;=$B$4+1,CR169*VLOOKUP(CR166,Assumptions!$A$70:$B$90,2,0),0)</f>
        <v>0</v>
      </c>
      <c r="CS174" s="8">
        <f>IF(CS166&lt;=$B$4+1,CS169*VLOOKUP(CS166,Assumptions!$A$70:$B$90,2,0),0)</f>
        <v>0</v>
      </c>
      <c r="CT174" s="8">
        <f>IF(CT166&lt;=$B$4+1,CT169*VLOOKUP(CT166,Assumptions!$A$70:$B$90,2,0),0)</f>
        <v>0</v>
      </c>
      <c r="CU174" s="8">
        <f>IF(CU166&lt;=$B$4+1,CU169*VLOOKUP(CU166,Assumptions!$A$70:$B$90,2,0),0)</f>
        <v>0</v>
      </c>
      <c r="CV174" s="8">
        <f>IF(CV166&lt;=$B$4+1,CV169*VLOOKUP(CV166,Assumptions!$A$70:$B$90,2,0),0)</f>
        <v>0</v>
      </c>
      <c r="CW174" s="8">
        <f>IF(CW166&lt;=$B$4+1,CW169*VLOOKUP(CW166,Assumptions!$A$70:$B$90,2,0),0)</f>
        <v>0</v>
      </c>
      <c r="CX174" s="8">
        <f>IF(CX166&lt;=$B$4+1,CX169*VLOOKUP(CX166,Assumptions!$A$70:$B$90,2,0),0)</f>
        <v>0</v>
      </c>
      <c r="CY174" s="8">
        <f>IF(CY166&lt;=$B$4+1,CY169*VLOOKUP(CY166,Assumptions!$A$70:$B$90,2,0),0)</f>
        <v>0</v>
      </c>
      <c r="CZ174" s="8">
        <f>IF(CZ166&lt;=$B$4+1,CZ169*VLOOKUP(CZ166,Assumptions!$A$70:$B$90,2,0),0)</f>
        <v>0</v>
      </c>
      <c r="DA174" s="8">
        <f>IF(DA166&lt;=$B$4+1,DA169*VLOOKUP(DA166,Assumptions!$A$70:$B$90,2,0),0)</f>
        <v>0</v>
      </c>
      <c r="DB174" s="8"/>
      <c r="DC174" s="8"/>
      <c r="DD174" s="8"/>
      <c r="DE174" s="8"/>
      <c r="DF174" s="8"/>
      <c r="DG174" s="8"/>
    </row>
    <row r="175" spans="1:111" x14ac:dyDescent="0.4">
      <c r="D175" t="s">
        <v>170</v>
      </c>
      <c r="N175" s="8"/>
      <c r="O175" s="8">
        <f>N176</f>
        <v>0</v>
      </c>
      <c r="P175" s="8">
        <f t="shared" ref="P175:CA175" si="196">O176</f>
        <v>-21310.393770806186</v>
      </c>
      <c r="Q175" s="8">
        <f t="shared" si="196"/>
        <v>-84864.076679284772</v>
      </c>
      <c r="R175" s="8">
        <f t="shared" si="196"/>
        <v>-141817.62620274792</v>
      </c>
      <c r="S175" s="8">
        <f t="shared" si="196"/>
        <v>-192682.49179169504</v>
      </c>
      <c r="T175" s="8">
        <f t="shared" si="196"/>
        <v>-237897.05868941126</v>
      </c>
      <c r="U175" s="8">
        <f t="shared" si="196"/>
        <v>-277899.71213918173</v>
      </c>
      <c r="V175" s="8">
        <f t="shared" si="196"/>
        <v>-313067.95054494648</v>
      </c>
      <c r="W175" s="8">
        <f t="shared" si="196"/>
        <v>-343779.27231064544</v>
      </c>
      <c r="X175" s="8">
        <f t="shared" si="196"/>
        <v>-373759.95200420247</v>
      </c>
      <c r="Y175" s="8">
        <f t="shared" si="196"/>
        <v>-403728.45432989049</v>
      </c>
      <c r="Z175" s="8">
        <f t="shared" si="196"/>
        <v>-433709.13402344752</v>
      </c>
      <c r="AA175" s="8">
        <f t="shared" si="196"/>
        <v>-463677.63634913554</v>
      </c>
      <c r="AB175" s="8">
        <f t="shared" si="196"/>
        <v>-493658.31604269258</v>
      </c>
      <c r="AC175" s="8">
        <f t="shared" si="196"/>
        <v>-523626.8183683806</v>
      </c>
      <c r="AD175" s="8">
        <f t="shared" si="196"/>
        <v>-553607.49806193763</v>
      </c>
      <c r="AE175" s="8">
        <f t="shared" si="196"/>
        <v>-583576.00038762565</v>
      </c>
      <c r="AF175" s="8">
        <f t="shared" si="196"/>
        <v>-613556.68008118274</v>
      </c>
      <c r="AG175" s="8">
        <f t="shared" si="196"/>
        <v>-643525.18240687076</v>
      </c>
      <c r="AH175" s="8">
        <f t="shared" si="196"/>
        <v>-673505.86210042785</v>
      </c>
      <c r="AI175" s="8">
        <f t="shared" si="196"/>
        <v>-703474.36442611588</v>
      </c>
      <c r="AJ175" s="8">
        <f t="shared" si="196"/>
        <v>-706287.33640386234</v>
      </c>
      <c r="AK175" s="8">
        <f t="shared" si="196"/>
        <v>-681932.60066579818</v>
      </c>
      <c r="AL175" s="8">
        <f t="shared" si="196"/>
        <v>-657577.86492773402</v>
      </c>
      <c r="AM175" s="8">
        <f t="shared" si="196"/>
        <v>-633223.12918966985</v>
      </c>
      <c r="AN175" s="8">
        <f t="shared" si="196"/>
        <v>-608868.39345160569</v>
      </c>
      <c r="AO175" s="8">
        <f t="shared" si="196"/>
        <v>-584513.65771354153</v>
      </c>
      <c r="AP175" s="8">
        <f t="shared" si="196"/>
        <v>-560158.92197547737</v>
      </c>
      <c r="AQ175" s="8">
        <f t="shared" si="196"/>
        <v>-535804.1862374132</v>
      </c>
      <c r="AR175" s="8">
        <f t="shared" si="196"/>
        <v>-511449.45049934898</v>
      </c>
      <c r="AS175" s="8">
        <f t="shared" si="196"/>
        <v>-487094.71476128476</v>
      </c>
      <c r="AT175" s="8">
        <f t="shared" si="196"/>
        <v>-462739.97902322054</v>
      </c>
      <c r="AU175" s="8">
        <f t="shared" si="196"/>
        <v>-438385.24328515632</v>
      </c>
      <c r="AV175" s="8">
        <f t="shared" si="196"/>
        <v>-414030.5075470921</v>
      </c>
      <c r="AW175" s="8">
        <f t="shared" si="196"/>
        <v>-389675.77180902788</v>
      </c>
      <c r="AX175" s="8">
        <f t="shared" si="196"/>
        <v>-365321.03607096366</v>
      </c>
      <c r="AY175" s="8">
        <f t="shared" si="196"/>
        <v>-340966.30033289944</v>
      </c>
      <c r="AZ175" s="8">
        <f t="shared" si="196"/>
        <v>-316611.56459483522</v>
      </c>
      <c r="BA175" s="8">
        <f t="shared" si="196"/>
        <v>-292256.828856771</v>
      </c>
      <c r="BB175" s="8">
        <f t="shared" si="196"/>
        <v>-267902.09311870678</v>
      </c>
      <c r="BC175" s="8">
        <f t="shared" si="196"/>
        <v>-243547.35738064256</v>
      </c>
      <c r="BD175" s="8">
        <f t="shared" si="196"/>
        <v>-219192.62164257834</v>
      </c>
      <c r="BE175" s="8">
        <f t="shared" si="196"/>
        <v>-194837.88590451411</v>
      </c>
      <c r="BF175" s="8">
        <f t="shared" si="196"/>
        <v>-170483.15016644989</v>
      </c>
      <c r="BG175" s="8">
        <f t="shared" si="196"/>
        <v>-146128.41442838567</v>
      </c>
      <c r="BH175" s="8">
        <f t="shared" si="196"/>
        <v>-121773.67869032145</v>
      </c>
      <c r="BI175" s="8">
        <f t="shared" si="196"/>
        <v>-97418.942952257232</v>
      </c>
      <c r="BJ175" s="8">
        <f t="shared" si="196"/>
        <v>-73064.207214193011</v>
      </c>
      <c r="BK175" s="8">
        <f t="shared" si="196"/>
        <v>-48709.471476128791</v>
      </c>
      <c r="BL175" s="8">
        <f t="shared" si="196"/>
        <v>-24354.735738064574</v>
      </c>
      <c r="BM175" s="8">
        <f t="shared" si="196"/>
        <v>-3.5652192309498787E-10</v>
      </c>
      <c r="BN175" s="8">
        <f t="shared" si="196"/>
        <v>-3.5652192309498787E-10</v>
      </c>
      <c r="BO175" s="8">
        <f t="shared" si="196"/>
        <v>-3.5652192309498787E-10</v>
      </c>
      <c r="BP175" s="8">
        <f t="shared" si="196"/>
        <v>-3.5652192309498787E-10</v>
      </c>
      <c r="BQ175" s="8">
        <f t="shared" si="196"/>
        <v>-3.5652192309498787E-10</v>
      </c>
      <c r="BR175" s="8">
        <f t="shared" si="196"/>
        <v>-3.5652192309498787E-10</v>
      </c>
      <c r="BS175" s="8">
        <f t="shared" si="196"/>
        <v>-3.5652192309498787E-10</v>
      </c>
      <c r="BT175" s="8">
        <f t="shared" si="196"/>
        <v>-3.5652192309498787E-10</v>
      </c>
      <c r="BU175" s="8">
        <f t="shared" si="196"/>
        <v>-3.5652192309498787E-10</v>
      </c>
      <c r="BV175" s="8">
        <f t="shared" si="196"/>
        <v>-3.5652192309498787E-10</v>
      </c>
      <c r="BW175" s="8">
        <f t="shared" si="196"/>
        <v>-3.5652192309498787E-10</v>
      </c>
      <c r="BX175" s="8">
        <f t="shared" si="196"/>
        <v>-3.5652192309498787E-10</v>
      </c>
      <c r="BY175" s="8">
        <f t="shared" si="196"/>
        <v>-3.5652192309498787E-10</v>
      </c>
      <c r="BZ175" s="8">
        <f t="shared" si="196"/>
        <v>-3.5652192309498787E-10</v>
      </c>
      <c r="CA175" s="8">
        <f t="shared" si="196"/>
        <v>-3.5652192309498787E-10</v>
      </c>
      <c r="CB175" s="8">
        <f t="shared" ref="CB175:DA175" si="197">CA176</f>
        <v>-3.5652192309498787E-10</v>
      </c>
      <c r="CC175" s="8">
        <f t="shared" si="197"/>
        <v>-3.5652192309498787E-10</v>
      </c>
      <c r="CD175" s="8">
        <f t="shared" si="197"/>
        <v>-3.5652192309498787E-10</v>
      </c>
      <c r="CE175" s="8">
        <f t="shared" si="197"/>
        <v>-3.5652192309498787E-10</v>
      </c>
      <c r="CF175" s="8">
        <f t="shared" si="197"/>
        <v>-3.5652192309498787E-10</v>
      </c>
      <c r="CG175" s="8">
        <f t="shared" si="197"/>
        <v>-3.5652192309498787E-10</v>
      </c>
      <c r="CH175" s="8">
        <f t="shared" si="197"/>
        <v>-3.5652192309498787E-10</v>
      </c>
      <c r="CI175" s="8">
        <f t="shared" si="197"/>
        <v>-3.5652192309498787E-10</v>
      </c>
      <c r="CJ175" s="8">
        <f t="shared" si="197"/>
        <v>-3.5652192309498787E-10</v>
      </c>
      <c r="CK175" s="8">
        <f t="shared" si="197"/>
        <v>-3.5652192309498787E-10</v>
      </c>
      <c r="CL175" s="8">
        <f t="shared" si="197"/>
        <v>-3.5652192309498787E-10</v>
      </c>
      <c r="CM175" s="8">
        <f t="shared" si="197"/>
        <v>-3.5652192309498787E-10</v>
      </c>
      <c r="CN175" s="8">
        <f t="shared" si="197"/>
        <v>-3.5652192309498787E-10</v>
      </c>
      <c r="CO175" s="8">
        <f t="shared" si="197"/>
        <v>-3.5652192309498787E-10</v>
      </c>
      <c r="CP175" s="8">
        <f t="shared" si="197"/>
        <v>-3.5652192309498787E-10</v>
      </c>
      <c r="CQ175" s="8">
        <f t="shared" si="197"/>
        <v>-3.5652192309498787E-10</v>
      </c>
      <c r="CR175" s="8">
        <f t="shared" si="197"/>
        <v>-3.5652192309498787E-10</v>
      </c>
      <c r="CS175" s="8">
        <f t="shared" si="197"/>
        <v>-3.5652192309498787E-10</v>
      </c>
      <c r="CT175" s="8">
        <f t="shared" si="197"/>
        <v>-3.5652192309498787E-10</v>
      </c>
      <c r="CU175" s="8">
        <f t="shared" si="197"/>
        <v>-3.5652192309498787E-10</v>
      </c>
      <c r="CV175" s="8">
        <f t="shared" si="197"/>
        <v>-3.5652192309498787E-10</v>
      </c>
      <c r="CW175" s="8">
        <f t="shared" si="197"/>
        <v>-3.5652192309498787E-10</v>
      </c>
      <c r="CX175" s="8">
        <f t="shared" si="197"/>
        <v>-3.5652192309498787E-10</v>
      </c>
      <c r="CY175" s="8">
        <f t="shared" si="197"/>
        <v>-3.5652192309498787E-10</v>
      </c>
      <c r="CZ175" s="8">
        <f t="shared" si="197"/>
        <v>-3.5652192309498787E-10</v>
      </c>
      <c r="DA175" s="8">
        <f t="shared" si="197"/>
        <v>-3.5652192309498787E-10</v>
      </c>
      <c r="DB175" s="8"/>
      <c r="DC175" s="8"/>
      <c r="DD175" s="8"/>
      <c r="DE175" s="8"/>
      <c r="DF175" s="8"/>
      <c r="DG175" s="8"/>
    </row>
    <row r="176" spans="1:111" x14ac:dyDescent="0.4">
      <c r="D176" t="s">
        <v>171</v>
      </c>
      <c r="N176" s="8"/>
      <c r="O176" s="8">
        <f t="shared" ref="O176:AT176" si="198">N176+((O168-O174)*INC_TAX_RATE)</f>
        <v>-21310.393770806186</v>
      </c>
      <c r="P176" s="8">
        <f t="shared" si="198"/>
        <v>-84864.076679284772</v>
      </c>
      <c r="Q176" s="8">
        <f t="shared" si="198"/>
        <v>-141817.62620274792</v>
      </c>
      <c r="R176" s="8">
        <f t="shared" si="198"/>
        <v>-192682.49179169504</v>
      </c>
      <c r="S176" s="8">
        <f t="shared" si="198"/>
        <v>-237897.05868941126</v>
      </c>
      <c r="T176" s="8">
        <f t="shared" si="198"/>
        <v>-277899.71213918173</v>
      </c>
      <c r="U176" s="8">
        <f t="shared" si="198"/>
        <v>-313067.95054494648</v>
      </c>
      <c r="V176" s="8">
        <f t="shared" si="198"/>
        <v>-343779.27231064544</v>
      </c>
      <c r="W176" s="8">
        <f t="shared" si="198"/>
        <v>-373759.95200420247</v>
      </c>
      <c r="X176" s="8">
        <f t="shared" si="198"/>
        <v>-403728.45432989049</v>
      </c>
      <c r="Y176" s="8">
        <f t="shared" si="198"/>
        <v>-433709.13402344752</v>
      </c>
      <c r="Z176" s="8">
        <f t="shared" si="198"/>
        <v>-463677.63634913554</v>
      </c>
      <c r="AA176" s="8">
        <f t="shared" si="198"/>
        <v>-493658.31604269258</v>
      </c>
      <c r="AB176" s="8">
        <f t="shared" si="198"/>
        <v>-523626.8183683806</v>
      </c>
      <c r="AC176" s="8">
        <f t="shared" si="198"/>
        <v>-553607.49806193763</v>
      </c>
      <c r="AD176" s="8">
        <f t="shared" si="198"/>
        <v>-583576.00038762565</v>
      </c>
      <c r="AE176" s="8">
        <f t="shared" si="198"/>
        <v>-613556.68008118274</v>
      </c>
      <c r="AF176" s="8">
        <f t="shared" si="198"/>
        <v>-643525.18240687076</v>
      </c>
      <c r="AG176" s="8">
        <f t="shared" si="198"/>
        <v>-673505.86210042785</v>
      </c>
      <c r="AH176" s="8">
        <f t="shared" si="198"/>
        <v>-703474.36442611588</v>
      </c>
      <c r="AI176" s="8">
        <f t="shared" si="198"/>
        <v>-706287.33640386234</v>
      </c>
      <c r="AJ176" s="8">
        <f t="shared" si="198"/>
        <v>-681932.60066579818</v>
      </c>
      <c r="AK176" s="8">
        <f t="shared" si="198"/>
        <v>-657577.86492773402</v>
      </c>
      <c r="AL176" s="8">
        <f t="shared" si="198"/>
        <v>-633223.12918966985</v>
      </c>
      <c r="AM176" s="8">
        <f t="shared" si="198"/>
        <v>-608868.39345160569</v>
      </c>
      <c r="AN176" s="8">
        <f t="shared" si="198"/>
        <v>-584513.65771354153</v>
      </c>
      <c r="AO176" s="8">
        <f t="shared" si="198"/>
        <v>-560158.92197547737</v>
      </c>
      <c r="AP176" s="8">
        <f t="shared" si="198"/>
        <v>-535804.1862374132</v>
      </c>
      <c r="AQ176" s="8">
        <f t="shared" si="198"/>
        <v>-511449.45049934898</v>
      </c>
      <c r="AR176" s="8">
        <f t="shared" si="198"/>
        <v>-487094.71476128476</v>
      </c>
      <c r="AS176" s="8">
        <f t="shared" si="198"/>
        <v>-462739.97902322054</v>
      </c>
      <c r="AT176" s="8">
        <f t="shared" si="198"/>
        <v>-438385.24328515632</v>
      </c>
      <c r="AU176" s="8">
        <f t="shared" ref="AU176:BZ176" si="199">AT176+((AU168-AU174)*INC_TAX_RATE)</f>
        <v>-414030.5075470921</v>
      </c>
      <c r="AV176" s="8">
        <f t="shared" si="199"/>
        <v>-389675.77180902788</v>
      </c>
      <c r="AW176" s="8">
        <f t="shared" si="199"/>
        <v>-365321.03607096366</v>
      </c>
      <c r="AX176" s="8">
        <f t="shared" si="199"/>
        <v>-340966.30033289944</v>
      </c>
      <c r="AY176" s="8">
        <f t="shared" si="199"/>
        <v>-316611.56459483522</v>
      </c>
      <c r="AZ176" s="8">
        <f t="shared" si="199"/>
        <v>-292256.828856771</v>
      </c>
      <c r="BA176" s="8">
        <f t="shared" si="199"/>
        <v>-267902.09311870678</v>
      </c>
      <c r="BB176" s="8">
        <f t="shared" si="199"/>
        <v>-243547.35738064256</v>
      </c>
      <c r="BC176" s="8">
        <f t="shared" si="199"/>
        <v>-219192.62164257834</v>
      </c>
      <c r="BD176" s="8">
        <f t="shared" si="199"/>
        <v>-194837.88590451411</v>
      </c>
      <c r="BE176" s="8">
        <f t="shared" si="199"/>
        <v>-170483.15016644989</v>
      </c>
      <c r="BF176" s="8">
        <f t="shared" si="199"/>
        <v>-146128.41442838567</v>
      </c>
      <c r="BG176" s="8">
        <f t="shared" si="199"/>
        <v>-121773.67869032145</v>
      </c>
      <c r="BH176" s="8">
        <f t="shared" si="199"/>
        <v>-97418.942952257232</v>
      </c>
      <c r="BI176" s="8">
        <f t="shared" si="199"/>
        <v>-73064.207214193011</v>
      </c>
      <c r="BJ176" s="8">
        <f t="shared" si="199"/>
        <v>-48709.471476128791</v>
      </c>
      <c r="BK176" s="8">
        <f t="shared" si="199"/>
        <v>-24354.735738064574</v>
      </c>
      <c r="BL176" s="8">
        <f t="shared" si="199"/>
        <v>-3.5652192309498787E-10</v>
      </c>
      <c r="BM176" s="8">
        <f t="shared" si="199"/>
        <v>-3.5652192309498787E-10</v>
      </c>
      <c r="BN176" s="8">
        <f t="shared" si="199"/>
        <v>-3.5652192309498787E-10</v>
      </c>
      <c r="BO176" s="8">
        <f t="shared" si="199"/>
        <v>-3.5652192309498787E-10</v>
      </c>
      <c r="BP176" s="8">
        <f t="shared" si="199"/>
        <v>-3.5652192309498787E-10</v>
      </c>
      <c r="BQ176" s="8">
        <f t="shared" si="199"/>
        <v>-3.5652192309498787E-10</v>
      </c>
      <c r="BR176" s="8">
        <f t="shared" si="199"/>
        <v>-3.5652192309498787E-10</v>
      </c>
      <c r="BS176" s="8">
        <f t="shared" si="199"/>
        <v>-3.5652192309498787E-10</v>
      </c>
      <c r="BT176" s="8">
        <f t="shared" si="199"/>
        <v>-3.5652192309498787E-10</v>
      </c>
      <c r="BU176" s="8">
        <f t="shared" si="199"/>
        <v>-3.5652192309498787E-10</v>
      </c>
      <c r="BV176" s="8">
        <f t="shared" si="199"/>
        <v>-3.5652192309498787E-10</v>
      </c>
      <c r="BW176" s="8">
        <f t="shared" si="199"/>
        <v>-3.5652192309498787E-10</v>
      </c>
      <c r="BX176" s="8">
        <f t="shared" si="199"/>
        <v>-3.5652192309498787E-10</v>
      </c>
      <c r="BY176" s="8">
        <f t="shared" si="199"/>
        <v>-3.5652192309498787E-10</v>
      </c>
      <c r="BZ176" s="8">
        <f t="shared" si="199"/>
        <v>-3.5652192309498787E-10</v>
      </c>
      <c r="CA176" s="8">
        <f t="shared" ref="CA176:DA176" si="200">BZ176+((CA168-CA174)*INC_TAX_RATE)</f>
        <v>-3.5652192309498787E-10</v>
      </c>
      <c r="CB176" s="8">
        <f t="shared" si="200"/>
        <v>-3.5652192309498787E-10</v>
      </c>
      <c r="CC176" s="8">
        <f t="shared" si="200"/>
        <v>-3.5652192309498787E-10</v>
      </c>
      <c r="CD176" s="8">
        <f t="shared" si="200"/>
        <v>-3.5652192309498787E-10</v>
      </c>
      <c r="CE176" s="8">
        <f t="shared" si="200"/>
        <v>-3.5652192309498787E-10</v>
      </c>
      <c r="CF176" s="8">
        <f t="shared" si="200"/>
        <v>-3.5652192309498787E-10</v>
      </c>
      <c r="CG176" s="8">
        <f t="shared" si="200"/>
        <v>-3.5652192309498787E-10</v>
      </c>
      <c r="CH176" s="8">
        <f t="shared" si="200"/>
        <v>-3.5652192309498787E-10</v>
      </c>
      <c r="CI176" s="8">
        <f t="shared" si="200"/>
        <v>-3.5652192309498787E-10</v>
      </c>
      <c r="CJ176" s="8">
        <f t="shared" si="200"/>
        <v>-3.5652192309498787E-10</v>
      </c>
      <c r="CK176" s="8">
        <f t="shared" si="200"/>
        <v>-3.5652192309498787E-10</v>
      </c>
      <c r="CL176" s="8">
        <f t="shared" si="200"/>
        <v>-3.5652192309498787E-10</v>
      </c>
      <c r="CM176" s="8">
        <f t="shared" si="200"/>
        <v>-3.5652192309498787E-10</v>
      </c>
      <c r="CN176" s="8">
        <f t="shared" si="200"/>
        <v>-3.5652192309498787E-10</v>
      </c>
      <c r="CO176" s="8">
        <f t="shared" si="200"/>
        <v>-3.5652192309498787E-10</v>
      </c>
      <c r="CP176" s="8">
        <f t="shared" si="200"/>
        <v>-3.5652192309498787E-10</v>
      </c>
      <c r="CQ176" s="8">
        <f t="shared" si="200"/>
        <v>-3.5652192309498787E-10</v>
      </c>
      <c r="CR176" s="8">
        <f t="shared" si="200"/>
        <v>-3.5652192309498787E-10</v>
      </c>
      <c r="CS176" s="8">
        <f t="shared" si="200"/>
        <v>-3.5652192309498787E-10</v>
      </c>
      <c r="CT176" s="8">
        <f t="shared" si="200"/>
        <v>-3.5652192309498787E-10</v>
      </c>
      <c r="CU176" s="8">
        <f t="shared" si="200"/>
        <v>-3.5652192309498787E-10</v>
      </c>
      <c r="CV176" s="8">
        <f t="shared" si="200"/>
        <v>-3.5652192309498787E-10</v>
      </c>
      <c r="CW176" s="8">
        <f t="shared" si="200"/>
        <v>-3.5652192309498787E-10</v>
      </c>
      <c r="CX176" s="8">
        <f t="shared" si="200"/>
        <v>-3.5652192309498787E-10</v>
      </c>
      <c r="CY176" s="8">
        <f t="shared" si="200"/>
        <v>-3.5652192309498787E-10</v>
      </c>
      <c r="CZ176" s="8">
        <f t="shared" si="200"/>
        <v>-3.5652192309498787E-10</v>
      </c>
      <c r="DA176" s="8">
        <f t="shared" si="200"/>
        <v>-3.5652192309498787E-10</v>
      </c>
      <c r="DB176" s="8"/>
      <c r="DC176" s="8"/>
      <c r="DD176" s="8"/>
      <c r="DE176" s="8"/>
      <c r="DF176" s="8"/>
      <c r="DG176" s="8"/>
    </row>
    <row r="177" spans="4:111" x14ac:dyDescent="0.4"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  <c r="CY177" s="8"/>
      <c r="CZ177" s="8"/>
      <c r="DA177" s="8"/>
      <c r="DB177" s="8"/>
      <c r="DC177" s="8"/>
      <c r="DD177" s="8"/>
      <c r="DE177" s="8"/>
      <c r="DF177" s="8"/>
      <c r="DG177" s="8"/>
    </row>
    <row r="178" spans="4:111" x14ac:dyDescent="0.4">
      <c r="D178" t="s">
        <v>158</v>
      </c>
      <c r="N178" s="8"/>
      <c r="O178" s="8">
        <f>AVERAGE(O171:O172)+AVERAGE(O175:O176)</f>
        <v>4339189.3603369622</v>
      </c>
      <c r="P178" s="8">
        <f t="shared" ref="P178:CA178" si="201">AVERAGE(P171:P172)+AVERAGE(P175:P176)</f>
        <v>4208881.6743766665</v>
      </c>
      <c r="Q178" s="8">
        <f t="shared" si="201"/>
        <v>4060752.4105400415</v>
      </c>
      <c r="R178" s="8">
        <f t="shared" si="201"/>
        <v>3918967.5553631824</v>
      </c>
      <c r="S178" s="8">
        <f t="shared" si="201"/>
        <v>3783052.1914991969</v>
      </c>
      <c r="T178" s="8">
        <f t="shared" si="201"/>
        <v>3652567.9337047995</v>
      </c>
      <c r="U178" s="8">
        <f t="shared" si="201"/>
        <v>3527106.8401563782</v>
      </c>
      <c r="V178" s="8">
        <f t="shared" si="201"/>
        <v>3406291.4124499923</v>
      </c>
      <c r="W178" s="8">
        <f t="shared" si="201"/>
        <v>3288069.7640997106</v>
      </c>
      <c r="X178" s="8">
        <f t="shared" si="201"/>
        <v>3170219.5254694344</v>
      </c>
      <c r="Y178" s="8">
        <f t="shared" si="201"/>
        <v>3052369.2868391583</v>
      </c>
      <c r="Z178" s="8">
        <f t="shared" si="201"/>
        <v>2934519.0482088812</v>
      </c>
      <c r="AA178" s="8">
        <f t="shared" si="201"/>
        <v>2816668.809578605</v>
      </c>
      <c r="AB178" s="8">
        <f t="shared" si="201"/>
        <v>2698818.5709483288</v>
      </c>
      <c r="AC178" s="8">
        <f t="shared" si="201"/>
        <v>2580968.3323180526</v>
      </c>
      <c r="AD178" s="8">
        <f t="shared" si="201"/>
        <v>2463118.0936877765</v>
      </c>
      <c r="AE178" s="8">
        <f t="shared" si="201"/>
        <v>2345267.8550575003</v>
      </c>
      <c r="AF178" s="8">
        <f t="shared" si="201"/>
        <v>2227417.6164272237</v>
      </c>
      <c r="AG178" s="8">
        <f t="shared" si="201"/>
        <v>2109567.3777969475</v>
      </c>
      <c r="AH178" s="8">
        <f t="shared" si="201"/>
        <v>1991717.1391666713</v>
      </c>
      <c r="AI178" s="8">
        <f t="shared" si="201"/>
        <v>1887450.7543943003</v>
      </c>
      <c r="AJ178" s="8">
        <f t="shared" si="201"/>
        <v>1810345.9886538053</v>
      </c>
      <c r="AK178" s="8">
        <f t="shared" si="201"/>
        <v>1746825.0767712158</v>
      </c>
      <c r="AL178" s="8">
        <f t="shared" si="201"/>
        <v>1683304.1648886262</v>
      </c>
      <c r="AM178" s="8">
        <f t="shared" si="201"/>
        <v>1619783.2530060366</v>
      </c>
      <c r="AN178" s="8">
        <f t="shared" si="201"/>
        <v>1556262.3411234471</v>
      </c>
      <c r="AO178" s="8">
        <f t="shared" si="201"/>
        <v>1492741.4292408575</v>
      </c>
      <c r="AP178" s="8">
        <f t="shared" si="201"/>
        <v>1429220.5173582679</v>
      </c>
      <c r="AQ178" s="8">
        <f t="shared" si="201"/>
        <v>1365699.6054756783</v>
      </c>
      <c r="AR178" s="8">
        <f t="shared" si="201"/>
        <v>1302178.693593089</v>
      </c>
      <c r="AS178" s="8">
        <f t="shared" si="201"/>
        <v>1238657.7817104994</v>
      </c>
      <c r="AT178" s="8">
        <f t="shared" si="201"/>
        <v>1175136.8698279099</v>
      </c>
      <c r="AU178" s="8">
        <f t="shared" si="201"/>
        <v>1111615.9579453203</v>
      </c>
      <c r="AV178" s="8">
        <f t="shared" si="201"/>
        <v>1048095.0460627308</v>
      </c>
      <c r="AW178" s="8">
        <f t="shared" si="201"/>
        <v>984574.13418014126</v>
      </c>
      <c r="AX178" s="8">
        <f t="shared" si="201"/>
        <v>921053.22229755181</v>
      </c>
      <c r="AY178" s="8">
        <f t="shared" si="201"/>
        <v>857532.31041496224</v>
      </c>
      <c r="AZ178" s="8">
        <f t="shared" si="201"/>
        <v>794011.39853237278</v>
      </c>
      <c r="BA178" s="8">
        <f t="shared" si="201"/>
        <v>730490.48664978321</v>
      </c>
      <c r="BB178" s="8">
        <f t="shared" si="201"/>
        <v>666969.57476719376</v>
      </c>
      <c r="BC178" s="8">
        <f t="shared" si="201"/>
        <v>603448.66288460419</v>
      </c>
      <c r="BD178" s="8">
        <f t="shared" si="201"/>
        <v>539927.75100201473</v>
      </c>
      <c r="BE178" s="8">
        <f t="shared" si="201"/>
        <v>476406.83911942516</v>
      </c>
      <c r="BF178" s="8">
        <f t="shared" si="201"/>
        <v>412885.92723683571</v>
      </c>
      <c r="BG178" s="8">
        <f t="shared" si="201"/>
        <v>349365.01535424613</v>
      </c>
      <c r="BH178" s="8">
        <f t="shared" si="201"/>
        <v>285844.10347165668</v>
      </c>
      <c r="BI178" s="8">
        <f t="shared" si="201"/>
        <v>222323.19158906714</v>
      </c>
      <c r="BJ178" s="8">
        <f t="shared" si="201"/>
        <v>158802.27970647739</v>
      </c>
      <c r="BK178" s="8">
        <f t="shared" si="201"/>
        <v>95281.367823887645</v>
      </c>
      <c r="BL178" s="8">
        <f t="shared" si="201"/>
        <v>31760.455941296263</v>
      </c>
      <c r="BM178" s="8">
        <f t="shared" si="201"/>
        <v>-3.5652192309498787E-10</v>
      </c>
      <c r="BN178" s="8">
        <f t="shared" si="201"/>
        <v>-3.5652192309498787E-10</v>
      </c>
      <c r="BO178" s="8">
        <f t="shared" si="201"/>
        <v>-3.5652192309498787E-10</v>
      </c>
      <c r="BP178" s="8">
        <f t="shared" si="201"/>
        <v>-3.5652192309498787E-10</v>
      </c>
      <c r="BQ178" s="8">
        <f t="shared" si="201"/>
        <v>-3.5652192309498787E-10</v>
      </c>
      <c r="BR178" s="8">
        <f t="shared" si="201"/>
        <v>-3.5652192309498787E-10</v>
      </c>
      <c r="BS178" s="8">
        <f t="shared" si="201"/>
        <v>-3.5652192309498787E-10</v>
      </c>
      <c r="BT178" s="8">
        <f t="shared" si="201"/>
        <v>-3.5652192309498787E-10</v>
      </c>
      <c r="BU178" s="8">
        <f t="shared" si="201"/>
        <v>-3.5652192309498787E-10</v>
      </c>
      <c r="BV178" s="8">
        <f t="shared" si="201"/>
        <v>-3.5652192309498787E-10</v>
      </c>
      <c r="BW178" s="8">
        <f t="shared" si="201"/>
        <v>-3.5652192309498787E-10</v>
      </c>
      <c r="BX178" s="8">
        <f t="shared" si="201"/>
        <v>-3.5652192309498787E-10</v>
      </c>
      <c r="BY178" s="8">
        <f t="shared" si="201"/>
        <v>-3.5652192309498787E-10</v>
      </c>
      <c r="BZ178" s="8">
        <f t="shared" si="201"/>
        <v>-3.5652192309498787E-10</v>
      </c>
      <c r="CA178" s="8">
        <f t="shared" si="201"/>
        <v>-3.5652192309498787E-10</v>
      </c>
      <c r="CB178" s="8">
        <f t="shared" ref="CB178:DA178" si="202">AVERAGE(CB171:CB172)+AVERAGE(CB175:CB176)</f>
        <v>-3.5652192309498787E-10</v>
      </c>
      <c r="CC178" s="8">
        <f t="shared" si="202"/>
        <v>-3.5652192309498787E-10</v>
      </c>
      <c r="CD178" s="8">
        <f t="shared" si="202"/>
        <v>-3.5652192309498787E-10</v>
      </c>
      <c r="CE178" s="8">
        <f t="shared" si="202"/>
        <v>-3.5652192309498787E-10</v>
      </c>
      <c r="CF178" s="8">
        <f t="shared" si="202"/>
        <v>-3.5652192309498787E-10</v>
      </c>
      <c r="CG178" s="8">
        <f t="shared" si="202"/>
        <v>-3.5652192309498787E-10</v>
      </c>
      <c r="CH178" s="8">
        <f t="shared" si="202"/>
        <v>-3.5652192309498787E-10</v>
      </c>
      <c r="CI178" s="8">
        <f t="shared" si="202"/>
        <v>-3.5652192309498787E-10</v>
      </c>
      <c r="CJ178" s="8">
        <f t="shared" si="202"/>
        <v>-3.5652192309498787E-10</v>
      </c>
      <c r="CK178" s="8">
        <f t="shared" si="202"/>
        <v>-3.5652192309498787E-10</v>
      </c>
      <c r="CL178" s="8">
        <f t="shared" si="202"/>
        <v>-3.5652192309498787E-10</v>
      </c>
      <c r="CM178" s="8">
        <f t="shared" si="202"/>
        <v>-3.5652192309498787E-10</v>
      </c>
      <c r="CN178" s="8">
        <f t="shared" si="202"/>
        <v>-3.5652192309498787E-10</v>
      </c>
      <c r="CO178" s="8">
        <f t="shared" si="202"/>
        <v>-3.5652192309498787E-10</v>
      </c>
      <c r="CP178" s="8">
        <f t="shared" si="202"/>
        <v>-3.5652192309498787E-10</v>
      </c>
      <c r="CQ178" s="8">
        <f t="shared" si="202"/>
        <v>-3.5652192309498787E-10</v>
      </c>
      <c r="CR178" s="8">
        <f t="shared" si="202"/>
        <v>-3.5652192309498787E-10</v>
      </c>
      <c r="CS178" s="8">
        <f t="shared" si="202"/>
        <v>-3.5652192309498787E-10</v>
      </c>
      <c r="CT178" s="8">
        <f t="shared" si="202"/>
        <v>-3.5652192309498787E-10</v>
      </c>
      <c r="CU178" s="8">
        <f t="shared" si="202"/>
        <v>-3.5652192309498787E-10</v>
      </c>
      <c r="CV178" s="8">
        <f t="shared" si="202"/>
        <v>-3.5652192309498787E-10</v>
      </c>
      <c r="CW178" s="8">
        <f t="shared" si="202"/>
        <v>-3.5652192309498787E-10</v>
      </c>
      <c r="CX178" s="8">
        <f t="shared" si="202"/>
        <v>-3.5652192309498787E-10</v>
      </c>
      <c r="CY178" s="8">
        <f t="shared" si="202"/>
        <v>-3.5652192309498787E-10</v>
      </c>
      <c r="CZ178" s="8">
        <f t="shared" si="202"/>
        <v>-3.5652192309498787E-10</v>
      </c>
      <c r="DA178" s="8">
        <f t="shared" si="202"/>
        <v>-3.5652192309498787E-10</v>
      </c>
      <c r="DB178" s="8"/>
      <c r="DC178" s="8"/>
      <c r="DD178" s="8"/>
      <c r="DE178" s="8"/>
      <c r="DF178" s="8"/>
      <c r="DG178" s="8"/>
    </row>
    <row r="179" spans="4:111" x14ac:dyDescent="0.4"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8"/>
      <c r="DD179" s="8"/>
      <c r="DE179" s="8"/>
      <c r="DF179" s="8"/>
      <c r="DG179" s="8"/>
    </row>
    <row r="180" spans="4:111" x14ac:dyDescent="0.4">
      <c r="D180" t="s">
        <v>209</v>
      </c>
      <c r="N180" s="8"/>
      <c r="O180" s="8">
        <f t="shared" ref="O180:AT180" si="203">O178*AVG_PRE_TAX_RATE</f>
        <v>387489.60987809073</v>
      </c>
      <c r="P180" s="8">
        <f t="shared" si="203"/>
        <v>375853.13352183637</v>
      </c>
      <c r="Q180" s="8">
        <f t="shared" si="203"/>
        <v>362625.19026122574</v>
      </c>
      <c r="R180" s="8">
        <f t="shared" si="203"/>
        <v>349963.8026939322</v>
      </c>
      <c r="S180" s="8">
        <f t="shared" si="203"/>
        <v>337826.56070087833</v>
      </c>
      <c r="T180" s="8">
        <f t="shared" si="203"/>
        <v>326174.31647983863</v>
      </c>
      <c r="U180" s="8">
        <f t="shared" si="203"/>
        <v>314970.64082596457</v>
      </c>
      <c r="V180" s="8">
        <f t="shared" si="203"/>
        <v>304181.82313178433</v>
      </c>
      <c r="W180" s="8">
        <f t="shared" si="203"/>
        <v>293624.62993410416</v>
      </c>
      <c r="X180" s="8">
        <f t="shared" si="203"/>
        <v>283100.60362442053</v>
      </c>
      <c r="Y180" s="8">
        <f t="shared" si="203"/>
        <v>272576.57731473685</v>
      </c>
      <c r="Z180" s="8">
        <f t="shared" si="203"/>
        <v>262052.5510050531</v>
      </c>
      <c r="AA180" s="8">
        <f t="shared" si="203"/>
        <v>251528.52469536944</v>
      </c>
      <c r="AB180" s="8">
        <f t="shared" si="203"/>
        <v>241004.49838568579</v>
      </c>
      <c r="AC180" s="8">
        <f t="shared" si="203"/>
        <v>230480.4720760021</v>
      </c>
      <c r="AD180" s="8">
        <f t="shared" si="203"/>
        <v>219956.44576631844</v>
      </c>
      <c r="AE180" s="8">
        <f t="shared" si="203"/>
        <v>209432.41945663479</v>
      </c>
      <c r="AF180" s="8">
        <f t="shared" si="203"/>
        <v>198908.39314695107</v>
      </c>
      <c r="AG180" s="8">
        <f t="shared" si="203"/>
        <v>188384.36683726741</v>
      </c>
      <c r="AH180" s="8">
        <f t="shared" si="203"/>
        <v>177860.34052758376</v>
      </c>
      <c r="AI180" s="8">
        <f t="shared" si="203"/>
        <v>168549.35236741102</v>
      </c>
      <c r="AJ180" s="8">
        <f t="shared" si="203"/>
        <v>161663.89678678481</v>
      </c>
      <c r="AK180" s="8">
        <f t="shared" si="203"/>
        <v>155991.47935566958</v>
      </c>
      <c r="AL180" s="8">
        <f t="shared" si="203"/>
        <v>150319.06192455432</v>
      </c>
      <c r="AM180" s="8">
        <f t="shared" si="203"/>
        <v>144646.64449343909</v>
      </c>
      <c r="AN180" s="8">
        <f t="shared" si="203"/>
        <v>138974.22706232383</v>
      </c>
      <c r="AO180" s="8">
        <f t="shared" si="203"/>
        <v>133301.80963120857</v>
      </c>
      <c r="AP180" s="8">
        <f t="shared" si="203"/>
        <v>127629.39220009334</v>
      </c>
      <c r="AQ180" s="8">
        <f t="shared" si="203"/>
        <v>121956.97476897808</v>
      </c>
      <c r="AR180" s="8">
        <f t="shared" si="203"/>
        <v>116284.55733786285</v>
      </c>
      <c r="AS180" s="8">
        <f t="shared" si="203"/>
        <v>110612.1399067476</v>
      </c>
      <c r="AT180" s="8">
        <f t="shared" si="203"/>
        <v>104939.72247563236</v>
      </c>
      <c r="AU180" s="8">
        <f t="shared" ref="AU180:BZ180" si="204">AU178*AVG_PRE_TAX_RATE</f>
        <v>99267.30504451711</v>
      </c>
      <c r="AV180" s="8">
        <f t="shared" si="204"/>
        <v>93594.887613401865</v>
      </c>
      <c r="AW180" s="8">
        <f t="shared" si="204"/>
        <v>87922.470182286619</v>
      </c>
      <c r="AX180" s="8">
        <f t="shared" si="204"/>
        <v>82250.052751171374</v>
      </c>
      <c r="AY180" s="8">
        <f t="shared" si="204"/>
        <v>76577.635320056128</v>
      </c>
      <c r="AZ180" s="8">
        <f t="shared" si="204"/>
        <v>70905.217888940897</v>
      </c>
      <c r="BA180" s="8">
        <f t="shared" si="204"/>
        <v>65232.800457825644</v>
      </c>
      <c r="BB180" s="8">
        <f t="shared" si="204"/>
        <v>59560.383026710406</v>
      </c>
      <c r="BC180" s="8">
        <f t="shared" si="204"/>
        <v>53887.965595595153</v>
      </c>
      <c r="BD180" s="8">
        <f t="shared" si="204"/>
        <v>48215.548164479915</v>
      </c>
      <c r="BE180" s="8">
        <f t="shared" si="204"/>
        <v>42543.130733364669</v>
      </c>
      <c r="BF180" s="8">
        <f t="shared" si="204"/>
        <v>36870.713302249431</v>
      </c>
      <c r="BG180" s="8">
        <f t="shared" si="204"/>
        <v>31198.295871134182</v>
      </c>
      <c r="BH180" s="8">
        <f t="shared" si="204"/>
        <v>25525.878440018943</v>
      </c>
      <c r="BI180" s="8">
        <f t="shared" si="204"/>
        <v>19853.461008903698</v>
      </c>
      <c r="BJ180" s="8">
        <f t="shared" si="204"/>
        <v>14181.043577788432</v>
      </c>
      <c r="BK180" s="8">
        <f t="shared" si="204"/>
        <v>8508.6261466731667</v>
      </c>
      <c r="BL180" s="8">
        <f t="shared" si="204"/>
        <v>2836.2087155577565</v>
      </c>
      <c r="BM180" s="8">
        <f t="shared" si="204"/>
        <v>-3.1837407732382418E-11</v>
      </c>
      <c r="BN180" s="8">
        <f t="shared" si="204"/>
        <v>-3.1837407732382418E-11</v>
      </c>
      <c r="BO180" s="8">
        <f t="shared" si="204"/>
        <v>-3.1837407732382418E-11</v>
      </c>
      <c r="BP180" s="8">
        <f t="shared" si="204"/>
        <v>-3.1837407732382418E-11</v>
      </c>
      <c r="BQ180" s="8">
        <f t="shared" si="204"/>
        <v>-3.1837407732382418E-11</v>
      </c>
      <c r="BR180" s="8">
        <f t="shared" si="204"/>
        <v>-3.1837407732382418E-11</v>
      </c>
      <c r="BS180" s="8">
        <f t="shared" si="204"/>
        <v>-3.1837407732382418E-11</v>
      </c>
      <c r="BT180" s="8">
        <f t="shared" si="204"/>
        <v>-3.1837407732382418E-11</v>
      </c>
      <c r="BU180" s="8">
        <f t="shared" si="204"/>
        <v>-3.1837407732382418E-11</v>
      </c>
      <c r="BV180" s="8">
        <f t="shared" si="204"/>
        <v>-3.1837407732382418E-11</v>
      </c>
      <c r="BW180" s="8">
        <f t="shared" si="204"/>
        <v>-3.1837407732382418E-11</v>
      </c>
      <c r="BX180" s="8">
        <f t="shared" si="204"/>
        <v>-3.1837407732382418E-11</v>
      </c>
      <c r="BY180" s="8">
        <f t="shared" si="204"/>
        <v>-3.1837407732382418E-11</v>
      </c>
      <c r="BZ180" s="8">
        <f t="shared" si="204"/>
        <v>-3.1837407732382418E-11</v>
      </c>
      <c r="CA180" s="8">
        <f t="shared" ref="CA180:DA180" si="205">CA178*AVG_PRE_TAX_RATE</f>
        <v>-3.1837407732382418E-11</v>
      </c>
      <c r="CB180" s="8">
        <f t="shared" si="205"/>
        <v>-3.1837407732382418E-11</v>
      </c>
      <c r="CC180" s="8">
        <f t="shared" si="205"/>
        <v>-3.1837407732382418E-11</v>
      </c>
      <c r="CD180" s="8">
        <f t="shared" si="205"/>
        <v>-3.1837407732382418E-11</v>
      </c>
      <c r="CE180" s="8">
        <f t="shared" si="205"/>
        <v>-3.1837407732382418E-11</v>
      </c>
      <c r="CF180" s="8">
        <f t="shared" si="205"/>
        <v>-3.1837407732382418E-11</v>
      </c>
      <c r="CG180" s="8">
        <f t="shared" si="205"/>
        <v>-3.1837407732382418E-11</v>
      </c>
      <c r="CH180" s="8">
        <f t="shared" si="205"/>
        <v>-3.1837407732382418E-11</v>
      </c>
      <c r="CI180" s="8">
        <f t="shared" si="205"/>
        <v>-3.1837407732382418E-11</v>
      </c>
      <c r="CJ180" s="8">
        <f t="shared" si="205"/>
        <v>-3.1837407732382418E-11</v>
      </c>
      <c r="CK180" s="8">
        <f t="shared" si="205"/>
        <v>-3.1837407732382418E-11</v>
      </c>
      <c r="CL180" s="8">
        <f t="shared" si="205"/>
        <v>-3.1837407732382418E-11</v>
      </c>
      <c r="CM180" s="8">
        <f t="shared" si="205"/>
        <v>-3.1837407732382418E-11</v>
      </c>
      <c r="CN180" s="8">
        <f t="shared" si="205"/>
        <v>-3.1837407732382418E-11</v>
      </c>
      <c r="CO180" s="8">
        <f t="shared" si="205"/>
        <v>-3.1837407732382418E-11</v>
      </c>
      <c r="CP180" s="8">
        <f t="shared" si="205"/>
        <v>-3.1837407732382418E-11</v>
      </c>
      <c r="CQ180" s="8">
        <f t="shared" si="205"/>
        <v>-3.1837407732382418E-11</v>
      </c>
      <c r="CR180" s="8">
        <f t="shared" si="205"/>
        <v>-3.1837407732382418E-11</v>
      </c>
      <c r="CS180" s="8">
        <f t="shared" si="205"/>
        <v>-3.1837407732382418E-11</v>
      </c>
      <c r="CT180" s="8">
        <f t="shared" si="205"/>
        <v>-3.1837407732382418E-11</v>
      </c>
      <c r="CU180" s="8">
        <f t="shared" si="205"/>
        <v>-3.1837407732382418E-11</v>
      </c>
      <c r="CV180" s="8">
        <f t="shared" si="205"/>
        <v>-3.1837407732382418E-11</v>
      </c>
      <c r="CW180" s="8">
        <f t="shared" si="205"/>
        <v>-3.1837407732382418E-11</v>
      </c>
      <c r="CX180" s="8">
        <f t="shared" si="205"/>
        <v>-3.1837407732382418E-11</v>
      </c>
      <c r="CY180" s="8">
        <f t="shared" si="205"/>
        <v>-3.1837407732382418E-11</v>
      </c>
      <c r="CZ180" s="8">
        <f t="shared" si="205"/>
        <v>-3.1837407732382418E-11</v>
      </c>
      <c r="DA180" s="8">
        <f t="shared" si="205"/>
        <v>-3.1837407732382418E-11</v>
      </c>
      <c r="DB180" s="8"/>
      <c r="DC180" s="8"/>
      <c r="DD180" s="8"/>
      <c r="DE180" s="8"/>
      <c r="DF180" s="8"/>
      <c r="DG180" s="8"/>
    </row>
    <row r="182" spans="4:111" x14ac:dyDescent="0.4">
      <c r="D182" t="s">
        <v>435</v>
      </c>
      <c r="F182">
        <v>1</v>
      </c>
      <c r="G182">
        <v>2</v>
      </c>
      <c r="H182">
        <v>3</v>
      </c>
      <c r="I182">
        <v>4</v>
      </c>
      <c r="J182">
        <v>5</v>
      </c>
      <c r="K182">
        <v>6</v>
      </c>
      <c r="L182">
        <v>7</v>
      </c>
      <c r="M182">
        <v>8</v>
      </c>
      <c r="N182">
        <v>9</v>
      </c>
      <c r="O182">
        <v>10</v>
      </c>
      <c r="P182">
        <v>11</v>
      </c>
      <c r="Q182">
        <v>12</v>
      </c>
      <c r="R182">
        <v>13</v>
      </c>
      <c r="S182">
        <v>14</v>
      </c>
      <c r="T182">
        <v>15</v>
      </c>
      <c r="U182">
        <v>16</v>
      </c>
      <c r="V182">
        <v>17</v>
      </c>
      <c r="W182">
        <v>18</v>
      </c>
      <c r="X182">
        <v>19</v>
      </c>
      <c r="Y182">
        <v>20</v>
      </c>
      <c r="Z182">
        <v>21</v>
      </c>
      <c r="AA182">
        <v>22</v>
      </c>
      <c r="AB182">
        <v>23</v>
      </c>
      <c r="AC182">
        <v>24</v>
      </c>
      <c r="AD182">
        <v>25</v>
      </c>
      <c r="AE182">
        <v>26</v>
      </c>
      <c r="AF182">
        <v>27</v>
      </c>
      <c r="AG182">
        <v>28</v>
      </c>
      <c r="AH182">
        <v>29</v>
      </c>
      <c r="AI182">
        <v>30</v>
      </c>
      <c r="AJ182">
        <v>31</v>
      </c>
      <c r="AK182">
        <v>32</v>
      </c>
      <c r="AL182">
        <v>33</v>
      </c>
      <c r="AM182">
        <v>34</v>
      </c>
      <c r="AN182">
        <v>35</v>
      </c>
      <c r="AO182">
        <v>36</v>
      </c>
      <c r="AP182">
        <v>37</v>
      </c>
      <c r="AQ182">
        <v>38</v>
      </c>
      <c r="AR182">
        <v>39</v>
      </c>
      <c r="AS182">
        <v>40</v>
      </c>
      <c r="AT182">
        <v>41</v>
      </c>
      <c r="AU182">
        <v>42</v>
      </c>
      <c r="AV182">
        <v>43</v>
      </c>
      <c r="AW182">
        <v>44</v>
      </c>
      <c r="AX182">
        <v>45</v>
      </c>
      <c r="AY182">
        <v>46</v>
      </c>
      <c r="AZ182">
        <v>47</v>
      </c>
      <c r="BA182">
        <v>48</v>
      </c>
      <c r="BB182">
        <v>49</v>
      </c>
      <c r="BC182">
        <v>50</v>
      </c>
      <c r="BD182">
        <v>51</v>
      </c>
      <c r="BE182">
        <v>52</v>
      </c>
      <c r="BF182">
        <v>53</v>
      </c>
      <c r="BG182">
        <v>54</v>
      </c>
      <c r="BH182">
        <v>55</v>
      </c>
      <c r="BI182">
        <v>56</v>
      </c>
      <c r="BJ182">
        <v>57</v>
      </c>
      <c r="BK182">
        <v>58</v>
      </c>
      <c r="BL182">
        <v>59</v>
      </c>
      <c r="BM182">
        <v>60</v>
      </c>
      <c r="BN182">
        <v>61</v>
      </c>
      <c r="BO182">
        <v>62</v>
      </c>
      <c r="BP182">
        <v>63</v>
      </c>
      <c r="BQ182">
        <v>64</v>
      </c>
      <c r="BR182">
        <v>65</v>
      </c>
      <c r="BS182">
        <v>66</v>
      </c>
      <c r="BT182">
        <v>67</v>
      </c>
      <c r="BU182">
        <v>68</v>
      </c>
      <c r="BV182">
        <v>69</v>
      </c>
      <c r="BW182">
        <v>70</v>
      </c>
      <c r="BX182">
        <v>71</v>
      </c>
      <c r="BY182">
        <v>72</v>
      </c>
      <c r="BZ182">
        <v>73</v>
      </c>
      <c r="CA182">
        <v>74</v>
      </c>
      <c r="CB182">
        <v>75</v>
      </c>
      <c r="CC182">
        <v>76</v>
      </c>
      <c r="CD182">
        <v>77</v>
      </c>
      <c r="CE182">
        <v>78</v>
      </c>
      <c r="CF182">
        <v>79</v>
      </c>
      <c r="CG182">
        <v>80</v>
      </c>
      <c r="CH182">
        <v>81</v>
      </c>
      <c r="CI182">
        <v>82</v>
      </c>
      <c r="CJ182">
        <v>83</v>
      </c>
      <c r="CK182">
        <v>84</v>
      </c>
      <c r="CL182">
        <v>85</v>
      </c>
      <c r="CM182">
        <v>86</v>
      </c>
      <c r="CN182">
        <v>87</v>
      </c>
      <c r="CO182">
        <v>88</v>
      </c>
      <c r="CP182">
        <v>89</v>
      </c>
      <c r="CQ182">
        <v>90</v>
      </c>
      <c r="CR182">
        <v>91</v>
      </c>
      <c r="CS182">
        <v>92</v>
      </c>
      <c r="CT182">
        <v>93</v>
      </c>
      <c r="CU182">
        <v>94</v>
      </c>
      <c r="CV182">
        <v>95</v>
      </c>
      <c r="CW182">
        <v>96</v>
      </c>
      <c r="CX182">
        <v>97</v>
      </c>
      <c r="CY182">
        <v>98</v>
      </c>
      <c r="CZ182">
        <v>99</v>
      </c>
      <c r="DA182">
        <v>100</v>
      </c>
    </row>
    <row r="183" spans="4:111" x14ac:dyDescent="0.4">
      <c r="D183" s="5" t="s">
        <v>434</v>
      </c>
      <c r="E183" s="5">
        <v>2027</v>
      </c>
      <c r="F183" s="5">
        <v>2028</v>
      </c>
      <c r="G183" s="5">
        <v>2029</v>
      </c>
      <c r="H183" s="5">
        <v>2030</v>
      </c>
      <c r="I183" s="5">
        <v>2031</v>
      </c>
      <c r="J183" s="5">
        <v>2032</v>
      </c>
      <c r="K183" s="5">
        <v>2033</v>
      </c>
      <c r="L183" s="5">
        <v>2034</v>
      </c>
      <c r="M183" s="5">
        <v>2035</v>
      </c>
      <c r="N183" s="5">
        <v>2036</v>
      </c>
      <c r="O183" s="5">
        <v>2037</v>
      </c>
      <c r="P183" s="5">
        <v>2038</v>
      </c>
      <c r="Q183" s="5">
        <v>2039</v>
      </c>
      <c r="R183" s="5">
        <v>2040</v>
      </c>
      <c r="S183" s="5">
        <v>2041</v>
      </c>
      <c r="T183" s="5">
        <v>2042</v>
      </c>
      <c r="U183" s="5">
        <v>2043</v>
      </c>
      <c r="V183" s="5">
        <v>2044</v>
      </c>
      <c r="W183" s="5">
        <v>2045</v>
      </c>
      <c r="X183" s="5">
        <v>2046</v>
      </c>
      <c r="Y183" s="5">
        <v>2047</v>
      </c>
      <c r="Z183" s="5">
        <v>2048</v>
      </c>
      <c r="AA183" s="5">
        <v>2049</v>
      </c>
      <c r="AB183" s="5">
        <v>2050</v>
      </c>
      <c r="AC183" s="5">
        <v>2051</v>
      </c>
      <c r="AD183" s="5">
        <v>2052</v>
      </c>
      <c r="AE183" s="5">
        <v>2053</v>
      </c>
      <c r="AF183" s="5">
        <v>2054</v>
      </c>
      <c r="AG183" s="5">
        <v>2055</v>
      </c>
      <c r="AH183" s="5">
        <v>2056</v>
      </c>
      <c r="AI183" s="5">
        <v>2057</v>
      </c>
      <c r="AJ183" s="5">
        <v>2058</v>
      </c>
      <c r="AK183" s="5">
        <v>2059</v>
      </c>
      <c r="AL183" s="5">
        <v>2060</v>
      </c>
      <c r="AM183" s="5">
        <v>2061</v>
      </c>
      <c r="AN183" s="5">
        <v>2062</v>
      </c>
      <c r="AO183" s="5">
        <v>2063</v>
      </c>
      <c r="AP183" s="5">
        <v>2064</v>
      </c>
      <c r="AQ183" s="5">
        <v>2065</v>
      </c>
      <c r="AR183" s="5">
        <v>2066</v>
      </c>
      <c r="AS183" s="5">
        <v>2067</v>
      </c>
      <c r="AT183" s="5">
        <v>2068</v>
      </c>
      <c r="AU183" s="5">
        <v>2069</v>
      </c>
      <c r="AV183" s="5">
        <v>2070</v>
      </c>
      <c r="AW183" s="5">
        <v>2071</v>
      </c>
      <c r="AX183" s="5">
        <v>2072</v>
      </c>
      <c r="AY183" s="5">
        <v>2073</v>
      </c>
      <c r="AZ183" s="5">
        <v>2074</v>
      </c>
      <c r="BA183" s="5">
        <v>2075</v>
      </c>
      <c r="BB183" s="5">
        <v>2076</v>
      </c>
      <c r="BC183" s="5">
        <v>2077</v>
      </c>
      <c r="BD183" s="5">
        <v>2078</v>
      </c>
      <c r="BE183" s="5">
        <v>2079</v>
      </c>
      <c r="BF183" s="5">
        <v>2080</v>
      </c>
      <c r="BG183" s="5">
        <v>2081</v>
      </c>
      <c r="BH183" s="5">
        <v>2082</v>
      </c>
      <c r="BI183" s="5">
        <v>2083</v>
      </c>
      <c r="BJ183" s="5">
        <v>2084</v>
      </c>
      <c r="BK183" s="5">
        <v>2085</v>
      </c>
      <c r="BL183" s="5">
        <v>2086</v>
      </c>
      <c r="BM183" s="5">
        <v>2087</v>
      </c>
      <c r="BN183" s="5">
        <v>2088</v>
      </c>
      <c r="BO183" s="5">
        <v>2089</v>
      </c>
      <c r="BP183" s="5">
        <v>2090</v>
      </c>
      <c r="BQ183" s="5">
        <v>2091</v>
      </c>
      <c r="BR183" s="5">
        <v>2092</v>
      </c>
      <c r="BS183" s="5">
        <v>2093</v>
      </c>
      <c r="BT183" s="5">
        <v>2094</v>
      </c>
      <c r="BU183" s="5">
        <v>2095</v>
      </c>
      <c r="BV183" s="5">
        <v>2096</v>
      </c>
      <c r="BW183" s="5">
        <v>2097</v>
      </c>
      <c r="BX183" s="5">
        <v>2098</v>
      </c>
      <c r="BY183" s="5">
        <v>2099</v>
      </c>
      <c r="BZ183" s="5">
        <v>2100</v>
      </c>
      <c r="CA183" s="5">
        <v>2101</v>
      </c>
      <c r="CB183" s="5">
        <v>2102</v>
      </c>
      <c r="CC183" s="5">
        <v>2103</v>
      </c>
      <c r="CD183" s="5">
        <v>2104</v>
      </c>
      <c r="CE183" s="5">
        <v>2105</v>
      </c>
      <c r="CF183" s="5">
        <v>2106</v>
      </c>
      <c r="CG183" s="5">
        <v>2107</v>
      </c>
      <c r="CH183" s="5">
        <v>2108</v>
      </c>
      <c r="CI183" s="5">
        <v>2109</v>
      </c>
      <c r="CJ183" s="5">
        <v>2110</v>
      </c>
      <c r="CK183" s="5">
        <v>2111</v>
      </c>
      <c r="CL183" s="5">
        <v>2112</v>
      </c>
      <c r="CM183" s="5">
        <v>2113</v>
      </c>
      <c r="CN183" s="5">
        <v>2114</v>
      </c>
      <c r="CO183" s="5">
        <v>2115</v>
      </c>
      <c r="CP183" s="5">
        <v>2116</v>
      </c>
      <c r="CQ183" s="5">
        <v>2117</v>
      </c>
      <c r="CR183" s="5">
        <v>2118</v>
      </c>
      <c r="CS183" s="5">
        <v>2119</v>
      </c>
      <c r="CT183" s="5">
        <v>2120</v>
      </c>
      <c r="CU183" s="5">
        <v>2121</v>
      </c>
      <c r="CV183" s="5">
        <v>2122</v>
      </c>
      <c r="CW183" s="5">
        <v>2123</v>
      </c>
      <c r="CX183" s="5">
        <v>2124</v>
      </c>
      <c r="CY183" s="5">
        <v>2125</v>
      </c>
      <c r="CZ183" s="5">
        <v>2126</v>
      </c>
      <c r="DA183" s="5">
        <v>2127</v>
      </c>
    </row>
    <row r="184" spans="4:111" x14ac:dyDescent="0.4">
      <c r="D184" t="s">
        <v>207</v>
      </c>
      <c r="E184" s="8">
        <f>E15+E32+E49+E66+E83+E100+E117+E134+E151+E168</f>
        <v>0</v>
      </c>
      <c r="F184" s="8">
        <f t="shared" ref="F184:BQ188" si="206">F15+F32+F49+F66+F83+F100+F117+F134+F151+F168</f>
        <v>72245.446000000011</v>
      </c>
      <c r="G184" s="8">
        <f t="shared" si="206"/>
        <v>146080.29181200004</v>
      </c>
      <c r="H184" s="8">
        <f t="shared" si="206"/>
        <v>221539.50423186406</v>
      </c>
      <c r="I184" s="8">
        <f t="shared" si="206"/>
        <v>298658.81932496506</v>
      </c>
      <c r="J184" s="8">
        <f t="shared" si="206"/>
        <v>377474.75935011427</v>
      </c>
      <c r="K184" s="8">
        <f t="shared" si="206"/>
        <v>458024.6500558168</v>
      </c>
      <c r="L184" s="8">
        <f t="shared" si="206"/>
        <v>540346.63835704478</v>
      </c>
      <c r="M184" s="8">
        <f t="shared" si="206"/>
        <v>624479.71040089976</v>
      </c>
      <c r="N184" s="8">
        <f t="shared" si="206"/>
        <v>710463.71002971951</v>
      </c>
      <c r="O184" s="8">
        <f t="shared" si="206"/>
        <v>798339.35765037336</v>
      </c>
      <c r="P184" s="8">
        <f t="shared" si="206"/>
        <v>798339.35765037336</v>
      </c>
      <c r="Q184" s="8">
        <f t="shared" si="206"/>
        <v>798339.35765037336</v>
      </c>
      <c r="R184" s="8">
        <f t="shared" si="206"/>
        <v>798339.35765037336</v>
      </c>
      <c r="S184" s="8">
        <f t="shared" si="206"/>
        <v>798339.35765037336</v>
      </c>
      <c r="T184" s="8">
        <f t="shared" si="206"/>
        <v>798339.35765037336</v>
      </c>
      <c r="U184" s="8">
        <f t="shared" si="206"/>
        <v>798339.35765037336</v>
      </c>
      <c r="V184" s="8">
        <f t="shared" si="206"/>
        <v>798339.35765037336</v>
      </c>
      <c r="W184" s="8">
        <f t="shared" si="206"/>
        <v>798339.35765037336</v>
      </c>
      <c r="X184" s="8">
        <f t="shared" si="206"/>
        <v>798339.35765037336</v>
      </c>
      <c r="Y184" s="8">
        <f t="shared" si="206"/>
        <v>798339.35765037336</v>
      </c>
      <c r="Z184" s="8">
        <f t="shared" si="206"/>
        <v>798339.35765037336</v>
      </c>
      <c r="AA184" s="8">
        <f t="shared" si="206"/>
        <v>798339.35765037336</v>
      </c>
      <c r="AB184" s="8">
        <f t="shared" si="206"/>
        <v>798339.35765037336</v>
      </c>
      <c r="AC184" s="8">
        <f t="shared" si="206"/>
        <v>798339.35765037336</v>
      </c>
      <c r="AD184" s="8">
        <f t="shared" si="206"/>
        <v>798339.35765037336</v>
      </c>
      <c r="AE184" s="8">
        <f t="shared" si="206"/>
        <v>798339.35765037336</v>
      </c>
      <c r="AF184" s="8">
        <f t="shared" si="206"/>
        <v>798339.35765037336</v>
      </c>
      <c r="AG184" s="8">
        <f t="shared" si="206"/>
        <v>798339.35765037336</v>
      </c>
      <c r="AH184" s="8">
        <f t="shared" si="206"/>
        <v>798339.35765037336</v>
      </c>
      <c r="AI184" s="8">
        <f t="shared" si="206"/>
        <v>798339.35765037336</v>
      </c>
      <c r="AJ184" s="8">
        <f t="shared" si="206"/>
        <v>798339.35765037336</v>
      </c>
      <c r="AK184" s="8">
        <f t="shared" si="206"/>
        <v>798339.35765037336</v>
      </c>
      <c r="AL184" s="8">
        <f t="shared" si="206"/>
        <v>798339.35765037336</v>
      </c>
      <c r="AM184" s="8">
        <f t="shared" si="206"/>
        <v>798339.35765037336</v>
      </c>
      <c r="AN184" s="8">
        <f t="shared" si="206"/>
        <v>798339.35765037336</v>
      </c>
      <c r="AO184" s="8">
        <f t="shared" si="206"/>
        <v>798339.35765037336</v>
      </c>
      <c r="AP184" s="8">
        <f t="shared" si="206"/>
        <v>798339.35765037336</v>
      </c>
      <c r="AQ184" s="8">
        <f t="shared" si="206"/>
        <v>798339.35765037336</v>
      </c>
      <c r="AR184" s="8">
        <f t="shared" si="206"/>
        <v>798339.35765037336</v>
      </c>
      <c r="AS184" s="8">
        <f t="shared" si="206"/>
        <v>798339.35765037336</v>
      </c>
      <c r="AT184" s="8">
        <f t="shared" si="206"/>
        <v>798339.35765037336</v>
      </c>
      <c r="AU184" s="8">
        <f t="shared" si="206"/>
        <v>798339.35765037336</v>
      </c>
      <c r="AV184" s="8">
        <f t="shared" si="206"/>
        <v>798339.35765037336</v>
      </c>
      <c r="AW184" s="8">
        <f t="shared" si="206"/>
        <v>798339.35765037336</v>
      </c>
      <c r="AX184" s="8">
        <f t="shared" si="206"/>
        <v>798339.35765037336</v>
      </c>
      <c r="AY184" s="8">
        <f t="shared" si="206"/>
        <v>798339.35765037336</v>
      </c>
      <c r="AZ184" s="8">
        <f t="shared" si="206"/>
        <v>798339.35765037336</v>
      </c>
      <c r="BA184" s="8">
        <f t="shared" si="206"/>
        <v>798339.35765037336</v>
      </c>
      <c r="BB184" s="8">
        <f t="shared" si="206"/>
        <v>798339.35765037336</v>
      </c>
      <c r="BC184" s="8">
        <f t="shared" si="206"/>
        <v>798339.35765037336</v>
      </c>
      <c r="BD184" s="8">
        <f t="shared" si="206"/>
        <v>726093.91165037337</v>
      </c>
      <c r="BE184" s="8">
        <f t="shared" si="206"/>
        <v>652259.06583837338</v>
      </c>
      <c r="BF184" s="8">
        <f t="shared" si="206"/>
        <v>576799.85341850948</v>
      </c>
      <c r="BG184" s="8">
        <f t="shared" si="206"/>
        <v>499680.53832540842</v>
      </c>
      <c r="BH184" s="8">
        <f t="shared" si="206"/>
        <v>420864.59830025915</v>
      </c>
      <c r="BI184" s="8">
        <f t="shared" si="206"/>
        <v>340314.70759455668</v>
      </c>
      <c r="BJ184" s="8">
        <f t="shared" si="206"/>
        <v>257992.71929332864</v>
      </c>
      <c r="BK184" s="8">
        <f t="shared" si="206"/>
        <v>173859.64724947367</v>
      </c>
      <c r="BL184" s="8">
        <f t="shared" si="206"/>
        <v>87875.64762065385</v>
      </c>
      <c r="BM184" s="8">
        <f t="shared" si="206"/>
        <v>0</v>
      </c>
      <c r="BN184" s="8">
        <f t="shared" si="206"/>
        <v>0</v>
      </c>
      <c r="BO184" s="8">
        <f t="shared" si="206"/>
        <v>0</v>
      </c>
      <c r="BP184" s="8">
        <f t="shared" si="206"/>
        <v>0</v>
      </c>
      <c r="BQ184" s="8">
        <f t="shared" si="206"/>
        <v>0</v>
      </c>
      <c r="BR184" s="8">
        <f t="shared" ref="BR184:DA188" si="207">BR15+BR32+BR49+BR66+BR83+BR100+BR117+BR134+BR151+BR168</f>
        <v>0</v>
      </c>
      <c r="BS184" s="8">
        <f t="shared" si="207"/>
        <v>0</v>
      </c>
      <c r="BT184" s="8">
        <f t="shared" si="207"/>
        <v>0</v>
      </c>
      <c r="BU184" s="8">
        <f t="shared" si="207"/>
        <v>0</v>
      </c>
      <c r="BV184" s="8">
        <f t="shared" si="207"/>
        <v>0</v>
      </c>
      <c r="BW184" s="8">
        <f t="shared" si="207"/>
        <v>0</v>
      </c>
      <c r="BX184" s="8">
        <f t="shared" si="207"/>
        <v>0</v>
      </c>
      <c r="BY184" s="8">
        <f t="shared" si="207"/>
        <v>0</v>
      </c>
      <c r="BZ184" s="8">
        <f t="shared" si="207"/>
        <v>0</v>
      </c>
      <c r="CA184" s="8">
        <f t="shared" si="207"/>
        <v>0</v>
      </c>
      <c r="CB184" s="8">
        <f t="shared" si="207"/>
        <v>0</v>
      </c>
      <c r="CC184" s="8">
        <f t="shared" si="207"/>
        <v>0</v>
      </c>
      <c r="CD184" s="8">
        <f t="shared" si="207"/>
        <v>0</v>
      </c>
      <c r="CE184" s="8">
        <f t="shared" si="207"/>
        <v>0</v>
      </c>
      <c r="CF184" s="8">
        <f t="shared" si="207"/>
        <v>0</v>
      </c>
      <c r="CG184" s="8">
        <f t="shared" si="207"/>
        <v>0</v>
      </c>
      <c r="CH184" s="8">
        <f t="shared" si="207"/>
        <v>0</v>
      </c>
      <c r="CI184" s="8">
        <f t="shared" si="207"/>
        <v>0</v>
      </c>
      <c r="CJ184" s="8">
        <f t="shared" si="207"/>
        <v>0</v>
      </c>
      <c r="CK184" s="8">
        <f t="shared" si="207"/>
        <v>0</v>
      </c>
      <c r="CL184" s="8">
        <f t="shared" si="207"/>
        <v>0</v>
      </c>
      <c r="CM184" s="8">
        <f t="shared" si="207"/>
        <v>0</v>
      </c>
      <c r="CN184" s="8">
        <f t="shared" si="207"/>
        <v>0</v>
      </c>
      <c r="CO184" s="8">
        <f t="shared" si="207"/>
        <v>0</v>
      </c>
      <c r="CP184" s="8">
        <f t="shared" si="207"/>
        <v>0</v>
      </c>
      <c r="CQ184" s="8">
        <f t="shared" si="207"/>
        <v>0</v>
      </c>
      <c r="CR184" s="8">
        <f t="shared" si="207"/>
        <v>0</v>
      </c>
      <c r="CS184" s="8">
        <f t="shared" si="207"/>
        <v>0</v>
      </c>
      <c r="CT184" s="8">
        <f t="shared" si="207"/>
        <v>0</v>
      </c>
      <c r="CU184" s="8">
        <f t="shared" si="207"/>
        <v>0</v>
      </c>
      <c r="CV184" s="8">
        <f t="shared" si="207"/>
        <v>0</v>
      </c>
      <c r="CW184" s="8">
        <f t="shared" si="207"/>
        <v>0</v>
      </c>
      <c r="CX184" s="8">
        <f t="shared" si="207"/>
        <v>0</v>
      </c>
      <c r="CY184" s="8">
        <f t="shared" si="207"/>
        <v>0</v>
      </c>
      <c r="CZ184" s="8">
        <f t="shared" si="207"/>
        <v>0</v>
      </c>
      <c r="DA184" s="8">
        <f t="shared" si="207"/>
        <v>0</v>
      </c>
    </row>
    <row r="185" spans="4:111" x14ac:dyDescent="0.4">
      <c r="D185" t="s">
        <v>154</v>
      </c>
      <c r="E185" s="8">
        <f>E16</f>
        <v>3612272.3000000003</v>
      </c>
      <c r="F185" s="8">
        <f>F16</f>
        <v>3612272.3000000003</v>
      </c>
      <c r="G185" s="8">
        <f>G16+G33</f>
        <v>7304014.5906000007</v>
      </c>
      <c r="H185" s="8">
        <f>H16+H33+H50</f>
        <v>11076975.211593201</v>
      </c>
      <c r="I185" s="8">
        <f>I16+I33+I50+I67</f>
        <v>14932940.966248251</v>
      </c>
      <c r="J185" s="8">
        <f>J16+J33+J50+J67+J84</f>
        <v>18873737.967505712</v>
      </c>
      <c r="K185" s="8">
        <f>K16+K33+K50+K67+K84+K101</f>
        <v>22901232.502790838</v>
      </c>
      <c r="L185" s="8">
        <f>L16+L33+L50+L67+L84+L101+L118</f>
        <v>27017331.917852238</v>
      </c>
      <c r="M185" s="8">
        <f>M16+M33+M50+M67+M84+M101+M118+M135</f>
        <v>31223985.52004499</v>
      </c>
      <c r="N185" s="8">
        <f>N16+N33+N50+N67+N84+N101+N118+N135</f>
        <v>31223985.52004499</v>
      </c>
      <c r="O185" s="8">
        <f t="shared" si="206"/>
        <v>39916967.882518671</v>
      </c>
      <c r="P185" s="8">
        <f t="shared" si="206"/>
        <v>39916967.882518671</v>
      </c>
      <c r="Q185" s="8">
        <f t="shared" si="206"/>
        <v>39916967.882518671</v>
      </c>
      <c r="R185" s="8">
        <f t="shared" si="206"/>
        <v>39916967.882518671</v>
      </c>
      <c r="S185" s="8">
        <f t="shared" si="206"/>
        <v>39916967.882518671</v>
      </c>
      <c r="T185" s="8">
        <f t="shared" si="206"/>
        <v>39916967.882518671</v>
      </c>
      <c r="U185" s="8">
        <f t="shared" si="206"/>
        <v>39916967.882518671</v>
      </c>
      <c r="V185" s="8">
        <f t="shared" si="206"/>
        <v>39916967.882518671</v>
      </c>
      <c r="W185" s="8">
        <f t="shared" si="206"/>
        <v>39916967.882518671</v>
      </c>
      <c r="X185" s="8">
        <f t="shared" si="206"/>
        <v>39916967.882518671</v>
      </c>
      <c r="Y185" s="8">
        <f t="shared" si="206"/>
        <v>39916967.882518671</v>
      </c>
      <c r="Z185" s="8">
        <f t="shared" si="206"/>
        <v>39916967.882518671</v>
      </c>
      <c r="AA185" s="8">
        <f t="shared" si="206"/>
        <v>39916967.882518671</v>
      </c>
      <c r="AB185" s="8">
        <f t="shared" si="206"/>
        <v>39916967.882518671</v>
      </c>
      <c r="AC185" s="8">
        <f t="shared" si="206"/>
        <v>39916967.882518671</v>
      </c>
      <c r="AD185" s="8">
        <f t="shared" si="206"/>
        <v>39916967.882518671</v>
      </c>
      <c r="AE185" s="8">
        <f t="shared" si="206"/>
        <v>39916967.882518671</v>
      </c>
      <c r="AF185" s="8">
        <f t="shared" si="206"/>
        <v>39916967.882518671</v>
      </c>
      <c r="AG185" s="8">
        <f t="shared" si="206"/>
        <v>39916967.882518671</v>
      </c>
      <c r="AH185" s="8">
        <f t="shared" si="206"/>
        <v>39916967.882518671</v>
      </c>
      <c r="AI185" s="8">
        <f t="shared" si="206"/>
        <v>39916967.882518671</v>
      </c>
      <c r="AJ185" s="8">
        <f t="shared" si="206"/>
        <v>39916967.882518671</v>
      </c>
      <c r="AK185" s="8">
        <f t="shared" si="206"/>
        <v>39916967.882518671</v>
      </c>
      <c r="AL185" s="8">
        <f t="shared" si="206"/>
        <v>39916967.882518671</v>
      </c>
      <c r="AM185" s="8">
        <f t="shared" si="206"/>
        <v>39916967.882518671</v>
      </c>
      <c r="AN185" s="8">
        <f t="shared" si="206"/>
        <v>39916967.882518671</v>
      </c>
      <c r="AO185" s="8">
        <f t="shared" si="206"/>
        <v>39916967.882518671</v>
      </c>
      <c r="AP185" s="8">
        <f t="shared" si="206"/>
        <v>39916967.882518671</v>
      </c>
      <c r="AQ185" s="8">
        <f t="shared" si="206"/>
        <v>39916967.882518671</v>
      </c>
      <c r="AR185" s="8">
        <f t="shared" si="206"/>
        <v>39916967.882518671</v>
      </c>
      <c r="AS185" s="8">
        <f t="shared" si="206"/>
        <v>39916967.882518671</v>
      </c>
      <c r="AT185" s="8">
        <f t="shared" si="206"/>
        <v>39916967.882518671</v>
      </c>
      <c r="AU185" s="8">
        <f t="shared" si="206"/>
        <v>39916967.882518671</v>
      </c>
      <c r="AV185" s="8">
        <f t="shared" si="206"/>
        <v>39916967.882518671</v>
      </c>
      <c r="AW185" s="8">
        <f t="shared" si="206"/>
        <v>39916967.882518671</v>
      </c>
      <c r="AX185" s="8">
        <f t="shared" si="206"/>
        <v>39916967.882518671</v>
      </c>
      <c r="AY185" s="8">
        <f t="shared" si="206"/>
        <v>39916967.882518671</v>
      </c>
      <c r="AZ185" s="8">
        <f t="shared" si="206"/>
        <v>39916967.882518671</v>
      </c>
      <c r="BA185" s="8">
        <f t="shared" si="206"/>
        <v>39916967.882518671</v>
      </c>
      <c r="BB185" s="8">
        <f t="shared" si="206"/>
        <v>39916967.882518671</v>
      </c>
      <c r="BC185" s="8">
        <f t="shared" si="206"/>
        <v>39916967.882518671</v>
      </c>
      <c r="BD185" s="8">
        <f t="shared" si="206"/>
        <v>36304695.582518667</v>
      </c>
      <c r="BE185" s="8">
        <f t="shared" si="206"/>
        <v>32612953.291918673</v>
      </c>
      <c r="BF185" s="8">
        <f t="shared" si="206"/>
        <v>28839992.670925468</v>
      </c>
      <c r="BG185" s="8">
        <f t="shared" si="206"/>
        <v>24984026.91627042</v>
      </c>
      <c r="BH185" s="8">
        <f t="shared" si="206"/>
        <v>21043229.915012956</v>
      </c>
      <c r="BI185" s="8">
        <f t="shared" si="206"/>
        <v>17015735.379727833</v>
      </c>
      <c r="BJ185" s="8">
        <f t="shared" si="206"/>
        <v>12899635.964666432</v>
      </c>
      <c r="BK185" s="8">
        <f t="shared" si="206"/>
        <v>8692982.3624736816</v>
      </c>
      <c r="BL185" s="8">
        <f t="shared" si="206"/>
        <v>4393782.3810326923</v>
      </c>
      <c r="BM185" s="8">
        <f t="shared" si="206"/>
        <v>0</v>
      </c>
      <c r="BN185" s="8">
        <f t="shared" si="206"/>
        <v>0</v>
      </c>
      <c r="BO185" s="8">
        <f t="shared" si="206"/>
        <v>0</v>
      </c>
      <c r="BP185" s="8">
        <f t="shared" si="206"/>
        <v>0</v>
      </c>
      <c r="BQ185" s="8">
        <f t="shared" si="206"/>
        <v>0</v>
      </c>
      <c r="BR185" s="8">
        <f t="shared" si="207"/>
        <v>0</v>
      </c>
      <c r="BS185" s="8">
        <f t="shared" si="207"/>
        <v>0</v>
      </c>
      <c r="BT185" s="8">
        <f t="shared" si="207"/>
        <v>0</v>
      </c>
      <c r="BU185" s="8">
        <f t="shared" si="207"/>
        <v>0</v>
      </c>
      <c r="BV185" s="8">
        <f t="shared" si="207"/>
        <v>0</v>
      </c>
      <c r="BW185" s="8">
        <f t="shared" si="207"/>
        <v>0</v>
      </c>
      <c r="BX185" s="8">
        <f t="shared" si="207"/>
        <v>0</v>
      </c>
      <c r="BY185" s="8">
        <f t="shared" si="207"/>
        <v>0</v>
      </c>
      <c r="BZ185" s="8">
        <f t="shared" si="207"/>
        <v>0</v>
      </c>
      <c r="CA185" s="8">
        <f t="shared" si="207"/>
        <v>0</v>
      </c>
      <c r="CB185" s="8">
        <f t="shared" si="207"/>
        <v>0</v>
      </c>
      <c r="CC185" s="8">
        <f t="shared" si="207"/>
        <v>0</v>
      </c>
      <c r="CD185" s="8">
        <f t="shared" si="207"/>
        <v>0</v>
      </c>
      <c r="CE185" s="8">
        <f t="shared" si="207"/>
        <v>0</v>
      </c>
      <c r="CF185" s="8">
        <f t="shared" si="207"/>
        <v>0</v>
      </c>
      <c r="CG185" s="8">
        <f t="shared" si="207"/>
        <v>0</v>
      </c>
      <c r="CH185" s="8">
        <f t="shared" si="207"/>
        <v>0</v>
      </c>
      <c r="CI185" s="8">
        <f t="shared" si="207"/>
        <v>0</v>
      </c>
      <c r="CJ185" s="8">
        <f t="shared" si="207"/>
        <v>0</v>
      </c>
      <c r="CK185" s="8">
        <f t="shared" si="207"/>
        <v>0</v>
      </c>
      <c r="CL185" s="8">
        <f t="shared" si="207"/>
        <v>0</v>
      </c>
      <c r="CM185" s="8">
        <f t="shared" si="207"/>
        <v>0</v>
      </c>
      <c r="CN185" s="8">
        <f t="shared" si="207"/>
        <v>0</v>
      </c>
      <c r="CO185" s="8">
        <f t="shared" si="207"/>
        <v>0</v>
      </c>
      <c r="CP185" s="8">
        <f t="shared" si="207"/>
        <v>0</v>
      </c>
      <c r="CQ185" s="8">
        <f t="shared" si="207"/>
        <v>0</v>
      </c>
      <c r="CR185" s="8">
        <f t="shared" si="207"/>
        <v>0</v>
      </c>
      <c r="CS185" s="8">
        <f t="shared" si="207"/>
        <v>0</v>
      </c>
      <c r="CT185" s="8">
        <f t="shared" si="207"/>
        <v>0</v>
      </c>
      <c r="CU185" s="8">
        <f t="shared" si="207"/>
        <v>0</v>
      </c>
      <c r="CV185" s="8">
        <f t="shared" si="207"/>
        <v>0</v>
      </c>
      <c r="CW185" s="8">
        <f t="shared" si="207"/>
        <v>0</v>
      </c>
      <c r="CX185" s="8">
        <f t="shared" si="207"/>
        <v>0</v>
      </c>
      <c r="CY185" s="8">
        <f t="shared" si="207"/>
        <v>0</v>
      </c>
      <c r="CZ185" s="8">
        <f t="shared" si="207"/>
        <v>0</v>
      </c>
      <c r="DA185" s="8">
        <f t="shared" si="207"/>
        <v>0</v>
      </c>
    </row>
    <row r="186" spans="4:111" x14ac:dyDescent="0.4">
      <c r="D186" t="s">
        <v>208</v>
      </c>
      <c r="E186" s="8">
        <f t="shared" ref="E186:BP192" si="208">E17+E34+E51+E68+E85+E102+E119+E136+E153+E170</f>
        <v>0</v>
      </c>
      <c r="F186" s="8">
        <f t="shared" si="208"/>
        <v>-72245.446000000011</v>
      </c>
      <c r="G186" s="8">
        <f t="shared" si="208"/>
        <v>-218325.73781200004</v>
      </c>
      <c r="H186" s="8">
        <f t="shared" si="208"/>
        <v>-439865.2420438641</v>
      </c>
      <c r="I186" s="8">
        <f t="shared" si="208"/>
        <v>-738524.06136882911</v>
      </c>
      <c r="J186" s="8">
        <f t="shared" si="208"/>
        <v>-1115998.8207189434</v>
      </c>
      <c r="K186" s="8">
        <f t="shared" si="208"/>
        <v>-1574023.4707747602</v>
      </c>
      <c r="L186" s="8">
        <f t="shared" si="208"/>
        <v>-2114370.1091318047</v>
      </c>
      <c r="M186" s="8">
        <f t="shared" si="208"/>
        <v>-2738849.819532705</v>
      </c>
      <c r="N186" s="8">
        <f t="shared" si="208"/>
        <v>-3449313.5295624239</v>
      </c>
      <c r="O186" s="8">
        <f t="shared" si="208"/>
        <v>-4247652.887212798</v>
      </c>
      <c r="P186" s="8">
        <f t="shared" si="208"/>
        <v>-5045992.2448631711</v>
      </c>
      <c r="Q186" s="8">
        <f t="shared" si="208"/>
        <v>-5844331.6025135433</v>
      </c>
      <c r="R186" s="8">
        <f t="shared" si="208"/>
        <v>-6642670.9601639174</v>
      </c>
      <c r="S186" s="8">
        <f t="shared" si="208"/>
        <v>-7441010.3178142924</v>
      </c>
      <c r="T186" s="8">
        <f t="shared" si="208"/>
        <v>-8239349.6754646646</v>
      </c>
      <c r="U186" s="8">
        <f t="shared" si="208"/>
        <v>-9037689.0331150368</v>
      </c>
      <c r="V186" s="8">
        <f t="shared" si="208"/>
        <v>-9836028.3907654136</v>
      </c>
      <c r="W186" s="8">
        <f t="shared" si="208"/>
        <v>-10634367.748415785</v>
      </c>
      <c r="X186" s="8">
        <f t="shared" si="208"/>
        <v>-11432707.10606616</v>
      </c>
      <c r="Y186" s="8">
        <f t="shared" si="208"/>
        <v>-12231046.463716533</v>
      </c>
      <c r="Z186" s="8">
        <f t="shared" si="208"/>
        <v>-13029385.821366906</v>
      </c>
      <c r="AA186" s="8">
        <f t="shared" si="208"/>
        <v>-13827725.179017279</v>
      </c>
      <c r="AB186" s="8">
        <f t="shared" si="208"/>
        <v>-14626064.536667651</v>
      </c>
      <c r="AC186" s="8">
        <f t="shared" si="208"/>
        <v>-15424403.894318026</v>
      </c>
      <c r="AD186" s="8">
        <f t="shared" si="208"/>
        <v>-16222743.251968399</v>
      </c>
      <c r="AE186" s="8">
        <f t="shared" si="208"/>
        <v>-17021082.609618772</v>
      </c>
      <c r="AF186" s="8">
        <f t="shared" si="208"/>
        <v>-17819421.967269149</v>
      </c>
      <c r="AG186" s="8">
        <f t="shared" si="208"/>
        <v>-18617761.324919522</v>
      </c>
      <c r="AH186" s="8">
        <f t="shared" si="208"/>
        <v>-19416100.682569891</v>
      </c>
      <c r="AI186" s="8">
        <f t="shared" si="208"/>
        <v>-20214440.040220268</v>
      </c>
      <c r="AJ186" s="8">
        <f t="shared" si="208"/>
        <v>-21012779.397870637</v>
      </c>
      <c r="AK186" s="8">
        <f t="shared" si="208"/>
        <v>-21811118.755521014</v>
      </c>
      <c r="AL186" s="8">
        <f t="shared" si="208"/>
        <v>-22609458.113171387</v>
      </c>
      <c r="AM186" s="8">
        <f t="shared" si="208"/>
        <v>-23407797.470821757</v>
      </c>
      <c r="AN186" s="8">
        <f t="shared" si="208"/>
        <v>-24206136.82847213</v>
      </c>
      <c r="AO186" s="8">
        <f t="shared" si="208"/>
        <v>-25004476.186122503</v>
      </c>
      <c r="AP186" s="8">
        <f t="shared" si="208"/>
        <v>-25802815.543772876</v>
      </c>
      <c r="AQ186" s="8">
        <f t="shared" si="208"/>
        <v>-26601154.901423249</v>
      </c>
      <c r="AR186" s="8">
        <f t="shared" si="208"/>
        <v>-27399494.259073619</v>
      </c>
      <c r="AS186" s="8">
        <f t="shared" si="208"/>
        <v>-28197833.616724003</v>
      </c>
      <c r="AT186" s="8">
        <f t="shared" si="208"/>
        <v>-28996172.974374373</v>
      </c>
      <c r="AU186" s="8">
        <f t="shared" si="208"/>
        <v>-29794512.332024742</v>
      </c>
      <c r="AV186" s="8">
        <f t="shared" si="208"/>
        <v>-30592851.689675115</v>
      </c>
      <c r="AW186" s="8">
        <f t="shared" si="208"/>
        <v>-31391191.047325488</v>
      </c>
      <c r="AX186" s="8">
        <f t="shared" si="208"/>
        <v>-32189530.404975861</v>
      </c>
      <c r="AY186" s="8">
        <f t="shared" si="208"/>
        <v>-32987869.762626234</v>
      </c>
      <c r="AZ186" s="8">
        <f t="shared" si="208"/>
        <v>-33786209.120276615</v>
      </c>
      <c r="BA186" s="8">
        <f t="shared" si="208"/>
        <v>-34584548.477926984</v>
      </c>
      <c r="BB186" s="8">
        <f t="shared" si="208"/>
        <v>-35382887.835577361</v>
      </c>
      <c r="BC186" s="8">
        <f t="shared" si="208"/>
        <v>-36181227.193227723</v>
      </c>
      <c r="BD186" s="8">
        <f t="shared" si="208"/>
        <v>-33295048.804878101</v>
      </c>
      <c r="BE186" s="8">
        <f t="shared" si="208"/>
        <v>-30255565.580116477</v>
      </c>
      <c r="BF186" s="8">
        <f t="shared" si="208"/>
        <v>-27059404.812541787</v>
      </c>
      <c r="BG186" s="8">
        <f t="shared" si="208"/>
        <v>-23703119.596212149</v>
      </c>
      <c r="BH186" s="8">
        <f t="shared" si="208"/>
        <v>-20183187.193254944</v>
      </c>
      <c r="BI186" s="8">
        <f t="shared" si="208"/>
        <v>-16496007.365564376</v>
      </c>
      <c r="BJ186" s="8">
        <f t="shared" si="208"/>
        <v>-12637900.66979631</v>
      </c>
      <c r="BK186" s="8">
        <f t="shared" si="208"/>
        <v>-8605106.7148530297</v>
      </c>
      <c r="BL186" s="8">
        <f t="shared" si="208"/>
        <v>-4393782.3810326885</v>
      </c>
      <c r="BM186" s="8">
        <f t="shared" si="208"/>
        <v>0</v>
      </c>
      <c r="BN186" s="8">
        <f t="shared" si="208"/>
        <v>0</v>
      </c>
      <c r="BO186" s="8">
        <f t="shared" si="208"/>
        <v>0</v>
      </c>
      <c r="BP186" s="8">
        <f t="shared" si="208"/>
        <v>0</v>
      </c>
      <c r="BQ186" s="8">
        <f t="shared" si="206"/>
        <v>0</v>
      </c>
      <c r="BR186" s="8">
        <f t="shared" si="207"/>
        <v>0</v>
      </c>
      <c r="BS186" s="8">
        <f t="shared" si="207"/>
        <v>0</v>
      </c>
      <c r="BT186" s="8">
        <f t="shared" si="207"/>
        <v>0</v>
      </c>
      <c r="BU186" s="8">
        <f t="shared" si="207"/>
        <v>0</v>
      </c>
      <c r="BV186" s="8">
        <f t="shared" si="207"/>
        <v>0</v>
      </c>
      <c r="BW186" s="8">
        <f t="shared" si="207"/>
        <v>0</v>
      </c>
      <c r="BX186" s="8">
        <f t="shared" si="207"/>
        <v>0</v>
      </c>
      <c r="BY186" s="8">
        <f t="shared" si="207"/>
        <v>0</v>
      </c>
      <c r="BZ186" s="8">
        <f t="shared" si="207"/>
        <v>0</v>
      </c>
      <c r="CA186" s="8">
        <f t="shared" si="207"/>
        <v>0</v>
      </c>
      <c r="CB186" s="8">
        <f t="shared" si="207"/>
        <v>0</v>
      </c>
      <c r="CC186" s="8">
        <f t="shared" si="207"/>
        <v>0</v>
      </c>
      <c r="CD186" s="8">
        <f t="shared" si="207"/>
        <v>0</v>
      </c>
      <c r="CE186" s="8">
        <f t="shared" si="207"/>
        <v>0</v>
      </c>
      <c r="CF186" s="8">
        <f t="shared" si="207"/>
        <v>0</v>
      </c>
      <c r="CG186" s="8">
        <f t="shared" si="207"/>
        <v>0</v>
      </c>
      <c r="CH186" s="8">
        <f t="shared" si="207"/>
        <v>0</v>
      </c>
      <c r="CI186" s="8">
        <f t="shared" si="207"/>
        <v>0</v>
      </c>
      <c r="CJ186" s="8">
        <f t="shared" si="207"/>
        <v>0</v>
      </c>
      <c r="CK186" s="8">
        <f t="shared" si="207"/>
        <v>0</v>
      </c>
      <c r="CL186" s="8">
        <f t="shared" si="207"/>
        <v>0</v>
      </c>
      <c r="CM186" s="8">
        <f t="shared" si="207"/>
        <v>0</v>
      </c>
      <c r="CN186" s="8">
        <f t="shared" si="207"/>
        <v>0</v>
      </c>
      <c r="CO186" s="8">
        <f t="shared" si="207"/>
        <v>0</v>
      </c>
      <c r="CP186" s="8">
        <f t="shared" si="207"/>
        <v>0</v>
      </c>
      <c r="CQ186" s="8">
        <f t="shared" si="207"/>
        <v>0</v>
      </c>
      <c r="CR186" s="8">
        <f t="shared" si="207"/>
        <v>0</v>
      </c>
      <c r="CS186" s="8">
        <f t="shared" si="207"/>
        <v>0</v>
      </c>
      <c r="CT186" s="8">
        <f t="shared" si="207"/>
        <v>0</v>
      </c>
      <c r="CU186" s="8">
        <f t="shared" si="207"/>
        <v>0</v>
      </c>
      <c r="CV186" s="8">
        <f t="shared" si="207"/>
        <v>0</v>
      </c>
      <c r="CW186" s="8">
        <f t="shared" si="207"/>
        <v>0</v>
      </c>
      <c r="CX186" s="8">
        <f t="shared" si="207"/>
        <v>0</v>
      </c>
      <c r="CY186" s="8">
        <f t="shared" si="207"/>
        <v>0</v>
      </c>
      <c r="CZ186" s="8">
        <f t="shared" si="207"/>
        <v>0</v>
      </c>
      <c r="DA186" s="8">
        <f t="shared" si="207"/>
        <v>0</v>
      </c>
    </row>
    <row r="187" spans="4:111" x14ac:dyDescent="0.4">
      <c r="D187" t="s">
        <v>167</v>
      </c>
      <c r="E187" s="8">
        <f t="shared" si="208"/>
        <v>0</v>
      </c>
      <c r="F187" s="8">
        <f t="shared" si="206"/>
        <v>3612272.3000000003</v>
      </c>
      <c r="G187" s="8">
        <f t="shared" si="206"/>
        <v>7231769.1446000002</v>
      </c>
      <c r="H187" s="8">
        <f t="shared" si="206"/>
        <v>10858649.473781202</v>
      </c>
      <c r="I187" s="8">
        <f t="shared" si="206"/>
        <v>14493075.724204388</v>
      </c>
      <c r="J187" s="8">
        <f t="shared" si="206"/>
        <v>18135213.906136885</v>
      </c>
      <c r="K187" s="8">
        <f t="shared" si="206"/>
        <v>21785233.682071898</v>
      </c>
      <c r="L187" s="8">
        <f t="shared" si="206"/>
        <v>25443308.447077475</v>
      </c>
      <c r="M187" s="8">
        <f t="shared" si="206"/>
        <v>29109615.410913184</v>
      </c>
      <c r="N187" s="8">
        <f t="shared" si="206"/>
        <v>32784335.681953274</v>
      </c>
      <c r="O187" s="8">
        <f t="shared" si="206"/>
        <v>36467654.35295625</v>
      </c>
      <c r="P187" s="8">
        <f t="shared" si="206"/>
        <v>35669314.995305881</v>
      </c>
      <c r="Q187" s="8">
        <f t="shared" si="206"/>
        <v>34870975.637655497</v>
      </c>
      <c r="R187" s="8">
        <f t="shared" si="206"/>
        <v>34072636.280005127</v>
      </c>
      <c r="S187" s="8">
        <f t="shared" si="206"/>
        <v>33274296.92235475</v>
      </c>
      <c r="T187" s="8">
        <f t="shared" si="206"/>
        <v>32475957.564704381</v>
      </c>
      <c r="U187" s="8">
        <f t="shared" si="206"/>
        <v>31677618.207054004</v>
      </c>
      <c r="V187" s="8">
        <f t="shared" si="206"/>
        <v>30879278.849403631</v>
      </c>
      <c r="W187" s="8">
        <f t="shared" si="206"/>
        <v>30080939.491753258</v>
      </c>
      <c r="X187" s="8">
        <f t="shared" si="206"/>
        <v>29282600.134102888</v>
      </c>
      <c r="Y187" s="8">
        <f t="shared" si="206"/>
        <v>28484260.776452515</v>
      </c>
      <c r="Z187" s="8">
        <f t="shared" si="206"/>
        <v>27685921.418802142</v>
      </c>
      <c r="AA187" s="8">
        <f t="shared" si="206"/>
        <v>26887582.061151769</v>
      </c>
      <c r="AB187" s="8">
        <f t="shared" si="206"/>
        <v>26089242.703501396</v>
      </c>
      <c r="AC187" s="8">
        <f t="shared" si="206"/>
        <v>25290903.345851019</v>
      </c>
      <c r="AD187" s="8">
        <f t="shared" si="206"/>
        <v>24492563.98820065</v>
      </c>
      <c r="AE187" s="8">
        <f t="shared" si="206"/>
        <v>23694224.630550273</v>
      </c>
      <c r="AF187" s="8">
        <f t="shared" si="206"/>
        <v>22895885.2728999</v>
      </c>
      <c r="AG187" s="8">
        <f t="shared" si="206"/>
        <v>22097545.915249523</v>
      </c>
      <c r="AH187" s="8">
        <f t="shared" si="206"/>
        <v>21299206.55759915</v>
      </c>
      <c r="AI187" s="8">
        <f t="shared" si="206"/>
        <v>20500867.199948777</v>
      </c>
      <c r="AJ187" s="8">
        <f t="shared" si="206"/>
        <v>19702527.842298407</v>
      </c>
      <c r="AK187" s="8">
        <f t="shared" si="206"/>
        <v>18904188.484648034</v>
      </c>
      <c r="AL187" s="8">
        <f t="shared" si="206"/>
        <v>18105849.126997661</v>
      </c>
      <c r="AM187" s="8">
        <f t="shared" si="206"/>
        <v>17307509.769347288</v>
      </c>
      <c r="AN187" s="8">
        <f t="shared" si="206"/>
        <v>16509170.411696913</v>
      </c>
      <c r="AO187" s="8">
        <f t="shared" si="206"/>
        <v>15710831.054046538</v>
      </c>
      <c r="AP187" s="8">
        <f t="shared" si="206"/>
        <v>14912491.696396166</v>
      </c>
      <c r="AQ187" s="8">
        <f t="shared" si="206"/>
        <v>14114152.338745793</v>
      </c>
      <c r="AR187" s="8">
        <f t="shared" si="206"/>
        <v>13315812.98109542</v>
      </c>
      <c r="AS187" s="8">
        <f t="shared" si="206"/>
        <v>12517473.623445045</v>
      </c>
      <c r="AT187" s="8">
        <f t="shared" si="206"/>
        <v>11719134.265794674</v>
      </c>
      <c r="AU187" s="8">
        <f t="shared" si="206"/>
        <v>10920794.908144301</v>
      </c>
      <c r="AV187" s="8">
        <f t="shared" si="206"/>
        <v>10122455.550493928</v>
      </c>
      <c r="AW187" s="8">
        <f t="shared" si="206"/>
        <v>9324116.1928435545</v>
      </c>
      <c r="AX187" s="8">
        <f t="shared" si="206"/>
        <v>8525776.8351931814</v>
      </c>
      <c r="AY187" s="8">
        <f t="shared" si="206"/>
        <v>7727437.4775428083</v>
      </c>
      <c r="AZ187" s="8">
        <f t="shared" si="206"/>
        <v>6929098.1198924351</v>
      </c>
      <c r="BA187" s="8">
        <f t="shared" si="206"/>
        <v>6130758.762242062</v>
      </c>
      <c r="BB187" s="8">
        <f t="shared" si="206"/>
        <v>5332419.4045916889</v>
      </c>
      <c r="BC187" s="8">
        <f t="shared" si="206"/>
        <v>4534080.0469413158</v>
      </c>
      <c r="BD187" s="8">
        <f t="shared" si="206"/>
        <v>3735740.6892909426</v>
      </c>
      <c r="BE187" s="8">
        <f t="shared" si="206"/>
        <v>3009646.7776405676</v>
      </c>
      <c r="BF187" s="8">
        <f t="shared" si="206"/>
        <v>2357387.7118021944</v>
      </c>
      <c r="BG187" s="8">
        <f t="shared" si="206"/>
        <v>1780587.8583836802</v>
      </c>
      <c r="BH187" s="8">
        <f t="shared" si="206"/>
        <v>1280907.3200582741</v>
      </c>
      <c r="BI187" s="8">
        <f t="shared" si="206"/>
        <v>860042.72175801219</v>
      </c>
      <c r="BJ187" s="8">
        <f t="shared" si="206"/>
        <v>519728.01416345546</v>
      </c>
      <c r="BK187" s="8">
        <f t="shared" si="206"/>
        <v>261735.29487012699</v>
      </c>
      <c r="BL187" s="8">
        <f t="shared" si="206"/>
        <v>87875.647620657459</v>
      </c>
      <c r="BM187" s="8">
        <f t="shared" si="206"/>
        <v>0</v>
      </c>
      <c r="BN187" s="8">
        <f t="shared" si="206"/>
        <v>0</v>
      </c>
      <c r="BO187" s="8">
        <f t="shared" si="206"/>
        <v>0</v>
      </c>
      <c r="BP187" s="8">
        <f t="shared" si="206"/>
        <v>0</v>
      </c>
      <c r="BQ187" s="8">
        <f t="shared" si="206"/>
        <v>0</v>
      </c>
      <c r="BR187" s="8">
        <f t="shared" si="207"/>
        <v>0</v>
      </c>
      <c r="BS187" s="8">
        <f t="shared" si="207"/>
        <v>0</v>
      </c>
      <c r="BT187" s="8">
        <f t="shared" si="207"/>
        <v>0</v>
      </c>
      <c r="BU187" s="8">
        <f t="shared" si="207"/>
        <v>0</v>
      </c>
      <c r="BV187" s="8">
        <f t="shared" si="207"/>
        <v>0</v>
      </c>
      <c r="BW187" s="8">
        <f t="shared" si="207"/>
        <v>0</v>
      </c>
      <c r="BX187" s="8">
        <f t="shared" si="207"/>
        <v>0</v>
      </c>
      <c r="BY187" s="8">
        <f t="shared" si="207"/>
        <v>0</v>
      </c>
      <c r="BZ187" s="8">
        <f t="shared" si="207"/>
        <v>0</v>
      </c>
      <c r="CA187" s="8">
        <f t="shared" si="207"/>
        <v>0</v>
      </c>
      <c r="CB187" s="8">
        <f t="shared" si="207"/>
        <v>0</v>
      </c>
      <c r="CC187" s="8">
        <f t="shared" si="207"/>
        <v>0</v>
      </c>
      <c r="CD187" s="8">
        <f t="shared" si="207"/>
        <v>0</v>
      </c>
      <c r="CE187" s="8">
        <f t="shared" si="207"/>
        <v>0</v>
      </c>
      <c r="CF187" s="8">
        <f t="shared" si="207"/>
        <v>0</v>
      </c>
      <c r="CG187" s="8">
        <f t="shared" si="207"/>
        <v>0</v>
      </c>
      <c r="CH187" s="8">
        <f t="shared" si="207"/>
        <v>0</v>
      </c>
      <c r="CI187" s="8">
        <f t="shared" si="207"/>
        <v>0</v>
      </c>
      <c r="CJ187" s="8">
        <f t="shared" si="207"/>
        <v>0</v>
      </c>
      <c r="CK187" s="8">
        <f t="shared" si="207"/>
        <v>0</v>
      </c>
      <c r="CL187" s="8">
        <f t="shared" si="207"/>
        <v>0</v>
      </c>
      <c r="CM187" s="8">
        <f t="shared" si="207"/>
        <v>0</v>
      </c>
      <c r="CN187" s="8">
        <f t="shared" si="207"/>
        <v>0</v>
      </c>
      <c r="CO187" s="8">
        <f t="shared" si="207"/>
        <v>0</v>
      </c>
      <c r="CP187" s="8">
        <f t="shared" si="207"/>
        <v>0</v>
      </c>
      <c r="CQ187" s="8">
        <f t="shared" si="207"/>
        <v>0</v>
      </c>
      <c r="CR187" s="8">
        <f t="shared" si="207"/>
        <v>0</v>
      </c>
      <c r="CS187" s="8">
        <f t="shared" si="207"/>
        <v>0</v>
      </c>
      <c r="CT187" s="8">
        <f t="shared" si="207"/>
        <v>0</v>
      </c>
      <c r="CU187" s="8">
        <f t="shared" si="207"/>
        <v>0</v>
      </c>
      <c r="CV187" s="8">
        <f t="shared" si="207"/>
        <v>0</v>
      </c>
      <c r="CW187" s="8">
        <f t="shared" si="207"/>
        <v>0</v>
      </c>
      <c r="CX187" s="8">
        <f t="shared" si="207"/>
        <v>0</v>
      </c>
      <c r="CY187" s="8">
        <f t="shared" si="207"/>
        <v>0</v>
      </c>
      <c r="CZ187" s="8">
        <f t="shared" si="207"/>
        <v>0</v>
      </c>
      <c r="DA187" s="8">
        <f t="shared" si="207"/>
        <v>0</v>
      </c>
    </row>
    <row r="188" spans="4:111" x14ac:dyDescent="0.4">
      <c r="D188" t="s">
        <v>168</v>
      </c>
      <c r="E188" s="8">
        <f t="shared" si="208"/>
        <v>3612272.3000000003</v>
      </c>
      <c r="F188" s="8">
        <f t="shared" si="206"/>
        <v>7231769.1446000002</v>
      </c>
      <c r="G188" s="8">
        <f t="shared" si="206"/>
        <v>10858649.473781202</v>
      </c>
      <c r="H188" s="8">
        <f t="shared" si="206"/>
        <v>14493075.724204388</v>
      </c>
      <c r="I188" s="8">
        <f t="shared" si="206"/>
        <v>18135213.906136885</v>
      </c>
      <c r="J188" s="8">
        <f t="shared" si="206"/>
        <v>21785233.682071898</v>
      </c>
      <c r="K188" s="8">
        <f t="shared" si="206"/>
        <v>25443308.447077475</v>
      </c>
      <c r="L188" s="8">
        <f t="shared" si="206"/>
        <v>29109615.410913184</v>
      </c>
      <c r="M188" s="8">
        <f t="shared" si="206"/>
        <v>32784335.681953274</v>
      </c>
      <c r="N188" s="8">
        <f t="shared" si="206"/>
        <v>36467654.35295625</v>
      </c>
      <c r="O188" s="8">
        <f t="shared" si="206"/>
        <v>35669314.995305881</v>
      </c>
      <c r="P188" s="8">
        <f t="shared" si="206"/>
        <v>34870975.637655497</v>
      </c>
      <c r="Q188" s="8">
        <f t="shared" si="206"/>
        <v>34072636.280005127</v>
      </c>
      <c r="R188" s="8">
        <f t="shared" si="206"/>
        <v>33274296.92235475</v>
      </c>
      <c r="S188" s="8">
        <f t="shared" si="206"/>
        <v>32475957.564704381</v>
      </c>
      <c r="T188" s="8">
        <f t="shared" si="206"/>
        <v>31677618.207054004</v>
      </c>
      <c r="U188" s="8">
        <f t="shared" si="206"/>
        <v>30879278.849403631</v>
      </c>
      <c r="V188" s="8">
        <f t="shared" si="206"/>
        <v>30080939.491753258</v>
      </c>
      <c r="W188" s="8">
        <f t="shared" si="206"/>
        <v>29282600.134102888</v>
      </c>
      <c r="X188" s="8">
        <f t="shared" si="206"/>
        <v>28484260.776452515</v>
      </c>
      <c r="Y188" s="8">
        <f t="shared" si="206"/>
        <v>27685921.418802142</v>
      </c>
      <c r="Z188" s="8">
        <f t="shared" si="206"/>
        <v>26887582.061151769</v>
      </c>
      <c r="AA188" s="8">
        <f t="shared" si="206"/>
        <v>26089242.703501396</v>
      </c>
      <c r="AB188" s="8">
        <f t="shared" si="206"/>
        <v>25290903.345851019</v>
      </c>
      <c r="AC188" s="8">
        <f t="shared" si="206"/>
        <v>24492563.98820065</v>
      </c>
      <c r="AD188" s="8">
        <f t="shared" si="206"/>
        <v>23694224.630550273</v>
      </c>
      <c r="AE188" s="8">
        <f t="shared" si="206"/>
        <v>22895885.2728999</v>
      </c>
      <c r="AF188" s="8">
        <f t="shared" si="206"/>
        <v>22097545.915249523</v>
      </c>
      <c r="AG188" s="8">
        <f t="shared" si="206"/>
        <v>21299206.55759915</v>
      </c>
      <c r="AH188" s="8">
        <f t="shared" si="206"/>
        <v>20500867.199948777</v>
      </c>
      <c r="AI188" s="8">
        <f t="shared" si="206"/>
        <v>19702527.842298407</v>
      </c>
      <c r="AJ188" s="8">
        <f t="shared" si="206"/>
        <v>18904188.484648034</v>
      </c>
      <c r="AK188" s="8">
        <f t="shared" si="206"/>
        <v>18105849.126997661</v>
      </c>
      <c r="AL188" s="8">
        <f t="shared" si="206"/>
        <v>17307509.769347288</v>
      </c>
      <c r="AM188" s="8">
        <f t="shared" si="206"/>
        <v>16509170.411696913</v>
      </c>
      <c r="AN188" s="8">
        <f t="shared" si="206"/>
        <v>15710831.054046538</v>
      </c>
      <c r="AO188" s="8">
        <f t="shared" si="206"/>
        <v>14912491.696396166</v>
      </c>
      <c r="AP188" s="8">
        <f t="shared" si="206"/>
        <v>14114152.338745793</v>
      </c>
      <c r="AQ188" s="8">
        <f t="shared" si="206"/>
        <v>13315812.98109542</v>
      </c>
      <c r="AR188" s="8">
        <f t="shared" si="206"/>
        <v>12517473.623445045</v>
      </c>
      <c r="AS188" s="8">
        <f t="shared" si="206"/>
        <v>11719134.265794674</v>
      </c>
      <c r="AT188" s="8">
        <f t="shared" si="206"/>
        <v>10920794.908144301</v>
      </c>
      <c r="AU188" s="8">
        <f t="shared" si="206"/>
        <v>10122455.550493928</v>
      </c>
      <c r="AV188" s="8">
        <f t="shared" si="206"/>
        <v>9324116.1928435545</v>
      </c>
      <c r="AW188" s="8">
        <f t="shared" si="206"/>
        <v>8525776.8351931814</v>
      </c>
      <c r="AX188" s="8">
        <f t="shared" si="206"/>
        <v>7727437.4775428083</v>
      </c>
      <c r="AY188" s="8">
        <f t="shared" si="206"/>
        <v>6929098.1198924351</v>
      </c>
      <c r="AZ188" s="8">
        <f t="shared" si="206"/>
        <v>6130758.762242062</v>
      </c>
      <c r="BA188" s="8">
        <f t="shared" si="206"/>
        <v>5332419.4045916889</v>
      </c>
      <c r="BB188" s="8">
        <f t="shared" si="206"/>
        <v>4534080.0469413158</v>
      </c>
      <c r="BC188" s="8">
        <f t="shared" si="206"/>
        <v>3735740.6892909426</v>
      </c>
      <c r="BD188" s="8">
        <f t="shared" si="206"/>
        <v>3009646.7776405676</v>
      </c>
      <c r="BE188" s="8">
        <f t="shared" si="206"/>
        <v>2357387.7118021944</v>
      </c>
      <c r="BF188" s="8">
        <f t="shared" si="206"/>
        <v>1780587.8583836802</v>
      </c>
      <c r="BG188" s="8">
        <f t="shared" si="206"/>
        <v>1280907.3200582741</v>
      </c>
      <c r="BH188" s="8">
        <f t="shared" si="206"/>
        <v>860042.72175801219</v>
      </c>
      <c r="BI188" s="8">
        <f t="shared" si="206"/>
        <v>519728.01416345546</v>
      </c>
      <c r="BJ188" s="8">
        <f t="shared" si="206"/>
        <v>261735.29487012699</v>
      </c>
      <c r="BK188" s="8">
        <f t="shared" si="206"/>
        <v>87875.647620657459</v>
      </c>
      <c r="BL188" s="8">
        <f t="shared" si="206"/>
        <v>0</v>
      </c>
      <c r="BM188" s="8">
        <f t="shared" si="206"/>
        <v>0</v>
      </c>
      <c r="BN188" s="8">
        <f t="shared" si="206"/>
        <v>0</v>
      </c>
      <c r="BO188" s="8">
        <f t="shared" si="206"/>
        <v>0</v>
      </c>
      <c r="BP188" s="8">
        <f t="shared" si="206"/>
        <v>0</v>
      </c>
      <c r="BQ188" s="8">
        <f t="shared" si="206"/>
        <v>0</v>
      </c>
      <c r="BR188" s="8">
        <f t="shared" si="207"/>
        <v>0</v>
      </c>
      <c r="BS188" s="8">
        <f t="shared" si="207"/>
        <v>0</v>
      </c>
      <c r="BT188" s="8">
        <f t="shared" si="207"/>
        <v>0</v>
      </c>
      <c r="BU188" s="8">
        <f t="shared" si="207"/>
        <v>0</v>
      </c>
      <c r="BV188" s="8">
        <f t="shared" si="207"/>
        <v>0</v>
      </c>
      <c r="BW188" s="8">
        <f t="shared" si="207"/>
        <v>0</v>
      </c>
      <c r="BX188" s="8">
        <f t="shared" si="207"/>
        <v>0</v>
      </c>
      <c r="BY188" s="8">
        <f t="shared" si="207"/>
        <v>0</v>
      </c>
      <c r="BZ188" s="8">
        <f t="shared" si="207"/>
        <v>0</v>
      </c>
      <c r="CA188" s="8">
        <f t="shared" si="207"/>
        <v>0</v>
      </c>
      <c r="CB188" s="8">
        <f t="shared" si="207"/>
        <v>0</v>
      </c>
      <c r="CC188" s="8">
        <f t="shared" si="207"/>
        <v>0</v>
      </c>
      <c r="CD188" s="8">
        <f t="shared" si="207"/>
        <v>0</v>
      </c>
      <c r="CE188" s="8">
        <f t="shared" si="207"/>
        <v>0</v>
      </c>
      <c r="CF188" s="8">
        <f t="shared" si="207"/>
        <v>0</v>
      </c>
      <c r="CG188" s="8">
        <f t="shared" si="207"/>
        <v>0</v>
      </c>
      <c r="CH188" s="8">
        <f t="shared" si="207"/>
        <v>0</v>
      </c>
      <c r="CI188" s="8">
        <f t="shared" si="207"/>
        <v>0</v>
      </c>
      <c r="CJ188" s="8">
        <f t="shared" si="207"/>
        <v>0</v>
      </c>
      <c r="CK188" s="8">
        <f t="shared" si="207"/>
        <v>0</v>
      </c>
      <c r="CL188" s="8">
        <f t="shared" si="207"/>
        <v>0</v>
      </c>
      <c r="CM188" s="8">
        <f t="shared" si="207"/>
        <v>0</v>
      </c>
      <c r="CN188" s="8">
        <f t="shared" si="207"/>
        <v>0</v>
      </c>
      <c r="CO188" s="8">
        <f t="shared" si="207"/>
        <v>0</v>
      </c>
      <c r="CP188" s="8">
        <f t="shared" si="207"/>
        <v>0</v>
      </c>
      <c r="CQ188" s="8">
        <f t="shared" si="207"/>
        <v>0</v>
      </c>
      <c r="CR188" s="8">
        <f t="shared" si="207"/>
        <v>0</v>
      </c>
      <c r="CS188" s="8">
        <f t="shared" si="207"/>
        <v>0</v>
      </c>
      <c r="CT188" s="8">
        <f t="shared" si="207"/>
        <v>0</v>
      </c>
      <c r="CU188" s="8">
        <f t="shared" si="207"/>
        <v>0</v>
      </c>
      <c r="CV188" s="8">
        <f t="shared" si="207"/>
        <v>0</v>
      </c>
      <c r="CW188" s="8">
        <f t="shared" si="207"/>
        <v>0</v>
      </c>
      <c r="CX188" s="8">
        <f t="shared" si="207"/>
        <v>0</v>
      </c>
      <c r="CY188" s="8">
        <f t="shared" si="207"/>
        <v>0</v>
      </c>
      <c r="CZ188" s="8">
        <f t="shared" si="207"/>
        <v>0</v>
      </c>
      <c r="DA188" s="8">
        <f t="shared" si="207"/>
        <v>0</v>
      </c>
    </row>
    <row r="189" spans="4:111" x14ac:dyDescent="0.4"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</row>
    <row r="190" spans="4:111" x14ac:dyDescent="0.4">
      <c r="D190" t="s">
        <v>169</v>
      </c>
      <c r="E190" s="8">
        <f t="shared" si="208"/>
        <v>0</v>
      </c>
      <c r="F190" s="8">
        <f t="shared" si="208"/>
        <v>135460.21124999999</v>
      </c>
      <c r="G190" s="8">
        <f t="shared" si="208"/>
        <v>399210.27323450008</v>
      </c>
      <c r="H190" s="8">
        <f t="shared" si="208"/>
        <v>649184.32071665907</v>
      </c>
      <c r="I190" s="8">
        <f t="shared" si="208"/>
        <v>886596.43574342562</v>
      </c>
      <c r="J190" s="8">
        <f t="shared" si="208"/>
        <v>1112470.6738287809</v>
      </c>
      <c r="K190" s="8">
        <f t="shared" si="208"/>
        <v>1327853.6197080142</v>
      </c>
      <c r="L190" s="8">
        <f t="shared" si="208"/>
        <v>1533634.2693655905</v>
      </c>
      <c r="M190" s="8">
        <f t="shared" si="208"/>
        <v>1730721.1766976335</v>
      </c>
      <c r="N190" s="8">
        <f t="shared" si="208"/>
        <v>1929976.6326109814</v>
      </c>
      <c r="O190" s="8">
        <f t="shared" si="208"/>
        <v>2133579.5858314228</v>
      </c>
      <c r="P190" s="8">
        <f t="shared" si="208"/>
        <v>2173306.2169926367</v>
      </c>
      <c r="Q190" s="8">
        <f t="shared" si="208"/>
        <v>2058097.1536808158</v>
      </c>
      <c r="R190" s="8">
        <f t="shared" si="208"/>
        <v>1964727.8288154469</v>
      </c>
      <c r="S190" s="8">
        <f t="shared" si="208"/>
        <v>1891720.4840471167</v>
      </c>
      <c r="T190" s="8">
        <f t="shared" si="208"/>
        <v>1837978.7679703312</v>
      </c>
      <c r="U190" s="8">
        <f t="shared" si="208"/>
        <v>1802237.7185566737</v>
      </c>
      <c r="V190" s="8">
        <f t="shared" si="208"/>
        <v>1783573.5577847755</v>
      </c>
      <c r="W190" s="8">
        <f t="shared" si="208"/>
        <v>1780897.6936247954</v>
      </c>
      <c r="X190" s="8">
        <f t="shared" si="208"/>
        <v>1780893.3505323455</v>
      </c>
      <c r="Y190" s="8">
        <f t="shared" si="208"/>
        <v>1780897.6936247954</v>
      </c>
      <c r="Z190" s="8">
        <f t="shared" si="208"/>
        <v>1700303.5555193454</v>
      </c>
      <c r="AA190" s="8">
        <f t="shared" si="208"/>
        <v>1537391.4558185095</v>
      </c>
      <c r="AB190" s="8">
        <f t="shared" si="208"/>
        <v>1370850.3854683212</v>
      </c>
      <c r="AC190" s="8">
        <f t="shared" si="208"/>
        <v>1200690.3160263626</v>
      </c>
      <c r="AD190" s="8">
        <f t="shared" si="208"/>
        <v>1026741.8206007471</v>
      </c>
      <c r="AE190" s="8">
        <f t="shared" si="208"/>
        <v>849011.36273170193</v>
      </c>
      <c r="AF190" s="8">
        <f t="shared" si="208"/>
        <v>667325.93033360387</v>
      </c>
      <c r="AG190" s="8">
        <f t="shared" si="208"/>
        <v>481688.32287868153</v>
      </c>
      <c r="AH190" s="8">
        <f t="shared" si="208"/>
        <v>291921.78360381688</v>
      </c>
      <c r="AI190" s="8">
        <f t="shared" si="208"/>
        <v>98025.28492083936</v>
      </c>
      <c r="AJ190" s="8">
        <f t="shared" si="208"/>
        <v>0</v>
      </c>
      <c r="AK190" s="8">
        <f t="shared" si="208"/>
        <v>0</v>
      </c>
      <c r="AL190" s="8">
        <f t="shared" si="208"/>
        <v>0</v>
      </c>
      <c r="AM190" s="8">
        <f t="shared" si="208"/>
        <v>0</v>
      </c>
      <c r="AN190" s="8">
        <f t="shared" si="208"/>
        <v>0</v>
      </c>
      <c r="AO190" s="8">
        <f t="shared" si="208"/>
        <v>0</v>
      </c>
      <c r="AP190" s="8">
        <f t="shared" si="208"/>
        <v>0</v>
      </c>
      <c r="AQ190" s="8">
        <f t="shared" si="208"/>
        <v>0</v>
      </c>
      <c r="AR190" s="8">
        <f t="shared" si="208"/>
        <v>0</v>
      </c>
      <c r="AS190" s="8">
        <f t="shared" si="208"/>
        <v>0</v>
      </c>
      <c r="AT190" s="8">
        <f t="shared" si="208"/>
        <v>0</v>
      </c>
      <c r="AU190" s="8">
        <f t="shared" si="208"/>
        <v>0</v>
      </c>
      <c r="AV190" s="8">
        <f t="shared" si="208"/>
        <v>0</v>
      </c>
      <c r="AW190" s="8">
        <f t="shared" si="208"/>
        <v>0</v>
      </c>
      <c r="AX190" s="8">
        <f t="shared" si="208"/>
        <v>0</v>
      </c>
      <c r="AY190" s="8">
        <f t="shared" si="208"/>
        <v>0</v>
      </c>
      <c r="AZ190" s="8">
        <f t="shared" si="208"/>
        <v>0</v>
      </c>
      <c r="BA190" s="8">
        <f t="shared" si="208"/>
        <v>0</v>
      </c>
      <c r="BB190" s="8">
        <f t="shared" si="208"/>
        <v>0</v>
      </c>
      <c r="BC190" s="8">
        <f t="shared" si="208"/>
        <v>0</v>
      </c>
      <c r="BD190" s="8">
        <f t="shared" si="208"/>
        <v>0</v>
      </c>
      <c r="BE190" s="8">
        <f t="shared" si="208"/>
        <v>0</v>
      </c>
      <c r="BF190" s="8">
        <f t="shared" si="208"/>
        <v>0</v>
      </c>
      <c r="BG190" s="8">
        <f t="shared" si="208"/>
        <v>0</v>
      </c>
      <c r="BH190" s="8">
        <f t="shared" si="208"/>
        <v>0</v>
      </c>
      <c r="BI190" s="8">
        <f t="shared" si="208"/>
        <v>0</v>
      </c>
      <c r="BJ190" s="8">
        <f t="shared" si="208"/>
        <v>0</v>
      </c>
      <c r="BK190" s="8">
        <f t="shared" si="208"/>
        <v>0</v>
      </c>
      <c r="BL190" s="8">
        <f t="shared" si="208"/>
        <v>0</v>
      </c>
      <c r="BM190" s="8">
        <f t="shared" si="208"/>
        <v>0</v>
      </c>
      <c r="BN190" s="8">
        <f t="shared" si="208"/>
        <v>0</v>
      </c>
      <c r="BO190" s="8">
        <f t="shared" si="208"/>
        <v>0</v>
      </c>
      <c r="BP190" s="8">
        <f t="shared" si="208"/>
        <v>0</v>
      </c>
      <c r="BQ190" s="8">
        <f t="shared" ref="BQ190:DA192" si="209">BQ21+BQ38+BQ55+BQ72+BQ89+BQ106+BQ123+BQ140+BQ157+BQ174</f>
        <v>0</v>
      </c>
      <c r="BR190" s="8">
        <f t="shared" si="209"/>
        <v>0</v>
      </c>
      <c r="BS190" s="8">
        <f t="shared" si="209"/>
        <v>0</v>
      </c>
      <c r="BT190" s="8">
        <f t="shared" si="209"/>
        <v>0</v>
      </c>
      <c r="BU190" s="8">
        <f t="shared" si="209"/>
        <v>0</v>
      </c>
      <c r="BV190" s="8">
        <f t="shared" si="209"/>
        <v>0</v>
      </c>
      <c r="BW190" s="8">
        <f t="shared" si="209"/>
        <v>0</v>
      </c>
      <c r="BX190" s="8">
        <f t="shared" si="209"/>
        <v>0</v>
      </c>
      <c r="BY190" s="8">
        <f t="shared" si="209"/>
        <v>0</v>
      </c>
      <c r="BZ190" s="8">
        <f t="shared" si="209"/>
        <v>0</v>
      </c>
      <c r="CA190" s="8">
        <f t="shared" si="209"/>
        <v>0</v>
      </c>
      <c r="CB190" s="8">
        <f t="shared" si="209"/>
        <v>0</v>
      </c>
      <c r="CC190" s="8">
        <f t="shared" si="209"/>
        <v>0</v>
      </c>
      <c r="CD190" s="8">
        <f t="shared" si="209"/>
        <v>0</v>
      </c>
      <c r="CE190" s="8">
        <f t="shared" si="209"/>
        <v>0</v>
      </c>
      <c r="CF190" s="8">
        <f t="shared" si="209"/>
        <v>0</v>
      </c>
      <c r="CG190" s="8">
        <f t="shared" si="209"/>
        <v>0</v>
      </c>
      <c r="CH190" s="8">
        <f t="shared" si="209"/>
        <v>0</v>
      </c>
      <c r="CI190" s="8">
        <f t="shared" si="209"/>
        <v>0</v>
      </c>
      <c r="CJ190" s="8">
        <f t="shared" si="209"/>
        <v>0</v>
      </c>
      <c r="CK190" s="8">
        <f t="shared" si="209"/>
        <v>0</v>
      </c>
      <c r="CL190" s="8">
        <f t="shared" si="209"/>
        <v>0</v>
      </c>
      <c r="CM190" s="8">
        <f t="shared" si="209"/>
        <v>0</v>
      </c>
      <c r="CN190" s="8">
        <f t="shared" si="209"/>
        <v>0</v>
      </c>
      <c r="CO190" s="8">
        <f t="shared" si="209"/>
        <v>0</v>
      </c>
      <c r="CP190" s="8">
        <f t="shared" si="209"/>
        <v>0</v>
      </c>
      <c r="CQ190" s="8">
        <f t="shared" si="209"/>
        <v>0</v>
      </c>
      <c r="CR190" s="8">
        <f t="shared" si="209"/>
        <v>0</v>
      </c>
      <c r="CS190" s="8">
        <f t="shared" si="209"/>
        <v>0</v>
      </c>
      <c r="CT190" s="8">
        <f t="shared" si="209"/>
        <v>0</v>
      </c>
      <c r="CU190" s="8">
        <f t="shared" si="209"/>
        <v>0</v>
      </c>
      <c r="CV190" s="8">
        <f t="shared" si="209"/>
        <v>0</v>
      </c>
      <c r="CW190" s="8">
        <f t="shared" si="209"/>
        <v>0</v>
      </c>
      <c r="CX190" s="8">
        <f t="shared" si="209"/>
        <v>0</v>
      </c>
      <c r="CY190" s="8">
        <f t="shared" si="209"/>
        <v>0</v>
      </c>
      <c r="CZ190" s="8">
        <f t="shared" si="209"/>
        <v>0</v>
      </c>
      <c r="DA190" s="8">
        <f t="shared" si="209"/>
        <v>0</v>
      </c>
    </row>
    <row r="191" spans="4:111" x14ac:dyDescent="0.4">
      <c r="D191" t="s">
        <v>170</v>
      </c>
      <c r="E191" s="8">
        <f t="shared" si="208"/>
        <v>0</v>
      </c>
      <c r="F191" s="8">
        <f t="shared" si="208"/>
        <v>0</v>
      </c>
      <c r="G191" s="8">
        <f t="shared" si="208"/>
        <v>-17519.972189037497</v>
      </c>
      <c r="H191" s="8">
        <f t="shared" si="208"/>
        <v>-87674.946540283388</v>
      </c>
      <c r="I191" s="8">
        <f t="shared" si="208"/>
        <v>-206196.70742904436</v>
      </c>
      <c r="J191" s="8">
        <f t="shared" si="208"/>
        <v>-369143.6178194207</v>
      </c>
      <c r="K191" s="8">
        <f t="shared" si="208"/>
        <v>-572847.73551718309</v>
      </c>
      <c r="L191" s="8">
        <f t="shared" si="208"/>
        <v>-813920.83445628954</v>
      </c>
      <c r="M191" s="8">
        <f t="shared" si="208"/>
        <v>-1089210.5013903081</v>
      </c>
      <c r="N191" s="8">
        <f t="shared" si="208"/>
        <v>-1395805.3237744477</v>
      </c>
      <c r="O191" s="8">
        <f t="shared" si="208"/>
        <v>-1733793.3302678447</v>
      </c>
      <c r="P191" s="8">
        <f t="shared" si="208"/>
        <v>-2103855.1595082222</v>
      </c>
      <c r="Q191" s="8">
        <f t="shared" si="208"/>
        <v>-2484927.224574931</v>
      </c>
      <c r="R191" s="8">
        <f t="shared" si="208"/>
        <v>-2834069.0977447676</v>
      </c>
      <c r="S191" s="8">
        <f t="shared" si="208"/>
        <v>-3157333.6625281679</v>
      </c>
      <c r="T191" s="8">
        <f t="shared" si="208"/>
        <v>-3460364.2417090256</v>
      </c>
      <c r="U191" s="8">
        <f t="shared" si="208"/>
        <v>-3748500.3042792017</v>
      </c>
      <c r="V191" s="8">
        <f t="shared" si="208"/>
        <v>-4026730.7350043827</v>
      </c>
      <c r="W191" s="8">
        <f t="shared" si="208"/>
        <v>-4299788.393571632</v>
      </c>
      <c r="X191" s="8">
        <f t="shared" si="208"/>
        <v>-4572104.4363869438</v>
      </c>
      <c r="Y191" s="8">
        <f t="shared" si="208"/>
        <v>-4844419.2755141817</v>
      </c>
      <c r="Z191" s="8">
        <f t="shared" si="208"/>
        <v>-5116735.3183294935</v>
      </c>
      <c r="AA191" s="8">
        <f t="shared" si="208"/>
        <v>-5366714.6957688797</v>
      </c>
      <c r="AB191" s="8">
        <f t="shared" si="208"/>
        <v>-5571542.9847761774</v>
      </c>
      <c r="AC191" s="8">
        <f t="shared" si="208"/>
        <v>-5730214.416135923</v>
      </c>
      <c r="AD191" s="8">
        <f t="shared" si="208"/>
        <v>-5841725.9842498265</v>
      </c>
      <c r="AE191" s="8">
        <f t="shared" si="208"/>
        <v>-5905027.7268565232</v>
      </c>
      <c r="AF191" s="8">
        <f t="shared" si="208"/>
        <v>-5919071.4730648128</v>
      </c>
      <c r="AG191" s="8">
        <f t="shared" si="208"/>
        <v>-5882761.1016839705</v>
      </c>
      <c r="AH191" s="8">
        <f t="shared" si="208"/>
        <v>-5795001.2673969958</v>
      </c>
      <c r="AI191" s="8">
        <f t="shared" si="208"/>
        <v>-5654647.6367499921</v>
      </c>
      <c r="AJ191" s="8">
        <f t="shared" si="208"/>
        <v>-5460555.5914930021</v>
      </c>
      <c r="AK191" s="8">
        <f t="shared" si="208"/>
        <v>-5239295.8385202019</v>
      </c>
      <c r="AL191" s="8">
        <f t="shared" si="208"/>
        <v>-5018036.0855474016</v>
      </c>
      <c r="AM191" s="8">
        <f t="shared" si="208"/>
        <v>-4796776.3325745994</v>
      </c>
      <c r="AN191" s="8">
        <f t="shared" si="208"/>
        <v>-4575516.5796017991</v>
      </c>
      <c r="AO191" s="8">
        <f t="shared" si="208"/>
        <v>-4354256.8266289979</v>
      </c>
      <c r="AP191" s="8">
        <f t="shared" si="208"/>
        <v>-4132997.0736561967</v>
      </c>
      <c r="AQ191" s="8">
        <f t="shared" si="208"/>
        <v>-3911737.3206833955</v>
      </c>
      <c r="AR191" s="8">
        <f t="shared" si="208"/>
        <v>-3690477.5677105947</v>
      </c>
      <c r="AS191" s="8">
        <f t="shared" si="208"/>
        <v>-3469217.8147377935</v>
      </c>
      <c r="AT191" s="8">
        <f t="shared" si="208"/>
        <v>-3247958.0617649923</v>
      </c>
      <c r="AU191" s="8">
        <f t="shared" si="208"/>
        <v>-3026698.3087921916</v>
      </c>
      <c r="AV191" s="8">
        <f t="shared" si="208"/>
        <v>-2805438.5558193908</v>
      </c>
      <c r="AW191" s="8">
        <f t="shared" si="208"/>
        <v>-2584178.8028465896</v>
      </c>
      <c r="AX191" s="8">
        <f t="shared" si="208"/>
        <v>-2362919.0498737884</v>
      </c>
      <c r="AY191" s="8">
        <f t="shared" si="208"/>
        <v>-2141659.2969009876</v>
      </c>
      <c r="AZ191" s="8">
        <f t="shared" si="208"/>
        <v>-1920399.5439281864</v>
      </c>
      <c r="BA191" s="8">
        <f t="shared" si="208"/>
        <v>-1699139.7909553852</v>
      </c>
      <c r="BB191" s="8">
        <f t="shared" si="208"/>
        <v>-1477880.0379825844</v>
      </c>
      <c r="BC191" s="8">
        <f t="shared" si="208"/>
        <v>-1256620.2850097832</v>
      </c>
      <c r="BD191" s="8">
        <f t="shared" si="208"/>
        <v>-1035360.5320369822</v>
      </c>
      <c r="BE191" s="8">
        <f t="shared" si="208"/>
        <v>-834123.60442308127</v>
      </c>
      <c r="BF191" s="8">
        <f t="shared" si="208"/>
        <v>-653350.00432597613</v>
      </c>
      <c r="BG191" s="8">
        <f t="shared" si="208"/>
        <v>-493489.92495103617</v>
      </c>
      <c r="BH191" s="8">
        <f t="shared" si="208"/>
        <v>-355003.46375414921</v>
      </c>
      <c r="BI191" s="8">
        <f t="shared" si="208"/>
        <v>-238360.84033523238</v>
      </c>
      <c r="BJ191" s="8">
        <f t="shared" si="208"/>
        <v>-144042.61912540096</v>
      </c>
      <c r="BK191" s="8">
        <f t="shared" si="208"/>
        <v>-72539.936973254924</v>
      </c>
      <c r="BL191" s="8">
        <f t="shared" si="208"/>
        <v>-24354.7357380633</v>
      </c>
      <c r="BM191" s="8">
        <f t="shared" si="208"/>
        <v>9.1677065938711166E-10</v>
      </c>
      <c r="BN191" s="8">
        <f t="shared" si="208"/>
        <v>9.1677065938711166E-10</v>
      </c>
      <c r="BO191" s="8">
        <f t="shared" si="208"/>
        <v>9.1677065938711166E-10</v>
      </c>
      <c r="BP191" s="8">
        <f t="shared" si="208"/>
        <v>9.1677065938711166E-10</v>
      </c>
      <c r="BQ191" s="8">
        <f t="shared" si="209"/>
        <v>9.1677065938711166E-10</v>
      </c>
      <c r="BR191" s="8">
        <f t="shared" si="209"/>
        <v>9.1677065938711166E-10</v>
      </c>
      <c r="BS191" s="8">
        <f t="shared" si="209"/>
        <v>9.1677065938711166E-10</v>
      </c>
      <c r="BT191" s="8">
        <f t="shared" si="209"/>
        <v>9.1677065938711166E-10</v>
      </c>
      <c r="BU191" s="8">
        <f t="shared" si="209"/>
        <v>9.1677065938711166E-10</v>
      </c>
      <c r="BV191" s="8">
        <f t="shared" si="209"/>
        <v>9.1677065938711166E-10</v>
      </c>
      <c r="BW191" s="8">
        <f t="shared" si="209"/>
        <v>9.1677065938711166E-10</v>
      </c>
      <c r="BX191" s="8">
        <f t="shared" si="209"/>
        <v>9.1677065938711166E-10</v>
      </c>
      <c r="BY191" s="8">
        <f t="shared" si="209"/>
        <v>9.1677065938711166E-10</v>
      </c>
      <c r="BZ191" s="8">
        <f t="shared" si="209"/>
        <v>9.1677065938711166E-10</v>
      </c>
      <c r="CA191" s="8">
        <f t="shared" si="209"/>
        <v>9.1677065938711166E-10</v>
      </c>
      <c r="CB191" s="8">
        <f t="shared" si="209"/>
        <v>9.1677065938711166E-10</v>
      </c>
      <c r="CC191" s="8">
        <f t="shared" si="209"/>
        <v>9.1677065938711166E-10</v>
      </c>
      <c r="CD191" s="8">
        <f t="shared" si="209"/>
        <v>9.1677065938711166E-10</v>
      </c>
      <c r="CE191" s="8">
        <f t="shared" si="209"/>
        <v>9.1677065938711166E-10</v>
      </c>
      <c r="CF191" s="8">
        <f t="shared" si="209"/>
        <v>9.1677065938711166E-10</v>
      </c>
      <c r="CG191" s="8">
        <f t="shared" si="209"/>
        <v>9.1677065938711166E-10</v>
      </c>
      <c r="CH191" s="8">
        <f t="shared" si="209"/>
        <v>9.1677065938711166E-10</v>
      </c>
      <c r="CI191" s="8">
        <f t="shared" si="209"/>
        <v>9.1677065938711166E-10</v>
      </c>
      <c r="CJ191" s="8">
        <f t="shared" si="209"/>
        <v>9.1677065938711166E-10</v>
      </c>
      <c r="CK191" s="8">
        <f t="shared" si="209"/>
        <v>9.1677065938711166E-10</v>
      </c>
      <c r="CL191" s="8">
        <f t="shared" si="209"/>
        <v>9.1677065938711166E-10</v>
      </c>
      <c r="CM191" s="8">
        <f t="shared" si="209"/>
        <v>9.1677065938711166E-10</v>
      </c>
      <c r="CN191" s="8">
        <f t="shared" si="209"/>
        <v>9.1677065938711166E-10</v>
      </c>
      <c r="CO191" s="8">
        <f t="shared" si="209"/>
        <v>9.1677065938711166E-10</v>
      </c>
      <c r="CP191" s="8">
        <f t="shared" si="209"/>
        <v>9.1677065938711166E-10</v>
      </c>
      <c r="CQ191" s="8">
        <f t="shared" si="209"/>
        <v>9.1677065938711166E-10</v>
      </c>
      <c r="CR191" s="8">
        <f t="shared" si="209"/>
        <v>9.1677065938711166E-10</v>
      </c>
      <c r="CS191" s="8">
        <f t="shared" si="209"/>
        <v>9.1677065938711166E-10</v>
      </c>
      <c r="CT191" s="8">
        <f t="shared" si="209"/>
        <v>9.1677065938711166E-10</v>
      </c>
      <c r="CU191" s="8">
        <f t="shared" si="209"/>
        <v>9.1677065938711166E-10</v>
      </c>
      <c r="CV191" s="8">
        <f t="shared" si="209"/>
        <v>9.1677065938711166E-10</v>
      </c>
      <c r="CW191" s="8">
        <f t="shared" si="209"/>
        <v>9.1677065938711166E-10</v>
      </c>
      <c r="CX191" s="8">
        <f t="shared" si="209"/>
        <v>9.1677065938711166E-10</v>
      </c>
      <c r="CY191" s="8">
        <f t="shared" si="209"/>
        <v>9.1677065938711166E-10</v>
      </c>
      <c r="CZ191" s="8">
        <f t="shared" si="209"/>
        <v>9.1677065938711166E-10</v>
      </c>
      <c r="DA191" s="8">
        <f t="shared" si="209"/>
        <v>9.1677065938711166E-10</v>
      </c>
    </row>
    <row r="192" spans="4:111" x14ac:dyDescent="0.4">
      <c r="D192" t="s">
        <v>171</v>
      </c>
      <c r="E192" s="8">
        <f t="shared" si="208"/>
        <v>0</v>
      </c>
      <c r="F192" s="8">
        <f t="shared" si="208"/>
        <v>-17519.972189037497</v>
      </c>
      <c r="G192" s="8">
        <f t="shared" si="208"/>
        <v>-87674.946540283388</v>
      </c>
      <c r="H192" s="8">
        <f t="shared" si="208"/>
        <v>-206196.70742904436</v>
      </c>
      <c r="I192" s="8">
        <f t="shared" si="208"/>
        <v>-369143.6178194207</v>
      </c>
      <c r="J192" s="8">
        <f t="shared" si="208"/>
        <v>-572847.73551718309</v>
      </c>
      <c r="K192" s="8">
        <f t="shared" si="208"/>
        <v>-813920.83445628954</v>
      </c>
      <c r="L192" s="8">
        <f t="shared" si="208"/>
        <v>-1089210.5013903081</v>
      </c>
      <c r="M192" s="8">
        <f t="shared" si="208"/>
        <v>-1395805.3237744477</v>
      </c>
      <c r="N192" s="8">
        <f t="shared" si="208"/>
        <v>-1733793.3302678447</v>
      </c>
      <c r="O192" s="8">
        <f t="shared" si="208"/>
        <v>-2103855.1595082222</v>
      </c>
      <c r="P192" s="8">
        <f t="shared" si="208"/>
        <v>-2484927.224574931</v>
      </c>
      <c r="Q192" s="8">
        <f t="shared" si="208"/>
        <v>-2834069.0977447676</v>
      </c>
      <c r="R192" s="8">
        <f t="shared" si="208"/>
        <v>-3157333.6625281679</v>
      </c>
      <c r="S192" s="8">
        <f t="shared" si="208"/>
        <v>-3460364.2417090256</v>
      </c>
      <c r="T192" s="8">
        <f t="shared" si="208"/>
        <v>-3748500.3042792017</v>
      </c>
      <c r="U192" s="8">
        <f t="shared" si="208"/>
        <v>-4026730.7350043827</v>
      </c>
      <c r="V192" s="8">
        <f t="shared" si="208"/>
        <v>-4299788.393571632</v>
      </c>
      <c r="W192" s="8">
        <f t="shared" si="208"/>
        <v>-4572104.4363869438</v>
      </c>
      <c r="X192" s="8">
        <f t="shared" si="208"/>
        <v>-4844419.2755141817</v>
      </c>
      <c r="Y192" s="8">
        <f t="shared" si="208"/>
        <v>-5116735.3183294935</v>
      </c>
      <c r="Z192" s="8">
        <f t="shared" si="208"/>
        <v>-5366714.6957688797</v>
      </c>
      <c r="AA192" s="8">
        <f t="shared" si="208"/>
        <v>-5571542.9847761774</v>
      </c>
      <c r="AB192" s="8">
        <f t="shared" si="208"/>
        <v>-5730214.416135923</v>
      </c>
      <c r="AC192" s="8">
        <f t="shared" si="208"/>
        <v>-5841725.9842498265</v>
      </c>
      <c r="AD192" s="8">
        <f t="shared" si="208"/>
        <v>-5905027.7268565232</v>
      </c>
      <c r="AE192" s="8">
        <f t="shared" si="208"/>
        <v>-5919071.4730648128</v>
      </c>
      <c r="AF192" s="8">
        <f t="shared" si="208"/>
        <v>-5882761.1016839705</v>
      </c>
      <c r="AG192" s="8">
        <f t="shared" si="208"/>
        <v>-5795001.2673969958</v>
      </c>
      <c r="AH192" s="8">
        <f t="shared" si="208"/>
        <v>-5654647.6367499921</v>
      </c>
      <c r="AI192" s="8">
        <f t="shared" si="208"/>
        <v>-5460555.5914930021</v>
      </c>
      <c r="AJ192" s="8">
        <f t="shared" si="208"/>
        <v>-5239295.8385202019</v>
      </c>
      <c r="AK192" s="8">
        <f t="shared" si="208"/>
        <v>-5018036.0855474016</v>
      </c>
      <c r="AL192" s="8">
        <f t="shared" si="208"/>
        <v>-4796776.3325745994</v>
      </c>
      <c r="AM192" s="8">
        <f t="shared" si="208"/>
        <v>-4575516.5796017991</v>
      </c>
      <c r="AN192" s="8">
        <f t="shared" si="208"/>
        <v>-4354256.8266289979</v>
      </c>
      <c r="AO192" s="8">
        <f t="shared" si="208"/>
        <v>-4132997.0736561967</v>
      </c>
      <c r="AP192" s="8">
        <f t="shared" si="208"/>
        <v>-3911737.3206833955</v>
      </c>
      <c r="AQ192" s="8">
        <f t="shared" si="208"/>
        <v>-3690477.5677105947</v>
      </c>
      <c r="AR192" s="8">
        <f t="shared" si="208"/>
        <v>-3469217.8147377935</v>
      </c>
      <c r="AS192" s="8">
        <f t="shared" si="208"/>
        <v>-3247958.0617649923</v>
      </c>
      <c r="AT192" s="8">
        <f t="shared" si="208"/>
        <v>-3026698.3087921916</v>
      </c>
      <c r="AU192" s="8">
        <f t="shared" si="208"/>
        <v>-2805438.5558193908</v>
      </c>
      <c r="AV192" s="8">
        <f t="shared" si="208"/>
        <v>-2584178.8028465896</v>
      </c>
      <c r="AW192" s="8">
        <f t="shared" si="208"/>
        <v>-2362919.0498737884</v>
      </c>
      <c r="AX192" s="8">
        <f t="shared" si="208"/>
        <v>-2141659.2969009876</v>
      </c>
      <c r="AY192" s="8">
        <f t="shared" si="208"/>
        <v>-1920399.5439281864</v>
      </c>
      <c r="AZ192" s="8">
        <f t="shared" si="208"/>
        <v>-1699139.7909553852</v>
      </c>
      <c r="BA192" s="8">
        <f t="shared" si="208"/>
        <v>-1477880.0379825844</v>
      </c>
      <c r="BB192" s="8">
        <f t="shared" si="208"/>
        <v>-1256620.2850097832</v>
      </c>
      <c r="BC192" s="8">
        <f t="shared" si="208"/>
        <v>-1035360.5320369822</v>
      </c>
      <c r="BD192" s="8">
        <f t="shared" si="208"/>
        <v>-834123.60442308127</v>
      </c>
      <c r="BE192" s="8">
        <f t="shared" si="208"/>
        <v>-653350.00432597613</v>
      </c>
      <c r="BF192" s="8">
        <f t="shared" si="208"/>
        <v>-493489.92495103617</v>
      </c>
      <c r="BG192" s="8">
        <f t="shared" si="208"/>
        <v>-355003.46375414921</v>
      </c>
      <c r="BH192" s="8">
        <f t="shared" si="208"/>
        <v>-238360.84033523238</v>
      </c>
      <c r="BI192" s="8">
        <f t="shared" si="208"/>
        <v>-144042.61912540096</v>
      </c>
      <c r="BJ192" s="8">
        <f t="shared" si="208"/>
        <v>-72539.936973254924</v>
      </c>
      <c r="BK192" s="8">
        <f t="shared" si="208"/>
        <v>-24354.7357380633</v>
      </c>
      <c r="BL192" s="8">
        <f t="shared" si="208"/>
        <v>9.1677065938711166E-10</v>
      </c>
      <c r="BM192" s="8">
        <f t="shared" si="208"/>
        <v>9.1677065938711166E-10</v>
      </c>
      <c r="BN192" s="8">
        <f t="shared" ref="BN192:BQ192" si="210">BN23+BN40+BN57+BN74+BN91+BN108+BN125+BN142+BN159+BN176</f>
        <v>9.1677065938711166E-10</v>
      </c>
      <c r="BO192" s="8">
        <f t="shared" si="210"/>
        <v>9.1677065938711166E-10</v>
      </c>
      <c r="BP192" s="8">
        <f t="shared" si="210"/>
        <v>9.1677065938711166E-10</v>
      </c>
      <c r="BQ192" s="8">
        <f t="shared" si="210"/>
        <v>9.1677065938711166E-10</v>
      </c>
      <c r="BR192" s="8">
        <f t="shared" si="209"/>
        <v>9.1677065938711166E-10</v>
      </c>
      <c r="BS192" s="8">
        <f t="shared" si="209"/>
        <v>9.1677065938711166E-10</v>
      </c>
      <c r="BT192" s="8">
        <f t="shared" si="209"/>
        <v>9.1677065938711166E-10</v>
      </c>
      <c r="BU192" s="8">
        <f t="shared" si="209"/>
        <v>9.1677065938711166E-10</v>
      </c>
      <c r="BV192" s="8">
        <f t="shared" si="209"/>
        <v>9.1677065938711166E-10</v>
      </c>
      <c r="BW192" s="8">
        <f t="shared" si="209"/>
        <v>9.1677065938711166E-10</v>
      </c>
      <c r="BX192" s="8">
        <f t="shared" si="209"/>
        <v>9.1677065938711166E-10</v>
      </c>
      <c r="BY192" s="8">
        <f t="shared" si="209"/>
        <v>9.1677065938711166E-10</v>
      </c>
      <c r="BZ192" s="8">
        <f t="shared" si="209"/>
        <v>9.1677065938711166E-10</v>
      </c>
      <c r="CA192" s="8">
        <f t="shared" si="209"/>
        <v>9.1677065938711166E-10</v>
      </c>
      <c r="CB192" s="8">
        <f t="shared" si="209"/>
        <v>9.1677065938711166E-10</v>
      </c>
      <c r="CC192" s="8">
        <f t="shared" si="209"/>
        <v>9.1677065938711166E-10</v>
      </c>
      <c r="CD192" s="8">
        <f t="shared" si="209"/>
        <v>9.1677065938711166E-10</v>
      </c>
      <c r="CE192" s="8">
        <f t="shared" si="209"/>
        <v>9.1677065938711166E-10</v>
      </c>
      <c r="CF192" s="8">
        <f t="shared" si="209"/>
        <v>9.1677065938711166E-10</v>
      </c>
      <c r="CG192" s="8">
        <f t="shared" si="209"/>
        <v>9.1677065938711166E-10</v>
      </c>
      <c r="CH192" s="8">
        <f t="shared" si="209"/>
        <v>9.1677065938711166E-10</v>
      </c>
      <c r="CI192" s="8">
        <f t="shared" si="209"/>
        <v>9.1677065938711166E-10</v>
      </c>
      <c r="CJ192" s="8">
        <f t="shared" si="209"/>
        <v>9.1677065938711166E-10</v>
      </c>
      <c r="CK192" s="8">
        <f t="shared" si="209"/>
        <v>9.1677065938711166E-10</v>
      </c>
      <c r="CL192" s="8">
        <f t="shared" si="209"/>
        <v>9.1677065938711166E-10</v>
      </c>
      <c r="CM192" s="8">
        <f t="shared" si="209"/>
        <v>9.1677065938711166E-10</v>
      </c>
      <c r="CN192" s="8">
        <f t="shared" si="209"/>
        <v>9.1677065938711166E-10</v>
      </c>
      <c r="CO192" s="8">
        <f t="shared" si="209"/>
        <v>9.1677065938711166E-10</v>
      </c>
      <c r="CP192" s="8">
        <f t="shared" si="209"/>
        <v>9.1677065938711166E-10</v>
      </c>
      <c r="CQ192" s="8">
        <f t="shared" si="209"/>
        <v>9.1677065938711166E-10</v>
      </c>
      <c r="CR192" s="8">
        <f t="shared" si="209"/>
        <v>9.1677065938711166E-10</v>
      </c>
      <c r="CS192" s="8">
        <f t="shared" si="209"/>
        <v>9.1677065938711166E-10</v>
      </c>
      <c r="CT192" s="8">
        <f t="shared" si="209"/>
        <v>9.1677065938711166E-10</v>
      </c>
      <c r="CU192" s="8">
        <f t="shared" si="209"/>
        <v>9.1677065938711166E-10</v>
      </c>
      <c r="CV192" s="8">
        <f t="shared" si="209"/>
        <v>9.1677065938711166E-10</v>
      </c>
      <c r="CW192" s="8">
        <f t="shared" si="209"/>
        <v>9.1677065938711166E-10</v>
      </c>
      <c r="CX192" s="8">
        <f t="shared" si="209"/>
        <v>9.1677065938711166E-10</v>
      </c>
      <c r="CY192" s="8">
        <f t="shared" si="209"/>
        <v>9.1677065938711166E-10</v>
      </c>
      <c r="CZ192" s="8">
        <f t="shared" si="209"/>
        <v>9.1677065938711166E-10</v>
      </c>
      <c r="DA192" s="8">
        <f t="shared" si="209"/>
        <v>9.1677065938711166E-10</v>
      </c>
    </row>
    <row r="193" spans="4:105" x14ac:dyDescent="0.4"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</row>
    <row r="194" spans="4:105" x14ac:dyDescent="0.4">
      <c r="D194" t="s">
        <v>158</v>
      </c>
      <c r="E194" s="8">
        <f t="shared" ref="E194:BP196" si="211">E25+E42+E59+E76+E93+E110+E127+E144+E161+E178</f>
        <v>0</v>
      </c>
      <c r="F194" s="8">
        <f t="shared" si="211"/>
        <v>3567389.5909054819</v>
      </c>
      <c r="G194" s="8">
        <f t="shared" si="211"/>
        <v>7106131.5393293407</v>
      </c>
      <c r="H194" s="8">
        <f t="shared" si="211"/>
        <v>10600943.894680604</v>
      </c>
      <c r="I194" s="8">
        <f t="shared" si="211"/>
        <v>14056076.151917672</v>
      </c>
      <c r="J194" s="8">
        <f t="shared" si="211"/>
        <v>17475480.849793527</v>
      </c>
      <c r="K194" s="8">
        <f t="shared" si="211"/>
        <v>20862837.072057247</v>
      </c>
      <c r="L194" s="8">
        <f t="shared" si="211"/>
        <v>24221569.459975656</v>
      </c>
      <c r="M194" s="8">
        <f t="shared" si="211"/>
        <v>27554867.643130355</v>
      </c>
      <c r="N194" s="8">
        <f t="shared" si="211"/>
        <v>30864304.499917269</v>
      </c>
      <c r="O194" s="8">
        <f t="shared" si="211"/>
        <v>34149660.429243028</v>
      </c>
      <c r="P194" s="8">
        <f t="shared" si="211"/>
        <v>32975754.124439109</v>
      </c>
      <c r="Q194" s="8">
        <f t="shared" si="211"/>
        <v>31812307.797670465</v>
      </c>
      <c r="R194" s="8">
        <f t="shared" si="211"/>
        <v>30677765.221043475</v>
      </c>
      <c r="S194" s="8">
        <f t="shared" si="211"/>
        <v>29566278.291410964</v>
      </c>
      <c r="T194" s="8">
        <f t="shared" si="211"/>
        <v>28472355.61288508</v>
      </c>
      <c r="U194" s="8">
        <f t="shared" si="211"/>
        <v>27390833.008587033</v>
      </c>
      <c r="V194" s="8">
        <f t="shared" si="211"/>
        <v>26316849.606290437</v>
      </c>
      <c r="W194" s="8">
        <f t="shared" si="211"/>
        <v>25245823.397948783</v>
      </c>
      <c r="X194" s="8">
        <f t="shared" si="211"/>
        <v>24175168.599327136</v>
      </c>
      <c r="Y194" s="8">
        <f t="shared" si="211"/>
        <v>23104513.800705489</v>
      </c>
      <c r="Z194" s="8">
        <f t="shared" si="211"/>
        <v>22045026.732927769</v>
      </c>
      <c r="AA194" s="8">
        <f t="shared" si="211"/>
        <v>21019283.54205405</v>
      </c>
      <c r="AB194" s="8">
        <f t="shared" si="211"/>
        <v>20039194.324220154</v>
      </c>
      <c r="AC194" s="8">
        <f t="shared" si="211"/>
        <v>19105763.466832958</v>
      </c>
      <c r="AD194" s="8">
        <f t="shared" si="211"/>
        <v>18220017.453822285</v>
      </c>
      <c r="AE194" s="8">
        <f t="shared" si="211"/>
        <v>17383005.351764418</v>
      </c>
      <c r="AF194" s="8">
        <f t="shared" si="211"/>
        <v>16595799.306700321</v>
      </c>
      <c r="AG194" s="8">
        <f t="shared" si="211"/>
        <v>15859495.051883856</v>
      </c>
      <c r="AH194" s="8">
        <f t="shared" si="211"/>
        <v>15175212.426700473</v>
      </c>
      <c r="AI194" s="8">
        <f t="shared" si="211"/>
        <v>14544095.907002095</v>
      </c>
      <c r="AJ194" s="8">
        <f t="shared" si="211"/>
        <v>13953432.448466616</v>
      </c>
      <c r="AK194" s="8">
        <f t="shared" si="211"/>
        <v>13376352.843789045</v>
      </c>
      <c r="AL194" s="8">
        <f t="shared" si="211"/>
        <v>12799273.23911147</v>
      </c>
      <c r="AM194" s="8">
        <f t="shared" si="211"/>
        <v>12222193.634433903</v>
      </c>
      <c r="AN194" s="8">
        <f t="shared" si="211"/>
        <v>11645114.029756328</v>
      </c>
      <c r="AO194" s="8">
        <f t="shared" si="211"/>
        <v>11068034.425078757</v>
      </c>
      <c r="AP194" s="8">
        <f t="shared" si="211"/>
        <v>10490954.820401184</v>
      </c>
      <c r="AQ194" s="8">
        <f t="shared" si="211"/>
        <v>9913875.2157236133</v>
      </c>
      <c r="AR194" s="8">
        <f t="shared" si="211"/>
        <v>9336795.6110460386</v>
      </c>
      <c r="AS194" s="8">
        <f t="shared" si="211"/>
        <v>8759716.0063684676</v>
      </c>
      <c r="AT194" s="8">
        <f t="shared" si="211"/>
        <v>8182636.4016908947</v>
      </c>
      <c r="AU194" s="8">
        <f t="shared" si="211"/>
        <v>7605556.7970133238</v>
      </c>
      <c r="AV194" s="8">
        <f t="shared" si="211"/>
        <v>7028477.1923357518</v>
      </c>
      <c r="AW194" s="8">
        <f t="shared" si="211"/>
        <v>6451397.587658179</v>
      </c>
      <c r="AX194" s="8">
        <f t="shared" si="211"/>
        <v>5874317.9829806071</v>
      </c>
      <c r="AY194" s="8">
        <f t="shared" si="211"/>
        <v>5297238.3783030352</v>
      </c>
      <c r="AZ194" s="8">
        <f t="shared" si="211"/>
        <v>4720158.7736254623</v>
      </c>
      <c r="BA194" s="8">
        <f t="shared" si="211"/>
        <v>4143079.1689478904</v>
      </c>
      <c r="BB194" s="8">
        <f t="shared" si="211"/>
        <v>3565999.5642703185</v>
      </c>
      <c r="BC194" s="8">
        <f t="shared" si="211"/>
        <v>2988919.9595927466</v>
      </c>
      <c r="BD194" s="8">
        <f t="shared" si="211"/>
        <v>2437951.6652357234</v>
      </c>
      <c r="BE194" s="8">
        <f t="shared" si="211"/>
        <v>1939780.4403468519</v>
      </c>
      <c r="BF194" s="8">
        <f t="shared" si="211"/>
        <v>1495567.8204544312</v>
      </c>
      <c r="BG194" s="8">
        <f t="shared" si="211"/>
        <v>1106500.8948683843</v>
      </c>
      <c r="BH194" s="8">
        <f t="shared" si="211"/>
        <v>773792.86886345246</v>
      </c>
      <c r="BI194" s="8">
        <f t="shared" si="211"/>
        <v>498683.63823041716</v>
      </c>
      <c r="BJ194" s="8">
        <f t="shared" si="211"/>
        <v>282440.37646746327</v>
      </c>
      <c r="BK194" s="8">
        <f t="shared" si="211"/>
        <v>126358.1348897331</v>
      </c>
      <c r="BL194" s="8">
        <f t="shared" si="211"/>
        <v>31760.455941297536</v>
      </c>
      <c r="BM194" s="8">
        <f t="shared" si="211"/>
        <v>9.1677065938711166E-10</v>
      </c>
      <c r="BN194" s="8">
        <f t="shared" si="211"/>
        <v>9.1677065938711166E-10</v>
      </c>
      <c r="BO194" s="8">
        <f t="shared" si="211"/>
        <v>9.1677065938711166E-10</v>
      </c>
      <c r="BP194" s="8">
        <f t="shared" si="211"/>
        <v>9.1677065938711166E-10</v>
      </c>
      <c r="BQ194" s="8">
        <f t="shared" ref="BQ194:DA194" si="212">BQ25+BQ42+BQ59+BQ76+BQ93+BQ110+BQ127+BQ144+BQ161+BQ178</f>
        <v>9.1677065938711166E-10</v>
      </c>
      <c r="BR194" s="8">
        <f t="shared" si="212"/>
        <v>9.1677065938711166E-10</v>
      </c>
      <c r="BS194" s="8">
        <f t="shared" si="212"/>
        <v>9.1677065938711166E-10</v>
      </c>
      <c r="BT194" s="8">
        <f t="shared" si="212"/>
        <v>9.1677065938711166E-10</v>
      </c>
      <c r="BU194" s="8">
        <f t="shared" si="212"/>
        <v>9.1677065938711166E-10</v>
      </c>
      <c r="BV194" s="8">
        <f t="shared" si="212"/>
        <v>9.1677065938711166E-10</v>
      </c>
      <c r="BW194" s="8">
        <f t="shared" si="212"/>
        <v>9.1677065938711166E-10</v>
      </c>
      <c r="BX194" s="8">
        <f t="shared" si="212"/>
        <v>9.1677065938711166E-10</v>
      </c>
      <c r="BY194" s="8">
        <f t="shared" si="212"/>
        <v>9.1677065938711166E-10</v>
      </c>
      <c r="BZ194" s="8">
        <f t="shared" si="212"/>
        <v>9.1677065938711166E-10</v>
      </c>
      <c r="CA194" s="8">
        <f t="shared" si="212"/>
        <v>9.1677065938711166E-10</v>
      </c>
      <c r="CB194" s="8">
        <f t="shared" si="212"/>
        <v>9.1677065938711166E-10</v>
      </c>
      <c r="CC194" s="8">
        <f t="shared" si="212"/>
        <v>9.1677065938711166E-10</v>
      </c>
      <c r="CD194" s="8">
        <f t="shared" si="212"/>
        <v>9.1677065938711166E-10</v>
      </c>
      <c r="CE194" s="8">
        <f t="shared" si="212"/>
        <v>9.1677065938711166E-10</v>
      </c>
      <c r="CF194" s="8">
        <f t="shared" si="212"/>
        <v>9.1677065938711166E-10</v>
      </c>
      <c r="CG194" s="8">
        <f t="shared" si="212"/>
        <v>9.1677065938711166E-10</v>
      </c>
      <c r="CH194" s="8">
        <f t="shared" si="212"/>
        <v>9.1677065938711166E-10</v>
      </c>
      <c r="CI194" s="8">
        <f t="shared" si="212"/>
        <v>9.1677065938711166E-10</v>
      </c>
      <c r="CJ194" s="8">
        <f t="shared" si="212"/>
        <v>9.1677065938711166E-10</v>
      </c>
      <c r="CK194" s="8">
        <f t="shared" si="212"/>
        <v>9.1677065938711166E-10</v>
      </c>
      <c r="CL194" s="8">
        <f t="shared" si="212"/>
        <v>9.1677065938711166E-10</v>
      </c>
      <c r="CM194" s="8">
        <f t="shared" si="212"/>
        <v>9.1677065938711166E-10</v>
      </c>
      <c r="CN194" s="8">
        <f t="shared" si="212"/>
        <v>9.1677065938711166E-10</v>
      </c>
      <c r="CO194" s="8">
        <f t="shared" si="212"/>
        <v>9.1677065938711166E-10</v>
      </c>
      <c r="CP194" s="8">
        <f t="shared" si="212"/>
        <v>9.1677065938711166E-10</v>
      </c>
      <c r="CQ194" s="8">
        <f t="shared" si="212"/>
        <v>9.1677065938711166E-10</v>
      </c>
      <c r="CR194" s="8">
        <f t="shared" si="212"/>
        <v>9.1677065938711166E-10</v>
      </c>
      <c r="CS194" s="8">
        <f t="shared" si="212"/>
        <v>9.1677065938711166E-10</v>
      </c>
      <c r="CT194" s="8">
        <f t="shared" si="212"/>
        <v>9.1677065938711166E-10</v>
      </c>
      <c r="CU194" s="8">
        <f t="shared" si="212"/>
        <v>9.1677065938711166E-10</v>
      </c>
      <c r="CV194" s="8">
        <f t="shared" si="212"/>
        <v>9.1677065938711166E-10</v>
      </c>
      <c r="CW194" s="8">
        <f t="shared" si="212"/>
        <v>9.1677065938711166E-10</v>
      </c>
      <c r="CX194" s="8">
        <f t="shared" si="212"/>
        <v>9.1677065938711166E-10</v>
      </c>
      <c r="CY194" s="8">
        <f t="shared" si="212"/>
        <v>9.1677065938711166E-10</v>
      </c>
      <c r="CZ194" s="8">
        <f t="shared" si="212"/>
        <v>9.1677065938711166E-10</v>
      </c>
      <c r="DA194" s="8">
        <f t="shared" si="212"/>
        <v>9.1677065938711166E-10</v>
      </c>
    </row>
    <row r="195" spans="4:105" x14ac:dyDescent="0.4"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</row>
    <row r="196" spans="4:105" x14ac:dyDescent="0.4">
      <c r="D196" t="s">
        <v>209</v>
      </c>
      <c r="E196" s="8">
        <f t="shared" si="211"/>
        <v>0</v>
      </c>
      <c r="F196" s="8">
        <f t="shared" si="211"/>
        <v>318567.89046785957</v>
      </c>
      <c r="G196" s="8">
        <f t="shared" si="211"/>
        <v>634577.54646211013</v>
      </c>
      <c r="H196" s="8">
        <f t="shared" si="211"/>
        <v>946664.28979497822</v>
      </c>
      <c r="I196" s="8">
        <f t="shared" si="211"/>
        <v>1255207.6003662481</v>
      </c>
      <c r="J196" s="8">
        <f t="shared" si="211"/>
        <v>1560560.4398865621</v>
      </c>
      <c r="K196" s="8">
        <f t="shared" si="211"/>
        <v>1863051.3505347127</v>
      </c>
      <c r="L196" s="8">
        <f t="shared" si="211"/>
        <v>2162986.1527758264</v>
      </c>
      <c r="M196" s="8">
        <f t="shared" si="211"/>
        <v>2460649.6805315409</v>
      </c>
      <c r="N196" s="8">
        <f t="shared" si="211"/>
        <v>2756182.3918426125</v>
      </c>
      <c r="O196" s="8">
        <f t="shared" si="211"/>
        <v>3049564.6763314023</v>
      </c>
      <c r="P196" s="8">
        <f t="shared" si="211"/>
        <v>2944734.843312413</v>
      </c>
      <c r="Q196" s="8">
        <f t="shared" si="211"/>
        <v>2840839.0863319724</v>
      </c>
      <c r="R196" s="8">
        <f t="shared" si="211"/>
        <v>2739524.4342391826</v>
      </c>
      <c r="S196" s="8">
        <f t="shared" si="211"/>
        <v>2640268.6514229998</v>
      </c>
      <c r="T196" s="8">
        <f t="shared" si="211"/>
        <v>2542581.3562306375</v>
      </c>
      <c r="U196" s="8">
        <f t="shared" si="211"/>
        <v>2446001.3876668219</v>
      </c>
      <c r="V196" s="8">
        <f t="shared" si="211"/>
        <v>2350094.6698417366</v>
      </c>
      <c r="W196" s="8">
        <f t="shared" si="211"/>
        <v>2254452.0294368262</v>
      </c>
      <c r="X196" s="8">
        <f t="shared" si="211"/>
        <v>2158842.5559199136</v>
      </c>
      <c r="Y196" s="8">
        <f t="shared" si="211"/>
        <v>2063233.0824030004</v>
      </c>
      <c r="Z196" s="8">
        <f t="shared" si="211"/>
        <v>1968620.8872504497</v>
      </c>
      <c r="AA196" s="8">
        <f t="shared" si="211"/>
        <v>1877022.0203054268</v>
      </c>
      <c r="AB196" s="8">
        <f t="shared" si="211"/>
        <v>1789500.0531528599</v>
      </c>
      <c r="AC196" s="8">
        <f t="shared" si="211"/>
        <v>1706144.6775881834</v>
      </c>
      <c r="AD196" s="8">
        <f t="shared" si="211"/>
        <v>1627047.55862633</v>
      </c>
      <c r="AE196" s="8">
        <f t="shared" si="211"/>
        <v>1552302.3779125623</v>
      </c>
      <c r="AF196" s="8">
        <f t="shared" si="211"/>
        <v>1482004.8780883385</v>
      </c>
      <c r="AG196" s="8">
        <f t="shared" si="211"/>
        <v>1416252.9081332288</v>
      </c>
      <c r="AH196" s="8">
        <f t="shared" si="211"/>
        <v>1355146.4697043521</v>
      </c>
      <c r="AI196" s="8">
        <f t="shared" si="211"/>
        <v>1298787.7644952871</v>
      </c>
      <c r="AJ196" s="8">
        <f t="shared" si="211"/>
        <v>1246041.517648069</v>
      </c>
      <c r="AK196" s="8">
        <f t="shared" si="211"/>
        <v>1194508.3089503618</v>
      </c>
      <c r="AL196" s="8">
        <f t="shared" si="211"/>
        <v>1142975.1002526546</v>
      </c>
      <c r="AM196" s="8">
        <f t="shared" si="211"/>
        <v>1091441.8915549475</v>
      </c>
      <c r="AN196" s="8">
        <f t="shared" si="211"/>
        <v>1039908.6828572401</v>
      </c>
      <c r="AO196" s="8">
        <f t="shared" si="211"/>
        <v>988375.47415953304</v>
      </c>
      <c r="AP196" s="8">
        <f t="shared" si="211"/>
        <v>936842.26546182577</v>
      </c>
      <c r="AQ196" s="8">
        <f t="shared" si="211"/>
        <v>885309.05676411849</v>
      </c>
      <c r="AR196" s="8">
        <f t="shared" si="211"/>
        <v>833775.84806641121</v>
      </c>
      <c r="AS196" s="8">
        <f t="shared" si="211"/>
        <v>782242.63936870429</v>
      </c>
      <c r="AT196" s="8">
        <f t="shared" si="211"/>
        <v>730709.43067099701</v>
      </c>
      <c r="AU196" s="8">
        <f t="shared" si="211"/>
        <v>679176.22197328985</v>
      </c>
      <c r="AV196" s="8">
        <f t="shared" si="211"/>
        <v>627643.01327558258</v>
      </c>
      <c r="AW196" s="8">
        <f t="shared" si="211"/>
        <v>576109.80457787542</v>
      </c>
      <c r="AX196" s="8">
        <f t="shared" si="211"/>
        <v>524576.59588016826</v>
      </c>
      <c r="AY196" s="8">
        <f t="shared" si="211"/>
        <v>473043.38718246098</v>
      </c>
      <c r="AZ196" s="8">
        <f t="shared" si="211"/>
        <v>421510.17848475382</v>
      </c>
      <c r="BA196" s="8">
        <f t="shared" si="211"/>
        <v>369976.96978704666</v>
      </c>
      <c r="BB196" s="8">
        <f t="shared" si="211"/>
        <v>318443.76108933944</v>
      </c>
      <c r="BC196" s="8">
        <f t="shared" si="211"/>
        <v>266910.55239163223</v>
      </c>
      <c r="BD196" s="8">
        <f t="shared" si="211"/>
        <v>217709.08370555006</v>
      </c>
      <c r="BE196" s="8">
        <f t="shared" si="211"/>
        <v>173222.39332297392</v>
      </c>
      <c r="BF196" s="8">
        <f t="shared" si="211"/>
        <v>133554.20636658071</v>
      </c>
      <c r="BG196" s="8">
        <f t="shared" si="211"/>
        <v>98810.529911746737</v>
      </c>
      <c r="BH196" s="8">
        <f t="shared" si="211"/>
        <v>69099.703189506312</v>
      </c>
      <c r="BI196" s="8">
        <f t="shared" si="211"/>
        <v>44532.448893976252</v>
      </c>
      <c r="BJ196" s="8">
        <f t="shared" si="211"/>
        <v>25221.925618544472</v>
      </c>
      <c r="BK196" s="8">
        <f t="shared" si="211"/>
        <v>11283.781445653167</v>
      </c>
      <c r="BL196" s="8">
        <f t="shared" si="211"/>
        <v>2836.2087155578702</v>
      </c>
      <c r="BM196" s="8">
        <f t="shared" si="211"/>
        <v>8.1867619883269093E-11</v>
      </c>
      <c r="BN196" s="8">
        <f t="shared" si="211"/>
        <v>8.1867619883269093E-11</v>
      </c>
      <c r="BO196" s="8">
        <f t="shared" si="211"/>
        <v>8.1867619883269093E-11</v>
      </c>
      <c r="BP196" s="8">
        <f t="shared" si="211"/>
        <v>8.1867619883269093E-11</v>
      </c>
      <c r="BQ196" s="8">
        <f t="shared" ref="BQ196:DA196" si="213">BQ27+BQ44+BQ61+BQ78+BQ95+BQ112+BQ129+BQ146+BQ163+BQ180</f>
        <v>8.1867619883269093E-11</v>
      </c>
      <c r="BR196" s="8">
        <f t="shared" si="213"/>
        <v>8.1867619883269093E-11</v>
      </c>
      <c r="BS196" s="8">
        <f t="shared" si="213"/>
        <v>8.1867619883269093E-11</v>
      </c>
      <c r="BT196" s="8">
        <f t="shared" si="213"/>
        <v>8.1867619883269093E-11</v>
      </c>
      <c r="BU196" s="8">
        <f t="shared" si="213"/>
        <v>8.1867619883269093E-11</v>
      </c>
      <c r="BV196" s="8">
        <f t="shared" si="213"/>
        <v>8.1867619883269093E-11</v>
      </c>
      <c r="BW196" s="8">
        <f t="shared" si="213"/>
        <v>8.1867619883269093E-11</v>
      </c>
      <c r="BX196" s="8">
        <f t="shared" si="213"/>
        <v>8.1867619883269093E-11</v>
      </c>
      <c r="BY196" s="8">
        <f t="shared" si="213"/>
        <v>8.1867619883269093E-11</v>
      </c>
      <c r="BZ196" s="8">
        <f t="shared" si="213"/>
        <v>8.1867619883269093E-11</v>
      </c>
      <c r="CA196" s="8">
        <f t="shared" si="213"/>
        <v>8.1867619883269093E-11</v>
      </c>
      <c r="CB196" s="8">
        <f t="shared" si="213"/>
        <v>8.1867619883269093E-11</v>
      </c>
      <c r="CC196" s="8">
        <f t="shared" si="213"/>
        <v>8.1867619883269093E-11</v>
      </c>
      <c r="CD196" s="8">
        <f t="shared" si="213"/>
        <v>8.1867619883269093E-11</v>
      </c>
      <c r="CE196" s="8">
        <f t="shared" si="213"/>
        <v>8.1867619883269093E-11</v>
      </c>
      <c r="CF196" s="8">
        <f t="shared" si="213"/>
        <v>8.1867619883269093E-11</v>
      </c>
      <c r="CG196" s="8">
        <f t="shared" si="213"/>
        <v>8.1867619883269093E-11</v>
      </c>
      <c r="CH196" s="8">
        <f t="shared" si="213"/>
        <v>8.1867619883269093E-11</v>
      </c>
      <c r="CI196" s="8">
        <f t="shared" si="213"/>
        <v>8.1867619883269093E-11</v>
      </c>
      <c r="CJ196" s="8">
        <f t="shared" si="213"/>
        <v>8.1867619883269093E-11</v>
      </c>
      <c r="CK196" s="8">
        <f t="shared" si="213"/>
        <v>8.1867619883269093E-11</v>
      </c>
      <c r="CL196" s="8">
        <f t="shared" si="213"/>
        <v>8.1867619883269093E-11</v>
      </c>
      <c r="CM196" s="8">
        <f t="shared" si="213"/>
        <v>8.1867619883269093E-11</v>
      </c>
      <c r="CN196" s="8">
        <f t="shared" si="213"/>
        <v>8.1867619883269093E-11</v>
      </c>
      <c r="CO196" s="8">
        <f t="shared" si="213"/>
        <v>8.1867619883269093E-11</v>
      </c>
      <c r="CP196" s="8">
        <f t="shared" si="213"/>
        <v>8.1867619883269093E-11</v>
      </c>
      <c r="CQ196" s="8">
        <f t="shared" si="213"/>
        <v>8.1867619883269093E-11</v>
      </c>
      <c r="CR196" s="8">
        <f t="shared" si="213"/>
        <v>8.1867619883269093E-11</v>
      </c>
      <c r="CS196" s="8">
        <f t="shared" si="213"/>
        <v>8.1867619883269093E-11</v>
      </c>
      <c r="CT196" s="8">
        <f t="shared" si="213"/>
        <v>8.1867619883269093E-11</v>
      </c>
      <c r="CU196" s="8">
        <f t="shared" si="213"/>
        <v>8.1867619883269093E-11</v>
      </c>
      <c r="CV196" s="8">
        <f t="shared" si="213"/>
        <v>8.1867619883269093E-11</v>
      </c>
      <c r="CW196" s="8">
        <f t="shared" si="213"/>
        <v>8.1867619883269093E-11</v>
      </c>
      <c r="CX196" s="8">
        <f t="shared" si="213"/>
        <v>8.1867619883269093E-11</v>
      </c>
      <c r="CY196" s="8">
        <f t="shared" si="213"/>
        <v>8.1867619883269093E-11</v>
      </c>
      <c r="CZ196" s="8">
        <f t="shared" si="213"/>
        <v>8.1867619883269093E-11</v>
      </c>
      <c r="DA196" s="8">
        <f t="shared" si="213"/>
        <v>8.1867619883269093E-11</v>
      </c>
    </row>
  </sheetData>
  <pageMargins left="0.7" right="0.7" top="0.75" bottom="0.75" header="0.3" footer="0.3"/>
  <pageSetup scale="55" orientation="portrait" r:id="rId1"/>
  <colBreaks count="1" manualBreakCount="1">
    <brk id="9" max="19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525C1-F37F-4B90-A76D-22C009C9F1AD}">
  <sheetPr>
    <tabColor rgb="FFFFC000"/>
  </sheetPr>
  <dimension ref="A1:DG196"/>
  <sheetViews>
    <sheetView view="pageBreakPreview" zoomScale="10" zoomScaleNormal="10" zoomScaleSheetLayoutView="10" workbookViewId="0">
      <selection activeCell="DA197" sqref="A1:DA197"/>
    </sheetView>
  </sheetViews>
  <sheetFormatPr defaultRowHeight="18.75" x14ac:dyDescent="0.4"/>
  <cols>
    <col min="1" max="1" width="26.109375" bestFit="1" customWidth="1"/>
    <col min="2" max="3" width="10.77734375" customWidth="1"/>
    <col min="4" max="4" width="21.77734375" customWidth="1"/>
    <col min="5" max="67" width="13.77734375" customWidth="1"/>
    <col min="68" max="68" width="17.77734375" customWidth="1"/>
    <col min="69" max="105" width="13.77734375" customWidth="1"/>
  </cols>
  <sheetData>
    <row r="1" spans="1:105" x14ac:dyDescent="0.4">
      <c r="A1" t="s">
        <v>196</v>
      </c>
      <c r="B1" t="s">
        <v>1</v>
      </c>
    </row>
    <row r="2" spans="1:105" x14ac:dyDescent="0.4">
      <c r="A2" t="s">
        <v>197</v>
      </c>
      <c r="B2">
        <f>Lifetime_UG</f>
        <v>56</v>
      </c>
      <c r="E2">
        <v>0</v>
      </c>
      <c r="F2">
        <v>1</v>
      </c>
      <c r="G2">
        <v>2</v>
      </c>
      <c r="H2">
        <v>3</v>
      </c>
      <c r="I2">
        <v>4</v>
      </c>
      <c r="J2">
        <v>5</v>
      </c>
      <c r="K2">
        <v>6</v>
      </c>
      <c r="L2">
        <v>7</v>
      </c>
      <c r="M2">
        <v>8</v>
      </c>
      <c r="N2">
        <v>9</v>
      </c>
      <c r="O2">
        <v>10</v>
      </c>
    </row>
    <row r="3" spans="1:105" x14ac:dyDescent="0.4">
      <c r="A3" t="s">
        <v>198</v>
      </c>
      <c r="B3">
        <f>BOOK_DEP_PERIOD_UG</f>
        <v>50</v>
      </c>
      <c r="D3" s="5"/>
      <c r="E3" s="5">
        <v>2027</v>
      </c>
      <c r="F3" s="5">
        <v>2028</v>
      </c>
      <c r="G3" s="5">
        <v>2029</v>
      </c>
      <c r="H3" s="5">
        <v>2030</v>
      </c>
      <c r="I3" s="5">
        <v>2031</v>
      </c>
      <c r="J3" s="5">
        <v>2032</v>
      </c>
      <c r="K3" s="5">
        <v>2033</v>
      </c>
      <c r="L3" s="5">
        <v>2034</v>
      </c>
      <c r="M3" s="5">
        <v>2035</v>
      </c>
      <c r="N3" s="5">
        <v>2036</v>
      </c>
      <c r="O3" s="5">
        <v>2037</v>
      </c>
    </row>
    <row r="4" spans="1:105" ht="68.099999999999994" customHeight="1" x14ac:dyDescent="0.4">
      <c r="A4" t="s">
        <v>199</v>
      </c>
      <c r="B4">
        <f>MACRS_DEP_PERIOD_UG</f>
        <v>20</v>
      </c>
      <c r="D4" s="27" t="s">
        <v>436</v>
      </c>
      <c r="F4" s="8">
        <f>Costs_Mitigation!$G$60*BASELINE_CAP_SPEND</f>
        <v>2984286.2</v>
      </c>
      <c r="G4" s="8">
        <f>F4</f>
        <v>2984286.2</v>
      </c>
      <c r="H4" s="8">
        <f t="shared" ref="H4:O4" si="0">G4</f>
        <v>2984286.2</v>
      </c>
      <c r="I4" s="8">
        <f t="shared" si="0"/>
        <v>2984286.2</v>
      </c>
      <c r="J4" s="8">
        <f t="shared" si="0"/>
        <v>2984286.2</v>
      </c>
      <c r="K4" s="8">
        <f t="shared" si="0"/>
        <v>2984286.2</v>
      </c>
      <c r="L4" s="8">
        <f t="shared" si="0"/>
        <v>2984286.2</v>
      </c>
      <c r="M4" s="8">
        <f t="shared" si="0"/>
        <v>2984286.2</v>
      </c>
      <c r="N4" s="8">
        <f t="shared" si="0"/>
        <v>2984286.2</v>
      </c>
      <c r="O4" s="8">
        <f t="shared" si="0"/>
        <v>2984286.2</v>
      </c>
    </row>
    <row r="5" spans="1:105" x14ac:dyDescent="0.4">
      <c r="D5" s="27" t="s">
        <v>201</v>
      </c>
      <c r="F5" s="25">
        <f t="shared" ref="F5:N5" si="1">F4/F6</f>
        <v>4.9600000000000009</v>
      </c>
      <c r="G5" s="25">
        <f t="shared" si="1"/>
        <v>4.9600000000000009</v>
      </c>
      <c r="H5" s="25">
        <f t="shared" si="1"/>
        <v>4.9600000000000009</v>
      </c>
      <c r="I5" s="25">
        <f t="shared" si="1"/>
        <v>4.9600000000000009</v>
      </c>
      <c r="J5" s="25">
        <f t="shared" si="1"/>
        <v>4.9600000000000009</v>
      </c>
      <c r="K5" s="25">
        <f t="shared" si="1"/>
        <v>4.9600000000000009</v>
      </c>
      <c r="L5" s="25">
        <f t="shared" si="1"/>
        <v>4.9600000000000009</v>
      </c>
      <c r="M5" s="25">
        <f t="shared" si="1"/>
        <v>4.9600000000000009</v>
      </c>
      <c r="N5" s="25">
        <f t="shared" si="1"/>
        <v>4.9600000000000009</v>
      </c>
      <c r="O5" s="25">
        <f>O4/O6</f>
        <v>4.9600000000000009</v>
      </c>
    </row>
    <row r="6" spans="1:105" x14ac:dyDescent="0.4">
      <c r="D6" s="27" t="s">
        <v>202</v>
      </c>
      <c r="F6" s="8">
        <f>Total_All_In_Cost_Per_Mile_UG1PH</f>
        <v>601670.60483870958</v>
      </c>
      <c r="G6" s="8">
        <f>F6</f>
        <v>601670.60483870958</v>
      </c>
      <c r="H6" s="8">
        <f t="shared" ref="H6:O6" si="2">G6</f>
        <v>601670.60483870958</v>
      </c>
      <c r="I6" s="8">
        <f t="shared" si="2"/>
        <v>601670.60483870958</v>
      </c>
      <c r="J6" s="8">
        <f t="shared" si="2"/>
        <v>601670.60483870958</v>
      </c>
      <c r="K6" s="8">
        <f t="shared" si="2"/>
        <v>601670.60483870958</v>
      </c>
      <c r="L6" s="8">
        <f t="shared" si="2"/>
        <v>601670.60483870958</v>
      </c>
      <c r="M6" s="8">
        <f t="shared" si="2"/>
        <v>601670.60483870958</v>
      </c>
      <c r="N6" s="8">
        <f t="shared" si="2"/>
        <v>601670.60483870958</v>
      </c>
      <c r="O6" s="8">
        <f t="shared" si="2"/>
        <v>601670.60483870958</v>
      </c>
    </row>
    <row r="7" spans="1:105" x14ac:dyDescent="0.4">
      <c r="D7" s="107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05" x14ac:dyDescent="0.4">
      <c r="D8" s="27" t="s">
        <v>203</v>
      </c>
      <c r="F8" s="34">
        <v>1</v>
      </c>
      <c r="G8" s="34">
        <f t="shared" ref="G8:O8" si="3">F8*(1+Inflation)</f>
        <v>1.022</v>
      </c>
      <c r="H8" s="34">
        <f t="shared" si="3"/>
        <v>1.044484</v>
      </c>
      <c r="I8" s="34">
        <f t="shared" si="3"/>
        <v>1.067462648</v>
      </c>
      <c r="J8" s="34">
        <f t="shared" si="3"/>
        <v>1.090946826256</v>
      </c>
      <c r="K8" s="34">
        <f t="shared" si="3"/>
        <v>1.114947656433632</v>
      </c>
      <c r="L8" s="34">
        <f t="shared" si="3"/>
        <v>1.139476504875172</v>
      </c>
      <c r="M8" s="34">
        <f t="shared" si="3"/>
        <v>1.1645449879824259</v>
      </c>
      <c r="N8" s="34">
        <f t="shared" si="3"/>
        <v>1.1901649777180392</v>
      </c>
      <c r="O8" s="34">
        <f t="shared" si="3"/>
        <v>1.216348607227836</v>
      </c>
    </row>
    <row r="9" spans="1:105" x14ac:dyDescent="0.4">
      <c r="D9" s="27" t="s">
        <v>204</v>
      </c>
      <c r="F9" s="8">
        <f>F4*F8</f>
        <v>2984286.2</v>
      </c>
      <c r="G9" s="8">
        <f t="shared" ref="G9:O9" si="4">G4*G8</f>
        <v>3049940.4964000001</v>
      </c>
      <c r="H9" s="8">
        <f t="shared" si="4"/>
        <v>3117039.1873208</v>
      </c>
      <c r="I9" s="8">
        <f t="shared" si="4"/>
        <v>3185614.0494418577</v>
      </c>
      <c r="J9" s="8">
        <f t="shared" si="4"/>
        <v>3255697.5585295786</v>
      </c>
      <c r="K9" s="8">
        <f t="shared" si="4"/>
        <v>3327322.9048172296</v>
      </c>
      <c r="L9" s="8">
        <f t="shared" si="4"/>
        <v>3400524.0087232087</v>
      </c>
      <c r="M9" s="8">
        <f t="shared" si="4"/>
        <v>3475335.5369151197</v>
      </c>
      <c r="N9" s="8">
        <f t="shared" si="4"/>
        <v>3551792.9187272522</v>
      </c>
      <c r="O9" s="8">
        <f t="shared" si="4"/>
        <v>3629932.3629392516</v>
      </c>
    </row>
    <row r="10" spans="1:105" x14ac:dyDescent="0.4">
      <c r="D10" s="27" t="s">
        <v>205</v>
      </c>
      <c r="F10" s="8">
        <f>F9/F5</f>
        <v>601670.60483870958</v>
      </c>
      <c r="G10" s="8">
        <f t="shared" ref="G10:O10" si="5">G9/G5</f>
        <v>614907.35814516118</v>
      </c>
      <c r="H10" s="8">
        <f t="shared" si="5"/>
        <v>628435.32002435473</v>
      </c>
      <c r="I10" s="8">
        <f t="shared" si="5"/>
        <v>642260.8970648906</v>
      </c>
      <c r="J10" s="8">
        <f t="shared" si="5"/>
        <v>656390.63680031814</v>
      </c>
      <c r="K10" s="8">
        <f t="shared" si="5"/>
        <v>670831.23080992524</v>
      </c>
      <c r="L10" s="8">
        <f t="shared" si="5"/>
        <v>685589.51788774354</v>
      </c>
      <c r="M10" s="8">
        <f t="shared" si="5"/>
        <v>700672.48728127405</v>
      </c>
      <c r="N10" s="8">
        <f t="shared" si="5"/>
        <v>716087.28200146195</v>
      </c>
      <c r="O10" s="8">
        <f t="shared" si="5"/>
        <v>731841.20220549416</v>
      </c>
    </row>
    <row r="11" spans="1:105" x14ac:dyDescent="0.4">
      <c r="F11" s="8"/>
      <c r="G11" s="8"/>
      <c r="H11" s="8"/>
      <c r="I11" s="8"/>
      <c r="J11" s="8"/>
      <c r="K11" s="8"/>
      <c r="L11" s="8"/>
      <c r="M11" s="8"/>
      <c r="N11" s="8"/>
      <c r="O11" s="8"/>
    </row>
    <row r="13" spans="1:105" x14ac:dyDescent="0.4">
      <c r="C13" s="137" t="s">
        <v>206</v>
      </c>
      <c r="E13">
        <f>IF(E14&lt;$C14,"",E14-$C14)</f>
        <v>0</v>
      </c>
      <c r="F13">
        <f>IF(F14&lt;$C14,"",F14-$C14)</f>
        <v>1</v>
      </c>
      <c r="G13">
        <f t="shared" ref="G13:BR13" si="6">IF(G14&lt;$C14,"",G14-$C14)</f>
        <v>2</v>
      </c>
      <c r="H13">
        <f t="shared" si="6"/>
        <v>3</v>
      </c>
      <c r="I13">
        <f t="shared" si="6"/>
        <v>4</v>
      </c>
      <c r="J13">
        <f t="shared" si="6"/>
        <v>5</v>
      </c>
      <c r="K13">
        <f t="shared" si="6"/>
        <v>6</v>
      </c>
      <c r="L13">
        <f t="shared" si="6"/>
        <v>7</v>
      </c>
      <c r="M13">
        <f t="shared" si="6"/>
        <v>8</v>
      </c>
      <c r="N13">
        <f t="shared" si="6"/>
        <v>9</v>
      </c>
      <c r="O13">
        <f t="shared" si="6"/>
        <v>10</v>
      </c>
      <c r="P13">
        <f t="shared" si="6"/>
        <v>11</v>
      </c>
      <c r="Q13">
        <f t="shared" si="6"/>
        <v>12</v>
      </c>
      <c r="R13">
        <f t="shared" si="6"/>
        <v>13</v>
      </c>
      <c r="S13">
        <f t="shared" si="6"/>
        <v>14</v>
      </c>
      <c r="T13">
        <f t="shared" si="6"/>
        <v>15</v>
      </c>
      <c r="U13">
        <f t="shared" si="6"/>
        <v>16</v>
      </c>
      <c r="V13">
        <f t="shared" si="6"/>
        <v>17</v>
      </c>
      <c r="W13">
        <f t="shared" si="6"/>
        <v>18</v>
      </c>
      <c r="X13">
        <f t="shared" si="6"/>
        <v>19</v>
      </c>
      <c r="Y13">
        <f t="shared" si="6"/>
        <v>20</v>
      </c>
      <c r="Z13">
        <f t="shared" si="6"/>
        <v>21</v>
      </c>
      <c r="AA13">
        <f t="shared" si="6"/>
        <v>22</v>
      </c>
      <c r="AB13">
        <f t="shared" si="6"/>
        <v>23</v>
      </c>
      <c r="AC13">
        <f t="shared" si="6"/>
        <v>24</v>
      </c>
      <c r="AD13">
        <f t="shared" si="6"/>
        <v>25</v>
      </c>
      <c r="AE13">
        <f t="shared" si="6"/>
        <v>26</v>
      </c>
      <c r="AF13">
        <f t="shared" si="6"/>
        <v>27</v>
      </c>
      <c r="AG13">
        <f t="shared" si="6"/>
        <v>28</v>
      </c>
      <c r="AH13">
        <f t="shared" si="6"/>
        <v>29</v>
      </c>
      <c r="AI13">
        <f t="shared" si="6"/>
        <v>30</v>
      </c>
      <c r="AJ13">
        <f t="shared" si="6"/>
        <v>31</v>
      </c>
      <c r="AK13">
        <f t="shared" si="6"/>
        <v>32</v>
      </c>
      <c r="AL13">
        <f t="shared" si="6"/>
        <v>33</v>
      </c>
      <c r="AM13">
        <f t="shared" si="6"/>
        <v>34</v>
      </c>
      <c r="AN13">
        <f t="shared" si="6"/>
        <v>35</v>
      </c>
      <c r="AO13">
        <f t="shared" si="6"/>
        <v>36</v>
      </c>
      <c r="AP13">
        <f t="shared" si="6"/>
        <v>37</v>
      </c>
      <c r="AQ13">
        <f t="shared" si="6"/>
        <v>38</v>
      </c>
      <c r="AR13">
        <f t="shared" si="6"/>
        <v>39</v>
      </c>
      <c r="AS13">
        <f t="shared" si="6"/>
        <v>40</v>
      </c>
      <c r="AT13">
        <f t="shared" si="6"/>
        <v>41</v>
      </c>
      <c r="AU13">
        <f t="shared" si="6"/>
        <v>42</v>
      </c>
      <c r="AV13">
        <f t="shared" si="6"/>
        <v>43</v>
      </c>
      <c r="AW13">
        <f t="shared" si="6"/>
        <v>44</v>
      </c>
      <c r="AX13">
        <f t="shared" si="6"/>
        <v>45</v>
      </c>
      <c r="AY13">
        <f t="shared" si="6"/>
        <v>46</v>
      </c>
      <c r="AZ13">
        <f t="shared" si="6"/>
        <v>47</v>
      </c>
      <c r="BA13">
        <f t="shared" si="6"/>
        <v>48</v>
      </c>
      <c r="BB13">
        <f t="shared" si="6"/>
        <v>49</v>
      </c>
      <c r="BC13">
        <f t="shared" si="6"/>
        <v>50</v>
      </c>
      <c r="BD13">
        <f t="shared" si="6"/>
        <v>51</v>
      </c>
      <c r="BE13">
        <f t="shared" si="6"/>
        <v>52</v>
      </c>
      <c r="BF13">
        <f t="shared" si="6"/>
        <v>53</v>
      </c>
      <c r="BG13">
        <f t="shared" si="6"/>
        <v>54</v>
      </c>
      <c r="BH13">
        <f t="shared" si="6"/>
        <v>55</v>
      </c>
      <c r="BI13">
        <f t="shared" si="6"/>
        <v>56</v>
      </c>
      <c r="BJ13">
        <f t="shared" si="6"/>
        <v>57</v>
      </c>
      <c r="BK13">
        <f t="shared" si="6"/>
        <v>58</v>
      </c>
      <c r="BL13">
        <f t="shared" si="6"/>
        <v>59</v>
      </c>
      <c r="BM13">
        <f t="shared" si="6"/>
        <v>60</v>
      </c>
      <c r="BN13">
        <f t="shared" si="6"/>
        <v>61</v>
      </c>
      <c r="BO13">
        <f t="shared" si="6"/>
        <v>62</v>
      </c>
      <c r="BP13">
        <f t="shared" si="6"/>
        <v>63</v>
      </c>
      <c r="BQ13">
        <f t="shared" si="6"/>
        <v>64</v>
      </c>
      <c r="BR13">
        <f t="shared" si="6"/>
        <v>65</v>
      </c>
      <c r="BS13">
        <f t="shared" ref="BS13:DA13" si="7">IF(BS14&lt;$C14,"",BS14-$C14)</f>
        <v>66</v>
      </c>
      <c r="BT13">
        <f t="shared" si="7"/>
        <v>67</v>
      </c>
      <c r="BU13">
        <f t="shared" si="7"/>
        <v>68</v>
      </c>
      <c r="BV13">
        <f t="shared" si="7"/>
        <v>69</v>
      </c>
      <c r="BW13">
        <f t="shared" si="7"/>
        <v>70</v>
      </c>
      <c r="BX13">
        <f t="shared" si="7"/>
        <v>71</v>
      </c>
      <c r="BY13">
        <f t="shared" si="7"/>
        <v>72</v>
      </c>
      <c r="BZ13">
        <f t="shared" si="7"/>
        <v>73</v>
      </c>
      <c r="CA13">
        <f t="shared" si="7"/>
        <v>74</v>
      </c>
      <c r="CB13">
        <f t="shared" si="7"/>
        <v>75</v>
      </c>
      <c r="CC13">
        <f t="shared" si="7"/>
        <v>76</v>
      </c>
      <c r="CD13">
        <f t="shared" si="7"/>
        <v>77</v>
      </c>
      <c r="CE13">
        <f t="shared" si="7"/>
        <v>78</v>
      </c>
      <c r="CF13">
        <f t="shared" si="7"/>
        <v>79</v>
      </c>
      <c r="CG13">
        <f t="shared" si="7"/>
        <v>80</v>
      </c>
      <c r="CH13">
        <f t="shared" si="7"/>
        <v>81</v>
      </c>
      <c r="CI13">
        <f t="shared" si="7"/>
        <v>82</v>
      </c>
      <c r="CJ13">
        <f t="shared" si="7"/>
        <v>83</v>
      </c>
      <c r="CK13">
        <f t="shared" si="7"/>
        <v>84</v>
      </c>
      <c r="CL13">
        <f t="shared" si="7"/>
        <v>85</v>
      </c>
      <c r="CM13">
        <f t="shared" si="7"/>
        <v>86</v>
      </c>
      <c r="CN13">
        <f t="shared" si="7"/>
        <v>87</v>
      </c>
      <c r="CO13">
        <f t="shared" si="7"/>
        <v>88</v>
      </c>
      <c r="CP13">
        <f t="shared" si="7"/>
        <v>89</v>
      </c>
      <c r="CQ13">
        <f t="shared" si="7"/>
        <v>90</v>
      </c>
      <c r="CR13">
        <f t="shared" si="7"/>
        <v>91</v>
      </c>
      <c r="CS13">
        <f t="shared" si="7"/>
        <v>92</v>
      </c>
      <c r="CT13">
        <f t="shared" si="7"/>
        <v>93</v>
      </c>
      <c r="CU13">
        <f t="shared" si="7"/>
        <v>94</v>
      </c>
      <c r="CV13">
        <f t="shared" si="7"/>
        <v>95</v>
      </c>
      <c r="CW13">
        <f t="shared" si="7"/>
        <v>96</v>
      </c>
      <c r="CX13">
        <f t="shared" si="7"/>
        <v>97</v>
      </c>
      <c r="CY13">
        <f t="shared" si="7"/>
        <v>98</v>
      </c>
      <c r="CZ13">
        <f t="shared" si="7"/>
        <v>99</v>
      </c>
      <c r="DA13">
        <f t="shared" si="7"/>
        <v>100</v>
      </c>
    </row>
    <row r="14" spans="1:105" x14ac:dyDescent="0.4">
      <c r="A14" s="54" t="s">
        <v>186</v>
      </c>
      <c r="C14">
        <v>2027</v>
      </c>
      <c r="D14" s="5" t="s">
        <v>434</v>
      </c>
      <c r="E14" s="5">
        <v>2027</v>
      </c>
      <c r="F14" s="5">
        <v>2028</v>
      </c>
      <c r="G14" s="5">
        <v>2029</v>
      </c>
      <c r="H14" s="5">
        <v>2030</v>
      </c>
      <c r="I14" s="5">
        <v>2031</v>
      </c>
      <c r="J14" s="5">
        <v>2032</v>
      </c>
      <c r="K14" s="5">
        <v>2033</v>
      </c>
      <c r="L14" s="5">
        <v>2034</v>
      </c>
      <c r="M14" s="5">
        <v>2035</v>
      </c>
      <c r="N14" s="5">
        <v>2036</v>
      </c>
      <c r="O14" s="5">
        <v>2037</v>
      </c>
      <c r="P14" s="5">
        <v>2038</v>
      </c>
      <c r="Q14" s="5">
        <v>2039</v>
      </c>
      <c r="R14" s="5">
        <v>2040</v>
      </c>
      <c r="S14" s="5">
        <v>2041</v>
      </c>
      <c r="T14" s="5">
        <v>2042</v>
      </c>
      <c r="U14" s="5">
        <v>2043</v>
      </c>
      <c r="V14" s="5">
        <v>2044</v>
      </c>
      <c r="W14" s="5">
        <v>2045</v>
      </c>
      <c r="X14" s="5">
        <v>2046</v>
      </c>
      <c r="Y14" s="5">
        <v>2047</v>
      </c>
      <c r="Z14" s="5">
        <v>2048</v>
      </c>
      <c r="AA14" s="5">
        <v>2049</v>
      </c>
      <c r="AB14" s="5">
        <v>2050</v>
      </c>
      <c r="AC14" s="5">
        <v>2051</v>
      </c>
      <c r="AD14" s="5">
        <v>2052</v>
      </c>
      <c r="AE14" s="5">
        <v>2053</v>
      </c>
      <c r="AF14" s="5">
        <v>2054</v>
      </c>
      <c r="AG14" s="5">
        <v>2055</v>
      </c>
      <c r="AH14" s="5">
        <v>2056</v>
      </c>
      <c r="AI14" s="5">
        <v>2057</v>
      </c>
      <c r="AJ14" s="5">
        <v>2058</v>
      </c>
      <c r="AK14" s="5">
        <v>2059</v>
      </c>
      <c r="AL14" s="5">
        <v>2060</v>
      </c>
      <c r="AM14" s="5">
        <v>2061</v>
      </c>
      <c r="AN14" s="5">
        <v>2062</v>
      </c>
      <c r="AO14" s="5">
        <v>2063</v>
      </c>
      <c r="AP14" s="5">
        <v>2064</v>
      </c>
      <c r="AQ14" s="5">
        <v>2065</v>
      </c>
      <c r="AR14" s="5">
        <v>2066</v>
      </c>
      <c r="AS14" s="5">
        <v>2067</v>
      </c>
      <c r="AT14" s="5">
        <v>2068</v>
      </c>
      <c r="AU14" s="5">
        <v>2069</v>
      </c>
      <c r="AV14" s="5">
        <v>2070</v>
      </c>
      <c r="AW14" s="5">
        <v>2071</v>
      </c>
      <c r="AX14" s="5">
        <v>2072</v>
      </c>
      <c r="AY14" s="5">
        <v>2073</v>
      </c>
      <c r="AZ14" s="5">
        <v>2074</v>
      </c>
      <c r="BA14" s="5">
        <v>2075</v>
      </c>
      <c r="BB14" s="5">
        <v>2076</v>
      </c>
      <c r="BC14" s="5">
        <v>2077</v>
      </c>
      <c r="BD14" s="5">
        <v>2078</v>
      </c>
      <c r="BE14" s="5">
        <v>2079</v>
      </c>
      <c r="BF14" s="5">
        <v>2080</v>
      </c>
      <c r="BG14" s="5">
        <v>2081</v>
      </c>
      <c r="BH14" s="5">
        <v>2082</v>
      </c>
      <c r="BI14" s="5">
        <v>2083</v>
      </c>
      <c r="BJ14" s="5">
        <v>2084</v>
      </c>
      <c r="BK14" s="5">
        <v>2085</v>
      </c>
      <c r="BL14" s="5">
        <v>2086</v>
      </c>
      <c r="BM14" s="5">
        <v>2087</v>
      </c>
      <c r="BN14" s="5">
        <v>2088</v>
      </c>
      <c r="BO14" s="5">
        <v>2089</v>
      </c>
      <c r="BP14" s="5">
        <v>2090</v>
      </c>
      <c r="BQ14" s="5">
        <v>2091</v>
      </c>
      <c r="BR14" s="5">
        <v>2092</v>
      </c>
      <c r="BS14" s="5">
        <v>2093</v>
      </c>
      <c r="BT14" s="5">
        <v>2094</v>
      </c>
      <c r="BU14" s="5">
        <v>2095</v>
      </c>
      <c r="BV14" s="5">
        <v>2096</v>
      </c>
      <c r="BW14" s="5">
        <v>2097</v>
      </c>
      <c r="BX14" s="5">
        <v>2098</v>
      </c>
      <c r="BY14" s="5">
        <v>2099</v>
      </c>
      <c r="BZ14" s="5">
        <v>2100</v>
      </c>
      <c r="CA14" s="5">
        <v>2101</v>
      </c>
      <c r="CB14" s="5">
        <v>2102</v>
      </c>
      <c r="CC14" s="5">
        <v>2103</v>
      </c>
      <c r="CD14" s="5">
        <v>2104</v>
      </c>
      <c r="CE14" s="5">
        <v>2105</v>
      </c>
      <c r="CF14" s="5">
        <v>2106</v>
      </c>
      <c r="CG14" s="5">
        <v>2107</v>
      </c>
      <c r="CH14" s="5">
        <v>2108</v>
      </c>
      <c r="CI14" s="5">
        <v>2109</v>
      </c>
      <c r="CJ14" s="5">
        <v>2110</v>
      </c>
      <c r="CK14" s="5">
        <v>2111</v>
      </c>
      <c r="CL14" s="5">
        <v>2112</v>
      </c>
      <c r="CM14" s="5">
        <v>2113</v>
      </c>
      <c r="CN14" s="5">
        <v>2114</v>
      </c>
      <c r="CO14" s="5">
        <v>2115</v>
      </c>
      <c r="CP14" s="5">
        <v>2116</v>
      </c>
      <c r="CQ14" s="5">
        <v>2117</v>
      </c>
      <c r="CR14" s="5">
        <v>2118</v>
      </c>
      <c r="CS14" s="5">
        <v>2119</v>
      </c>
      <c r="CT14" s="5">
        <v>2120</v>
      </c>
      <c r="CU14" s="5">
        <v>2121</v>
      </c>
      <c r="CV14" s="5">
        <v>2122</v>
      </c>
      <c r="CW14" s="5">
        <v>2123</v>
      </c>
      <c r="CX14" s="5">
        <v>2124</v>
      </c>
      <c r="CY14" s="5">
        <v>2125</v>
      </c>
      <c r="CZ14" s="5">
        <v>2126</v>
      </c>
      <c r="DA14" s="5">
        <v>2127</v>
      </c>
    </row>
    <row r="15" spans="1:105" x14ac:dyDescent="0.4">
      <c r="A15" s="45">
        <f>SUM(F15:DA15)</f>
        <v>2984286.1999999983</v>
      </c>
      <c r="D15" t="s">
        <v>207</v>
      </c>
      <c r="E15" s="8"/>
      <c r="F15" s="8">
        <f>IF(F$13&lt;=$B$3,F16/$B$3,0)</f>
        <v>59685.724000000002</v>
      </c>
      <c r="G15" s="8">
        <f>IF(G13&lt;=$B$3,F15,0)</f>
        <v>59685.724000000002</v>
      </c>
      <c r="H15" s="8">
        <f t="shared" ref="H15:BS15" si="8">IF(H13&lt;=$B$3,G15,0)</f>
        <v>59685.724000000002</v>
      </c>
      <c r="I15" s="8">
        <f t="shared" si="8"/>
        <v>59685.724000000002</v>
      </c>
      <c r="J15" s="8">
        <f t="shared" si="8"/>
        <v>59685.724000000002</v>
      </c>
      <c r="K15" s="8">
        <f t="shared" si="8"/>
        <v>59685.724000000002</v>
      </c>
      <c r="L15" s="8">
        <f t="shared" si="8"/>
        <v>59685.724000000002</v>
      </c>
      <c r="M15" s="8">
        <f t="shared" si="8"/>
        <v>59685.724000000002</v>
      </c>
      <c r="N15" s="8">
        <f t="shared" si="8"/>
        <v>59685.724000000002</v>
      </c>
      <c r="O15" s="8">
        <f t="shared" si="8"/>
        <v>59685.724000000002</v>
      </c>
      <c r="P15" s="8">
        <f t="shared" si="8"/>
        <v>59685.724000000002</v>
      </c>
      <c r="Q15" s="8">
        <f t="shared" si="8"/>
        <v>59685.724000000002</v>
      </c>
      <c r="R15" s="8">
        <f t="shared" si="8"/>
        <v>59685.724000000002</v>
      </c>
      <c r="S15" s="8">
        <f t="shared" si="8"/>
        <v>59685.724000000002</v>
      </c>
      <c r="T15" s="8">
        <f t="shared" si="8"/>
        <v>59685.724000000002</v>
      </c>
      <c r="U15" s="8">
        <f t="shared" si="8"/>
        <v>59685.724000000002</v>
      </c>
      <c r="V15" s="8">
        <f t="shared" si="8"/>
        <v>59685.724000000002</v>
      </c>
      <c r="W15" s="8">
        <f t="shared" si="8"/>
        <v>59685.724000000002</v>
      </c>
      <c r="X15" s="8">
        <f t="shared" si="8"/>
        <v>59685.724000000002</v>
      </c>
      <c r="Y15" s="8">
        <f t="shared" si="8"/>
        <v>59685.724000000002</v>
      </c>
      <c r="Z15" s="8">
        <f t="shared" si="8"/>
        <v>59685.724000000002</v>
      </c>
      <c r="AA15" s="8">
        <f t="shared" si="8"/>
        <v>59685.724000000002</v>
      </c>
      <c r="AB15" s="8">
        <f t="shared" si="8"/>
        <v>59685.724000000002</v>
      </c>
      <c r="AC15" s="8">
        <f t="shared" si="8"/>
        <v>59685.724000000002</v>
      </c>
      <c r="AD15" s="8">
        <f t="shared" si="8"/>
        <v>59685.724000000002</v>
      </c>
      <c r="AE15" s="8">
        <f t="shared" si="8"/>
        <v>59685.724000000002</v>
      </c>
      <c r="AF15" s="8">
        <f t="shared" si="8"/>
        <v>59685.724000000002</v>
      </c>
      <c r="AG15" s="8">
        <f t="shared" si="8"/>
        <v>59685.724000000002</v>
      </c>
      <c r="AH15" s="8">
        <f t="shared" si="8"/>
        <v>59685.724000000002</v>
      </c>
      <c r="AI15" s="8">
        <f t="shared" si="8"/>
        <v>59685.724000000002</v>
      </c>
      <c r="AJ15" s="8">
        <f t="shared" si="8"/>
        <v>59685.724000000002</v>
      </c>
      <c r="AK15" s="8">
        <f t="shared" si="8"/>
        <v>59685.724000000002</v>
      </c>
      <c r="AL15" s="8">
        <f t="shared" si="8"/>
        <v>59685.724000000002</v>
      </c>
      <c r="AM15" s="8">
        <f t="shared" si="8"/>
        <v>59685.724000000002</v>
      </c>
      <c r="AN15" s="8">
        <f t="shared" si="8"/>
        <v>59685.724000000002</v>
      </c>
      <c r="AO15" s="8">
        <f t="shared" si="8"/>
        <v>59685.724000000002</v>
      </c>
      <c r="AP15" s="8">
        <f t="shared" si="8"/>
        <v>59685.724000000002</v>
      </c>
      <c r="AQ15" s="8">
        <f t="shared" si="8"/>
        <v>59685.724000000002</v>
      </c>
      <c r="AR15" s="8">
        <f t="shared" si="8"/>
        <v>59685.724000000002</v>
      </c>
      <c r="AS15" s="8">
        <f t="shared" si="8"/>
        <v>59685.724000000002</v>
      </c>
      <c r="AT15" s="8">
        <f t="shared" si="8"/>
        <v>59685.724000000002</v>
      </c>
      <c r="AU15" s="8">
        <f t="shared" si="8"/>
        <v>59685.724000000002</v>
      </c>
      <c r="AV15" s="8">
        <f t="shared" si="8"/>
        <v>59685.724000000002</v>
      </c>
      <c r="AW15" s="8">
        <f t="shared" si="8"/>
        <v>59685.724000000002</v>
      </c>
      <c r="AX15" s="8">
        <f t="shared" si="8"/>
        <v>59685.724000000002</v>
      </c>
      <c r="AY15" s="8">
        <f t="shared" si="8"/>
        <v>59685.724000000002</v>
      </c>
      <c r="AZ15" s="8">
        <f t="shared" si="8"/>
        <v>59685.724000000002</v>
      </c>
      <c r="BA15" s="8">
        <f t="shared" si="8"/>
        <v>59685.724000000002</v>
      </c>
      <c r="BB15" s="8">
        <f t="shared" si="8"/>
        <v>59685.724000000002</v>
      </c>
      <c r="BC15" s="8">
        <f t="shared" si="8"/>
        <v>59685.724000000002</v>
      </c>
      <c r="BD15" s="8">
        <f t="shared" si="8"/>
        <v>0</v>
      </c>
      <c r="BE15" s="8">
        <f t="shared" si="8"/>
        <v>0</v>
      </c>
      <c r="BF15" s="8">
        <f t="shared" si="8"/>
        <v>0</v>
      </c>
      <c r="BG15" s="8">
        <f t="shared" si="8"/>
        <v>0</v>
      </c>
      <c r="BH15" s="8">
        <f t="shared" si="8"/>
        <v>0</v>
      </c>
      <c r="BI15" s="8">
        <f t="shared" si="8"/>
        <v>0</v>
      </c>
      <c r="BJ15" s="8">
        <f t="shared" si="8"/>
        <v>0</v>
      </c>
      <c r="BK15" s="8">
        <f t="shared" si="8"/>
        <v>0</v>
      </c>
      <c r="BL15" s="8">
        <f t="shared" si="8"/>
        <v>0</v>
      </c>
      <c r="BM15" s="8">
        <f t="shared" si="8"/>
        <v>0</v>
      </c>
      <c r="BN15" s="8">
        <f t="shared" si="8"/>
        <v>0</v>
      </c>
      <c r="BO15" s="8">
        <f t="shared" si="8"/>
        <v>0</v>
      </c>
      <c r="BP15" s="8">
        <f t="shared" si="8"/>
        <v>0</v>
      </c>
      <c r="BQ15" s="8">
        <f t="shared" si="8"/>
        <v>0</v>
      </c>
      <c r="BR15" s="8">
        <f t="shared" si="8"/>
        <v>0</v>
      </c>
      <c r="BS15" s="8">
        <f t="shared" si="8"/>
        <v>0</v>
      </c>
      <c r="BT15" s="8">
        <f t="shared" ref="BT15:DA15" si="9">IF(BT13&lt;=$B$3,BS15,0)</f>
        <v>0</v>
      </c>
      <c r="BU15" s="8">
        <f t="shared" si="9"/>
        <v>0</v>
      </c>
      <c r="BV15" s="8">
        <f t="shared" si="9"/>
        <v>0</v>
      </c>
      <c r="BW15" s="8">
        <f t="shared" si="9"/>
        <v>0</v>
      </c>
      <c r="BX15" s="8">
        <f t="shared" si="9"/>
        <v>0</v>
      </c>
      <c r="BY15" s="8">
        <f t="shared" si="9"/>
        <v>0</v>
      </c>
      <c r="BZ15" s="8">
        <f t="shared" si="9"/>
        <v>0</v>
      </c>
      <c r="CA15" s="8">
        <f t="shared" si="9"/>
        <v>0</v>
      </c>
      <c r="CB15" s="8">
        <f t="shared" si="9"/>
        <v>0</v>
      </c>
      <c r="CC15" s="8">
        <f t="shared" si="9"/>
        <v>0</v>
      </c>
      <c r="CD15" s="8">
        <f t="shared" si="9"/>
        <v>0</v>
      </c>
      <c r="CE15" s="8">
        <f t="shared" si="9"/>
        <v>0</v>
      </c>
      <c r="CF15" s="8">
        <f t="shared" si="9"/>
        <v>0</v>
      </c>
      <c r="CG15" s="8">
        <f t="shared" si="9"/>
        <v>0</v>
      </c>
      <c r="CH15" s="8">
        <f t="shared" si="9"/>
        <v>0</v>
      </c>
      <c r="CI15" s="8">
        <f t="shared" si="9"/>
        <v>0</v>
      </c>
      <c r="CJ15" s="8">
        <f t="shared" si="9"/>
        <v>0</v>
      </c>
      <c r="CK15" s="8">
        <f t="shared" si="9"/>
        <v>0</v>
      </c>
      <c r="CL15" s="8">
        <f t="shared" si="9"/>
        <v>0</v>
      </c>
      <c r="CM15" s="8">
        <f t="shared" si="9"/>
        <v>0</v>
      </c>
      <c r="CN15" s="8">
        <f t="shared" si="9"/>
        <v>0</v>
      </c>
      <c r="CO15" s="8">
        <f t="shared" si="9"/>
        <v>0</v>
      </c>
      <c r="CP15" s="8">
        <f t="shared" si="9"/>
        <v>0</v>
      </c>
      <c r="CQ15" s="8">
        <f t="shared" si="9"/>
        <v>0</v>
      </c>
      <c r="CR15" s="8">
        <f t="shared" si="9"/>
        <v>0</v>
      </c>
      <c r="CS15" s="8">
        <f t="shared" si="9"/>
        <v>0</v>
      </c>
      <c r="CT15" s="8">
        <f t="shared" si="9"/>
        <v>0</v>
      </c>
      <c r="CU15" s="8">
        <f t="shared" si="9"/>
        <v>0</v>
      </c>
      <c r="CV15" s="8">
        <f t="shared" si="9"/>
        <v>0</v>
      </c>
      <c r="CW15" s="8">
        <f t="shared" si="9"/>
        <v>0</v>
      </c>
      <c r="CX15" s="8">
        <f t="shared" si="9"/>
        <v>0</v>
      </c>
      <c r="CY15" s="8">
        <f t="shared" si="9"/>
        <v>0</v>
      </c>
      <c r="CZ15" s="8">
        <f t="shared" si="9"/>
        <v>0</v>
      </c>
      <c r="DA15" s="8">
        <f t="shared" si="9"/>
        <v>0</v>
      </c>
    </row>
    <row r="16" spans="1:105" x14ac:dyDescent="0.4">
      <c r="A16" s="83"/>
      <c r="B16" s="54"/>
      <c r="C16" s="54"/>
      <c r="D16" t="s">
        <v>154</v>
      </c>
      <c r="E16" s="8">
        <f>HLOOKUP(F14,$F$3:$O$10,7,0)</f>
        <v>2984286.2</v>
      </c>
      <c r="F16" s="8">
        <f>IF(ROUND(E17,4)=-ROUND(E16,4),0,E16)</f>
        <v>2984286.2</v>
      </c>
      <c r="G16" s="8">
        <f t="shared" ref="G16:BR16" si="10">IF(ROUND(F17,4)=-ROUND(F16,4),0,F16)</f>
        <v>2984286.2</v>
      </c>
      <c r="H16" s="8">
        <f t="shared" si="10"/>
        <v>2984286.2</v>
      </c>
      <c r="I16" s="8">
        <f t="shared" si="10"/>
        <v>2984286.2</v>
      </c>
      <c r="J16" s="8">
        <f t="shared" si="10"/>
        <v>2984286.2</v>
      </c>
      <c r="K16" s="8">
        <f t="shared" si="10"/>
        <v>2984286.2</v>
      </c>
      <c r="L16" s="8">
        <f t="shared" si="10"/>
        <v>2984286.2</v>
      </c>
      <c r="M16" s="8">
        <f t="shared" si="10"/>
        <v>2984286.2</v>
      </c>
      <c r="N16" s="8">
        <f t="shared" si="10"/>
        <v>2984286.2</v>
      </c>
      <c r="O16" s="8">
        <f t="shared" si="10"/>
        <v>2984286.2</v>
      </c>
      <c r="P16" s="8">
        <f t="shared" si="10"/>
        <v>2984286.2</v>
      </c>
      <c r="Q16" s="8">
        <f t="shared" si="10"/>
        <v>2984286.2</v>
      </c>
      <c r="R16" s="8">
        <f t="shared" si="10"/>
        <v>2984286.2</v>
      </c>
      <c r="S16" s="8">
        <f t="shared" si="10"/>
        <v>2984286.2</v>
      </c>
      <c r="T16" s="8">
        <f t="shared" si="10"/>
        <v>2984286.2</v>
      </c>
      <c r="U16" s="8">
        <f t="shared" si="10"/>
        <v>2984286.2</v>
      </c>
      <c r="V16" s="8">
        <f t="shared" si="10"/>
        <v>2984286.2</v>
      </c>
      <c r="W16" s="8">
        <f t="shared" si="10"/>
        <v>2984286.2</v>
      </c>
      <c r="X16" s="8">
        <f t="shared" si="10"/>
        <v>2984286.2</v>
      </c>
      <c r="Y16" s="8">
        <f t="shared" si="10"/>
        <v>2984286.2</v>
      </c>
      <c r="Z16" s="8">
        <f t="shared" si="10"/>
        <v>2984286.2</v>
      </c>
      <c r="AA16" s="8">
        <f t="shared" si="10"/>
        <v>2984286.2</v>
      </c>
      <c r="AB16" s="8">
        <f t="shared" si="10"/>
        <v>2984286.2</v>
      </c>
      <c r="AC16" s="8">
        <f t="shared" si="10"/>
        <v>2984286.2</v>
      </c>
      <c r="AD16" s="8">
        <f t="shared" si="10"/>
        <v>2984286.2</v>
      </c>
      <c r="AE16" s="8">
        <f t="shared" si="10"/>
        <v>2984286.2</v>
      </c>
      <c r="AF16" s="8">
        <f t="shared" si="10"/>
        <v>2984286.2</v>
      </c>
      <c r="AG16" s="8">
        <f t="shared" si="10"/>
        <v>2984286.2</v>
      </c>
      <c r="AH16" s="8">
        <f t="shared" si="10"/>
        <v>2984286.2</v>
      </c>
      <c r="AI16" s="8">
        <f t="shared" si="10"/>
        <v>2984286.2</v>
      </c>
      <c r="AJ16" s="8">
        <f t="shared" si="10"/>
        <v>2984286.2</v>
      </c>
      <c r="AK16" s="8">
        <f t="shared" si="10"/>
        <v>2984286.2</v>
      </c>
      <c r="AL16" s="8">
        <f t="shared" si="10"/>
        <v>2984286.2</v>
      </c>
      <c r="AM16" s="8">
        <f t="shared" si="10"/>
        <v>2984286.2</v>
      </c>
      <c r="AN16" s="8">
        <f t="shared" si="10"/>
        <v>2984286.2</v>
      </c>
      <c r="AO16" s="8">
        <f t="shared" si="10"/>
        <v>2984286.2</v>
      </c>
      <c r="AP16" s="8">
        <f t="shared" si="10"/>
        <v>2984286.2</v>
      </c>
      <c r="AQ16" s="8">
        <f t="shared" si="10"/>
        <v>2984286.2</v>
      </c>
      <c r="AR16" s="8">
        <f t="shared" si="10"/>
        <v>2984286.2</v>
      </c>
      <c r="AS16" s="8">
        <f t="shared" si="10"/>
        <v>2984286.2</v>
      </c>
      <c r="AT16" s="8">
        <f t="shared" si="10"/>
        <v>2984286.2</v>
      </c>
      <c r="AU16" s="8">
        <f t="shared" si="10"/>
        <v>2984286.2</v>
      </c>
      <c r="AV16" s="8">
        <f t="shared" si="10"/>
        <v>2984286.2</v>
      </c>
      <c r="AW16" s="8">
        <f t="shared" si="10"/>
        <v>2984286.2</v>
      </c>
      <c r="AX16" s="8">
        <f t="shared" si="10"/>
        <v>2984286.2</v>
      </c>
      <c r="AY16" s="8">
        <f t="shared" si="10"/>
        <v>2984286.2</v>
      </c>
      <c r="AZ16" s="8">
        <f t="shared" si="10"/>
        <v>2984286.2</v>
      </c>
      <c r="BA16" s="8">
        <f t="shared" si="10"/>
        <v>2984286.2</v>
      </c>
      <c r="BB16" s="8">
        <f t="shared" si="10"/>
        <v>2984286.2</v>
      </c>
      <c r="BC16" s="8">
        <f t="shared" si="10"/>
        <v>2984286.2</v>
      </c>
      <c r="BD16" s="8">
        <f t="shared" si="10"/>
        <v>0</v>
      </c>
      <c r="BE16" s="8">
        <f t="shared" si="10"/>
        <v>0</v>
      </c>
      <c r="BF16" s="8">
        <f t="shared" si="10"/>
        <v>0</v>
      </c>
      <c r="BG16" s="8">
        <f t="shared" si="10"/>
        <v>0</v>
      </c>
      <c r="BH16" s="8">
        <f t="shared" si="10"/>
        <v>0</v>
      </c>
      <c r="BI16" s="8">
        <f t="shared" si="10"/>
        <v>0</v>
      </c>
      <c r="BJ16" s="8">
        <f t="shared" si="10"/>
        <v>0</v>
      </c>
      <c r="BK16" s="8">
        <f t="shared" si="10"/>
        <v>0</v>
      </c>
      <c r="BL16" s="8">
        <f t="shared" si="10"/>
        <v>0</v>
      </c>
      <c r="BM16" s="8">
        <f t="shared" si="10"/>
        <v>0</v>
      </c>
      <c r="BN16" s="8">
        <f t="shared" si="10"/>
        <v>0</v>
      </c>
      <c r="BO16" s="8">
        <f t="shared" si="10"/>
        <v>0</v>
      </c>
      <c r="BP16" s="8">
        <f t="shared" si="10"/>
        <v>0</v>
      </c>
      <c r="BQ16" s="8">
        <f t="shared" si="10"/>
        <v>0</v>
      </c>
      <c r="BR16" s="8">
        <f t="shared" si="10"/>
        <v>0</v>
      </c>
      <c r="BS16" s="8">
        <f t="shared" ref="BS16:DA16" si="11">IF(ROUND(BR17,4)=-ROUND(BR16,4),0,BR16)</f>
        <v>0</v>
      </c>
      <c r="BT16" s="8">
        <f t="shared" si="11"/>
        <v>0</v>
      </c>
      <c r="BU16" s="8">
        <f t="shared" si="11"/>
        <v>0</v>
      </c>
      <c r="BV16" s="8">
        <f t="shared" si="11"/>
        <v>0</v>
      </c>
      <c r="BW16" s="8">
        <f t="shared" si="11"/>
        <v>0</v>
      </c>
      <c r="BX16" s="8">
        <f t="shared" si="11"/>
        <v>0</v>
      </c>
      <c r="BY16" s="8">
        <f t="shared" si="11"/>
        <v>0</v>
      </c>
      <c r="BZ16" s="8">
        <f t="shared" si="11"/>
        <v>0</v>
      </c>
      <c r="CA16" s="8">
        <f t="shared" si="11"/>
        <v>0</v>
      </c>
      <c r="CB16" s="8">
        <f t="shared" si="11"/>
        <v>0</v>
      </c>
      <c r="CC16" s="8">
        <f t="shared" si="11"/>
        <v>0</v>
      </c>
      <c r="CD16" s="8">
        <f t="shared" si="11"/>
        <v>0</v>
      </c>
      <c r="CE16" s="8">
        <f t="shared" si="11"/>
        <v>0</v>
      </c>
      <c r="CF16" s="8">
        <f t="shared" si="11"/>
        <v>0</v>
      </c>
      <c r="CG16" s="8">
        <f t="shared" si="11"/>
        <v>0</v>
      </c>
      <c r="CH16" s="8">
        <f t="shared" si="11"/>
        <v>0</v>
      </c>
      <c r="CI16" s="8">
        <f t="shared" si="11"/>
        <v>0</v>
      </c>
      <c r="CJ16" s="8">
        <f t="shared" si="11"/>
        <v>0</v>
      </c>
      <c r="CK16" s="8">
        <f t="shared" si="11"/>
        <v>0</v>
      </c>
      <c r="CL16" s="8">
        <f t="shared" si="11"/>
        <v>0</v>
      </c>
      <c r="CM16" s="8">
        <f t="shared" si="11"/>
        <v>0</v>
      </c>
      <c r="CN16" s="8">
        <f t="shared" si="11"/>
        <v>0</v>
      </c>
      <c r="CO16" s="8">
        <f t="shared" si="11"/>
        <v>0</v>
      </c>
      <c r="CP16" s="8">
        <f t="shared" si="11"/>
        <v>0</v>
      </c>
      <c r="CQ16" s="8">
        <f t="shared" si="11"/>
        <v>0</v>
      </c>
      <c r="CR16" s="8">
        <f t="shared" si="11"/>
        <v>0</v>
      </c>
      <c r="CS16" s="8">
        <f t="shared" si="11"/>
        <v>0</v>
      </c>
      <c r="CT16" s="8">
        <f t="shared" si="11"/>
        <v>0</v>
      </c>
      <c r="CU16" s="8">
        <f t="shared" si="11"/>
        <v>0</v>
      </c>
      <c r="CV16" s="8">
        <f t="shared" si="11"/>
        <v>0</v>
      </c>
      <c r="CW16" s="8">
        <f t="shared" si="11"/>
        <v>0</v>
      </c>
      <c r="CX16" s="8">
        <f t="shared" si="11"/>
        <v>0</v>
      </c>
      <c r="CY16" s="8">
        <f t="shared" si="11"/>
        <v>0</v>
      </c>
      <c r="CZ16" s="8">
        <f t="shared" si="11"/>
        <v>0</v>
      </c>
      <c r="DA16" s="8">
        <f t="shared" si="11"/>
        <v>0</v>
      </c>
    </row>
    <row r="17" spans="1:106" x14ac:dyDescent="0.4">
      <c r="D17" t="s">
        <v>208</v>
      </c>
      <c r="E17" s="8"/>
      <c r="F17" s="8">
        <f>IF(F13&lt;=$B$3,-SUM($E15:F15),0)</f>
        <v>-59685.724000000002</v>
      </c>
      <c r="G17" s="8">
        <f>IF(G13&lt;=$B$3,-SUM($E15:G15),0)</f>
        <v>-119371.448</v>
      </c>
      <c r="H17" s="8">
        <f>IF(H13&lt;=$B$3,-SUM($E15:H15),0)</f>
        <v>-179057.17200000002</v>
      </c>
      <c r="I17" s="8">
        <f>IF(I13&lt;=$B$3,-SUM($E15:I15),0)</f>
        <v>-238742.89600000001</v>
      </c>
      <c r="J17" s="8">
        <f>IF(J13&lt;=$B$3,-SUM($E15:J15),0)</f>
        <v>-298428.62</v>
      </c>
      <c r="K17" s="8">
        <f>IF(K13&lt;=$B$3,-SUM($E15:K15),0)</f>
        <v>-358114.34399999998</v>
      </c>
      <c r="L17" s="8">
        <f>IF(L13&lt;=$B$3,-SUM($E15:L15),0)</f>
        <v>-417800.06799999997</v>
      </c>
      <c r="M17" s="8">
        <f>IF(M13&lt;=$B$3,-SUM($E15:M15),0)</f>
        <v>-477485.79199999996</v>
      </c>
      <c r="N17" s="8">
        <f>IF(N13&lt;=$B$3,-SUM($E15:N15),0)</f>
        <v>-537171.51599999995</v>
      </c>
      <c r="O17" s="8">
        <f>IF(O13&lt;=$B$3,-SUM($E15:O15),0)</f>
        <v>-596857.24</v>
      </c>
      <c r="P17" s="8">
        <f>IF(P13&lt;=$B$3,-SUM($E15:P15),0)</f>
        <v>-656542.96400000004</v>
      </c>
      <c r="Q17" s="8">
        <f>IF(Q13&lt;=$B$3,-SUM($E15:Q15),0)</f>
        <v>-716228.68800000008</v>
      </c>
      <c r="R17" s="8">
        <f>IF(R13&lt;=$B$3,-SUM($E15:R15),0)</f>
        <v>-775914.41200000013</v>
      </c>
      <c r="S17" s="8">
        <f>IF(S13&lt;=$B$3,-SUM($E15:S15),0)</f>
        <v>-835600.13600000017</v>
      </c>
      <c r="T17" s="8">
        <f>IF(T13&lt;=$B$3,-SUM($E15:T15),0)</f>
        <v>-895285.86000000022</v>
      </c>
      <c r="U17" s="8">
        <f>IF(U13&lt;=$B$3,-SUM($E15:U15),0)</f>
        <v>-954971.58400000026</v>
      </c>
      <c r="V17" s="8">
        <f>IF(V13&lt;=$B$3,-SUM($E15:V15),0)</f>
        <v>-1014657.3080000003</v>
      </c>
      <c r="W17" s="8">
        <f>IF(W13&lt;=$B$3,-SUM($E15:W15),0)</f>
        <v>-1074343.0320000004</v>
      </c>
      <c r="X17" s="8">
        <f>IF(X13&lt;=$B$3,-SUM($E15:X15),0)</f>
        <v>-1134028.7560000003</v>
      </c>
      <c r="Y17" s="8">
        <f>IF(Y13&lt;=$B$3,-SUM($E15:Y15),0)</f>
        <v>-1193714.4800000002</v>
      </c>
      <c r="Z17" s="8">
        <f>IF(Z13&lt;=$B$3,-SUM($E15:Z15),0)</f>
        <v>-1253400.2040000001</v>
      </c>
      <c r="AA17" s="8">
        <f>IF(AA13&lt;=$B$3,-SUM($E15:AA15),0)</f>
        <v>-1313085.9280000001</v>
      </c>
      <c r="AB17" s="8">
        <f>IF(AB13&lt;=$B$3,-SUM($E15:AB15),0)</f>
        <v>-1372771.652</v>
      </c>
      <c r="AC17" s="8">
        <f>IF(AC13&lt;=$B$3,-SUM($E15:AC15),0)</f>
        <v>-1432457.3759999999</v>
      </c>
      <c r="AD17" s="8">
        <f>IF(AD13&lt;=$B$3,-SUM($E15:AD15),0)</f>
        <v>-1492143.0999999999</v>
      </c>
      <c r="AE17" s="8">
        <f>IF(AE13&lt;=$B$3,-SUM($E15:AE15),0)</f>
        <v>-1551828.8239999998</v>
      </c>
      <c r="AF17" s="8">
        <f>IF(AF13&lt;=$B$3,-SUM($E15:AF15),0)</f>
        <v>-1611514.5479999997</v>
      </c>
      <c r="AG17" s="8">
        <f>IF(AG13&lt;=$B$3,-SUM($E15:AG15),0)</f>
        <v>-1671200.2719999996</v>
      </c>
      <c r="AH17" s="8">
        <f>IF(AH13&lt;=$B$3,-SUM($E15:AH15),0)</f>
        <v>-1730885.9959999996</v>
      </c>
      <c r="AI17" s="8">
        <f>IF(AI13&lt;=$B$3,-SUM($E15:AI15),0)</f>
        <v>-1790571.7199999995</v>
      </c>
      <c r="AJ17" s="8">
        <f>IF(AJ13&lt;=$B$3,-SUM($E15:AJ15),0)</f>
        <v>-1850257.4439999994</v>
      </c>
      <c r="AK17" s="8">
        <f>IF(AK13&lt;=$B$3,-SUM($E15:AK15),0)</f>
        <v>-1909943.1679999994</v>
      </c>
      <c r="AL17" s="8">
        <f>IF(AL13&lt;=$B$3,-SUM($E15:AL15),0)</f>
        <v>-1969628.8919999993</v>
      </c>
      <c r="AM17" s="8">
        <f>IF(AM13&lt;=$B$3,-SUM($E15:AM15),0)</f>
        <v>-2029314.6159999992</v>
      </c>
      <c r="AN17" s="8">
        <f>IF(AN13&lt;=$B$3,-SUM($E15:AN15),0)</f>
        <v>-2089000.3399999992</v>
      </c>
      <c r="AO17" s="8">
        <f>IF(AO13&lt;=$B$3,-SUM($E15:AO15),0)</f>
        <v>-2148686.0639999993</v>
      </c>
      <c r="AP17" s="8">
        <f>IF(AP13&lt;=$B$3,-SUM($E15:AP15),0)</f>
        <v>-2208371.7879999992</v>
      </c>
      <c r="AQ17" s="8">
        <f>IF(AQ13&lt;=$B$3,-SUM($E15:AQ15),0)</f>
        <v>-2268057.5119999992</v>
      </c>
      <c r="AR17" s="8">
        <f>IF(AR13&lt;=$B$3,-SUM($E15:AR15),0)</f>
        <v>-2327743.2359999991</v>
      </c>
      <c r="AS17" s="8">
        <f>IF(AS13&lt;=$B$3,-SUM($E15:AS15),0)</f>
        <v>-2387428.959999999</v>
      </c>
      <c r="AT17" s="8">
        <f>IF(AT13&lt;=$B$3,-SUM($E15:AT15),0)</f>
        <v>-2447114.683999999</v>
      </c>
      <c r="AU17" s="8">
        <f>IF(AU13&lt;=$B$3,-SUM($E15:AU15),0)</f>
        <v>-2506800.4079999989</v>
      </c>
      <c r="AV17" s="8">
        <f>IF(AV13&lt;=$B$3,-SUM($E15:AV15),0)</f>
        <v>-2566486.1319999988</v>
      </c>
      <c r="AW17" s="8">
        <f>IF(AW13&lt;=$B$3,-SUM($E15:AW15),0)</f>
        <v>-2626171.8559999987</v>
      </c>
      <c r="AX17" s="8">
        <f>IF(AX13&lt;=$B$3,-SUM($E15:AX15),0)</f>
        <v>-2685857.5799999987</v>
      </c>
      <c r="AY17" s="8">
        <f>IF(AY13&lt;=$B$3,-SUM($E15:AY15),0)</f>
        <v>-2745543.3039999986</v>
      </c>
      <c r="AZ17" s="8">
        <f>IF(AZ13&lt;=$B$3,-SUM($E15:AZ15),0)</f>
        <v>-2805229.0279999985</v>
      </c>
      <c r="BA17" s="8">
        <f>IF(BA13&lt;=$B$3,-SUM($E15:BA15),0)</f>
        <v>-2864914.7519999985</v>
      </c>
      <c r="BB17" s="8">
        <f>IF(BB13&lt;=$B$3,-SUM($E15:BB15),0)</f>
        <v>-2924600.4759999984</v>
      </c>
      <c r="BC17" s="8">
        <f>IF(BC13&lt;=$B$3,-SUM($E15:BC15),0)</f>
        <v>-2984286.1999999983</v>
      </c>
      <c r="BD17" s="8">
        <f>IF(BD13&lt;=$B$3,-SUM($E15:BD15),0)</f>
        <v>0</v>
      </c>
      <c r="BE17" s="8">
        <f>IF(BE13&lt;=$B$3,-SUM($E15:BE15),0)</f>
        <v>0</v>
      </c>
      <c r="BF17" s="8">
        <f>IF(BF13&lt;=$B$3,-SUM($E15:BF15),0)</f>
        <v>0</v>
      </c>
      <c r="BG17" s="8">
        <f>IF(BG13&lt;=$B$3,-SUM($E15:BG15),0)</f>
        <v>0</v>
      </c>
      <c r="BH17" s="8">
        <f>IF(BH13&lt;=$B$3,-SUM($E15:BH15),0)</f>
        <v>0</v>
      </c>
      <c r="BI17" s="8">
        <f>IF(BI13&lt;=$B$3,-SUM($E15:BI15),0)</f>
        <v>0</v>
      </c>
      <c r="BJ17" s="8">
        <f>IF(BJ13&lt;=$B$3,-SUM($E15:BJ15),0)</f>
        <v>0</v>
      </c>
      <c r="BK17" s="8">
        <f>IF(BK13&lt;=$B$3,-SUM($E15:BK15),0)</f>
        <v>0</v>
      </c>
      <c r="BL17" s="8">
        <f>IF(BL13&lt;=$B$3,-SUM($E15:BL15),0)</f>
        <v>0</v>
      </c>
      <c r="BM17" s="8">
        <f>IF(BM13&lt;=$B$3,-SUM($E15:BM15),0)</f>
        <v>0</v>
      </c>
      <c r="BN17" s="8">
        <f>IF(BN13&lt;=$B$3,-SUM($E15:BN15),0)</f>
        <v>0</v>
      </c>
      <c r="BO17" s="8">
        <f>IF(BO13&lt;=$B$3,-SUM($E15:BO15),0)</f>
        <v>0</v>
      </c>
      <c r="BP17" s="8">
        <f>IF(BP13&lt;=$B$3,-SUM($E15:BP15),0)</f>
        <v>0</v>
      </c>
      <c r="BQ17" s="8">
        <f>IF(BQ13&lt;=$B$3,-SUM($E15:BQ15),0)</f>
        <v>0</v>
      </c>
      <c r="BR17" s="8">
        <f>IF(BR13&lt;=$B$3,-SUM($E15:BR15),0)</f>
        <v>0</v>
      </c>
      <c r="BS17" s="8">
        <f>IF(BS13&lt;=$B$3,-SUM($E15:BS15),0)</f>
        <v>0</v>
      </c>
      <c r="BT17" s="8">
        <f>IF(BT13&lt;=$B$3,-SUM($E15:BT15),0)</f>
        <v>0</v>
      </c>
      <c r="BU17" s="8">
        <f>IF(BU13&lt;=$B$3,-SUM($E15:BU15),0)</f>
        <v>0</v>
      </c>
      <c r="BV17" s="8">
        <f>IF(BV13&lt;=$B$3,-SUM($E15:BV15),0)</f>
        <v>0</v>
      </c>
      <c r="BW17" s="8">
        <f>IF(BW13&lt;=$B$3,-SUM($E15:BW15),0)</f>
        <v>0</v>
      </c>
      <c r="BX17" s="8">
        <f>IF(BX13&lt;=$B$3,-SUM($E15:BX15),0)</f>
        <v>0</v>
      </c>
      <c r="BY17" s="8">
        <f>IF(BY13&lt;=$B$3,-SUM($E15:BY15),0)</f>
        <v>0</v>
      </c>
      <c r="BZ17" s="8">
        <f>IF(BZ13&lt;=$B$3,-SUM($E15:BZ15),0)</f>
        <v>0</v>
      </c>
      <c r="CA17" s="8">
        <f>IF(CA13&lt;=$B$3,-SUM($E15:CA15),0)</f>
        <v>0</v>
      </c>
      <c r="CB17" s="8">
        <f>IF(CB13&lt;=$B$3,-SUM($E15:CB15),0)</f>
        <v>0</v>
      </c>
      <c r="CC17" s="8">
        <f>IF(CC13&lt;=$B$3,-SUM($E15:CC15),0)</f>
        <v>0</v>
      </c>
      <c r="CD17" s="8">
        <f>IF(CD13&lt;=$B$3,-SUM($E15:CD15),0)</f>
        <v>0</v>
      </c>
      <c r="CE17" s="8">
        <f>IF(CE13&lt;=$B$3,-SUM($E15:CE15),0)</f>
        <v>0</v>
      </c>
      <c r="CF17" s="8">
        <f>IF(CF13&lt;=$B$3,-SUM($E15:CF15),0)</f>
        <v>0</v>
      </c>
      <c r="CG17" s="8">
        <f>IF(CG13&lt;=$B$3,-SUM($E15:CG15),0)</f>
        <v>0</v>
      </c>
      <c r="CH17" s="8">
        <f>IF(CH13&lt;=$B$3,-SUM($E15:CH15),0)</f>
        <v>0</v>
      </c>
      <c r="CI17" s="8">
        <f>IF(CI13&lt;=$B$3,-SUM($E15:CI15),0)</f>
        <v>0</v>
      </c>
      <c r="CJ17" s="8">
        <f>IF(CJ13&lt;=$B$3,-SUM($E15:CJ15),0)</f>
        <v>0</v>
      </c>
      <c r="CK17" s="8">
        <f>IF(CK13&lt;=$B$3,-SUM($E15:CK15),0)</f>
        <v>0</v>
      </c>
      <c r="CL17" s="8">
        <f>IF(CL13&lt;=$B$3,-SUM($E15:CL15),0)</f>
        <v>0</v>
      </c>
      <c r="CM17" s="8">
        <f>IF(CM13&lt;=$B$3,-SUM($E15:CM15),0)</f>
        <v>0</v>
      </c>
      <c r="CN17" s="8">
        <f>IF(CN13&lt;=$B$3,-SUM($E15:CN15),0)</f>
        <v>0</v>
      </c>
      <c r="CO17" s="8">
        <f>IF(CO13&lt;=$B$3,-SUM($E15:CO15),0)</f>
        <v>0</v>
      </c>
      <c r="CP17" s="8">
        <f>IF(CP13&lt;=$B$3,-SUM($E15:CP15),0)</f>
        <v>0</v>
      </c>
      <c r="CQ17" s="8">
        <f>IF(CQ13&lt;=$B$3,-SUM($E15:CQ15),0)</f>
        <v>0</v>
      </c>
      <c r="CR17" s="8">
        <f>IF(CR13&lt;=$B$3,-SUM($E15:CR15),0)</f>
        <v>0</v>
      </c>
      <c r="CS17" s="8">
        <f>IF(CS13&lt;=$B$3,-SUM($E15:CS15),0)</f>
        <v>0</v>
      </c>
      <c r="CT17" s="8">
        <f>IF(CT13&lt;=$B$3,-SUM($E15:CT15),0)</f>
        <v>0</v>
      </c>
      <c r="CU17" s="8">
        <f>IF(CU13&lt;=$B$3,-SUM($E15:CU15),0)</f>
        <v>0</v>
      </c>
      <c r="CV17" s="8">
        <f>IF(CV13&lt;=$B$3,-SUM($E15:CV15),0)</f>
        <v>0</v>
      </c>
      <c r="CW17" s="8">
        <f>IF(CW13&lt;=$B$3,-SUM($E15:CW15),0)</f>
        <v>0</v>
      </c>
      <c r="CX17" s="8">
        <f>IF(CX13&lt;=$B$3,-SUM($E15:CX15),0)</f>
        <v>0</v>
      </c>
      <c r="CY17" s="8">
        <f>IF(CY13&lt;=$B$3,-SUM($E15:CY15),0)</f>
        <v>0</v>
      </c>
      <c r="CZ17" s="8">
        <f>IF(CZ13&lt;=$B$3,-SUM($E15:CZ15),0)</f>
        <v>0</v>
      </c>
      <c r="DA17" s="8">
        <f>IF(DA13&lt;=$B$3,-SUM($E15:DA15),0)</f>
        <v>0</v>
      </c>
    </row>
    <row r="18" spans="1:106" x14ac:dyDescent="0.4">
      <c r="D18" t="s">
        <v>167</v>
      </c>
      <c r="E18" s="8"/>
      <c r="F18" s="8">
        <f>E19</f>
        <v>2984286.2</v>
      </c>
      <c r="G18" s="8">
        <f t="shared" ref="G18:BR18" si="12">F19</f>
        <v>2924600.4760000003</v>
      </c>
      <c r="H18" s="8">
        <f t="shared" si="12"/>
        <v>2864914.7520000003</v>
      </c>
      <c r="I18" s="8">
        <f t="shared" si="12"/>
        <v>2805229.0279999999</v>
      </c>
      <c r="J18" s="8">
        <f t="shared" si="12"/>
        <v>2745543.304</v>
      </c>
      <c r="K18" s="8">
        <f t="shared" si="12"/>
        <v>2685857.58</v>
      </c>
      <c r="L18" s="8">
        <f t="shared" si="12"/>
        <v>2626171.8560000001</v>
      </c>
      <c r="M18" s="8">
        <f t="shared" si="12"/>
        <v>2566486.1320000002</v>
      </c>
      <c r="N18" s="8">
        <f t="shared" si="12"/>
        <v>2506800.4080000003</v>
      </c>
      <c r="O18" s="8">
        <f t="shared" si="12"/>
        <v>2447114.6840000004</v>
      </c>
      <c r="P18" s="8">
        <f t="shared" si="12"/>
        <v>2387428.96</v>
      </c>
      <c r="Q18" s="8">
        <f t="shared" si="12"/>
        <v>2327743.236</v>
      </c>
      <c r="R18" s="8">
        <f t="shared" si="12"/>
        <v>2268057.5120000001</v>
      </c>
      <c r="S18" s="8">
        <f t="shared" si="12"/>
        <v>2208371.7880000002</v>
      </c>
      <c r="T18" s="8">
        <f t="shared" si="12"/>
        <v>2148686.0640000002</v>
      </c>
      <c r="U18" s="8">
        <f t="shared" si="12"/>
        <v>2089000.3399999999</v>
      </c>
      <c r="V18" s="8">
        <f t="shared" si="12"/>
        <v>2029314.6159999999</v>
      </c>
      <c r="W18" s="8">
        <f t="shared" si="12"/>
        <v>1969628.892</v>
      </c>
      <c r="X18" s="8">
        <f t="shared" si="12"/>
        <v>1909943.1679999998</v>
      </c>
      <c r="Y18" s="8">
        <f t="shared" si="12"/>
        <v>1850257.4439999999</v>
      </c>
      <c r="Z18" s="8">
        <f t="shared" si="12"/>
        <v>1790571.72</v>
      </c>
      <c r="AA18" s="8">
        <f t="shared" si="12"/>
        <v>1730885.996</v>
      </c>
      <c r="AB18" s="8">
        <f t="shared" si="12"/>
        <v>1671200.2720000001</v>
      </c>
      <c r="AC18" s="8">
        <f t="shared" si="12"/>
        <v>1611514.5480000002</v>
      </c>
      <c r="AD18" s="8">
        <f t="shared" si="12"/>
        <v>1551828.8240000003</v>
      </c>
      <c r="AE18" s="8">
        <f t="shared" si="12"/>
        <v>1492143.1000000003</v>
      </c>
      <c r="AF18" s="8">
        <f t="shared" si="12"/>
        <v>1432457.3760000004</v>
      </c>
      <c r="AG18" s="8">
        <f t="shared" si="12"/>
        <v>1372771.6520000005</v>
      </c>
      <c r="AH18" s="8">
        <f t="shared" si="12"/>
        <v>1313085.9280000005</v>
      </c>
      <c r="AI18" s="8">
        <f t="shared" si="12"/>
        <v>1253400.2040000006</v>
      </c>
      <c r="AJ18" s="8">
        <f t="shared" si="12"/>
        <v>1193714.4800000007</v>
      </c>
      <c r="AK18" s="8">
        <f t="shared" si="12"/>
        <v>1134028.7560000008</v>
      </c>
      <c r="AL18" s="8">
        <f t="shared" si="12"/>
        <v>1074343.0320000008</v>
      </c>
      <c r="AM18" s="8">
        <f t="shared" si="12"/>
        <v>1014657.3080000009</v>
      </c>
      <c r="AN18" s="8">
        <f t="shared" si="12"/>
        <v>954971.58400000096</v>
      </c>
      <c r="AO18" s="8">
        <f t="shared" si="12"/>
        <v>895285.86000000103</v>
      </c>
      <c r="AP18" s="8">
        <f t="shared" si="12"/>
        <v>835600.13600000087</v>
      </c>
      <c r="AQ18" s="8">
        <f t="shared" si="12"/>
        <v>775914.41200000094</v>
      </c>
      <c r="AR18" s="8">
        <f t="shared" si="12"/>
        <v>716228.68800000101</v>
      </c>
      <c r="AS18" s="8">
        <f t="shared" si="12"/>
        <v>656542.96400000108</v>
      </c>
      <c r="AT18" s="8">
        <f t="shared" si="12"/>
        <v>596857.24000000115</v>
      </c>
      <c r="AU18" s="8">
        <f t="shared" si="12"/>
        <v>537171.51600000123</v>
      </c>
      <c r="AV18" s="8">
        <f t="shared" si="12"/>
        <v>477485.7920000013</v>
      </c>
      <c r="AW18" s="8">
        <f t="shared" si="12"/>
        <v>417800.06800000137</v>
      </c>
      <c r="AX18" s="8">
        <f t="shared" si="12"/>
        <v>358114.34400000144</v>
      </c>
      <c r="AY18" s="8">
        <f t="shared" si="12"/>
        <v>298428.62000000151</v>
      </c>
      <c r="AZ18" s="8">
        <f t="shared" si="12"/>
        <v>238742.89600000158</v>
      </c>
      <c r="BA18" s="8">
        <f t="shared" si="12"/>
        <v>179057.17200000165</v>
      </c>
      <c r="BB18" s="8">
        <f t="shared" si="12"/>
        <v>119371.44800000172</v>
      </c>
      <c r="BC18" s="8">
        <f t="shared" si="12"/>
        <v>59685.724000001792</v>
      </c>
      <c r="BD18" s="8">
        <f t="shared" si="12"/>
        <v>0</v>
      </c>
      <c r="BE18" s="8">
        <f t="shared" si="12"/>
        <v>0</v>
      </c>
      <c r="BF18" s="8">
        <f t="shared" si="12"/>
        <v>0</v>
      </c>
      <c r="BG18" s="8">
        <f t="shared" si="12"/>
        <v>0</v>
      </c>
      <c r="BH18" s="8">
        <f t="shared" si="12"/>
        <v>0</v>
      </c>
      <c r="BI18" s="8">
        <f t="shared" si="12"/>
        <v>0</v>
      </c>
      <c r="BJ18" s="8">
        <f t="shared" si="12"/>
        <v>0</v>
      </c>
      <c r="BK18" s="8">
        <f t="shared" si="12"/>
        <v>0</v>
      </c>
      <c r="BL18" s="8">
        <f t="shared" si="12"/>
        <v>0</v>
      </c>
      <c r="BM18" s="8">
        <f t="shared" si="12"/>
        <v>0</v>
      </c>
      <c r="BN18" s="8">
        <f t="shared" si="12"/>
        <v>0</v>
      </c>
      <c r="BO18" s="8">
        <f t="shared" si="12"/>
        <v>0</v>
      </c>
      <c r="BP18" s="8">
        <f t="shared" si="12"/>
        <v>0</v>
      </c>
      <c r="BQ18" s="8">
        <f t="shared" si="12"/>
        <v>0</v>
      </c>
      <c r="BR18" s="8">
        <f t="shared" si="12"/>
        <v>0</v>
      </c>
      <c r="BS18" s="8">
        <f t="shared" ref="BS18:DA18" si="13">BR19</f>
        <v>0</v>
      </c>
      <c r="BT18" s="8">
        <f t="shared" si="13"/>
        <v>0</v>
      </c>
      <c r="BU18" s="8">
        <f t="shared" si="13"/>
        <v>0</v>
      </c>
      <c r="BV18" s="8">
        <f t="shared" si="13"/>
        <v>0</v>
      </c>
      <c r="BW18" s="8">
        <f t="shared" si="13"/>
        <v>0</v>
      </c>
      <c r="BX18" s="8">
        <f t="shared" si="13"/>
        <v>0</v>
      </c>
      <c r="BY18" s="8">
        <f t="shared" si="13"/>
        <v>0</v>
      </c>
      <c r="BZ18" s="8">
        <f t="shared" si="13"/>
        <v>0</v>
      </c>
      <c r="CA18" s="8">
        <f t="shared" si="13"/>
        <v>0</v>
      </c>
      <c r="CB18" s="8">
        <f t="shared" si="13"/>
        <v>0</v>
      </c>
      <c r="CC18" s="8">
        <f t="shared" si="13"/>
        <v>0</v>
      </c>
      <c r="CD18" s="8">
        <f t="shared" si="13"/>
        <v>0</v>
      </c>
      <c r="CE18" s="8">
        <f t="shared" si="13"/>
        <v>0</v>
      </c>
      <c r="CF18" s="8">
        <f t="shared" si="13"/>
        <v>0</v>
      </c>
      <c r="CG18" s="8">
        <f t="shared" si="13"/>
        <v>0</v>
      </c>
      <c r="CH18" s="8">
        <f t="shared" si="13"/>
        <v>0</v>
      </c>
      <c r="CI18" s="8">
        <f t="shared" si="13"/>
        <v>0</v>
      </c>
      <c r="CJ18" s="8">
        <f t="shared" si="13"/>
        <v>0</v>
      </c>
      <c r="CK18" s="8">
        <f t="shared" si="13"/>
        <v>0</v>
      </c>
      <c r="CL18" s="8">
        <f t="shared" si="13"/>
        <v>0</v>
      </c>
      <c r="CM18" s="8">
        <f t="shared" si="13"/>
        <v>0</v>
      </c>
      <c r="CN18" s="8">
        <f t="shared" si="13"/>
        <v>0</v>
      </c>
      <c r="CO18" s="8">
        <f t="shared" si="13"/>
        <v>0</v>
      </c>
      <c r="CP18" s="8">
        <f t="shared" si="13"/>
        <v>0</v>
      </c>
      <c r="CQ18" s="8">
        <f t="shared" si="13"/>
        <v>0</v>
      </c>
      <c r="CR18" s="8">
        <f t="shared" si="13"/>
        <v>0</v>
      </c>
      <c r="CS18" s="8">
        <f t="shared" si="13"/>
        <v>0</v>
      </c>
      <c r="CT18" s="8">
        <f t="shared" si="13"/>
        <v>0</v>
      </c>
      <c r="CU18" s="8">
        <f t="shared" si="13"/>
        <v>0</v>
      </c>
      <c r="CV18" s="8">
        <f t="shared" si="13"/>
        <v>0</v>
      </c>
      <c r="CW18" s="8">
        <f t="shared" si="13"/>
        <v>0</v>
      </c>
      <c r="CX18" s="8">
        <f t="shared" si="13"/>
        <v>0</v>
      </c>
      <c r="CY18" s="8">
        <f t="shared" si="13"/>
        <v>0</v>
      </c>
      <c r="CZ18" s="8">
        <f t="shared" si="13"/>
        <v>0</v>
      </c>
      <c r="DA18" s="8">
        <f t="shared" si="13"/>
        <v>0</v>
      </c>
    </row>
    <row r="19" spans="1:106" x14ac:dyDescent="0.4">
      <c r="D19" t="s">
        <v>168</v>
      </c>
      <c r="E19" s="8">
        <f>E16+E17</f>
        <v>2984286.2</v>
      </c>
      <c r="F19" s="8">
        <f t="shared" ref="F19:BQ19" si="14">F16+F17</f>
        <v>2924600.4760000003</v>
      </c>
      <c r="G19" s="8">
        <f t="shared" si="14"/>
        <v>2864914.7520000003</v>
      </c>
      <c r="H19" s="8">
        <f t="shared" si="14"/>
        <v>2805229.0279999999</v>
      </c>
      <c r="I19" s="8">
        <f t="shared" si="14"/>
        <v>2745543.304</v>
      </c>
      <c r="J19" s="8">
        <f t="shared" si="14"/>
        <v>2685857.58</v>
      </c>
      <c r="K19" s="8">
        <f t="shared" si="14"/>
        <v>2626171.8560000001</v>
      </c>
      <c r="L19" s="8">
        <f t="shared" si="14"/>
        <v>2566486.1320000002</v>
      </c>
      <c r="M19" s="8">
        <f t="shared" si="14"/>
        <v>2506800.4080000003</v>
      </c>
      <c r="N19" s="8">
        <f t="shared" si="14"/>
        <v>2447114.6840000004</v>
      </c>
      <c r="O19" s="8">
        <f t="shared" si="14"/>
        <v>2387428.96</v>
      </c>
      <c r="P19" s="8">
        <f t="shared" si="14"/>
        <v>2327743.236</v>
      </c>
      <c r="Q19" s="8">
        <f t="shared" si="14"/>
        <v>2268057.5120000001</v>
      </c>
      <c r="R19" s="8">
        <f t="shared" si="14"/>
        <v>2208371.7880000002</v>
      </c>
      <c r="S19" s="8">
        <f t="shared" si="14"/>
        <v>2148686.0640000002</v>
      </c>
      <c r="T19" s="8">
        <f t="shared" si="14"/>
        <v>2089000.3399999999</v>
      </c>
      <c r="U19" s="8">
        <f t="shared" si="14"/>
        <v>2029314.6159999999</v>
      </c>
      <c r="V19" s="8">
        <f t="shared" si="14"/>
        <v>1969628.892</v>
      </c>
      <c r="W19" s="8">
        <f t="shared" si="14"/>
        <v>1909943.1679999998</v>
      </c>
      <c r="X19" s="8">
        <f t="shared" si="14"/>
        <v>1850257.4439999999</v>
      </c>
      <c r="Y19" s="8">
        <f t="shared" si="14"/>
        <v>1790571.72</v>
      </c>
      <c r="Z19" s="8">
        <f t="shared" si="14"/>
        <v>1730885.996</v>
      </c>
      <c r="AA19" s="8">
        <f t="shared" si="14"/>
        <v>1671200.2720000001</v>
      </c>
      <c r="AB19" s="8">
        <f t="shared" si="14"/>
        <v>1611514.5480000002</v>
      </c>
      <c r="AC19" s="8">
        <f t="shared" si="14"/>
        <v>1551828.8240000003</v>
      </c>
      <c r="AD19" s="8">
        <f t="shared" si="14"/>
        <v>1492143.1000000003</v>
      </c>
      <c r="AE19" s="8">
        <f t="shared" si="14"/>
        <v>1432457.3760000004</v>
      </c>
      <c r="AF19" s="8">
        <f t="shared" si="14"/>
        <v>1372771.6520000005</v>
      </c>
      <c r="AG19" s="8">
        <f t="shared" si="14"/>
        <v>1313085.9280000005</v>
      </c>
      <c r="AH19" s="8">
        <f t="shared" si="14"/>
        <v>1253400.2040000006</v>
      </c>
      <c r="AI19" s="8">
        <f t="shared" si="14"/>
        <v>1193714.4800000007</v>
      </c>
      <c r="AJ19" s="8">
        <f t="shared" si="14"/>
        <v>1134028.7560000008</v>
      </c>
      <c r="AK19" s="8">
        <f t="shared" si="14"/>
        <v>1074343.0320000008</v>
      </c>
      <c r="AL19" s="8">
        <f t="shared" si="14"/>
        <v>1014657.3080000009</v>
      </c>
      <c r="AM19" s="8">
        <f t="shared" si="14"/>
        <v>954971.58400000096</v>
      </c>
      <c r="AN19" s="8">
        <f t="shared" si="14"/>
        <v>895285.86000000103</v>
      </c>
      <c r="AO19" s="8">
        <f t="shared" si="14"/>
        <v>835600.13600000087</v>
      </c>
      <c r="AP19" s="8">
        <f t="shared" si="14"/>
        <v>775914.41200000094</v>
      </c>
      <c r="AQ19" s="8">
        <f t="shared" si="14"/>
        <v>716228.68800000101</v>
      </c>
      <c r="AR19" s="8">
        <f t="shared" si="14"/>
        <v>656542.96400000108</v>
      </c>
      <c r="AS19" s="8">
        <f t="shared" si="14"/>
        <v>596857.24000000115</v>
      </c>
      <c r="AT19" s="8">
        <f t="shared" si="14"/>
        <v>537171.51600000123</v>
      </c>
      <c r="AU19" s="8">
        <f t="shared" si="14"/>
        <v>477485.7920000013</v>
      </c>
      <c r="AV19" s="8">
        <f t="shared" si="14"/>
        <v>417800.06800000137</v>
      </c>
      <c r="AW19" s="8">
        <f t="shared" si="14"/>
        <v>358114.34400000144</v>
      </c>
      <c r="AX19" s="8">
        <f t="shared" si="14"/>
        <v>298428.62000000151</v>
      </c>
      <c r="AY19" s="8">
        <f t="shared" si="14"/>
        <v>238742.89600000158</v>
      </c>
      <c r="AZ19" s="8">
        <f t="shared" si="14"/>
        <v>179057.17200000165</v>
      </c>
      <c r="BA19" s="8">
        <f t="shared" si="14"/>
        <v>119371.44800000172</v>
      </c>
      <c r="BB19" s="8">
        <f t="shared" si="14"/>
        <v>59685.724000001792</v>
      </c>
      <c r="BC19" s="8">
        <f t="shared" si="14"/>
        <v>0</v>
      </c>
      <c r="BD19" s="8">
        <f t="shared" si="14"/>
        <v>0</v>
      </c>
      <c r="BE19" s="8">
        <f t="shared" si="14"/>
        <v>0</v>
      </c>
      <c r="BF19" s="8">
        <f t="shared" si="14"/>
        <v>0</v>
      </c>
      <c r="BG19" s="8">
        <f t="shared" si="14"/>
        <v>0</v>
      </c>
      <c r="BH19" s="8">
        <f t="shared" si="14"/>
        <v>0</v>
      </c>
      <c r="BI19" s="8">
        <f t="shared" si="14"/>
        <v>0</v>
      </c>
      <c r="BJ19" s="8">
        <f t="shared" si="14"/>
        <v>0</v>
      </c>
      <c r="BK19" s="8">
        <f t="shared" si="14"/>
        <v>0</v>
      </c>
      <c r="BL19" s="8">
        <f t="shared" si="14"/>
        <v>0</v>
      </c>
      <c r="BM19" s="8">
        <f t="shared" si="14"/>
        <v>0</v>
      </c>
      <c r="BN19" s="8">
        <f t="shared" si="14"/>
        <v>0</v>
      </c>
      <c r="BO19" s="8">
        <f t="shared" si="14"/>
        <v>0</v>
      </c>
      <c r="BP19" s="8">
        <f t="shared" si="14"/>
        <v>0</v>
      </c>
      <c r="BQ19" s="8">
        <f t="shared" si="14"/>
        <v>0</v>
      </c>
      <c r="BR19" s="8">
        <f t="shared" ref="BR19:DA19" si="15">BR16+BR17</f>
        <v>0</v>
      </c>
      <c r="BS19" s="8">
        <f t="shared" si="15"/>
        <v>0</v>
      </c>
      <c r="BT19" s="8">
        <f t="shared" si="15"/>
        <v>0</v>
      </c>
      <c r="BU19" s="8">
        <f t="shared" si="15"/>
        <v>0</v>
      </c>
      <c r="BV19" s="8">
        <f t="shared" si="15"/>
        <v>0</v>
      </c>
      <c r="BW19" s="8">
        <f t="shared" si="15"/>
        <v>0</v>
      </c>
      <c r="BX19" s="8">
        <f t="shared" si="15"/>
        <v>0</v>
      </c>
      <c r="BY19" s="8">
        <f t="shared" si="15"/>
        <v>0</v>
      </c>
      <c r="BZ19" s="8">
        <f t="shared" si="15"/>
        <v>0</v>
      </c>
      <c r="CA19" s="8">
        <f t="shared" si="15"/>
        <v>0</v>
      </c>
      <c r="CB19" s="8">
        <f t="shared" si="15"/>
        <v>0</v>
      </c>
      <c r="CC19" s="8">
        <f t="shared" si="15"/>
        <v>0</v>
      </c>
      <c r="CD19" s="8">
        <f t="shared" si="15"/>
        <v>0</v>
      </c>
      <c r="CE19" s="8">
        <f t="shared" si="15"/>
        <v>0</v>
      </c>
      <c r="CF19" s="8">
        <f t="shared" si="15"/>
        <v>0</v>
      </c>
      <c r="CG19" s="8">
        <f t="shared" si="15"/>
        <v>0</v>
      </c>
      <c r="CH19" s="8">
        <f t="shared" si="15"/>
        <v>0</v>
      </c>
      <c r="CI19" s="8">
        <f t="shared" si="15"/>
        <v>0</v>
      </c>
      <c r="CJ19" s="8">
        <f t="shared" si="15"/>
        <v>0</v>
      </c>
      <c r="CK19" s="8">
        <f t="shared" si="15"/>
        <v>0</v>
      </c>
      <c r="CL19" s="8">
        <f t="shared" si="15"/>
        <v>0</v>
      </c>
      <c r="CM19" s="8">
        <f t="shared" si="15"/>
        <v>0</v>
      </c>
      <c r="CN19" s="8">
        <f t="shared" si="15"/>
        <v>0</v>
      </c>
      <c r="CO19" s="8">
        <f t="shared" si="15"/>
        <v>0</v>
      </c>
      <c r="CP19" s="8">
        <f t="shared" si="15"/>
        <v>0</v>
      </c>
      <c r="CQ19" s="8">
        <f t="shared" si="15"/>
        <v>0</v>
      </c>
      <c r="CR19" s="8">
        <f t="shared" si="15"/>
        <v>0</v>
      </c>
      <c r="CS19" s="8">
        <f t="shared" si="15"/>
        <v>0</v>
      </c>
      <c r="CT19" s="8">
        <f t="shared" si="15"/>
        <v>0</v>
      </c>
      <c r="CU19" s="8">
        <f t="shared" si="15"/>
        <v>0</v>
      </c>
      <c r="CV19" s="8">
        <f t="shared" si="15"/>
        <v>0</v>
      </c>
      <c r="CW19" s="8">
        <f t="shared" si="15"/>
        <v>0</v>
      </c>
      <c r="CX19" s="8">
        <f t="shared" si="15"/>
        <v>0</v>
      </c>
      <c r="CY19" s="8">
        <f t="shared" si="15"/>
        <v>0</v>
      </c>
      <c r="CZ19" s="8">
        <f t="shared" si="15"/>
        <v>0</v>
      </c>
      <c r="DA19" s="8">
        <f t="shared" si="15"/>
        <v>0</v>
      </c>
    </row>
    <row r="20" spans="1:106" x14ac:dyDescent="0.4"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</row>
    <row r="21" spans="1:106" x14ac:dyDescent="0.4">
      <c r="D21" t="s">
        <v>169</v>
      </c>
      <c r="E21" s="8"/>
      <c r="F21" s="8">
        <f>IF(F13&lt;=$B$4+1,F16*VLOOKUP(F13,Assumptions!$A$70:$B$90,2,0),0)</f>
        <v>111910.7325</v>
      </c>
      <c r="G21" s="8">
        <f>IF(G13&lt;=$B$4+1,G16*VLOOKUP(G13,Assumptions!$A$70:$B$90,2,0),0)</f>
        <v>215435.62077800001</v>
      </c>
      <c r="H21" s="8">
        <f>IF(H13&lt;=$B$4+1,H16*VLOOKUP(H13,Assumptions!$A$70:$B$90,2,0),0)</f>
        <v>199260.78957399999</v>
      </c>
      <c r="I21" s="8">
        <f>IF(I13&lt;=$B$4+1,I16*VLOOKUP(I13,Assumptions!$A$70:$B$90,2,0),0)</f>
        <v>184339.35857400001</v>
      </c>
      <c r="J21" s="8">
        <f>IF(J13&lt;=$B$4+1,J16*VLOOKUP(J13,Assumptions!$A$70:$B$90,2,0),0)</f>
        <v>170492.27060600001</v>
      </c>
      <c r="K21" s="8">
        <f>IF(K13&lt;=$B$4+1,K16*VLOOKUP(K13,Assumptions!$A$70:$B$90,2,0),0)</f>
        <v>157719.52567</v>
      </c>
      <c r="L21" s="8">
        <f>IF(L13&lt;=$B$4+1,L16*VLOOKUP(L13,Assumptions!$A$70:$B$90,2,0),0)</f>
        <v>145871.90945600002</v>
      </c>
      <c r="M21" s="8">
        <f>IF(M13&lt;=$B$4+1,M16*VLOOKUP(M13,Assumptions!$A$70:$B$90,2,0),0)</f>
        <v>134949.42196400001</v>
      </c>
      <c r="N21" s="8">
        <f>IF(N13&lt;=$B$4+1,N16*VLOOKUP(N13,Assumptions!$A$70:$B$90,2,0),0)</f>
        <v>133158.850244</v>
      </c>
      <c r="O21" s="8">
        <f>IF(O13&lt;=$B$4+1,O16*VLOOKUP(O13,Assumptions!$A$70:$B$90,2,0),0)</f>
        <v>133129.00738200001</v>
      </c>
      <c r="P21" s="8">
        <f>IF(P13&lt;=$B$4+1,P16*VLOOKUP(P13,Assumptions!$A$70:$B$90,2,0),0)</f>
        <v>133158.850244</v>
      </c>
      <c r="Q21" s="8">
        <f>IF(Q13&lt;=$B$4+1,Q16*VLOOKUP(Q13,Assumptions!$A$70:$B$90,2,0),0)</f>
        <v>133129.00738200001</v>
      </c>
      <c r="R21" s="8">
        <f>IF(R13&lt;=$B$4+1,R16*VLOOKUP(R13,Assumptions!$A$70:$B$90,2,0),0)</f>
        <v>133158.850244</v>
      </c>
      <c r="S21" s="8">
        <f>IF(S13&lt;=$B$4+1,S16*VLOOKUP(S13,Assumptions!$A$70:$B$90,2,0),0)</f>
        <v>133129.00738200001</v>
      </c>
      <c r="T21" s="8">
        <f>IF(T13&lt;=$B$4+1,T16*VLOOKUP(T13,Assumptions!$A$70:$B$90,2,0),0)</f>
        <v>133158.850244</v>
      </c>
      <c r="U21" s="8">
        <f>IF(U13&lt;=$B$4+1,U16*VLOOKUP(U13,Assumptions!$A$70:$B$90,2,0),0)</f>
        <v>133129.00738200001</v>
      </c>
      <c r="V21" s="8">
        <f>IF(V13&lt;=$B$4+1,V16*VLOOKUP(V13,Assumptions!$A$70:$B$90,2,0),0)</f>
        <v>133158.850244</v>
      </c>
      <c r="W21" s="8">
        <f>IF(W13&lt;=$B$4+1,W16*VLOOKUP(W13,Assumptions!$A$70:$B$90,2,0),0)</f>
        <v>133129.00738200001</v>
      </c>
      <c r="X21" s="8">
        <f>IF(X13&lt;=$B$4+1,X16*VLOOKUP(X13,Assumptions!$A$70:$B$90,2,0),0)</f>
        <v>133158.850244</v>
      </c>
      <c r="Y21" s="8">
        <f>IF(Y13&lt;=$B$4+1,Y16*VLOOKUP(Y13,Assumptions!$A$70:$B$90,2,0),0)</f>
        <v>133129.00738200001</v>
      </c>
      <c r="Z21" s="8">
        <f>IF(Z13&lt;=$B$4+1,Z16*VLOOKUP(Z13,Assumptions!$A$70:$B$90,2,0),0)</f>
        <v>66579.425122000001</v>
      </c>
      <c r="AA21" s="8">
        <f>IF(AA13&lt;=$B$4+1,AA16*VLOOKUP(AA13,Assumptions!$A$70:$B$90,2,0),0)</f>
        <v>0</v>
      </c>
      <c r="AB21" s="8">
        <f>IF(AB13&lt;=$B$4+1,AB16*VLOOKUP(AB13,Assumptions!$A$70:$B$90,2,0),0)</f>
        <v>0</v>
      </c>
      <c r="AC21" s="8">
        <f>IF(AC13&lt;=$B$4+1,AC16*VLOOKUP(AC13,Assumptions!$A$70:$B$90,2,0),0)</f>
        <v>0</v>
      </c>
      <c r="AD21" s="8">
        <f>IF(AD13&lt;=$B$4+1,AD16*VLOOKUP(AD13,Assumptions!$A$70:$B$90,2,0),0)</f>
        <v>0</v>
      </c>
      <c r="AE21" s="8">
        <f>IF(AE13&lt;=$B$4+1,AE16*VLOOKUP(AE13,Assumptions!$A$70:$B$90,2,0),0)</f>
        <v>0</v>
      </c>
      <c r="AF21" s="8">
        <f>IF(AF13&lt;=$B$4+1,AF16*VLOOKUP(AF13,Assumptions!$A$70:$B$90,2,0),0)</f>
        <v>0</v>
      </c>
      <c r="AG21" s="8">
        <f>IF(AG13&lt;=$B$4+1,AG16*VLOOKUP(AG13,Assumptions!$A$70:$B$90,2,0),0)</f>
        <v>0</v>
      </c>
      <c r="AH21" s="8">
        <f>IF(AH13&lt;=$B$4+1,AH16*VLOOKUP(AH13,Assumptions!$A$70:$B$90,2,0),0)</f>
        <v>0</v>
      </c>
      <c r="AI21" s="8">
        <f>IF(AI13&lt;=$B$4+1,AI16*VLOOKUP(AI13,Assumptions!$A$70:$B$90,2,0),0)</f>
        <v>0</v>
      </c>
      <c r="AJ21" s="8">
        <f>IF(AJ13&lt;=$B$4+1,AJ16*VLOOKUP(AJ13,Assumptions!$A$70:$B$90,2,0),0)</f>
        <v>0</v>
      </c>
      <c r="AK21" s="8">
        <f>IF(AK13&lt;=$B$4+1,AK16*VLOOKUP(AK13,Assumptions!$A$70:$B$90,2,0),0)</f>
        <v>0</v>
      </c>
      <c r="AL21" s="8">
        <f>IF(AL13&lt;=$B$4+1,AL16*VLOOKUP(AL13,Assumptions!$A$70:$B$90,2,0),0)</f>
        <v>0</v>
      </c>
      <c r="AM21" s="8">
        <f>IF(AM13&lt;=$B$4+1,AM16*VLOOKUP(AM13,Assumptions!$A$70:$B$90,2,0),0)</f>
        <v>0</v>
      </c>
      <c r="AN21" s="8">
        <f>IF(AN13&lt;=$B$4+1,AN16*VLOOKUP(AN13,Assumptions!$A$70:$B$90,2,0),0)</f>
        <v>0</v>
      </c>
      <c r="AO21" s="8">
        <f>IF(AO13&lt;=$B$4+1,AO16*VLOOKUP(AO13,Assumptions!$A$70:$B$90,2,0),0)</f>
        <v>0</v>
      </c>
      <c r="AP21" s="8">
        <f>IF(AP13&lt;=$B$4+1,AP16*VLOOKUP(AP13,Assumptions!$A$70:$B$90,2,0),0)</f>
        <v>0</v>
      </c>
      <c r="AQ21" s="8">
        <f>IF(AQ13&lt;=$B$4+1,AQ16*VLOOKUP(AQ13,Assumptions!$A$70:$B$90,2,0),0)</f>
        <v>0</v>
      </c>
      <c r="AR21" s="8">
        <f>IF(AR13&lt;=$B$4+1,AR16*VLOOKUP(AR13,Assumptions!$A$70:$B$90,2,0),0)</f>
        <v>0</v>
      </c>
      <c r="AS21" s="8">
        <f>IF(AS13&lt;=$B$4+1,AS16*VLOOKUP(AS13,Assumptions!$A$70:$B$90,2,0),0)</f>
        <v>0</v>
      </c>
      <c r="AT21" s="8">
        <f>IF(AT13&lt;=$B$4+1,AT16*VLOOKUP(AT13,Assumptions!$A$70:$B$90,2,0),0)</f>
        <v>0</v>
      </c>
      <c r="AU21" s="8">
        <f>IF(AU13&lt;=$B$4+1,AU16*VLOOKUP(AU13,Assumptions!$A$70:$B$90,2,0),0)</f>
        <v>0</v>
      </c>
      <c r="AV21" s="8">
        <f>IF(AV13&lt;=$B$4+1,AV16*VLOOKUP(AV13,Assumptions!$A$70:$B$90,2,0),0)</f>
        <v>0</v>
      </c>
      <c r="AW21" s="8">
        <f>IF(AW13&lt;=$B$4+1,AW16*VLOOKUP(AW13,Assumptions!$A$70:$B$90,2,0),0)</f>
        <v>0</v>
      </c>
      <c r="AX21" s="8">
        <f>IF(AX13&lt;=$B$4+1,AX16*VLOOKUP(AX13,Assumptions!$A$70:$B$90,2,0),0)</f>
        <v>0</v>
      </c>
      <c r="AY21" s="8">
        <f>IF(AY13&lt;=$B$4+1,AY16*VLOOKUP(AY13,Assumptions!$A$70:$B$90,2,0),0)</f>
        <v>0</v>
      </c>
      <c r="AZ21" s="8">
        <f>IF(AZ13&lt;=$B$4+1,AZ16*VLOOKUP(AZ13,Assumptions!$A$70:$B$90,2,0),0)</f>
        <v>0</v>
      </c>
      <c r="BA21" s="8">
        <f>IF(BA13&lt;=$B$4+1,BA16*VLOOKUP(BA13,Assumptions!$A$70:$B$90,2,0),0)</f>
        <v>0</v>
      </c>
      <c r="BB21" s="8">
        <f>IF(BB13&lt;=$B$4+1,BB16*VLOOKUP(BB13,Assumptions!$A$70:$B$90,2,0),0)</f>
        <v>0</v>
      </c>
      <c r="BC21" s="8">
        <f>IF(BC13&lt;=$B$4+1,BC16*VLOOKUP(BC13,Assumptions!$A$70:$B$90,2,0),0)</f>
        <v>0</v>
      </c>
      <c r="BD21" s="8">
        <f>IF(BD13&lt;=$B$4+1,BD16*VLOOKUP(BD13,Assumptions!$A$70:$B$90,2,0),0)</f>
        <v>0</v>
      </c>
      <c r="BE21" s="8">
        <f>IF(BE13&lt;=$B$4+1,BE16*VLOOKUP(BE13,Assumptions!$A$70:$B$90,2,0),0)</f>
        <v>0</v>
      </c>
      <c r="BF21" s="8">
        <f>IF(BF13&lt;=$B$4+1,BF16*VLOOKUP(BF13,Assumptions!$A$70:$B$90,2,0),0)</f>
        <v>0</v>
      </c>
      <c r="BG21" s="8">
        <f>IF(BG13&lt;=$B$4+1,BG16*VLOOKUP(BG13,Assumptions!$A$70:$B$90,2,0),0)</f>
        <v>0</v>
      </c>
      <c r="BH21" s="8">
        <f>IF(BH13&lt;=$B$4+1,BH16*VLOOKUP(BH13,Assumptions!$A$70:$B$90,2,0),0)</f>
        <v>0</v>
      </c>
      <c r="BI21" s="8">
        <f>IF(BI13&lt;=$B$4+1,BI16*VLOOKUP(BI13,Assumptions!$A$70:$B$90,2,0),0)</f>
        <v>0</v>
      </c>
      <c r="BJ21" s="8">
        <f>IF(BJ13&lt;=$B$4+1,BJ16*VLOOKUP(BJ13,Assumptions!$A$70:$B$90,2,0),0)</f>
        <v>0</v>
      </c>
      <c r="BK21" s="8">
        <f>IF(BK13&lt;=$B$4+1,BK16*VLOOKUP(BK13,Assumptions!$A$70:$B$90,2,0),0)</f>
        <v>0</v>
      </c>
      <c r="BL21" s="8">
        <f>IF(BL13&lt;=$B$4+1,BL16*VLOOKUP(BL13,Assumptions!$A$70:$B$90,2,0),0)</f>
        <v>0</v>
      </c>
      <c r="BM21" s="8">
        <f>IF(BM13&lt;=$B$4+1,BM16*VLOOKUP(BM13,Assumptions!$A$70:$B$90,2,0),0)</f>
        <v>0</v>
      </c>
      <c r="BN21" s="8">
        <f>IF(BN13&lt;=$B$4+1,BN16*VLOOKUP(BN13,Assumptions!$A$70:$B$90,2,0),0)</f>
        <v>0</v>
      </c>
      <c r="BO21" s="8">
        <f>IF(BO13&lt;=$B$4+1,BO16*VLOOKUP(BO13,Assumptions!$A$70:$B$90,2,0),0)</f>
        <v>0</v>
      </c>
      <c r="BP21" s="8">
        <f>IF(BP13&lt;=$B$4+1,BP16*VLOOKUP(BP13,Assumptions!$A$70:$B$90,2,0),0)</f>
        <v>0</v>
      </c>
      <c r="BQ21" s="8">
        <f>IF(BQ13&lt;=$B$4+1,BQ16*VLOOKUP(BQ13,Assumptions!$A$70:$B$90,2,0),0)</f>
        <v>0</v>
      </c>
      <c r="BR21" s="8">
        <f>IF(BR13&lt;=$B$4+1,BR16*VLOOKUP(BR13,Assumptions!$A$70:$B$90,2,0),0)</f>
        <v>0</v>
      </c>
      <c r="BS21" s="8">
        <f>IF(BS13&lt;=$B$4+1,BS16*VLOOKUP(BS13,Assumptions!$A$70:$B$90,2,0),0)</f>
        <v>0</v>
      </c>
      <c r="BT21" s="8">
        <f>IF(BT13&lt;=$B$4+1,BT16*VLOOKUP(BT13,Assumptions!$A$70:$B$90,2,0),0)</f>
        <v>0</v>
      </c>
      <c r="BU21" s="8">
        <f>IF(BU13&lt;=$B$4+1,BU16*VLOOKUP(BU13,Assumptions!$A$70:$B$90,2,0),0)</f>
        <v>0</v>
      </c>
      <c r="BV21" s="8">
        <f>IF(BV13&lt;=$B$4+1,BV16*VLOOKUP(BV13,Assumptions!$A$70:$B$90,2,0),0)</f>
        <v>0</v>
      </c>
      <c r="BW21" s="8">
        <f>IF(BW13&lt;=$B$4+1,BW16*VLOOKUP(BW13,Assumptions!$A$70:$B$90,2,0),0)</f>
        <v>0</v>
      </c>
      <c r="BX21" s="8">
        <f>IF(BX13&lt;=$B$4+1,BX16*VLOOKUP(BX13,Assumptions!$A$70:$B$90,2,0),0)</f>
        <v>0</v>
      </c>
      <c r="BY21" s="8">
        <f>IF(BY13&lt;=$B$4+1,BY16*VLOOKUP(BY13,Assumptions!$A$70:$B$90,2,0),0)</f>
        <v>0</v>
      </c>
      <c r="BZ21" s="8">
        <f>IF(BZ13&lt;=$B$4+1,BZ16*VLOOKUP(BZ13,Assumptions!$A$70:$B$90,2,0),0)</f>
        <v>0</v>
      </c>
      <c r="CA21" s="8">
        <f>IF(CA13&lt;=$B$4+1,CA16*VLOOKUP(CA13,Assumptions!$A$70:$B$90,2,0),0)</f>
        <v>0</v>
      </c>
      <c r="CB21" s="8">
        <f>IF(CB13&lt;=$B$4+1,CB16*VLOOKUP(CB13,Assumptions!$A$70:$B$90,2,0),0)</f>
        <v>0</v>
      </c>
      <c r="CC21" s="8">
        <f>IF(CC13&lt;=$B$4+1,CC16*VLOOKUP(CC13,Assumptions!$A$70:$B$90,2,0),0)</f>
        <v>0</v>
      </c>
      <c r="CD21" s="8">
        <f>IF(CD13&lt;=$B$4+1,CD16*VLOOKUP(CD13,Assumptions!$A$70:$B$90,2,0),0)</f>
        <v>0</v>
      </c>
      <c r="CE21" s="8">
        <f>IF(CE13&lt;=$B$4+1,CE16*VLOOKUP(CE13,Assumptions!$A$70:$B$90,2,0),0)</f>
        <v>0</v>
      </c>
      <c r="CF21" s="8">
        <f>IF(CF13&lt;=$B$4+1,CF16*VLOOKUP(CF13,Assumptions!$A$70:$B$90,2,0),0)</f>
        <v>0</v>
      </c>
      <c r="CG21" s="8">
        <f>IF(CG13&lt;=$B$4+1,CG16*VLOOKUP(CG13,Assumptions!$A$70:$B$90,2,0),0)</f>
        <v>0</v>
      </c>
      <c r="CH21" s="8">
        <f>IF(CH13&lt;=$B$4+1,CH16*VLOOKUP(CH13,Assumptions!$A$70:$B$90,2,0),0)</f>
        <v>0</v>
      </c>
      <c r="CI21" s="8">
        <f>IF(CI13&lt;=$B$4+1,CI16*VLOOKUP(CI13,Assumptions!$A$70:$B$90,2,0),0)</f>
        <v>0</v>
      </c>
      <c r="CJ21" s="8">
        <f>IF(CJ13&lt;=$B$4+1,CJ16*VLOOKUP(CJ13,Assumptions!$A$70:$B$90,2,0),0)</f>
        <v>0</v>
      </c>
      <c r="CK21" s="8">
        <f>IF(CK13&lt;=$B$4+1,CK16*VLOOKUP(CK13,Assumptions!$A$70:$B$90,2,0),0)</f>
        <v>0</v>
      </c>
      <c r="CL21" s="8">
        <f>IF(CL13&lt;=$B$4+1,CL16*VLOOKUP(CL13,Assumptions!$A$70:$B$90,2,0),0)</f>
        <v>0</v>
      </c>
      <c r="CM21" s="8">
        <f>IF(CM13&lt;=$B$4+1,CM16*VLOOKUP(CM13,Assumptions!$A$70:$B$90,2,0),0)</f>
        <v>0</v>
      </c>
      <c r="CN21" s="8">
        <f>IF(CN13&lt;=$B$4+1,CN16*VLOOKUP(CN13,Assumptions!$A$70:$B$90,2,0),0)</f>
        <v>0</v>
      </c>
      <c r="CO21" s="8">
        <f>IF(CO13&lt;=$B$4+1,CO16*VLOOKUP(CO13,Assumptions!$A$70:$B$90,2,0),0)</f>
        <v>0</v>
      </c>
      <c r="CP21" s="8">
        <f>IF(CP13&lt;=$B$4+1,CP16*VLOOKUP(CP13,Assumptions!$A$70:$B$90,2,0),0)</f>
        <v>0</v>
      </c>
      <c r="CQ21" s="8">
        <f>IF(CQ13&lt;=$B$4+1,CQ16*VLOOKUP(CQ13,Assumptions!$A$70:$B$90,2,0),0)</f>
        <v>0</v>
      </c>
      <c r="CR21" s="8">
        <f>IF(CR13&lt;=$B$4+1,CR16*VLOOKUP(CR13,Assumptions!$A$70:$B$90,2,0),0)</f>
        <v>0</v>
      </c>
      <c r="CS21" s="8">
        <f>IF(CS13&lt;=$B$4+1,CS16*VLOOKUP(CS13,Assumptions!$A$70:$B$90,2,0),0)</f>
        <v>0</v>
      </c>
      <c r="CT21" s="8">
        <f>IF(CT13&lt;=$B$4+1,CT16*VLOOKUP(CT13,Assumptions!$A$70:$B$90,2,0),0)</f>
        <v>0</v>
      </c>
      <c r="CU21" s="8">
        <f>IF(CU13&lt;=$B$4+1,CU16*VLOOKUP(CU13,Assumptions!$A$70:$B$90,2,0),0)</f>
        <v>0</v>
      </c>
      <c r="CV21" s="8">
        <f>IF(CV13&lt;=$B$4+1,CV16*VLOOKUP(CV13,Assumptions!$A$70:$B$90,2,0),0)</f>
        <v>0</v>
      </c>
      <c r="CW21" s="8">
        <f>IF(CW13&lt;=$B$4+1,CW16*VLOOKUP(CW13,Assumptions!$A$70:$B$90,2,0),0)</f>
        <v>0</v>
      </c>
      <c r="CX21" s="8">
        <f>IF(CX13&lt;=$B$4+1,CX16*VLOOKUP(CX13,Assumptions!$A$70:$B$90,2,0),0)</f>
        <v>0</v>
      </c>
      <c r="CY21" s="8">
        <f>IF(CY13&lt;=$B$4+1,CY16*VLOOKUP(CY13,Assumptions!$A$70:$B$90,2,0),0)</f>
        <v>0</v>
      </c>
      <c r="CZ21" s="8">
        <f>IF(CZ13&lt;=$B$4+1,CZ16*VLOOKUP(CZ13,Assumptions!$A$70:$B$90,2,0),0)</f>
        <v>0</v>
      </c>
      <c r="DA21" s="8">
        <f>IF(DA13&lt;=$B$4+1,DA16*VLOOKUP(DA13,Assumptions!$A$70:$B$90,2,0),0)</f>
        <v>0</v>
      </c>
    </row>
    <row r="22" spans="1:106" x14ac:dyDescent="0.4">
      <c r="D22" t="s">
        <v>170</v>
      </c>
      <c r="E22" s="8"/>
      <c r="F22" s="8">
        <f>E23</f>
        <v>0</v>
      </c>
      <c r="G22" s="8">
        <f t="shared" ref="G22:BR22" si="16">F23</f>
        <v>-14474.161105775</v>
      </c>
      <c r="H22" s="8">
        <f t="shared" si="16"/>
        <v>-57640.244997797694</v>
      </c>
      <c r="I22" s="8">
        <f t="shared" si="16"/>
        <v>-96323.474421631807</v>
      </c>
      <c r="J22" s="8">
        <f t="shared" si="16"/>
        <v>-130871.22924381591</v>
      </c>
      <c r="K22" s="8">
        <f t="shared" si="16"/>
        <v>-161581.26363566882</v>
      </c>
      <c r="L22" s="8">
        <f t="shared" si="16"/>
        <v>-188751.33176850932</v>
      </c>
      <c r="M22" s="8">
        <f t="shared" si="16"/>
        <v>-212637.83306763973</v>
      </c>
      <c r="N22" s="8">
        <f t="shared" si="16"/>
        <v>-233497.16695836233</v>
      </c>
      <c r="O22" s="8">
        <f t="shared" si="16"/>
        <v>-253860.24389688694</v>
      </c>
      <c r="P22" s="8">
        <f t="shared" si="16"/>
        <v>-274215.04988620826</v>
      </c>
      <c r="Q22" s="8">
        <f t="shared" si="16"/>
        <v>-294578.12682473287</v>
      </c>
      <c r="R22" s="8">
        <f t="shared" si="16"/>
        <v>-314932.93281405419</v>
      </c>
      <c r="S22" s="8">
        <f t="shared" si="16"/>
        <v>-335296.0097525788</v>
      </c>
      <c r="T22" s="8">
        <f t="shared" si="16"/>
        <v>-355650.81574190012</v>
      </c>
      <c r="U22" s="8">
        <f t="shared" si="16"/>
        <v>-376013.89268042473</v>
      </c>
      <c r="V22" s="8">
        <f t="shared" si="16"/>
        <v>-396368.69866974605</v>
      </c>
      <c r="W22" s="8">
        <f t="shared" si="16"/>
        <v>-416731.77560827066</v>
      </c>
      <c r="X22" s="8">
        <f t="shared" si="16"/>
        <v>-437086.58159759198</v>
      </c>
      <c r="Y22" s="8">
        <f t="shared" si="16"/>
        <v>-457449.65853611659</v>
      </c>
      <c r="Z22" s="8">
        <f t="shared" si="16"/>
        <v>-477804.46452543791</v>
      </c>
      <c r="AA22" s="8">
        <f t="shared" si="16"/>
        <v>-479715.05379140022</v>
      </c>
      <c r="AB22" s="8">
        <f t="shared" si="16"/>
        <v>-463173.15538480022</v>
      </c>
      <c r="AC22" s="8">
        <f t="shared" si="16"/>
        <v>-446631.25697820022</v>
      </c>
      <c r="AD22" s="8">
        <f t="shared" si="16"/>
        <v>-430089.35857160023</v>
      </c>
      <c r="AE22" s="8">
        <f t="shared" si="16"/>
        <v>-413547.46016500023</v>
      </c>
      <c r="AF22" s="8">
        <f t="shared" si="16"/>
        <v>-397005.56175840023</v>
      </c>
      <c r="AG22" s="8">
        <f t="shared" si="16"/>
        <v>-380463.66335180023</v>
      </c>
      <c r="AH22" s="8">
        <f t="shared" si="16"/>
        <v>-363921.76494520024</v>
      </c>
      <c r="AI22" s="8">
        <f t="shared" si="16"/>
        <v>-347379.86653860024</v>
      </c>
      <c r="AJ22" s="8">
        <f t="shared" si="16"/>
        <v>-330837.96813200024</v>
      </c>
      <c r="AK22" s="8">
        <f t="shared" si="16"/>
        <v>-314296.06972540024</v>
      </c>
      <c r="AL22" s="8">
        <f t="shared" si="16"/>
        <v>-297754.17131880025</v>
      </c>
      <c r="AM22" s="8">
        <f t="shared" si="16"/>
        <v>-281212.27291220025</v>
      </c>
      <c r="AN22" s="8">
        <f t="shared" si="16"/>
        <v>-264670.37450560025</v>
      </c>
      <c r="AO22" s="8">
        <f t="shared" si="16"/>
        <v>-248128.47609900025</v>
      </c>
      <c r="AP22" s="8">
        <f t="shared" si="16"/>
        <v>-231586.57769240026</v>
      </c>
      <c r="AQ22" s="8">
        <f t="shared" si="16"/>
        <v>-215044.67928580026</v>
      </c>
      <c r="AR22" s="8">
        <f t="shared" si="16"/>
        <v>-198502.78087920026</v>
      </c>
      <c r="AS22" s="8">
        <f t="shared" si="16"/>
        <v>-181960.88247260026</v>
      </c>
      <c r="AT22" s="8">
        <f t="shared" si="16"/>
        <v>-165418.98406600027</v>
      </c>
      <c r="AU22" s="8">
        <f t="shared" si="16"/>
        <v>-148877.08565940027</v>
      </c>
      <c r="AV22" s="8">
        <f t="shared" si="16"/>
        <v>-132335.18725280027</v>
      </c>
      <c r="AW22" s="8">
        <f t="shared" si="16"/>
        <v>-115793.28884620027</v>
      </c>
      <c r="AX22" s="8">
        <f t="shared" si="16"/>
        <v>-99251.390439600276</v>
      </c>
      <c r="AY22" s="8">
        <f t="shared" si="16"/>
        <v>-82709.492033000279</v>
      </c>
      <c r="AZ22" s="8">
        <f t="shared" si="16"/>
        <v>-66167.593626400281</v>
      </c>
      <c r="BA22" s="8">
        <f t="shared" si="16"/>
        <v>-49625.695219800284</v>
      </c>
      <c r="BB22" s="8">
        <f t="shared" si="16"/>
        <v>-33083.796813200286</v>
      </c>
      <c r="BC22" s="8">
        <f t="shared" si="16"/>
        <v>-16541.898406600285</v>
      </c>
      <c r="BD22" s="8">
        <f t="shared" si="16"/>
        <v>-2.8376234695315361E-10</v>
      </c>
      <c r="BE22" s="8">
        <f t="shared" si="16"/>
        <v>-2.8376234695315361E-10</v>
      </c>
      <c r="BF22" s="8">
        <f t="shared" si="16"/>
        <v>-2.8376234695315361E-10</v>
      </c>
      <c r="BG22" s="8">
        <f t="shared" si="16"/>
        <v>-2.8376234695315361E-10</v>
      </c>
      <c r="BH22" s="8">
        <f t="shared" si="16"/>
        <v>-2.8376234695315361E-10</v>
      </c>
      <c r="BI22" s="8">
        <f t="shared" si="16"/>
        <v>-2.8376234695315361E-10</v>
      </c>
      <c r="BJ22" s="8">
        <f t="shared" si="16"/>
        <v>-2.8376234695315361E-10</v>
      </c>
      <c r="BK22" s="8">
        <f t="shared" si="16"/>
        <v>-2.8376234695315361E-10</v>
      </c>
      <c r="BL22" s="8">
        <f t="shared" si="16"/>
        <v>-2.8376234695315361E-10</v>
      </c>
      <c r="BM22" s="8">
        <f t="shared" si="16"/>
        <v>-2.8376234695315361E-10</v>
      </c>
      <c r="BN22" s="8">
        <f t="shared" si="16"/>
        <v>-2.8376234695315361E-10</v>
      </c>
      <c r="BO22" s="8">
        <f t="shared" si="16"/>
        <v>-2.8376234695315361E-10</v>
      </c>
      <c r="BP22" s="8">
        <f t="shared" si="16"/>
        <v>-2.8376234695315361E-10</v>
      </c>
      <c r="BQ22" s="8">
        <f t="shared" si="16"/>
        <v>-2.8376234695315361E-10</v>
      </c>
      <c r="BR22" s="8">
        <f t="shared" si="16"/>
        <v>-2.8376234695315361E-10</v>
      </c>
      <c r="BS22" s="8">
        <f t="shared" ref="BS22:DA22" si="17">BR23</f>
        <v>-2.8376234695315361E-10</v>
      </c>
      <c r="BT22" s="8">
        <f t="shared" si="17"/>
        <v>-2.8376234695315361E-10</v>
      </c>
      <c r="BU22" s="8">
        <f t="shared" si="17"/>
        <v>-2.8376234695315361E-10</v>
      </c>
      <c r="BV22" s="8">
        <f t="shared" si="17"/>
        <v>-2.8376234695315361E-10</v>
      </c>
      <c r="BW22" s="8">
        <f t="shared" si="17"/>
        <v>-2.8376234695315361E-10</v>
      </c>
      <c r="BX22" s="8">
        <f t="shared" si="17"/>
        <v>-2.8376234695315361E-10</v>
      </c>
      <c r="BY22" s="8">
        <f t="shared" si="17"/>
        <v>-2.8376234695315361E-10</v>
      </c>
      <c r="BZ22" s="8">
        <f t="shared" si="17"/>
        <v>-2.8376234695315361E-10</v>
      </c>
      <c r="CA22" s="8">
        <f t="shared" si="17"/>
        <v>-2.8376234695315361E-10</v>
      </c>
      <c r="CB22" s="8">
        <f t="shared" si="17"/>
        <v>-2.8376234695315361E-10</v>
      </c>
      <c r="CC22" s="8">
        <f t="shared" si="17"/>
        <v>-2.8376234695315361E-10</v>
      </c>
      <c r="CD22" s="8">
        <f t="shared" si="17"/>
        <v>-2.8376234695315361E-10</v>
      </c>
      <c r="CE22" s="8">
        <f t="shared" si="17"/>
        <v>-2.8376234695315361E-10</v>
      </c>
      <c r="CF22" s="8">
        <f t="shared" si="17"/>
        <v>-2.8376234695315361E-10</v>
      </c>
      <c r="CG22" s="8">
        <f t="shared" si="17"/>
        <v>-2.8376234695315361E-10</v>
      </c>
      <c r="CH22" s="8">
        <f t="shared" si="17"/>
        <v>-2.8376234695315361E-10</v>
      </c>
      <c r="CI22" s="8">
        <f t="shared" si="17"/>
        <v>-2.8376234695315361E-10</v>
      </c>
      <c r="CJ22" s="8">
        <f t="shared" si="17"/>
        <v>-2.8376234695315361E-10</v>
      </c>
      <c r="CK22" s="8">
        <f t="shared" si="17"/>
        <v>-2.8376234695315361E-10</v>
      </c>
      <c r="CL22" s="8">
        <f t="shared" si="17"/>
        <v>-2.8376234695315361E-10</v>
      </c>
      <c r="CM22" s="8">
        <f t="shared" si="17"/>
        <v>-2.8376234695315361E-10</v>
      </c>
      <c r="CN22" s="8">
        <f t="shared" si="17"/>
        <v>-2.8376234695315361E-10</v>
      </c>
      <c r="CO22" s="8">
        <f t="shared" si="17"/>
        <v>-2.8376234695315361E-10</v>
      </c>
      <c r="CP22" s="8">
        <f t="shared" si="17"/>
        <v>-2.8376234695315361E-10</v>
      </c>
      <c r="CQ22" s="8">
        <f t="shared" si="17"/>
        <v>-2.8376234695315361E-10</v>
      </c>
      <c r="CR22" s="8">
        <f t="shared" si="17"/>
        <v>-2.8376234695315361E-10</v>
      </c>
      <c r="CS22" s="8">
        <f t="shared" si="17"/>
        <v>-2.8376234695315361E-10</v>
      </c>
      <c r="CT22" s="8">
        <f t="shared" si="17"/>
        <v>-2.8376234695315361E-10</v>
      </c>
      <c r="CU22" s="8">
        <f t="shared" si="17"/>
        <v>-2.8376234695315361E-10</v>
      </c>
      <c r="CV22" s="8">
        <f t="shared" si="17"/>
        <v>-2.8376234695315361E-10</v>
      </c>
      <c r="CW22" s="8">
        <f t="shared" si="17"/>
        <v>-2.8376234695315361E-10</v>
      </c>
      <c r="CX22" s="8">
        <f t="shared" si="17"/>
        <v>-2.8376234695315361E-10</v>
      </c>
      <c r="CY22" s="8">
        <f t="shared" si="17"/>
        <v>-2.8376234695315361E-10</v>
      </c>
      <c r="CZ22" s="8">
        <f t="shared" si="17"/>
        <v>-2.8376234695315361E-10</v>
      </c>
      <c r="DA22" s="8">
        <f t="shared" si="17"/>
        <v>-2.8376234695315361E-10</v>
      </c>
    </row>
    <row r="23" spans="1:106" x14ac:dyDescent="0.4">
      <c r="D23" t="s">
        <v>171</v>
      </c>
      <c r="E23" s="8"/>
      <c r="F23" s="8">
        <f t="shared" ref="F23:AK23" si="18">E23+((F15-F21)*INC_TAX_RATE)</f>
        <v>-14474.161105775</v>
      </c>
      <c r="G23" s="8">
        <f t="shared" si="18"/>
        <v>-57640.244997797694</v>
      </c>
      <c r="H23" s="8">
        <f t="shared" si="18"/>
        <v>-96323.474421631807</v>
      </c>
      <c r="I23" s="8">
        <f t="shared" si="18"/>
        <v>-130871.22924381591</v>
      </c>
      <c r="J23" s="8">
        <f t="shared" si="18"/>
        <v>-161581.26363566882</v>
      </c>
      <c r="K23" s="8">
        <f t="shared" si="18"/>
        <v>-188751.33176850932</v>
      </c>
      <c r="L23" s="8">
        <f t="shared" si="18"/>
        <v>-212637.83306763973</v>
      </c>
      <c r="M23" s="8">
        <f t="shared" si="18"/>
        <v>-233497.16695836233</v>
      </c>
      <c r="N23" s="8">
        <f t="shared" si="18"/>
        <v>-253860.24389688694</v>
      </c>
      <c r="O23" s="8">
        <f t="shared" si="18"/>
        <v>-274215.04988620826</v>
      </c>
      <c r="P23" s="8">
        <f t="shared" si="18"/>
        <v>-294578.12682473287</v>
      </c>
      <c r="Q23" s="8">
        <f t="shared" si="18"/>
        <v>-314932.93281405419</v>
      </c>
      <c r="R23" s="8">
        <f t="shared" si="18"/>
        <v>-335296.0097525788</v>
      </c>
      <c r="S23" s="8">
        <f t="shared" si="18"/>
        <v>-355650.81574190012</v>
      </c>
      <c r="T23" s="8">
        <f t="shared" si="18"/>
        <v>-376013.89268042473</v>
      </c>
      <c r="U23" s="8">
        <f t="shared" si="18"/>
        <v>-396368.69866974605</v>
      </c>
      <c r="V23" s="8">
        <f t="shared" si="18"/>
        <v>-416731.77560827066</v>
      </c>
      <c r="W23" s="8">
        <f t="shared" si="18"/>
        <v>-437086.58159759198</v>
      </c>
      <c r="X23" s="8">
        <f t="shared" si="18"/>
        <v>-457449.65853611659</v>
      </c>
      <c r="Y23" s="8">
        <f t="shared" si="18"/>
        <v>-477804.46452543791</v>
      </c>
      <c r="Z23" s="8">
        <f t="shared" si="18"/>
        <v>-479715.05379140022</v>
      </c>
      <c r="AA23" s="8">
        <f t="shared" si="18"/>
        <v>-463173.15538480022</v>
      </c>
      <c r="AB23" s="8">
        <f t="shared" si="18"/>
        <v>-446631.25697820022</v>
      </c>
      <c r="AC23" s="8">
        <f t="shared" si="18"/>
        <v>-430089.35857160023</v>
      </c>
      <c r="AD23" s="8">
        <f t="shared" si="18"/>
        <v>-413547.46016500023</v>
      </c>
      <c r="AE23" s="8">
        <f t="shared" si="18"/>
        <v>-397005.56175840023</v>
      </c>
      <c r="AF23" s="8">
        <f t="shared" si="18"/>
        <v>-380463.66335180023</v>
      </c>
      <c r="AG23" s="8">
        <f t="shared" si="18"/>
        <v>-363921.76494520024</v>
      </c>
      <c r="AH23" s="8">
        <f t="shared" si="18"/>
        <v>-347379.86653860024</v>
      </c>
      <c r="AI23" s="8">
        <f t="shared" si="18"/>
        <v>-330837.96813200024</v>
      </c>
      <c r="AJ23" s="8">
        <f t="shared" si="18"/>
        <v>-314296.06972540024</v>
      </c>
      <c r="AK23" s="8">
        <f t="shared" si="18"/>
        <v>-297754.17131880025</v>
      </c>
      <c r="AL23" s="8">
        <f t="shared" ref="AL23:BQ23" si="19">AK23+((AL15-AL21)*INC_TAX_RATE)</f>
        <v>-281212.27291220025</v>
      </c>
      <c r="AM23" s="8">
        <f t="shared" si="19"/>
        <v>-264670.37450560025</v>
      </c>
      <c r="AN23" s="8">
        <f t="shared" si="19"/>
        <v>-248128.47609900025</v>
      </c>
      <c r="AO23" s="8">
        <f t="shared" si="19"/>
        <v>-231586.57769240026</v>
      </c>
      <c r="AP23" s="8">
        <f t="shared" si="19"/>
        <v>-215044.67928580026</v>
      </c>
      <c r="AQ23" s="8">
        <f t="shared" si="19"/>
        <v>-198502.78087920026</v>
      </c>
      <c r="AR23" s="8">
        <f t="shared" si="19"/>
        <v>-181960.88247260026</v>
      </c>
      <c r="AS23" s="8">
        <f t="shared" si="19"/>
        <v>-165418.98406600027</v>
      </c>
      <c r="AT23" s="8">
        <f t="shared" si="19"/>
        <v>-148877.08565940027</v>
      </c>
      <c r="AU23" s="8">
        <f t="shared" si="19"/>
        <v>-132335.18725280027</v>
      </c>
      <c r="AV23" s="8">
        <f t="shared" si="19"/>
        <v>-115793.28884620027</v>
      </c>
      <c r="AW23" s="8">
        <f t="shared" si="19"/>
        <v>-99251.390439600276</v>
      </c>
      <c r="AX23" s="8">
        <f t="shared" si="19"/>
        <v>-82709.492033000279</v>
      </c>
      <c r="AY23" s="8">
        <f t="shared" si="19"/>
        <v>-66167.593626400281</v>
      </c>
      <c r="AZ23" s="8">
        <f t="shared" si="19"/>
        <v>-49625.695219800284</v>
      </c>
      <c r="BA23" s="8">
        <f t="shared" si="19"/>
        <v>-33083.796813200286</v>
      </c>
      <c r="BB23" s="8">
        <f t="shared" si="19"/>
        <v>-16541.898406600285</v>
      </c>
      <c r="BC23" s="8">
        <f t="shared" si="19"/>
        <v>-2.8376234695315361E-10</v>
      </c>
      <c r="BD23" s="8">
        <f t="shared" si="19"/>
        <v>-2.8376234695315361E-10</v>
      </c>
      <c r="BE23" s="8">
        <f t="shared" si="19"/>
        <v>-2.8376234695315361E-10</v>
      </c>
      <c r="BF23" s="8">
        <f t="shared" si="19"/>
        <v>-2.8376234695315361E-10</v>
      </c>
      <c r="BG23" s="8">
        <f t="shared" si="19"/>
        <v>-2.8376234695315361E-10</v>
      </c>
      <c r="BH23" s="8">
        <f t="shared" si="19"/>
        <v>-2.8376234695315361E-10</v>
      </c>
      <c r="BI23" s="8">
        <f t="shared" si="19"/>
        <v>-2.8376234695315361E-10</v>
      </c>
      <c r="BJ23" s="8">
        <f t="shared" si="19"/>
        <v>-2.8376234695315361E-10</v>
      </c>
      <c r="BK23" s="8">
        <f t="shared" si="19"/>
        <v>-2.8376234695315361E-10</v>
      </c>
      <c r="BL23" s="8">
        <f t="shared" si="19"/>
        <v>-2.8376234695315361E-10</v>
      </c>
      <c r="BM23" s="8">
        <f t="shared" si="19"/>
        <v>-2.8376234695315361E-10</v>
      </c>
      <c r="BN23" s="8">
        <f t="shared" si="19"/>
        <v>-2.8376234695315361E-10</v>
      </c>
      <c r="BO23" s="8">
        <f t="shared" si="19"/>
        <v>-2.8376234695315361E-10</v>
      </c>
      <c r="BP23" s="8">
        <f t="shared" si="19"/>
        <v>-2.8376234695315361E-10</v>
      </c>
      <c r="BQ23" s="8">
        <f t="shared" si="19"/>
        <v>-2.8376234695315361E-10</v>
      </c>
      <c r="BR23" s="8">
        <f t="shared" ref="BR23:DA23" si="20">BQ23+((BR15-BR21)*INC_TAX_RATE)</f>
        <v>-2.8376234695315361E-10</v>
      </c>
      <c r="BS23" s="8">
        <f t="shared" si="20"/>
        <v>-2.8376234695315361E-10</v>
      </c>
      <c r="BT23" s="8">
        <f t="shared" si="20"/>
        <v>-2.8376234695315361E-10</v>
      </c>
      <c r="BU23" s="8">
        <f t="shared" si="20"/>
        <v>-2.8376234695315361E-10</v>
      </c>
      <c r="BV23" s="8">
        <f t="shared" si="20"/>
        <v>-2.8376234695315361E-10</v>
      </c>
      <c r="BW23" s="8">
        <f t="shared" si="20"/>
        <v>-2.8376234695315361E-10</v>
      </c>
      <c r="BX23" s="8">
        <f t="shared" si="20"/>
        <v>-2.8376234695315361E-10</v>
      </c>
      <c r="BY23" s="8">
        <f t="shared" si="20"/>
        <v>-2.8376234695315361E-10</v>
      </c>
      <c r="BZ23" s="8">
        <f t="shared" si="20"/>
        <v>-2.8376234695315361E-10</v>
      </c>
      <c r="CA23" s="8">
        <f t="shared" si="20"/>
        <v>-2.8376234695315361E-10</v>
      </c>
      <c r="CB23" s="8">
        <f t="shared" si="20"/>
        <v>-2.8376234695315361E-10</v>
      </c>
      <c r="CC23" s="8">
        <f t="shared" si="20"/>
        <v>-2.8376234695315361E-10</v>
      </c>
      <c r="CD23" s="8">
        <f t="shared" si="20"/>
        <v>-2.8376234695315361E-10</v>
      </c>
      <c r="CE23" s="8">
        <f t="shared" si="20"/>
        <v>-2.8376234695315361E-10</v>
      </c>
      <c r="CF23" s="8">
        <f t="shared" si="20"/>
        <v>-2.8376234695315361E-10</v>
      </c>
      <c r="CG23" s="8">
        <f t="shared" si="20"/>
        <v>-2.8376234695315361E-10</v>
      </c>
      <c r="CH23" s="8">
        <f t="shared" si="20"/>
        <v>-2.8376234695315361E-10</v>
      </c>
      <c r="CI23" s="8">
        <f t="shared" si="20"/>
        <v>-2.8376234695315361E-10</v>
      </c>
      <c r="CJ23" s="8">
        <f t="shared" si="20"/>
        <v>-2.8376234695315361E-10</v>
      </c>
      <c r="CK23" s="8">
        <f t="shared" si="20"/>
        <v>-2.8376234695315361E-10</v>
      </c>
      <c r="CL23" s="8">
        <f t="shared" si="20"/>
        <v>-2.8376234695315361E-10</v>
      </c>
      <c r="CM23" s="8">
        <f t="shared" si="20"/>
        <v>-2.8376234695315361E-10</v>
      </c>
      <c r="CN23" s="8">
        <f t="shared" si="20"/>
        <v>-2.8376234695315361E-10</v>
      </c>
      <c r="CO23" s="8">
        <f t="shared" si="20"/>
        <v>-2.8376234695315361E-10</v>
      </c>
      <c r="CP23" s="8">
        <f t="shared" si="20"/>
        <v>-2.8376234695315361E-10</v>
      </c>
      <c r="CQ23" s="8">
        <f t="shared" si="20"/>
        <v>-2.8376234695315361E-10</v>
      </c>
      <c r="CR23" s="8">
        <f t="shared" si="20"/>
        <v>-2.8376234695315361E-10</v>
      </c>
      <c r="CS23" s="8">
        <f t="shared" si="20"/>
        <v>-2.8376234695315361E-10</v>
      </c>
      <c r="CT23" s="8">
        <f t="shared" si="20"/>
        <v>-2.8376234695315361E-10</v>
      </c>
      <c r="CU23" s="8">
        <f t="shared" si="20"/>
        <v>-2.8376234695315361E-10</v>
      </c>
      <c r="CV23" s="8">
        <f t="shared" si="20"/>
        <v>-2.8376234695315361E-10</v>
      </c>
      <c r="CW23" s="8">
        <f t="shared" si="20"/>
        <v>-2.8376234695315361E-10</v>
      </c>
      <c r="CX23" s="8">
        <f t="shared" si="20"/>
        <v>-2.8376234695315361E-10</v>
      </c>
      <c r="CY23" s="8">
        <f t="shared" si="20"/>
        <v>-2.8376234695315361E-10</v>
      </c>
      <c r="CZ23" s="8">
        <f t="shared" si="20"/>
        <v>-2.8376234695315361E-10</v>
      </c>
      <c r="DA23" s="8">
        <f t="shared" si="20"/>
        <v>-2.8376234695315361E-10</v>
      </c>
    </row>
    <row r="24" spans="1:106" x14ac:dyDescent="0.4"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</row>
    <row r="25" spans="1:106" x14ac:dyDescent="0.4">
      <c r="D25" t="s">
        <v>158</v>
      </c>
      <c r="E25" s="8"/>
      <c r="F25" s="8">
        <f>AVERAGE(F18:F19)+AVERAGE(F22:F23)</f>
        <v>2947206.2574471128</v>
      </c>
      <c r="G25" s="8">
        <f t="shared" ref="G25:BR25" si="21">AVERAGE(G18:G19)+AVERAGE(G22:G23)</f>
        <v>2858700.4109482137</v>
      </c>
      <c r="H25" s="8">
        <f t="shared" si="21"/>
        <v>2758090.0302902856</v>
      </c>
      <c r="I25" s="8">
        <f t="shared" si="21"/>
        <v>2661788.8141672765</v>
      </c>
      <c r="J25" s="8">
        <f t="shared" si="21"/>
        <v>2569474.1955602574</v>
      </c>
      <c r="K25" s="8">
        <f t="shared" si="21"/>
        <v>2480848.4202979114</v>
      </c>
      <c r="L25" s="8">
        <f t="shared" si="21"/>
        <v>2395634.4115819256</v>
      </c>
      <c r="M25" s="8">
        <f t="shared" si="21"/>
        <v>2313575.7699869992</v>
      </c>
      <c r="N25" s="8">
        <f t="shared" si="21"/>
        <v>2233278.8405723753</v>
      </c>
      <c r="O25" s="8">
        <f t="shared" si="21"/>
        <v>2153234.1751084523</v>
      </c>
      <c r="P25" s="8">
        <f t="shared" si="21"/>
        <v>2073189.5096445298</v>
      </c>
      <c r="Q25" s="8">
        <f t="shared" si="21"/>
        <v>1993144.8441806063</v>
      </c>
      <c r="R25" s="8">
        <f t="shared" si="21"/>
        <v>1913100.1787166838</v>
      </c>
      <c r="S25" s="8">
        <f t="shared" si="21"/>
        <v>1833055.5132527605</v>
      </c>
      <c r="T25" s="8">
        <f t="shared" si="21"/>
        <v>1753010.8477888377</v>
      </c>
      <c r="U25" s="8">
        <f t="shared" si="21"/>
        <v>1672966.1823249145</v>
      </c>
      <c r="V25" s="8">
        <f t="shared" si="21"/>
        <v>1592921.5168609917</v>
      </c>
      <c r="W25" s="8">
        <f t="shared" si="21"/>
        <v>1512876.8513970685</v>
      </c>
      <c r="X25" s="8">
        <f t="shared" si="21"/>
        <v>1432832.1859331457</v>
      </c>
      <c r="Y25" s="8">
        <f t="shared" si="21"/>
        <v>1352787.5204692227</v>
      </c>
      <c r="Z25" s="8">
        <f t="shared" si="21"/>
        <v>1281969.098841581</v>
      </c>
      <c r="AA25" s="8">
        <f t="shared" si="21"/>
        <v>1229599.0294118999</v>
      </c>
      <c r="AB25" s="8">
        <f t="shared" si="21"/>
        <v>1186455.2038185</v>
      </c>
      <c r="AC25" s="8">
        <f t="shared" si="21"/>
        <v>1143311.3782251</v>
      </c>
      <c r="AD25" s="8">
        <f t="shared" si="21"/>
        <v>1100167.5526316999</v>
      </c>
      <c r="AE25" s="8">
        <f t="shared" si="21"/>
        <v>1057023.7270383001</v>
      </c>
      <c r="AF25" s="8">
        <f t="shared" si="21"/>
        <v>1013879.9014449002</v>
      </c>
      <c r="AG25" s="8">
        <f t="shared" si="21"/>
        <v>970736.07585150027</v>
      </c>
      <c r="AH25" s="8">
        <f t="shared" si="21"/>
        <v>927592.25025810034</v>
      </c>
      <c r="AI25" s="8">
        <f t="shared" si="21"/>
        <v>884448.4246647004</v>
      </c>
      <c r="AJ25" s="8">
        <f t="shared" si="21"/>
        <v>841304.59907130047</v>
      </c>
      <c r="AK25" s="8">
        <f t="shared" si="21"/>
        <v>798160.77347790054</v>
      </c>
      <c r="AL25" s="8">
        <f t="shared" si="21"/>
        <v>755016.94788450061</v>
      </c>
      <c r="AM25" s="8">
        <f t="shared" si="21"/>
        <v>711873.12229110068</v>
      </c>
      <c r="AN25" s="8">
        <f t="shared" si="21"/>
        <v>668729.29669770075</v>
      </c>
      <c r="AO25" s="8">
        <f t="shared" si="21"/>
        <v>625585.4711043007</v>
      </c>
      <c r="AP25" s="8">
        <f t="shared" si="21"/>
        <v>582441.64551090065</v>
      </c>
      <c r="AQ25" s="8">
        <f t="shared" si="21"/>
        <v>539297.81991750072</v>
      </c>
      <c r="AR25" s="8">
        <f t="shared" si="21"/>
        <v>496153.99432410079</v>
      </c>
      <c r="AS25" s="8">
        <f t="shared" si="21"/>
        <v>453010.16873070085</v>
      </c>
      <c r="AT25" s="8">
        <f t="shared" si="21"/>
        <v>409866.34313730092</v>
      </c>
      <c r="AU25" s="8">
        <f t="shared" si="21"/>
        <v>366722.51754390099</v>
      </c>
      <c r="AV25" s="8">
        <f t="shared" si="21"/>
        <v>323578.69195050106</v>
      </c>
      <c r="AW25" s="8">
        <f t="shared" si="21"/>
        <v>280434.86635710113</v>
      </c>
      <c r="AX25" s="8">
        <f t="shared" si="21"/>
        <v>237291.0407637012</v>
      </c>
      <c r="AY25" s="8">
        <f t="shared" si="21"/>
        <v>194147.21517030126</v>
      </c>
      <c r="AZ25" s="8">
        <f t="shared" si="21"/>
        <v>151003.38957690133</v>
      </c>
      <c r="BA25" s="8">
        <f t="shared" si="21"/>
        <v>107859.5639835014</v>
      </c>
      <c r="BB25" s="8">
        <f t="shared" si="21"/>
        <v>64715.738390101469</v>
      </c>
      <c r="BC25" s="8">
        <f t="shared" si="21"/>
        <v>21571.912796700613</v>
      </c>
      <c r="BD25" s="8">
        <f t="shared" si="21"/>
        <v>-2.8376234695315361E-10</v>
      </c>
      <c r="BE25" s="8">
        <f t="shared" si="21"/>
        <v>-2.8376234695315361E-10</v>
      </c>
      <c r="BF25" s="8">
        <f t="shared" si="21"/>
        <v>-2.8376234695315361E-10</v>
      </c>
      <c r="BG25" s="8">
        <f t="shared" si="21"/>
        <v>-2.8376234695315361E-10</v>
      </c>
      <c r="BH25" s="8">
        <f t="shared" si="21"/>
        <v>-2.8376234695315361E-10</v>
      </c>
      <c r="BI25" s="8">
        <f t="shared" si="21"/>
        <v>-2.8376234695315361E-10</v>
      </c>
      <c r="BJ25" s="8">
        <f t="shared" si="21"/>
        <v>-2.8376234695315361E-10</v>
      </c>
      <c r="BK25" s="8">
        <f t="shared" si="21"/>
        <v>-2.8376234695315361E-10</v>
      </c>
      <c r="BL25" s="8">
        <f t="shared" si="21"/>
        <v>-2.8376234695315361E-10</v>
      </c>
      <c r="BM25" s="8">
        <f t="shared" si="21"/>
        <v>-2.8376234695315361E-10</v>
      </c>
      <c r="BN25" s="8">
        <f t="shared" si="21"/>
        <v>-2.8376234695315361E-10</v>
      </c>
      <c r="BO25" s="8">
        <f t="shared" si="21"/>
        <v>-2.8376234695315361E-10</v>
      </c>
      <c r="BP25" s="8">
        <f t="shared" si="21"/>
        <v>-2.8376234695315361E-10</v>
      </c>
      <c r="BQ25" s="8">
        <f t="shared" si="21"/>
        <v>-2.8376234695315361E-10</v>
      </c>
      <c r="BR25" s="8">
        <f t="shared" si="21"/>
        <v>-2.8376234695315361E-10</v>
      </c>
      <c r="BS25" s="8">
        <f t="shared" ref="BS25:DA25" si="22">AVERAGE(BS18:BS19)+AVERAGE(BS22:BS23)</f>
        <v>-2.8376234695315361E-10</v>
      </c>
      <c r="BT25" s="8">
        <f t="shared" si="22"/>
        <v>-2.8376234695315361E-10</v>
      </c>
      <c r="BU25" s="8">
        <f t="shared" si="22"/>
        <v>-2.8376234695315361E-10</v>
      </c>
      <c r="BV25" s="8">
        <f t="shared" si="22"/>
        <v>-2.8376234695315361E-10</v>
      </c>
      <c r="BW25" s="8">
        <f t="shared" si="22"/>
        <v>-2.8376234695315361E-10</v>
      </c>
      <c r="BX25" s="8">
        <f t="shared" si="22"/>
        <v>-2.8376234695315361E-10</v>
      </c>
      <c r="BY25" s="8">
        <f t="shared" si="22"/>
        <v>-2.8376234695315361E-10</v>
      </c>
      <c r="BZ25" s="8">
        <f t="shared" si="22"/>
        <v>-2.8376234695315361E-10</v>
      </c>
      <c r="CA25" s="8">
        <f t="shared" si="22"/>
        <v>-2.8376234695315361E-10</v>
      </c>
      <c r="CB25" s="8">
        <f t="shared" si="22"/>
        <v>-2.8376234695315361E-10</v>
      </c>
      <c r="CC25" s="8">
        <f t="shared" si="22"/>
        <v>-2.8376234695315361E-10</v>
      </c>
      <c r="CD25" s="8">
        <f t="shared" si="22"/>
        <v>-2.8376234695315361E-10</v>
      </c>
      <c r="CE25" s="8">
        <f t="shared" si="22"/>
        <v>-2.8376234695315361E-10</v>
      </c>
      <c r="CF25" s="8">
        <f t="shared" si="22"/>
        <v>-2.8376234695315361E-10</v>
      </c>
      <c r="CG25" s="8">
        <f t="shared" si="22"/>
        <v>-2.8376234695315361E-10</v>
      </c>
      <c r="CH25" s="8">
        <f t="shared" si="22"/>
        <v>-2.8376234695315361E-10</v>
      </c>
      <c r="CI25" s="8">
        <f t="shared" si="22"/>
        <v>-2.8376234695315361E-10</v>
      </c>
      <c r="CJ25" s="8">
        <f t="shared" si="22"/>
        <v>-2.8376234695315361E-10</v>
      </c>
      <c r="CK25" s="8">
        <f t="shared" si="22"/>
        <v>-2.8376234695315361E-10</v>
      </c>
      <c r="CL25" s="8">
        <f t="shared" si="22"/>
        <v>-2.8376234695315361E-10</v>
      </c>
      <c r="CM25" s="8">
        <f t="shared" si="22"/>
        <v>-2.8376234695315361E-10</v>
      </c>
      <c r="CN25" s="8">
        <f t="shared" si="22"/>
        <v>-2.8376234695315361E-10</v>
      </c>
      <c r="CO25" s="8">
        <f t="shared" si="22"/>
        <v>-2.8376234695315361E-10</v>
      </c>
      <c r="CP25" s="8">
        <f t="shared" si="22"/>
        <v>-2.8376234695315361E-10</v>
      </c>
      <c r="CQ25" s="8">
        <f t="shared" si="22"/>
        <v>-2.8376234695315361E-10</v>
      </c>
      <c r="CR25" s="8">
        <f t="shared" si="22"/>
        <v>-2.8376234695315361E-10</v>
      </c>
      <c r="CS25" s="8">
        <f t="shared" si="22"/>
        <v>-2.8376234695315361E-10</v>
      </c>
      <c r="CT25" s="8">
        <f t="shared" si="22"/>
        <v>-2.8376234695315361E-10</v>
      </c>
      <c r="CU25" s="8">
        <f t="shared" si="22"/>
        <v>-2.8376234695315361E-10</v>
      </c>
      <c r="CV25" s="8">
        <f t="shared" si="22"/>
        <v>-2.8376234695315361E-10</v>
      </c>
      <c r="CW25" s="8">
        <f t="shared" si="22"/>
        <v>-2.8376234695315361E-10</v>
      </c>
      <c r="CX25" s="8">
        <f t="shared" si="22"/>
        <v>-2.8376234695315361E-10</v>
      </c>
      <c r="CY25" s="8">
        <f t="shared" si="22"/>
        <v>-2.8376234695315361E-10</v>
      </c>
      <c r="CZ25" s="8">
        <f t="shared" si="22"/>
        <v>-2.8376234695315361E-10</v>
      </c>
      <c r="DA25" s="8">
        <f t="shared" si="22"/>
        <v>-2.8376234695315361E-10</v>
      </c>
    </row>
    <row r="26" spans="1:106" x14ac:dyDescent="0.4"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</row>
    <row r="27" spans="1:106" x14ac:dyDescent="0.4">
      <c r="D27" t="s">
        <v>209</v>
      </c>
      <c r="E27" s="8"/>
      <c r="F27" s="8">
        <f t="shared" ref="F27:AK27" si="23">F25*AVG_PRE_TAX_RATE</f>
        <v>263185.51879002718</v>
      </c>
      <c r="G27" s="8">
        <f t="shared" si="23"/>
        <v>255281.94669767548</v>
      </c>
      <c r="H27" s="8">
        <f t="shared" si="23"/>
        <v>246297.43970492252</v>
      </c>
      <c r="I27" s="8">
        <f t="shared" si="23"/>
        <v>237697.7411051378</v>
      </c>
      <c r="J27" s="8">
        <f t="shared" si="23"/>
        <v>229454.045663531</v>
      </c>
      <c r="K27" s="8">
        <f t="shared" si="23"/>
        <v>221539.7639326035</v>
      </c>
      <c r="L27" s="8">
        <f t="shared" si="23"/>
        <v>213930.15295426597</v>
      </c>
      <c r="M27" s="8">
        <f t="shared" si="23"/>
        <v>206602.31625983905</v>
      </c>
      <c r="N27" s="8">
        <f t="shared" si="23"/>
        <v>199431.80046311312</v>
      </c>
      <c r="O27" s="8">
        <f t="shared" si="23"/>
        <v>192283.8118371848</v>
      </c>
      <c r="P27" s="8">
        <f t="shared" si="23"/>
        <v>185135.82321125653</v>
      </c>
      <c r="Q27" s="8">
        <f t="shared" si="23"/>
        <v>177987.83458532815</v>
      </c>
      <c r="R27" s="8">
        <f t="shared" si="23"/>
        <v>170839.84595939986</v>
      </c>
      <c r="S27" s="8">
        <f t="shared" si="23"/>
        <v>163691.85733347153</v>
      </c>
      <c r="T27" s="8">
        <f t="shared" si="23"/>
        <v>156543.86870754321</v>
      </c>
      <c r="U27" s="8">
        <f t="shared" si="23"/>
        <v>149395.88008161486</v>
      </c>
      <c r="V27" s="8">
        <f t="shared" si="23"/>
        <v>142247.89145568656</v>
      </c>
      <c r="W27" s="8">
        <f t="shared" si="23"/>
        <v>135099.90282975821</v>
      </c>
      <c r="X27" s="8">
        <f t="shared" si="23"/>
        <v>127951.91420382992</v>
      </c>
      <c r="Y27" s="8">
        <f t="shared" si="23"/>
        <v>120803.92557790159</v>
      </c>
      <c r="Z27" s="8">
        <f t="shared" si="23"/>
        <v>114479.84052655319</v>
      </c>
      <c r="AA27" s="8">
        <f t="shared" si="23"/>
        <v>109803.19332648267</v>
      </c>
      <c r="AB27" s="8">
        <f t="shared" si="23"/>
        <v>105950.44970099206</v>
      </c>
      <c r="AC27" s="8">
        <f t="shared" si="23"/>
        <v>102097.70607550144</v>
      </c>
      <c r="AD27" s="8">
        <f t="shared" si="23"/>
        <v>98244.962450010804</v>
      </c>
      <c r="AE27" s="8">
        <f t="shared" si="23"/>
        <v>94392.218824520212</v>
      </c>
      <c r="AF27" s="8">
        <f t="shared" si="23"/>
        <v>90539.475199029592</v>
      </c>
      <c r="AG27" s="8">
        <f t="shared" si="23"/>
        <v>86686.731573538971</v>
      </c>
      <c r="AH27" s="8">
        <f t="shared" si="23"/>
        <v>82833.987948048365</v>
      </c>
      <c r="AI27" s="8">
        <f t="shared" si="23"/>
        <v>78981.244322557744</v>
      </c>
      <c r="AJ27" s="8">
        <f t="shared" si="23"/>
        <v>75128.500697067138</v>
      </c>
      <c r="AK27" s="8">
        <f t="shared" si="23"/>
        <v>71275.757071576518</v>
      </c>
      <c r="AL27" s="8">
        <f t="shared" ref="AL27:BQ27" si="24">AL25*AVG_PRE_TAX_RATE</f>
        <v>67423.013446085912</v>
      </c>
      <c r="AM27" s="8">
        <f t="shared" si="24"/>
        <v>63570.269820595291</v>
      </c>
      <c r="AN27" s="8">
        <f t="shared" si="24"/>
        <v>59717.526195104678</v>
      </c>
      <c r="AO27" s="8">
        <f t="shared" si="24"/>
        <v>55864.782569614057</v>
      </c>
      <c r="AP27" s="8">
        <f t="shared" si="24"/>
        <v>52012.038944123429</v>
      </c>
      <c r="AQ27" s="8">
        <f t="shared" si="24"/>
        <v>48159.295318632816</v>
      </c>
      <c r="AR27" s="8">
        <f t="shared" si="24"/>
        <v>44306.551693142203</v>
      </c>
      <c r="AS27" s="8">
        <f t="shared" si="24"/>
        <v>40453.808067651589</v>
      </c>
      <c r="AT27" s="8">
        <f t="shared" si="24"/>
        <v>36601.064442160976</v>
      </c>
      <c r="AU27" s="8">
        <f t="shared" si="24"/>
        <v>32748.320816670359</v>
      </c>
      <c r="AV27" s="8">
        <f t="shared" si="24"/>
        <v>28895.577191179746</v>
      </c>
      <c r="AW27" s="8">
        <f t="shared" si="24"/>
        <v>25042.833565689132</v>
      </c>
      <c r="AX27" s="8">
        <f t="shared" si="24"/>
        <v>21190.089940198519</v>
      </c>
      <c r="AY27" s="8">
        <f t="shared" si="24"/>
        <v>17337.346314707906</v>
      </c>
      <c r="AZ27" s="8">
        <f t="shared" si="24"/>
        <v>13484.60268921729</v>
      </c>
      <c r="BA27" s="8">
        <f t="shared" si="24"/>
        <v>9631.8590637266752</v>
      </c>
      <c r="BB27" s="8">
        <f t="shared" si="24"/>
        <v>5779.1154382360619</v>
      </c>
      <c r="BC27" s="8">
        <f t="shared" si="24"/>
        <v>1926.3718127453649</v>
      </c>
      <c r="BD27" s="8">
        <f t="shared" si="24"/>
        <v>-2.533997758291662E-11</v>
      </c>
      <c r="BE27" s="8">
        <f t="shared" si="24"/>
        <v>-2.533997758291662E-11</v>
      </c>
      <c r="BF27" s="8">
        <f t="shared" si="24"/>
        <v>-2.533997758291662E-11</v>
      </c>
      <c r="BG27" s="8">
        <f t="shared" si="24"/>
        <v>-2.533997758291662E-11</v>
      </c>
      <c r="BH27" s="8">
        <f t="shared" si="24"/>
        <v>-2.533997758291662E-11</v>
      </c>
      <c r="BI27" s="8">
        <f t="shared" si="24"/>
        <v>-2.533997758291662E-11</v>
      </c>
      <c r="BJ27" s="8">
        <f t="shared" si="24"/>
        <v>-2.533997758291662E-11</v>
      </c>
      <c r="BK27" s="8">
        <f t="shared" si="24"/>
        <v>-2.533997758291662E-11</v>
      </c>
      <c r="BL27" s="8">
        <f t="shared" si="24"/>
        <v>-2.533997758291662E-11</v>
      </c>
      <c r="BM27" s="8">
        <f t="shared" si="24"/>
        <v>-2.533997758291662E-11</v>
      </c>
      <c r="BN27" s="8">
        <f t="shared" si="24"/>
        <v>-2.533997758291662E-11</v>
      </c>
      <c r="BO27" s="8">
        <f t="shared" si="24"/>
        <v>-2.533997758291662E-11</v>
      </c>
      <c r="BP27" s="8">
        <f t="shared" si="24"/>
        <v>-2.533997758291662E-11</v>
      </c>
      <c r="BQ27" s="8">
        <f t="shared" si="24"/>
        <v>-2.533997758291662E-11</v>
      </c>
      <c r="BR27" s="8">
        <f t="shared" ref="BR27:DA27" si="25">BR25*AVG_PRE_TAX_RATE</f>
        <v>-2.533997758291662E-11</v>
      </c>
      <c r="BS27" s="8">
        <f t="shared" si="25"/>
        <v>-2.533997758291662E-11</v>
      </c>
      <c r="BT27" s="8">
        <f t="shared" si="25"/>
        <v>-2.533997758291662E-11</v>
      </c>
      <c r="BU27" s="8">
        <f t="shared" si="25"/>
        <v>-2.533997758291662E-11</v>
      </c>
      <c r="BV27" s="8">
        <f t="shared" si="25"/>
        <v>-2.533997758291662E-11</v>
      </c>
      <c r="BW27" s="8">
        <f t="shared" si="25"/>
        <v>-2.533997758291662E-11</v>
      </c>
      <c r="BX27" s="8">
        <f t="shared" si="25"/>
        <v>-2.533997758291662E-11</v>
      </c>
      <c r="BY27" s="8">
        <f t="shared" si="25"/>
        <v>-2.533997758291662E-11</v>
      </c>
      <c r="BZ27" s="8">
        <f t="shared" si="25"/>
        <v>-2.533997758291662E-11</v>
      </c>
      <c r="CA27" s="8">
        <f t="shared" si="25"/>
        <v>-2.533997758291662E-11</v>
      </c>
      <c r="CB27" s="8">
        <f t="shared" si="25"/>
        <v>-2.533997758291662E-11</v>
      </c>
      <c r="CC27" s="8">
        <f t="shared" si="25"/>
        <v>-2.533997758291662E-11</v>
      </c>
      <c r="CD27" s="8">
        <f t="shared" si="25"/>
        <v>-2.533997758291662E-11</v>
      </c>
      <c r="CE27" s="8">
        <f t="shared" si="25"/>
        <v>-2.533997758291662E-11</v>
      </c>
      <c r="CF27" s="8">
        <f t="shared" si="25"/>
        <v>-2.533997758291662E-11</v>
      </c>
      <c r="CG27" s="8">
        <f t="shared" si="25"/>
        <v>-2.533997758291662E-11</v>
      </c>
      <c r="CH27" s="8">
        <f t="shared" si="25"/>
        <v>-2.533997758291662E-11</v>
      </c>
      <c r="CI27" s="8">
        <f t="shared" si="25"/>
        <v>-2.533997758291662E-11</v>
      </c>
      <c r="CJ27" s="8">
        <f t="shared" si="25"/>
        <v>-2.533997758291662E-11</v>
      </c>
      <c r="CK27" s="8">
        <f t="shared" si="25"/>
        <v>-2.533997758291662E-11</v>
      </c>
      <c r="CL27" s="8">
        <f t="shared" si="25"/>
        <v>-2.533997758291662E-11</v>
      </c>
      <c r="CM27" s="8">
        <f t="shared" si="25"/>
        <v>-2.533997758291662E-11</v>
      </c>
      <c r="CN27" s="8">
        <f t="shared" si="25"/>
        <v>-2.533997758291662E-11</v>
      </c>
      <c r="CO27" s="8">
        <f t="shared" si="25"/>
        <v>-2.533997758291662E-11</v>
      </c>
      <c r="CP27" s="8">
        <f t="shared" si="25"/>
        <v>-2.533997758291662E-11</v>
      </c>
      <c r="CQ27" s="8">
        <f t="shared" si="25"/>
        <v>-2.533997758291662E-11</v>
      </c>
      <c r="CR27" s="8">
        <f t="shared" si="25"/>
        <v>-2.533997758291662E-11</v>
      </c>
      <c r="CS27" s="8">
        <f t="shared" si="25"/>
        <v>-2.533997758291662E-11</v>
      </c>
      <c r="CT27" s="8">
        <f t="shared" si="25"/>
        <v>-2.533997758291662E-11</v>
      </c>
      <c r="CU27" s="8">
        <f t="shared" si="25"/>
        <v>-2.533997758291662E-11</v>
      </c>
      <c r="CV27" s="8">
        <f t="shared" si="25"/>
        <v>-2.533997758291662E-11</v>
      </c>
      <c r="CW27" s="8">
        <f t="shared" si="25"/>
        <v>-2.533997758291662E-11</v>
      </c>
      <c r="CX27" s="8">
        <f t="shared" si="25"/>
        <v>-2.533997758291662E-11</v>
      </c>
      <c r="CY27" s="8">
        <f t="shared" si="25"/>
        <v>-2.533997758291662E-11</v>
      </c>
      <c r="CZ27" s="8">
        <f t="shared" si="25"/>
        <v>-2.533997758291662E-11</v>
      </c>
      <c r="DA27" s="8">
        <f t="shared" si="25"/>
        <v>-2.533997758291662E-11</v>
      </c>
    </row>
    <row r="30" spans="1:106" x14ac:dyDescent="0.4">
      <c r="C30" s="58" t="str">
        <f>C13</f>
        <v>Investment year in service</v>
      </c>
      <c r="E30" t="str">
        <f>IF(E31&lt;$C31,"",E31-$C31)</f>
        <v/>
      </c>
      <c r="F30">
        <f>IF(F31&lt;$C31,"",F31-$C31)</f>
        <v>0</v>
      </c>
      <c r="G30">
        <f t="shared" ref="G30:BR30" si="26">IF(G31&lt;$C31,"",G31-$C31)</f>
        <v>1</v>
      </c>
      <c r="H30">
        <f t="shared" si="26"/>
        <v>2</v>
      </c>
      <c r="I30">
        <f t="shared" si="26"/>
        <v>3</v>
      </c>
      <c r="J30">
        <f t="shared" si="26"/>
        <v>4</v>
      </c>
      <c r="K30">
        <f t="shared" si="26"/>
        <v>5</v>
      </c>
      <c r="L30">
        <f t="shared" si="26"/>
        <v>6</v>
      </c>
      <c r="M30">
        <f t="shared" si="26"/>
        <v>7</v>
      </c>
      <c r="N30">
        <f t="shared" si="26"/>
        <v>8</v>
      </c>
      <c r="O30">
        <f t="shared" si="26"/>
        <v>9</v>
      </c>
      <c r="P30">
        <f t="shared" si="26"/>
        <v>10</v>
      </c>
      <c r="Q30">
        <f t="shared" si="26"/>
        <v>11</v>
      </c>
      <c r="R30">
        <f t="shared" si="26"/>
        <v>12</v>
      </c>
      <c r="S30">
        <f t="shared" si="26"/>
        <v>13</v>
      </c>
      <c r="T30">
        <f t="shared" si="26"/>
        <v>14</v>
      </c>
      <c r="U30">
        <f t="shared" si="26"/>
        <v>15</v>
      </c>
      <c r="V30">
        <f t="shared" si="26"/>
        <v>16</v>
      </c>
      <c r="W30">
        <f t="shared" si="26"/>
        <v>17</v>
      </c>
      <c r="X30">
        <f t="shared" si="26"/>
        <v>18</v>
      </c>
      <c r="Y30">
        <f t="shared" si="26"/>
        <v>19</v>
      </c>
      <c r="Z30">
        <f t="shared" si="26"/>
        <v>20</v>
      </c>
      <c r="AA30">
        <f t="shared" si="26"/>
        <v>21</v>
      </c>
      <c r="AB30">
        <f t="shared" si="26"/>
        <v>22</v>
      </c>
      <c r="AC30">
        <f t="shared" si="26"/>
        <v>23</v>
      </c>
      <c r="AD30">
        <f t="shared" si="26"/>
        <v>24</v>
      </c>
      <c r="AE30">
        <f t="shared" si="26"/>
        <v>25</v>
      </c>
      <c r="AF30">
        <f t="shared" si="26"/>
        <v>26</v>
      </c>
      <c r="AG30">
        <f t="shared" si="26"/>
        <v>27</v>
      </c>
      <c r="AH30">
        <f t="shared" si="26"/>
        <v>28</v>
      </c>
      <c r="AI30">
        <f t="shared" si="26"/>
        <v>29</v>
      </c>
      <c r="AJ30">
        <f t="shared" si="26"/>
        <v>30</v>
      </c>
      <c r="AK30">
        <f t="shared" si="26"/>
        <v>31</v>
      </c>
      <c r="AL30">
        <f t="shared" si="26"/>
        <v>32</v>
      </c>
      <c r="AM30">
        <f t="shared" si="26"/>
        <v>33</v>
      </c>
      <c r="AN30">
        <f t="shared" si="26"/>
        <v>34</v>
      </c>
      <c r="AO30">
        <f t="shared" si="26"/>
        <v>35</v>
      </c>
      <c r="AP30">
        <f t="shared" si="26"/>
        <v>36</v>
      </c>
      <c r="AQ30">
        <f t="shared" si="26"/>
        <v>37</v>
      </c>
      <c r="AR30">
        <f t="shared" si="26"/>
        <v>38</v>
      </c>
      <c r="AS30">
        <f t="shared" si="26"/>
        <v>39</v>
      </c>
      <c r="AT30">
        <f t="shared" si="26"/>
        <v>40</v>
      </c>
      <c r="AU30">
        <f t="shared" si="26"/>
        <v>41</v>
      </c>
      <c r="AV30">
        <f t="shared" si="26"/>
        <v>42</v>
      </c>
      <c r="AW30">
        <f t="shared" si="26"/>
        <v>43</v>
      </c>
      <c r="AX30">
        <f t="shared" si="26"/>
        <v>44</v>
      </c>
      <c r="AY30">
        <f t="shared" si="26"/>
        <v>45</v>
      </c>
      <c r="AZ30">
        <f t="shared" si="26"/>
        <v>46</v>
      </c>
      <c r="BA30">
        <f t="shared" si="26"/>
        <v>47</v>
      </c>
      <c r="BB30">
        <f t="shared" si="26"/>
        <v>48</v>
      </c>
      <c r="BC30">
        <f t="shared" si="26"/>
        <v>49</v>
      </c>
      <c r="BD30">
        <f t="shared" si="26"/>
        <v>50</v>
      </c>
      <c r="BE30">
        <f t="shared" si="26"/>
        <v>51</v>
      </c>
      <c r="BF30">
        <f t="shared" si="26"/>
        <v>52</v>
      </c>
      <c r="BG30">
        <f t="shared" si="26"/>
        <v>53</v>
      </c>
      <c r="BH30">
        <f t="shared" si="26"/>
        <v>54</v>
      </c>
      <c r="BI30">
        <f t="shared" si="26"/>
        <v>55</v>
      </c>
      <c r="BJ30">
        <f t="shared" si="26"/>
        <v>56</v>
      </c>
      <c r="BK30">
        <f t="shared" si="26"/>
        <v>57</v>
      </c>
      <c r="BL30">
        <f t="shared" si="26"/>
        <v>58</v>
      </c>
      <c r="BM30">
        <f t="shared" si="26"/>
        <v>59</v>
      </c>
      <c r="BN30">
        <f t="shared" si="26"/>
        <v>60</v>
      </c>
      <c r="BO30">
        <f t="shared" si="26"/>
        <v>61</v>
      </c>
      <c r="BP30">
        <f t="shared" si="26"/>
        <v>62</v>
      </c>
      <c r="BQ30">
        <f t="shared" si="26"/>
        <v>63</v>
      </c>
      <c r="BR30">
        <f t="shared" si="26"/>
        <v>64</v>
      </c>
      <c r="BS30">
        <f t="shared" ref="BS30:DA30" si="27">IF(BS31&lt;$C31,"",BS31-$C31)</f>
        <v>65</v>
      </c>
      <c r="BT30">
        <f t="shared" si="27"/>
        <v>66</v>
      </c>
      <c r="BU30">
        <f t="shared" si="27"/>
        <v>67</v>
      </c>
      <c r="BV30">
        <f t="shared" si="27"/>
        <v>68</v>
      </c>
      <c r="BW30">
        <f t="shared" si="27"/>
        <v>69</v>
      </c>
      <c r="BX30">
        <f t="shared" si="27"/>
        <v>70</v>
      </c>
      <c r="BY30">
        <f t="shared" si="27"/>
        <v>71</v>
      </c>
      <c r="BZ30">
        <f t="shared" si="27"/>
        <v>72</v>
      </c>
      <c r="CA30">
        <f t="shared" si="27"/>
        <v>73</v>
      </c>
      <c r="CB30">
        <f t="shared" si="27"/>
        <v>74</v>
      </c>
      <c r="CC30">
        <f t="shared" si="27"/>
        <v>75</v>
      </c>
      <c r="CD30">
        <f t="shared" si="27"/>
        <v>76</v>
      </c>
      <c r="CE30">
        <f t="shared" si="27"/>
        <v>77</v>
      </c>
      <c r="CF30">
        <f t="shared" si="27"/>
        <v>78</v>
      </c>
      <c r="CG30">
        <f t="shared" si="27"/>
        <v>79</v>
      </c>
      <c r="CH30">
        <f t="shared" si="27"/>
        <v>80</v>
      </c>
      <c r="CI30">
        <f t="shared" si="27"/>
        <v>81</v>
      </c>
      <c r="CJ30">
        <f t="shared" si="27"/>
        <v>82</v>
      </c>
      <c r="CK30">
        <f t="shared" si="27"/>
        <v>83</v>
      </c>
      <c r="CL30">
        <f t="shared" si="27"/>
        <v>84</v>
      </c>
      <c r="CM30">
        <f t="shared" si="27"/>
        <v>85</v>
      </c>
      <c r="CN30">
        <f t="shared" si="27"/>
        <v>86</v>
      </c>
      <c r="CO30">
        <f t="shared" si="27"/>
        <v>87</v>
      </c>
      <c r="CP30">
        <f t="shared" si="27"/>
        <v>88</v>
      </c>
      <c r="CQ30">
        <f t="shared" si="27"/>
        <v>89</v>
      </c>
      <c r="CR30">
        <f t="shared" si="27"/>
        <v>90</v>
      </c>
      <c r="CS30">
        <f t="shared" si="27"/>
        <v>91</v>
      </c>
      <c r="CT30">
        <f t="shared" si="27"/>
        <v>92</v>
      </c>
      <c r="CU30">
        <f t="shared" si="27"/>
        <v>93</v>
      </c>
      <c r="CV30">
        <f t="shared" si="27"/>
        <v>94</v>
      </c>
      <c r="CW30">
        <f t="shared" si="27"/>
        <v>95</v>
      </c>
      <c r="CX30">
        <f t="shared" si="27"/>
        <v>96</v>
      </c>
      <c r="CY30">
        <f t="shared" si="27"/>
        <v>97</v>
      </c>
      <c r="CZ30">
        <f t="shared" si="27"/>
        <v>98</v>
      </c>
      <c r="DA30">
        <f t="shared" si="27"/>
        <v>99</v>
      </c>
    </row>
    <row r="31" spans="1:106" x14ac:dyDescent="0.4">
      <c r="A31" s="54" t="s">
        <v>186</v>
      </c>
      <c r="C31">
        <f>C14+1</f>
        <v>2028</v>
      </c>
      <c r="D31" s="5" t="s">
        <v>434</v>
      </c>
      <c r="E31" s="5">
        <v>2027</v>
      </c>
      <c r="F31" s="5">
        <v>2028</v>
      </c>
      <c r="G31" s="5">
        <v>2029</v>
      </c>
      <c r="H31" s="5">
        <v>2030</v>
      </c>
      <c r="I31" s="5">
        <v>2031</v>
      </c>
      <c r="J31" s="5">
        <v>2032</v>
      </c>
      <c r="K31" s="5">
        <v>2033</v>
      </c>
      <c r="L31" s="5">
        <v>2034</v>
      </c>
      <c r="M31" s="5">
        <v>2035</v>
      </c>
      <c r="N31" s="5">
        <v>2036</v>
      </c>
      <c r="O31" s="5">
        <v>2037</v>
      </c>
      <c r="P31" s="5">
        <v>2038</v>
      </c>
      <c r="Q31" s="5">
        <v>2039</v>
      </c>
      <c r="R31" s="5">
        <v>2040</v>
      </c>
      <c r="S31" s="5">
        <v>2041</v>
      </c>
      <c r="T31" s="5">
        <v>2042</v>
      </c>
      <c r="U31" s="5">
        <v>2043</v>
      </c>
      <c r="V31" s="5">
        <v>2044</v>
      </c>
      <c r="W31" s="5">
        <v>2045</v>
      </c>
      <c r="X31" s="5">
        <v>2046</v>
      </c>
      <c r="Y31" s="5">
        <v>2047</v>
      </c>
      <c r="Z31" s="5">
        <v>2048</v>
      </c>
      <c r="AA31" s="5">
        <v>2049</v>
      </c>
      <c r="AB31" s="5">
        <v>2050</v>
      </c>
      <c r="AC31" s="5">
        <v>2051</v>
      </c>
      <c r="AD31" s="5">
        <v>2052</v>
      </c>
      <c r="AE31" s="5">
        <v>2053</v>
      </c>
      <c r="AF31" s="5">
        <v>2054</v>
      </c>
      <c r="AG31" s="5">
        <v>2055</v>
      </c>
      <c r="AH31" s="5">
        <v>2056</v>
      </c>
      <c r="AI31" s="5">
        <v>2057</v>
      </c>
      <c r="AJ31" s="5">
        <v>2058</v>
      </c>
      <c r="AK31" s="5">
        <v>2059</v>
      </c>
      <c r="AL31" s="5">
        <v>2060</v>
      </c>
      <c r="AM31" s="5">
        <v>2061</v>
      </c>
      <c r="AN31" s="5">
        <v>2062</v>
      </c>
      <c r="AO31" s="5">
        <v>2063</v>
      </c>
      <c r="AP31" s="5">
        <v>2064</v>
      </c>
      <c r="AQ31" s="5">
        <v>2065</v>
      </c>
      <c r="AR31" s="5">
        <v>2066</v>
      </c>
      <c r="AS31" s="5">
        <v>2067</v>
      </c>
      <c r="AT31" s="5">
        <v>2068</v>
      </c>
      <c r="AU31" s="5">
        <v>2069</v>
      </c>
      <c r="AV31" s="5">
        <v>2070</v>
      </c>
      <c r="AW31" s="5">
        <v>2071</v>
      </c>
      <c r="AX31" s="5">
        <v>2072</v>
      </c>
      <c r="AY31" s="5">
        <v>2073</v>
      </c>
      <c r="AZ31" s="5">
        <v>2074</v>
      </c>
      <c r="BA31" s="5">
        <v>2075</v>
      </c>
      <c r="BB31" s="5">
        <v>2076</v>
      </c>
      <c r="BC31" s="5">
        <v>2077</v>
      </c>
      <c r="BD31" s="5">
        <v>2078</v>
      </c>
      <c r="BE31" s="5">
        <v>2079</v>
      </c>
      <c r="BF31" s="5">
        <v>2080</v>
      </c>
      <c r="BG31" s="5">
        <v>2081</v>
      </c>
      <c r="BH31" s="5">
        <v>2082</v>
      </c>
      <c r="BI31" s="5">
        <v>2083</v>
      </c>
      <c r="BJ31" s="5">
        <v>2084</v>
      </c>
      <c r="BK31" s="5">
        <v>2085</v>
      </c>
      <c r="BL31" s="5">
        <v>2086</v>
      </c>
      <c r="BM31" s="5">
        <v>2087</v>
      </c>
      <c r="BN31" s="5">
        <v>2088</v>
      </c>
      <c r="BO31" s="5">
        <v>2089</v>
      </c>
      <c r="BP31" s="5">
        <v>2090</v>
      </c>
      <c r="BQ31" s="5">
        <v>2091</v>
      </c>
      <c r="BR31" s="5">
        <v>2092</v>
      </c>
      <c r="BS31" s="5">
        <v>2093</v>
      </c>
      <c r="BT31" s="5">
        <v>2094</v>
      </c>
      <c r="BU31" s="5">
        <v>2095</v>
      </c>
      <c r="BV31" s="5">
        <v>2096</v>
      </c>
      <c r="BW31" s="5">
        <v>2097</v>
      </c>
      <c r="BX31" s="5">
        <v>2098</v>
      </c>
      <c r="BY31" s="5">
        <v>2099</v>
      </c>
      <c r="BZ31" s="5">
        <v>2100</v>
      </c>
      <c r="CA31" s="5">
        <v>2101</v>
      </c>
      <c r="CB31" s="5">
        <v>2102</v>
      </c>
      <c r="CC31" s="5">
        <v>2103</v>
      </c>
      <c r="CD31" s="5">
        <v>2104</v>
      </c>
      <c r="CE31" s="5">
        <v>2105</v>
      </c>
      <c r="CF31" s="5">
        <v>2106</v>
      </c>
      <c r="CG31" s="5">
        <v>2107</v>
      </c>
      <c r="CH31" s="5">
        <v>2108</v>
      </c>
      <c r="CI31" s="5">
        <v>2109</v>
      </c>
      <c r="CJ31" s="5">
        <v>2110</v>
      </c>
      <c r="CK31" s="5">
        <v>2111</v>
      </c>
      <c r="CL31" s="5">
        <v>2112</v>
      </c>
      <c r="CM31" s="5">
        <v>2113</v>
      </c>
      <c r="CN31" s="5">
        <v>2114</v>
      </c>
      <c r="CO31" s="5">
        <v>2115</v>
      </c>
      <c r="CP31" s="5">
        <v>2116</v>
      </c>
      <c r="CQ31" s="5">
        <v>2117</v>
      </c>
      <c r="CR31" s="5">
        <v>2118</v>
      </c>
      <c r="CS31" s="5">
        <v>2119</v>
      </c>
      <c r="CT31" s="5">
        <v>2120</v>
      </c>
      <c r="CU31" s="5">
        <v>2121</v>
      </c>
      <c r="CV31" s="5">
        <v>2122</v>
      </c>
      <c r="CW31" s="5">
        <v>2123</v>
      </c>
      <c r="CX31" s="5">
        <v>2124</v>
      </c>
      <c r="CY31" s="5">
        <v>2125</v>
      </c>
      <c r="CZ31" s="5">
        <v>2126</v>
      </c>
      <c r="DA31" s="5">
        <v>2127</v>
      </c>
    </row>
    <row r="32" spans="1:106" x14ac:dyDescent="0.4">
      <c r="A32" s="45">
        <f>SUM(F32:DA32)</f>
        <v>3049940.4963999991</v>
      </c>
      <c r="D32" t="s">
        <v>207</v>
      </c>
      <c r="G32" s="8">
        <f>IF(G$13&lt;=$B$3,G33/$B$3,0)</f>
        <v>60998.809928000002</v>
      </c>
      <c r="H32" s="8">
        <f>IF(H30&lt;=$B$3,G32,0)</f>
        <v>60998.809928000002</v>
      </c>
      <c r="I32" s="8">
        <f t="shared" ref="I32:BT32" si="28">IF(I30&lt;=$B$3,H32,0)</f>
        <v>60998.809928000002</v>
      </c>
      <c r="J32" s="8">
        <f t="shared" si="28"/>
        <v>60998.809928000002</v>
      </c>
      <c r="K32" s="8">
        <f t="shared" si="28"/>
        <v>60998.809928000002</v>
      </c>
      <c r="L32" s="8">
        <f t="shared" si="28"/>
        <v>60998.809928000002</v>
      </c>
      <c r="M32" s="8">
        <f t="shared" si="28"/>
        <v>60998.809928000002</v>
      </c>
      <c r="N32" s="8">
        <f t="shared" si="28"/>
        <v>60998.809928000002</v>
      </c>
      <c r="O32" s="8">
        <f t="shared" si="28"/>
        <v>60998.809928000002</v>
      </c>
      <c r="P32" s="8">
        <f t="shared" si="28"/>
        <v>60998.809928000002</v>
      </c>
      <c r="Q32" s="8">
        <f t="shared" si="28"/>
        <v>60998.809928000002</v>
      </c>
      <c r="R32" s="8">
        <f t="shared" si="28"/>
        <v>60998.809928000002</v>
      </c>
      <c r="S32" s="8">
        <f t="shared" si="28"/>
        <v>60998.809928000002</v>
      </c>
      <c r="T32" s="8">
        <f t="shared" si="28"/>
        <v>60998.809928000002</v>
      </c>
      <c r="U32" s="8">
        <f t="shared" si="28"/>
        <v>60998.809928000002</v>
      </c>
      <c r="V32" s="8">
        <f t="shared" si="28"/>
        <v>60998.809928000002</v>
      </c>
      <c r="W32" s="8">
        <f t="shared" si="28"/>
        <v>60998.809928000002</v>
      </c>
      <c r="X32" s="8">
        <f t="shared" si="28"/>
        <v>60998.809928000002</v>
      </c>
      <c r="Y32" s="8">
        <f t="shared" si="28"/>
        <v>60998.809928000002</v>
      </c>
      <c r="Z32" s="8">
        <f t="shared" si="28"/>
        <v>60998.809928000002</v>
      </c>
      <c r="AA32" s="8">
        <f t="shared" si="28"/>
        <v>60998.809928000002</v>
      </c>
      <c r="AB32" s="8">
        <f t="shared" si="28"/>
        <v>60998.809928000002</v>
      </c>
      <c r="AC32" s="8">
        <f t="shared" si="28"/>
        <v>60998.809928000002</v>
      </c>
      <c r="AD32" s="8">
        <f t="shared" si="28"/>
        <v>60998.809928000002</v>
      </c>
      <c r="AE32" s="8">
        <f t="shared" si="28"/>
        <v>60998.809928000002</v>
      </c>
      <c r="AF32" s="8">
        <f t="shared" si="28"/>
        <v>60998.809928000002</v>
      </c>
      <c r="AG32" s="8">
        <f t="shared" si="28"/>
        <v>60998.809928000002</v>
      </c>
      <c r="AH32" s="8">
        <f t="shared" si="28"/>
        <v>60998.809928000002</v>
      </c>
      <c r="AI32" s="8">
        <f t="shared" si="28"/>
        <v>60998.809928000002</v>
      </c>
      <c r="AJ32" s="8">
        <f t="shared" si="28"/>
        <v>60998.809928000002</v>
      </c>
      <c r="AK32" s="8">
        <f t="shared" si="28"/>
        <v>60998.809928000002</v>
      </c>
      <c r="AL32" s="8">
        <f t="shared" si="28"/>
        <v>60998.809928000002</v>
      </c>
      <c r="AM32" s="8">
        <f t="shared" si="28"/>
        <v>60998.809928000002</v>
      </c>
      <c r="AN32" s="8">
        <f t="shared" si="28"/>
        <v>60998.809928000002</v>
      </c>
      <c r="AO32" s="8">
        <f t="shared" si="28"/>
        <v>60998.809928000002</v>
      </c>
      <c r="AP32" s="8">
        <f t="shared" si="28"/>
        <v>60998.809928000002</v>
      </c>
      <c r="AQ32" s="8">
        <f t="shared" si="28"/>
        <v>60998.809928000002</v>
      </c>
      <c r="AR32" s="8">
        <f t="shared" si="28"/>
        <v>60998.809928000002</v>
      </c>
      <c r="AS32" s="8">
        <f t="shared" si="28"/>
        <v>60998.809928000002</v>
      </c>
      <c r="AT32" s="8">
        <f t="shared" si="28"/>
        <v>60998.809928000002</v>
      </c>
      <c r="AU32" s="8">
        <f t="shared" si="28"/>
        <v>60998.809928000002</v>
      </c>
      <c r="AV32" s="8">
        <f t="shared" si="28"/>
        <v>60998.809928000002</v>
      </c>
      <c r="AW32" s="8">
        <f t="shared" si="28"/>
        <v>60998.809928000002</v>
      </c>
      <c r="AX32" s="8">
        <f t="shared" si="28"/>
        <v>60998.809928000002</v>
      </c>
      <c r="AY32" s="8">
        <f t="shared" si="28"/>
        <v>60998.809928000002</v>
      </c>
      <c r="AZ32" s="8">
        <f t="shared" si="28"/>
        <v>60998.809928000002</v>
      </c>
      <c r="BA32" s="8">
        <f t="shared" si="28"/>
        <v>60998.809928000002</v>
      </c>
      <c r="BB32" s="8">
        <f t="shared" si="28"/>
        <v>60998.809928000002</v>
      </c>
      <c r="BC32" s="8">
        <f t="shared" si="28"/>
        <v>60998.809928000002</v>
      </c>
      <c r="BD32" s="8">
        <f t="shared" si="28"/>
        <v>60998.809928000002</v>
      </c>
      <c r="BE32" s="8">
        <f t="shared" si="28"/>
        <v>0</v>
      </c>
      <c r="BF32" s="8">
        <f t="shared" si="28"/>
        <v>0</v>
      </c>
      <c r="BG32" s="8">
        <f t="shared" si="28"/>
        <v>0</v>
      </c>
      <c r="BH32" s="8">
        <f t="shared" si="28"/>
        <v>0</v>
      </c>
      <c r="BI32" s="8">
        <f t="shared" si="28"/>
        <v>0</v>
      </c>
      <c r="BJ32" s="8">
        <f t="shared" si="28"/>
        <v>0</v>
      </c>
      <c r="BK32" s="8">
        <f t="shared" si="28"/>
        <v>0</v>
      </c>
      <c r="BL32" s="8">
        <f t="shared" si="28"/>
        <v>0</v>
      </c>
      <c r="BM32" s="8">
        <f t="shared" si="28"/>
        <v>0</v>
      </c>
      <c r="BN32" s="8">
        <f t="shared" si="28"/>
        <v>0</v>
      </c>
      <c r="BO32" s="8">
        <f t="shared" si="28"/>
        <v>0</v>
      </c>
      <c r="BP32" s="8">
        <f t="shared" si="28"/>
        <v>0</v>
      </c>
      <c r="BQ32" s="8">
        <f t="shared" si="28"/>
        <v>0</v>
      </c>
      <c r="BR32" s="8">
        <f t="shared" si="28"/>
        <v>0</v>
      </c>
      <c r="BS32" s="8">
        <f t="shared" si="28"/>
        <v>0</v>
      </c>
      <c r="BT32" s="8">
        <f t="shared" si="28"/>
        <v>0</v>
      </c>
      <c r="BU32" s="8">
        <f t="shared" ref="BU32:DA32" si="29">IF(BU30&lt;=$B$3,BT32,0)</f>
        <v>0</v>
      </c>
      <c r="BV32" s="8">
        <f t="shared" si="29"/>
        <v>0</v>
      </c>
      <c r="BW32" s="8">
        <f t="shared" si="29"/>
        <v>0</v>
      </c>
      <c r="BX32" s="8">
        <f t="shared" si="29"/>
        <v>0</v>
      </c>
      <c r="BY32" s="8">
        <f t="shared" si="29"/>
        <v>0</v>
      </c>
      <c r="BZ32" s="8">
        <f t="shared" si="29"/>
        <v>0</v>
      </c>
      <c r="CA32" s="8">
        <f t="shared" si="29"/>
        <v>0</v>
      </c>
      <c r="CB32" s="8">
        <f t="shared" si="29"/>
        <v>0</v>
      </c>
      <c r="CC32" s="8">
        <f t="shared" si="29"/>
        <v>0</v>
      </c>
      <c r="CD32" s="8">
        <f t="shared" si="29"/>
        <v>0</v>
      </c>
      <c r="CE32" s="8">
        <f t="shared" si="29"/>
        <v>0</v>
      </c>
      <c r="CF32" s="8">
        <f t="shared" si="29"/>
        <v>0</v>
      </c>
      <c r="CG32" s="8">
        <f t="shared" si="29"/>
        <v>0</v>
      </c>
      <c r="CH32" s="8">
        <f t="shared" si="29"/>
        <v>0</v>
      </c>
      <c r="CI32" s="8">
        <f t="shared" si="29"/>
        <v>0</v>
      </c>
      <c r="CJ32" s="8">
        <f t="shared" si="29"/>
        <v>0</v>
      </c>
      <c r="CK32" s="8">
        <f t="shared" si="29"/>
        <v>0</v>
      </c>
      <c r="CL32" s="8">
        <f t="shared" si="29"/>
        <v>0</v>
      </c>
      <c r="CM32" s="8">
        <f t="shared" si="29"/>
        <v>0</v>
      </c>
      <c r="CN32" s="8">
        <f t="shared" si="29"/>
        <v>0</v>
      </c>
      <c r="CO32" s="8">
        <f t="shared" si="29"/>
        <v>0</v>
      </c>
      <c r="CP32" s="8">
        <f t="shared" si="29"/>
        <v>0</v>
      </c>
      <c r="CQ32" s="8">
        <f t="shared" si="29"/>
        <v>0</v>
      </c>
      <c r="CR32" s="8">
        <f t="shared" si="29"/>
        <v>0</v>
      </c>
      <c r="CS32" s="8">
        <f t="shared" si="29"/>
        <v>0</v>
      </c>
      <c r="CT32" s="8">
        <f t="shared" si="29"/>
        <v>0</v>
      </c>
      <c r="CU32" s="8">
        <f t="shared" si="29"/>
        <v>0</v>
      </c>
      <c r="CV32" s="8">
        <f t="shared" si="29"/>
        <v>0</v>
      </c>
      <c r="CW32" s="8">
        <f t="shared" si="29"/>
        <v>0</v>
      </c>
      <c r="CX32" s="8">
        <f t="shared" si="29"/>
        <v>0</v>
      </c>
      <c r="CY32" s="8">
        <f t="shared" si="29"/>
        <v>0</v>
      </c>
      <c r="CZ32" s="8">
        <f t="shared" si="29"/>
        <v>0</v>
      </c>
      <c r="DA32" s="8">
        <f t="shared" si="29"/>
        <v>0</v>
      </c>
      <c r="DB32" s="8"/>
    </row>
    <row r="33" spans="1:106" x14ac:dyDescent="0.4">
      <c r="A33" s="82"/>
      <c r="D33" t="s">
        <v>154</v>
      </c>
      <c r="F33" s="8">
        <f>HLOOKUP(G31,$F$3:$O$10,7,0)</f>
        <v>3049940.4964000001</v>
      </c>
      <c r="G33" s="8">
        <f>IF(ROUND(F34,4)=-ROUND(F33,4),0,F33)</f>
        <v>3049940.4964000001</v>
      </c>
      <c r="H33" s="8">
        <f t="shared" ref="H33:BS33" si="30">IF(ROUND(G34,4)=-ROUND(G33,4),0,G33)</f>
        <v>3049940.4964000001</v>
      </c>
      <c r="I33" s="8">
        <f t="shared" si="30"/>
        <v>3049940.4964000001</v>
      </c>
      <c r="J33" s="8">
        <f t="shared" si="30"/>
        <v>3049940.4964000001</v>
      </c>
      <c r="K33" s="8">
        <f t="shared" si="30"/>
        <v>3049940.4964000001</v>
      </c>
      <c r="L33" s="8">
        <f t="shared" si="30"/>
        <v>3049940.4964000001</v>
      </c>
      <c r="M33" s="8">
        <f t="shared" si="30"/>
        <v>3049940.4964000001</v>
      </c>
      <c r="N33" s="8">
        <f t="shared" si="30"/>
        <v>3049940.4964000001</v>
      </c>
      <c r="O33" s="8">
        <f t="shared" si="30"/>
        <v>3049940.4964000001</v>
      </c>
      <c r="P33" s="8">
        <f t="shared" si="30"/>
        <v>3049940.4964000001</v>
      </c>
      <c r="Q33" s="8">
        <f t="shared" si="30"/>
        <v>3049940.4964000001</v>
      </c>
      <c r="R33" s="8">
        <f t="shared" si="30"/>
        <v>3049940.4964000001</v>
      </c>
      <c r="S33" s="8">
        <f t="shared" si="30"/>
        <v>3049940.4964000001</v>
      </c>
      <c r="T33" s="8">
        <f t="shared" si="30"/>
        <v>3049940.4964000001</v>
      </c>
      <c r="U33" s="8">
        <f t="shared" si="30"/>
        <v>3049940.4964000001</v>
      </c>
      <c r="V33" s="8">
        <f t="shared" si="30"/>
        <v>3049940.4964000001</v>
      </c>
      <c r="W33" s="8">
        <f t="shared" si="30"/>
        <v>3049940.4964000001</v>
      </c>
      <c r="X33" s="8">
        <f t="shared" si="30"/>
        <v>3049940.4964000001</v>
      </c>
      <c r="Y33" s="8">
        <f t="shared" si="30"/>
        <v>3049940.4964000001</v>
      </c>
      <c r="Z33" s="8">
        <f t="shared" si="30"/>
        <v>3049940.4964000001</v>
      </c>
      <c r="AA33" s="8">
        <f t="shared" si="30"/>
        <v>3049940.4964000001</v>
      </c>
      <c r="AB33" s="8">
        <f t="shared" si="30"/>
        <v>3049940.4964000001</v>
      </c>
      <c r="AC33" s="8">
        <f t="shared" si="30"/>
        <v>3049940.4964000001</v>
      </c>
      <c r="AD33" s="8">
        <f t="shared" si="30"/>
        <v>3049940.4964000001</v>
      </c>
      <c r="AE33" s="8">
        <f t="shared" si="30"/>
        <v>3049940.4964000001</v>
      </c>
      <c r="AF33" s="8">
        <f t="shared" si="30"/>
        <v>3049940.4964000001</v>
      </c>
      <c r="AG33" s="8">
        <f t="shared" si="30"/>
        <v>3049940.4964000001</v>
      </c>
      <c r="AH33" s="8">
        <f t="shared" si="30"/>
        <v>3049940.4964000001</v>
      </c>
      <c r="AI33" s="8">
        <f t="shared" si="30"/>
        <v>3049940.4964000001</v>
      </c>
      <c r="AJ33" s="8">
        <f t="shared" si="30"/>
        <v>3049940.4964000001</v>
      </c>
      <c r="AK33" s="8">
        <f t="shared" si="30"/>
        <v>3049940.4964000001</v>
      </c>
      <c r="AL33" s="8">
        <f t="shared" si="30"/>
        <v>3049940.4964000001</v>
      </c>
      <c r="AM33" s="8">
        <f t="shared" si="30"/>
        <v>3049940.4964000001</v>
      </c>
      <c r="AN33" s="8">
        <f t="shared" si="30"/>
        <v>3049940.4964000001</v>
      </c>
      <c r="AO33" s="8">
        <f t="shared" si="30"/>
        <v>3049940.4964000001</v>
      </c>
      <c r="AP33" s="8">
        <f t="shared" si="30"/>
        <v>3049940.4964000001</v>
      </c>
      <c r="AQ33" s="8">
        <f t="shared" si="30"/>
        <v>3049940.4964000001</v>
      </c>
      <c r="AR33" s="8">
        <f t="shared" si="30"/>
        <v>3049940.4964000001</v>
      </c>
      <c r="AS33" s="8">
        <f t="shared" si="30"/>
        <v>3049940.4964000001</v>
      </c>
      <c r="AT33" s="8">
        <f t="shared" si="30"/>
        <v>3049940.4964000001</v>
      </c>
      <c r="AU33" s="8">
        <f t="shared" si="30"/>
        <v>3049940.4964000001</v>
      </c>
      <c r="AV33" s="8">
        <f t="shared" si="30"/>
        <v>3049940.4964000001</v>
      </c>
      <c r="AW33" s="8">
        <f t="shared" si="30"/>
        <v>3049940.4964000001</v>
      </c>
      <c r="AX33" s="8">
        <f t="shared" si="30"/>
        <v>3049940.4964000001</v>
      </c>
      <c r="AY33" s="8">
        <f t="shared" si="30"/>
        <v>3049940.4964000001</v>
      </c>
      <c r="AZ33" s="8">
        <f t="shared" si="30"/>
        <v>3049940.4964000001</v>
      </c>
      <c r="BA33" s="8">
        <f t="shared" si="30"/>
        <v>3049940.4964000001</v>
      </c>
      <c r="BB33" s="8">
        <f t="shared" si="30"/>
        <v>3049940.4964000001</v>
      </c>
      <c r="BC33" s="8">
        <f t="shared" si="30"/>
        <v>3049940.4964000001</v>
      </c>
      <c r="BD33" s="8">
        <f t="shared" si="30"/>
        <v>3049940.4964000001</v>
      </c>
      <c r="BE33" s="8">
        <f t="shared" si="30"/>
        <v>0</v>
      </c>
      <c r="BF33" s="8">
        <f t="shared" si="30"/>
        <v>0</v>
      </c>
      <c r="BG33" s="8">
        <f t="shared" si="30"/>
        <v>0</v>
      </c>
      <c r="BH33" s="8">
        <f t="shared" si="30"/>
        <v>0</v>
      </c>
      <c r="BI33" s="8">
        <f t="shared" si="30"/>
        <v>0</v>
      </c>
      <c r="BJ33" s="8">
        <f t="shared" si="30"/>
        <v>0</v>
      </c>
      <c r="BK33" s="8">
        <f t="shared" si="30"/>
        <v>0</v>
      </c>
      <c r="BL33" s="8">
        <f t="shared" si="30"/>
        <v>0</v>
      </c>
      <c r="BM33" s="8">
        <f t="shared" si="30"/>
        <v>0</v>
      </c>
      <c r="BN33" s="8">
        <f t="shared" si="30"/>
        <v>0</v>
      </c>
      <c r="BO33" s="8">
        <f t="shared" si="30"/>
        <v>0</v>
      </c>
      <c r="BP33" s="8">
        <f t="shared" si="30"/>
        <v>0</v>
      </c>
      <c r="BQ33" s="8">
        <f t="shared" si="30"/>
        <v>0</v>
      </c>
      <c r="BR33" s="8">
        <f t="shared" si="30"/>
        <v>0</v>
      </c>
      <c r="BS33" s="8">
        <f t="shared" si="30"/>
        <v>0</v>
      </c>
      <c r="BT33" s="8">
        <f t="shared" ref="BT33:DA33" si="31">IF(ROUND(BS34,4)=-ROUND(BS33,4),0,BS33)</f>
        <v>0</v>
      </c>
      <c r="BU33" s="8">
        <f t="shared" si="31"/>
        <v>0</v>
      </c>
      <c r="BV33" s="8">
        <f t="shared" si="31"/>
        <v>0</v>
      </c>
      <c r="BW33" s="8">
        <f t="shared" si="31"/>
        <v>0</v>
      </c>
      <c r="BX33" s="8">
        <f t="shared" si="31"/>
        <v>0</v>
      </c>
      <c r="BY33" s="8">
        <f t="shared" si="31"/>
        <v>0</v>
      </c>
      <c r="BZ33" s="8">
        <f t="shared" si="31"/>
        <v>0</v>
      </c>
      <c r="CA33" s="8">
        <f t="shared" si="31"/>
        <v>0</v>
      </c>
      <c r="CB33" s="8">
        <f t="shared" si="31"/>
        <v>0</v>
      </c>
      <c r="CC33" s="8">
        <f t="shared" si="31"/>
        <v>0</v>
      </c>
      <c r="CD33" s="8">
        <f t="shared" si="31"/>
        <v>0</v>
      </c>
      <c r="CE33" s="8">
        <f t="shared" si="31"/>
        <v>0</v>
      </c>
      <c r="CF33" s="8">
        <f t="shared" si="31"/>
        <v>0</v>
      </c>
      <c r="CG33" s="8">
        <f t="shared" si="31"/>
        <v>0</v>
      </c>
      <c r="CH33" s="8">
        <f t="shared" si="31"/>
        <v>0</v>
      </c>
      <c r="CI33" s="8">
        <f t="shared" si="31"/>
        <v>0</v>
      </c>
      <c r="CJ33" s="8">
        <f t="shared" si="31"/>
        <v>0</v>
      </c>
      <c r="CK33" s="8">
        <f t="shared" si="31"/>
        <v>0</v>
      </c>
      <c r="CL33" s="8">
        <f t="shared" si="31"/>
        <v>0</v>
      </c>
      <c r="CM33" s="8">
        <f t="shared" si="31"/>
        <v>0</v>
      </c>
      <c r="CN33" s="8">
        <f t="shared" si="31"/>
        <v>0</v>
      </c>
      <c r="CO33" s="8">
        <f t="shared" si="31"/>
        <v>0</v>
      </c>
      <c r="CP33" s="8">
        <f t="shared" si="31"/>
        <v>0</v>
      </c>
      <c r="CQ33" s="8">
        <f t="shared" si="31"/>
        <v>0</v>
      </c>
      <c r="CR33" s="8">
        <f t="shared" si="31"/>
        <v>0</v>
      </c>
      <c r="CS33" s="8">
        <f t="shared" si="31"/>
        <v>0</v>
      </c>
      <c r="CT33" s="8">
        <f t="shared" si="31"/>
        <v>0</v>
      </c>
      <c r="CU33" s="8">
        <f t="shared" si="31"/>
        <v>0</v>
      </c>
      <c r="CV33" s="8">
        <f t="shared" si="31"/>
        <v>0</v>
      </c>
      <c r="CW33" s="8">
        <f t="shared" si="31"/>
        <v>0</v>
      </c>
      <c r="CX33" s="8">
        <f t="shared" si="31"/>
        <v>0</v>
      </c>
      <c r="CY33" s="8">
        <f t="shared" si="31"/>
        <v>0</v>
      </c>
      <c r="CZ33" s="8">
        <f t="shared" si="31"/>
        <v>0</v>
      </c>
      <c r="DA33" s="8">
        <f t="shared" si="31"/>
        <v>0</v>
      </c>
      <c r="DB33" s="8"/>
    </row>
    <row r="34" spans="1:106" x14ac:dyDescent="0.4">
      <c r="D34" t="s">
        <v>208</v>
      </c>
      <c r="E34" s="8"/>
      <c r="F34" s="8"/>
      <c r="G34" s="8">
        <f>IF(G30&lt;=$B$3,-SUM($E32:G32),0)</f>
        <v>-60998.809928000002</v>
      </c>
      <c r="H34" s="8">
        <f>IF(H30&lt;=$B$3,-SUM($E32:H32),0)</f>
        <v>-121997.619856</v>
      </c>
      <c r="I34" s="8">
        <f>IF(I30&lt;=$B$3,-SUM($E32:I32),0)</f>
        <v>-182996.42978400001</v>
      </c>
      <c r="J34" s="8">
        <f>IF(J30&lt;=$B$3,-SUM($E32:J32),0)</f>
        <v>-243995.23971200001</v>
      </c>
      <c r="K34" s="8">
        <f>IF(K30&lt;=$B$3,-SUM($E32:K32),0)</f>
        <v>-304994.04963999998</v>
      </c>
      <c r="L34" s="8">
        <f>IF(L30&lt;=$B$3,-SUM($E32:L32),0)</f>
        <v>-365992.85956799996</v>
      </c>
      <c r="M34" s="8">
        <f>IF(M30&lt;=$B$3,-SUM($E32:M32),0)</f>
        <v>-426991.66949599993</v>
      </c>
      <c r="N34" s="8">
        <f>IF(N30&lt;=$B$3,-SUM($E32:N32),0)</f>
        <v>-487990.4794239999</v>
      </c>
      <c r="O34" s="8">
        <f>IF(O30&lt;=$B$3,-SUM($E32:O32),0)</f>
        <v>-548989.28935199988</v>
      </c>
      <c r="P34" s="8">
        <f>IF(P30&lt;=$B$3,-SUM($E32:P32),0)</f>
        <v>-609988.09927999985</v>
      </c>
      <c r="Q34" s="8">
        <f>IF(Q30&lt;=$B$3,-SUM($E32:Q32),0)</f>
        <v>-670986.90920799982</v>
      </c>
      <c r="R34" s="8">
        <f>IF(R30&lt;=$B$3,-SUM($E32:R32),0)</f>
        <v>-731985.7191359998</v>
      </c>
      <c r="S34" s="8">
        <f>IF(S30&lt;=$B$3,-SUM($E32:S32),0)</f>
        <v>-792984.52906399977</v>
      </c>
      <c r="T34" s="8">
        <f>IF(T30&lt;=$B$3,-SUM($E32:T32),0)</f>
        <v>-853983.33899199974</v>
      </c>
      <c r="U34" s="8">
        <f>IF(U30&lt;=$B$3,-SUM($E32:U32),0)</f>
        <v>-914982.14891999972</v>
      </c>
      <c r="V34" s="8">
        <f>IF(V30&lt;=$B$3,-SUM($E32:V32),0)</f>
        <v>-975980.95884799969</v>
      </c>
      <c r="W34" s="8">
        <f>IF(W30&lt;=$B$3,-SUM($E32:W32),0)</f>
        <v>-1036979.7687759997</v>
      </c>
      <c r="X34" s="8">
        <f>IF(X30&lt;=$B$3,-SUM($E32:X32),0)</f>
        <v>-1097978.5787039998</v>
      </c>
      <c r="Y34" s="8">
        <f>IF(Y30&lt;=$B$3,-SUM($E32:Y32),0)</f>
        <v>-1158977.3886319997</v>
      </c>
      <c r="Z34" s="8">
        <f>IF(Z30&lt;=$B$3,-SUM($E32:Z32),0)</f>
        <v>-1219976.1985599997</v>
      </c>
      <c r="AA34" s="8">
        <f>IF(AA30&lt;=$B$3,-SUM($E32:AA32),0)</f>
        <v>-1280975.0084879997</v>
      </c>
      <c r="AB34" s="8">
        <f>IF(AB30&lt;=$B$3,-SUM($E32:AB32),0)</f>
        <v>-1341973.8184159996</v>
      </c>
      <c r="AC34" s="8">
        <f>IF(AC30&lt;=$B$3,-SUM($E32:AC32),0)</f>
        <v>-1402972.6283439996</v>
      </c>
      <c r="AD34" s="8">
        <f>IF(AD30&lt;=$B$3,-SUM($E32:AD32),0)</f>
        <v>-1463971.4382719996</v>
      </c>
      <c r="AE34" s="8">
        <f>IF(AE30&lt;=$B$3,-SUM($E32:AE32),0)</f>
        <v>-1524970.2481999996</v>
      </c>
      <c r="AF34" s="8">
        <f>IF(AF30&lt;=$B$3,-SUM($E32:AF32),0)</f>
        <v>-1585969.0581279995</v>
      </c>
      <c r="AG34" s="8">
        <f>IF(AG30&lt;=$B$3,-SUM($E32:AG32),0)</f>
        <v>-1646967.8680559995</v>
      </c>
      <c r="AH34" s="8">
        <f>IF(AH30&lt;=$B$3,-SUM($E32:AH32),0)</f>
        <v>-1707966.6779839995</v>
      </c>
      <c r="AI34" s="8">
        <f>IF(AI30&lt;=$B$3,-SUM($E32:AI32),0)</f>
        <v>-1768965.4879119995</v>
      </c>
      <c r="AJ34" s="8">
        <f>IF(AJ30&lt;=$B$3,-SUM($E32:AJ32),0)</f>
        <v>-1829964.2978399994</v>
      </c>
      <c r="AK34" s="8">
        <f>IF(AK30&lt;=$B$3,-SUM($E32:AK32),0)</f>
        <v>-1890963.1077679994</v>
      </c>
      <c r="AL34" s="8">
        <f>IF(AL30&lt;=$B$3,-SUM($E32:AL32),0)</f>
        <v>-1951961.9176959994</v>
      </c>
      <c r="AM34" s="8">
        <f>IF(AM30&lt;=$B$3,-SUM($E32:AM32),0)</f>
        <v>-2012960.7276239994</v>
      </c>
      <c r="AN34" s="8">
        <f>IF(AN30&lt;=$B$3,-SUM($E32:AN32),0)</f>
        <v>-2073959.5375519993</v>
      </c>
      <c r="AO34" s="8">
        <f>IF(AO30&lt;=$B$3,-SUM($E32:AO32),0)</f>
        <v>-2134958.3474799995</v>
      </c>
      <c r="AP34" s="8">
        <f>IF(AP30&lt;=$B$3,-SUM($E32:AP32),0)</f>
        <v>-2195957.1574079995</v>
      </c>
      <c r="AQ34" s="8">
        <f>IF(AQ30&lt;=$B$3,-SUM($E32:AQ32),0)</f>
        <v>-2256955.9673359995</v>
      </c>
      <c r="AR34" s="8">
        <f>IF(AR30&lt;=$B$3,-SUM($E32:AR32),0)</f>
        <v>-2317954.7772639995</v>
      </c>
      <c r="AS34" s="8">
        <f>IF(AS30&lt;=$B$3,-SUM($E32:AS32),0)</f>
        <v>-2378953.5871919994</v>
      </c>
      <c r="AT34" s="8">
        <f>IF(AT30&lt;=$B$3,-SUM($E32:AT32),0)</f>
        <v>-2439952.3971199994</v>
      </c>
      <c r="AU34" s="8">
        <f>IF(AU30&lt;=$B$3,-SUM($E32:AU32),0)</f>
        <v>-2500951.2070479994</v>
      </c>
      <c r="AV34" s="8">
        <f>IF(AV30&lt;=$B$3,-SUM($E32:AV32),0)</f>
        <v>-2561950.0169759993</v>
      </c>
      <c r="AW34" s="8">
        <f>IF(AW30&lt;=$B$3,-SUM($E32:AW32),0)</f>
        <v>-2622948.8269039993</v>
      </c>
      <c r="AX34" s="8">
        <f>IF(AX30&lt;=$B$3,-SUM($E32:AX32),0)</f>
        <v>-2683947.6368319993</v>
      </c>
      <c r="AY34" s="8">
        <f>IF(AY30&lt;=$B$3,-SUM($E32:AY32),0)</f>
        <v>-2744946.4467599993</v>
      </c>
      <c r="AZ34" s="8">
        <f>IF(AZ30&lt;=$B$3,-SUM($E32:AZ32),0)</f>
        <v>-2805945.2566879992</v>
      </c>
      <c r="BA34" s="8">
        <f>IF(BA30&lt;=$B$3,-SUM($E32:BA32),0)</f>
        <v>-2866944.0666159992</v>
      </c>
      <c r="BB34" s="8">
        <f>IF(BB30&lt;=$B$3,-SUM($E32:BB32),0)</f>
        <v>-2927942.8765439992</v>
      </c>
      <c r="BC34" s="8">
        <f>IF(BC30&lt;=$B$3,-SUM($E32:BC32),0)</f>
        <v>-2988941.6864719992</v>
      </c>
      <c r="BD34" s="8">
        <f>IF(BD30&lt;=$B$3,-SUM($E32:BD32),0)</f>
        <v>-3049940.4963999991</v>
      </c>
      <c r="BE34" s="8">
        <f>IF(BE30&lt;=$B$3,-SUM($E32:BE32),0)</f>
        <v>0</v>
      </c>
      <c r="BF34" s="8">
        <f>IF(BF30&lt;=$B$3,-SUM($E32:BF32),0)</f>
        <v>0</v>
      </c>
      <c r="BG34" s="8">
        <f>IF(BG30&lt;=$B$3,-SUM($E32:BG32),0)</f>
        <v>0</v>
      </c>
      <c r="BH34" s="8">
        <f>IF(BH30&lt;=$B$3,-SUM($E32:BH32),0)</f>
        <v>0</v>
      </c>
      <c r="BI34" s="8">
        <f>IF(BI30&lt;=$B$3,-SUM($E32:BI32),0)</f>
        <v>0</v>
      </c>
      <c r="BJ34" s="8">
        <f>IF(BJ30&lt;=$B$3,-SUM($E32:BJ32),0)</f>
        <v>0</v>
      </c>
      <c r="BK34" s="8">
        <f>IF(BK30&lt;=$B$3,-SUM($E32:BK32),0)</f>
        <v>0</v>
      </c>
      <c r="BL34" s="8">
        <f>IF(BL30&lt;=$B$3,-SUM($E32:BL32),0)</f>
        <v>0</v>
      </c>
      <c r="BM34" s="8">
        <f>IF(BM30&lt;=$B$3,-SUM($E32:BM32),0)</f>
        <v>0</v>
      </c>
      <c r="BN34" s="8">
        <f>IF(BN30&lt;=$B$3,-SUM($E32:BN32),0)</f>
        <v>0</v>
      </c>
      <c r="BO34" s="8">
        <f>IF(BO30&lt;=$B$3,-SUM($E32:BO32),0)</f>
        <v>0</v>
      </c>
      <c r="BP34" s="8">
        <f>IF(BP30&lt;=$B$3,-SUM($E32:BP32),0)</f>
        <v>0</v>
      </c>
      <c r="BQ34" s="8">
        <f>IF(BQ30&lt;=$B$3,-SUM($E32:BQ32),0)</f>
        <v>0</v>
      </c>
      <c r="BR34" s="8">
        <f>IF(BR30&lt;=$B$3,-SUM($E32:BR32),0)</f>
        <v>0</v>
      </c>
      <c r="BS34" s="8">
        <f>IF(BS30&lt;=$B$3,-SUM($E32:BS32),0)</f>
        <v>0</v>
      </c>
      <c r="BT34" s="8">
        <f>IF(BT30&lt;=$B$3,-SUM($E32:BT32),0)</f>
        <v>0</v>
      </c>
      <c r="BU34" s="8">
        <f>IF(BU30&lt;=$B$3,-SUM($E32:BU32),0)</f>
        <v>0</v>
      </c>
      <c r="BV34" s="8">
        <f>IF(BV30&lt;=$B$3,-SUM($E32:BV32),0)</f>
        <v>0</v>
      </c>
      <c r="BW34" s="8">
        <f>IF(BW30&lt;=$B$3,-SUM($E32:BW32),0)</f>
        <v>0</v>
      </c>
      <c r="BX34" s="8">
        <f>IF(BX30&lt;=$B$3,-SUM($E32:BX32),0)</f>
        <v>0</v>
      </c>
      <c r="BY34" s="8">
        <f>IF(BY30&lt;=$B$3,-SUM($E32:BY32),0)</f>
        <v>0</v>
      </c>
      <c r="BZ34" s="8">
        <f>IF(BZ30&lt;=$B$3,-SUM($E32:BZ32),0)</f>
        <v>0</v>
      </c>
      <c r="CA34" s="8">
        <f>IF(CA30&lt;=$B$3,-SUM($E32:CA32),0)</f>
        <v>0</v>
      </c>
      <c r="CB34" s="8">
        <f>IF(CB30&lt;=$B$3,-SUM($E32:CB32),0)</f>
        <v>0</v>
      </c>
      <c r="CC34" s="8">
        <f>IF(CC30&lt;=$B$3,-SUM($E32:CC32),0)</f>
        <v>0</v>
      </c>
      <c r="CD34" s="8">
        <f>IF(CD30&lt;=$B$3,-SUM($E32:CD32),0)</f>
        <v>0</v>
      </c>
      <c r="CE34" s="8">
        <f>IF(CE30&lt;=$B$3,-SUM($E32:CE32),0)</f>
        <v>0</v>
      </c>
      <c r="CF34" s="8">
        <f>IF(CF30&lt;=$B$3,-SUM($E32:CF32),0)</f>
        <v>0</v>
      </c>
      <c r="CG34" s="8">
        <f>IF(CG30&lt;=$B$3,-SUM($E32:CG32),0)</f>
        <v>0</v>
      </c>
      <c r="CH34" s="8">
        <f>IF(CH30&lt;=$B$3,-SUM($E32:CH32),0)</f>
        <v>0</v>
      </c>
      <c r="CI34" s="8">
        <f>IF(CI30&lt;=$B$3,-SUM($E32:CI32),0)</f>
        <v>0</v>
      </c>
      <c r="CJ34" s="8">
        <f>IF(CJ30&lt;=$B$3,-SUM($E32:CJ32),0)</f>
        <v>0</v>
      </c>
      <c r="CK34" s="8">
        <f>IF(CK30&lt;=$B$3,-SUM($E32:CK32),0)</f>
        <v>0</v>
      </c>
      <c r="CL34" s="8">
        <f>IF(CL30&lt;=$B$3,-SUM($E32:CL32),0)</f>
        <v>0</v>
      </c>
      <c r="CM34" s="8">
        <f>IF(CM30&lt;=$B$3,-SUM($E32:CM32),0)</f>
        <v>0</v>
      </c>
      <c r="CN34" s="8">
        <f>IF(CN30&lt;=$B$3,-SUM($E32:CN32),0)</f>
        <v>0</v>
      </c>
      <c r="CO34" s="8">
        <f>IF(CO30&lt;=$B$3,-SUM($E32:CO32),0)</f>
        <v>0</v>
      </c>
      <c r="CP34" s="8">
        <f>IF(CP30&lt;=$B$3,-SUM($E32:CP32),0)</f>
        <v>0</v>
      </c>
      <c r="CQ34" s="8">
        <f>IF(CQ30&lt;=$B$3,-SUM($E32:CQ32),0)</f>
        <v>0</v>
      </c>
      <c r="CR34" s="8">
        <f>IF(CR30&lt;=$B$3,-SUM($E32:CR32),0)</f>
        <v>0</v>
      </c>
      <c r="CS34" s="8">
        <f>IF(CS30&lt;=$B$3,-SUM($E32:CS32),0)</f>
        <v>0</v>
      </c>
      <c r="CT34" s="8">
        <f>IF(CT30&lt;=$B$3,-SUM($E32:CT32),0)</f>
        <v>0</v>
      </c>
      <c r="CU34" s="8">
        <f>IF(CU30&lt;=$B$3,-SUM($E32:CU32),0)</f>
        <v>0</v>
      </c>
      <c r="CV34" s="8">
        <f>IF(CV30&lt;=$B$3,-SUM($E32:CV32),0)</f>
        <v>0</v>
      </c>
      <c r="CW34" s="8">
        <f>IF(CW30&lt;=$B$3,-SUM($E32:CW32),0)</f>
        <v>0</v>
      </c>
      <c r="CX34" s="8">
        <f>IF(CX30&lt;=$B$3,-SUM($E32:CX32),0)</f>
        <v>0</v>
      </c>
      <c r="CY34" s="8">
        <f>IF(CY30&lt;=$B$3,-SUM($E32:CY32),0)</f>
        <v>0</v>
      </c>
      <c r="CZ34" s="8">
        <f>IF(CZ30&lt;=$B$3,-SUM($E32:CZ32),0)</f>
        <v>0</v>
      </c>
      <c r="DA34" s="8">
        <f>IF(DA30&lt;=$B$3,-SUM($E32:DA32),0)</f>
        <v>0</v>
      </c>
      <c r="DB34" s="8"/>
    </row>
    <row r="35" spans="1:106" x14ac:dyDescent="0.4">
      <c r="D35" t="s">
        <v>167</v>
      </c>
      <c r="E35" s="8"/>
      <c r="F35" s="8"/>
      <c r="G35" s="8">
        <f>F36</f>
        <v>3049940.4964000001</v>
      </c>
      <c r="H35" s="8">
        <f t="shared" ref="H35:BS35" si="32">G36</f>
        <v>2988941.6864720001</v>
      </c>
      <c r="I35" s="8">
        <f t="shared" si="32"/>
        <v>2927942.8765440001</v>
      </c>
      <c r="J35" s="8">
        <f t="shared" si="32"/>
        <v>2866944.0666160001</v>
      </c>
      <c r="K35" s="8">
        <f t="shared" si="32"/>
        <v>2805945.2566880002</v>
      </c>
      <c r="L35" s="8">
        <f t="shared" si="32"/>
        <v>2744946.4467600002</v>
      </c>
      <c r="M35" s="8">
        <f t="shared" si="32"/>
        <v>2683947.6368320002</v>
      </c>
      <c r="N35" s="8">
        <f t="shared" si="32"/>
        <v>2622948.8269040002</v>
      </c>
      <c r="O35" s="8">
        <f t="shared" si="32"/>
        <v>2561950.0169760003</v>
      </c>
      <c r="P35" s="8">
        <f t="shared" si="32"/>
        <v>2500951.2070480003</v>
      </c>
      <c r="Q35" s="8">
        <f t="shared" si="32"/>
        <v>2439952.3971200003</v>
      </c>
      <c r="R35" s="8">
        <f t="shared" si="32"/>
        <v>2378953.5871920004</v>
      </c>
      <c r="S35" s="8">
        <f t="shared" si="32"/>
        <v>2317954.7772640004</v>
      </c>
      <c r="T35" s="8">
        <f t="shared" si="32"/>
        <v>2256955.9673360004</v>
      </c>
      <c r="U35" s="8">
        <f t="shared" si="32"/>
        <v>2195957.1574080004</v>
      </c>
      <c r="V35" s="8">
        <f t="shared" si="32"/>
        <v>2134958.3474800005</v>
      </c>
      <c r="W35" s="8">
        <f t="shared" si="32"/>
        <v>2073959.5375520005</v>
      </c>
      <c r="X35" s="8">
        <f t="shared" si="32"/>
        <v>2012960.7276240005</v>
      </c>
      <c r="Y35" s="8">
        <f t="shared" si="32"/>
        <v>1951961.9176960003</v>
      </c>
      <c r="Z35" s="8">
        <f t="shared" si="32"/>
        <v>1890963.1077680003</v>
      </c>
      <c r="AA35" s="8">
        <f t="shared" si="32"/>
        <v>1829964.2978400004</v>
      </c>
      <c r="AB35" s="8">
        <f t="shared" si="32"/>
        <v>1768965.4879120004</v>
      </c>
      <c r="AC35" s="8">
        <f t="shared" si="32"/>
        <v>1707966.6779840004</v>
      </c>
      <c r="AD35" s="8">
        <f t="shared" si="32"/>
        <v>1646967.8680560004</v>
      </c>
      <c r="AE35" s="8">
        <f t="shared" si="32"/>
        <v>1585969.0581280005</v>
      </c>
      <c r="AF35" s="8">
        <f t="shared" si="32"/>
        <v>1524970.2482000005</v>
      </c>
      <c r="AG35" s="8">
        <f t="shared" si="32"/>
        <v>1463971.4382720005</v>
      </c>
      <c r="AH35" s="8">
        <f t="shared" si="32"/>
        <v>1402972.6283440005</v>
      </c>
      <c r="AI35" s="8">
        <f t="shared" si="32"/>
        <v>1341973.8184160006</v>
      </c>
      <c r="AJ35" s="8">
        <f t="shared" si="32"/>
        <v>1280975.0084880006</v>
      </c>
      <c r="AK35" s="8">
        <f t="shared" si="32"/>
        <v>1219976.1985600006</v>
      </c>
      <c r="AL35" s="8">
        <f t="shared" si="32"/>
        <v>1158977.3886320007</v>
      </c>
      <c r="AM35" s="8">
        <f t="shared" si="32"/>
        <v>1097978.5787040007</v>
      </c>
      <c r="AN35" s="8">
        <f t="shared" si="32"/>
        <v>1036979.7687760007</v>
      </c>
      <c r="AO35" s="8">
        <f t="shared" si="32"/>
        <v>975980.95884800074</v>
      </c>
      <c r="AP35" s="8">
        <f t="shared" si="32"/>
        <v>914982.14892000053</v>
      </c>
      <c r="AQ35" s="8">
        <f t="shared" si="32"/>
        <v>853983.33899200056</v>
      </c>
      <c r="AR35" s="8">
        <f t="shared" si="32"/>
        <v>792984.52906400058</v>
      </c>
      <c r="AS35" s="8">
        <f t="shared" si="32"/>
        <v>731985.71913600061</v>
      </c>
      <c r="AT35" s="8">
        <f t="shared" si="32"/>
        <v>670986.90920800064</v>
      </c>
      <c r="AU35" s="8">
        <f t="shared" si="32"/>
        <v>609988.09928000066</v>
      </c>
      <c r="AV35" s="8">
        <f t="shared" si="32"/>
        <v>548989.28935200069</v>
      </c>
      <c r="AW35" s="8">
        <f t="shared" si="32"/>
        <v>487990.47942400072</v>
      </c>
      <c r="AX35" s="8">
        <f t="shared" si="32"/>
        <v>426991.66949600074</v>
      </c>
      <c r="AY35" s="8">
        <f t="shared" si="32"/>
        <v>365992.85956800077</v>
      </c>
      <c r="AZ35" s="8">
        <f t="shared" si="32"/>
        <v>304994.0496400008</v>
      </c>
      <c r="BA35" s="8">
        <f t="shared" si="32"/>
        <v>243995.23971200082</v>
      </c>
      <c r="BB35" s="8">
        <f t="shared" si="32"/>
        <v>182996.42978400085</v>
      </c>
      <c r="BC35" s="8">
        <f t="shared" si="32"/>
        <v>121997.61985600088</v>
      </c>
      <c r="BD35" s="8">
        <f t="shared" si="32"/>
        <v>60998.809928000905</v>
      </c>
      <c r="BE35" s="8">
        <f t="shared" si="32"/>
        <v>0</v>
      </c>
      <c r="BF35" s="8">
        <f t="shared" si="32"/>
        <v>0</v>
      </c>
      <c r="BG35" s="8">
        <f t="shared" si="32"/>
        <v>0</v>
      </c>
      <c r="BH35" s="8">
        <f t="shared" si="32"/>
        <v>0</v>
      </c>
      <c r="BI35" s="8">
        <f t="shared" si="32"/>
        <v>0</v>
      </c>
      <c r="BJ35" s="8">
        <f t="shared" si="32"/>
        <v>0</v>
      </c>
      <c r="BK35" s="8">
        <f t="shared" si="32"/>
        <v>0</v>
      </c>
      <c r="BL35" s="8">
        <f t="shared" si="32"/>
        <v>0</v>
      </c>
      <c r="BM35" s="8">
        <f t="shared" si="32"/>
        <v>0</v>
      </c>
      <c r="BN35" s="8">
        <f t="shared" si="32"/>
        <v>0</v>
      </c>
      <c r="BO35" s="8">
        <f t="shared" si="32"/>
        <v>0</v>
      </c>
      <c r="BP35" s="8">
        <f t="shared" si="32"/>
        <v>0</v>
      </c>
      <c r="BQ35" s="8">
        <f t="shared" si="32"/>
        <v>0</v>
      </c>
      <c r="BR35" s="8">
        <f t="shared" si="32"/>
        <v>0</v>
      </c>
      <c r="BS35" s="8">
        <f t="shared" si="32"/>
        <v>0</v>
      </c>
      <c r="BT35" s="8">
        <f t="shared" ref="BT35:DA35" si="33">BS36</f>
        <v>0</v>
      </c>
      <c r="BU35" s="8">
        <f t="shared" si="33"/>
        <v>0</v>
      </c>
      <c r="BV35" s="8">
        <f t="shared" si="33"/>
        <v>0</v>
      </c>
      <c r="BW35" s="8">
        <f t="shared" si="33"/>
        <v>0</v>
      </c>
      <c r="BX35" s="8">
        <f t="shared" si="33"/>
        <v>0</v>
      </c>
      <c r="BY35" s="8">
        <f t="shared" si="33"/>
        <v>0</v>
      </c>
      <c r="BZ35" s="8">
        <f t="shared" si="33"/>
        <v>0</v>
      </c>
      <c r="CA35" s="8">
        <f t="shared" si="33"/>
        <v>0</v>
      </c>
      <c r="CB35" s="8">
        <f t="shared" si="33"/>
        <v>0</v>
      </c>
      <c r="CC35" s="8">
        <f t="shared" si="33"/>
        <v>0</v>
      </c>
      <c r="CD35" s="8">
        <f t="shared" si="33"/>
        <v>0</v>
      </c>
      <c r="CE35" s="8">
        <f t="shared" si="33"/>
        <v>0</v>
      </c>
      <c r="CF35" s="8">
        <f t="shared" si="33"/>
        <v>0</v>
      </c>
      <c r="CG35" s="8">
        <f t="shared" si="33"/>
        <v>0</v>
      </c>
      <c r="CH35" s="8">
        <f t="shared" si="33"/>
        <v>0</v>
      </c>
      <c r="CI35" s="8">
        <f t="shared" si="33"/>
        <v>0</v>
      </c>
      <c r="CJ35" s="8">
        <f t="shared" si="33"/>
        <v>0</v>
      </c>
      <c r="CK35" s="8">
        <f t="shared" si="33"/>
        <v>0</v>
      </c>
      <c r="CL35" s="8">
        <f t="shared" si="33"/>
        <v>0</v>
      </c>
      <c r="CM35" s="8">
        <f t="shared" si="33"/>
        <v>0</v>
      </c>
      <c r="CN35" s="8">
        <f t="shared" si="33"/>
        <v>0</v>
      </c>
      <c r="CO35" s="8">
        <f t="shared" si="33"/>
        <v>0</v>
      </c>
      <c r="CP35" s="8">
        <f t="shared" si="33"/>
        <v>0</v>
      </c>
      <c r="CQ35" s="8">
        <f t="shared" si="33"/>
        <v>0</v>
      </c>
      <c r="CR35" s="8">
        <f t="shared" si="33"/>
        <v>0</v>
      </c>
      <c r="CS35" s="8">
        <f t="shared" si="33"/>
        <v>0</v>
      </c>
      <c r="CT35" s="8">
        <f t="shared" si="33"/>
        <v>0</v>
      </c>
      <c r="CU35" s="8">
        <f t="shared" si="33"/>
        <v>0</v>
      </c>
      <c r="CV35" s="8">
        <f t="shared" si="33"/>
        <v>0</v>
      </c>
      <c r="CW35" s="8">
        <f t="shared" si="33"/>
        <v>0</v>
      </c>
      <c r="CX35" s="8">
        <f t="shared" si="33"/>
        <v>0</v>
      </c>
      <c r="CY35" s="8">
        <f t="shared" si="33"/>
        <v>0</v>
      </c>
      <c r="CZ35" s="8">
        <f t="shared" si="33"/>
        <v>0</v>
      </c>
      <c r="DA35" s="8">
        <f t="shared" si="33"/>
        <v>0</v>
      </c>
      <c r="DB35" s="8"/>
    </row>
    <row r="36" spans="1:106" x14ac:dyDescent="0.4">
      <c r="D36" t="s">
        <v>168</v>
      </c>
      <c r="E36" s="8"/>
      <c r="F36" s="8">
        <f>F33+F34</f>
        <v>3049940.4964000001</v>
      </c>
      <c r="G36" s="8">
        <f>G33+G34</f>
        <v>2988941.6864720001</v>
      </c>
      <c r="H36" s="8">
        <f t="shared" ref="H36:BS36" si="34">H33+H34</f>
        <v>2927942.8765440001</v>
      </c>
      <c r="I36" s="8">
        <f t="shared" si="34"/>
        <v>2866944.0666160001</v>
      </c>
      <c r="J36" s="8">
        <f t="shared" si="34"/>
        <v>2805945.2566880002</v>
      </c>
      <c r="K36" s="8">
        <f t="shared" si="34"/>
        <v>2744946.4467600002</v>
      </c>
      <c r="L36" s="8">
        <f t="shared" si="34"/>
        <v>2683947.6368320002</v>
      </c>
      <c r="M36" s="8">
        <f t="shared" si="34"/>
        <v>2622948.8269040002</v>
      </c>
      <c r="N36" s="8">
        <f t="shared" si="34"/>
        <v>2561950.0169760003</v>
      </c>
      <c r="O36" s="8">
        <f t="shared" si="34"/>
        <v>2500951.2070480003</v>
      </c>
      <c r="P36" s="8">
        <f t="shared" si="34"/>
        <v>2439952.3971200003</v>
      </c>
      <c r="Q36" s="8">
        <f t="shared" si="34"/>
        <v>2378953.5871920004</v>
      </c>
      <c r="R36" s="8">
        <f t="shared" si="34"/>
        <v>2317954.7772640004</v>
      </c>
      <c r="S36" s="8">
        <f t="shared" si="34"/>
        <v>2256955.9673360004</v>
      </c>
      <c r="T36" s="8">
        <f t="shared" si="34"/>
        <v>2195957.1574080004</v>
      </c>
      <c r="U36" s="8">
        <f t="shared" si="34"/>
        <v>2134958.3474800005</v>
      </c>
      <c r="V36" s="8">
        <f t="shared" si="34"/>
        <v>2073959.5375520005</v>
      </c>
      <c r="W36" s="8">
        <f t="shared" si="34"/>
        <v>2012960.7276240005</v>
      </c>
      <c r="X36" s="8">
        <f t="shared" si="34"/>
        <v>1951961.9176960003</v>
      </c>
      <c r="Y36" s="8">
        <f t="shared" si="34"/>
        <v>1890963.1077680003</v>
      </c>
      <c r="Z36" s="8">
        <f t="shared" si="34"/>
        <v>1829964.2978400004</v>
      </c>
      <c r="AA36" s="8">
        <f t="shared" si="34"/>
        <v>1768965.4879120004</v>
      </c>
      <c r="AB36" s="8">
        <f t="shared" si="34"/>
        <v>1707966.6779840004</v>
      </c>
      <c r="AC36" s="8">
        <f t="shared" si="34"/>
        <v>1646967.8680560004</v>
      </c>
      <c r="AD36" s="8">
        <f t="shared" si="34"/>
        <v>1585969.0581280005</v>
      </c>
      <c r="AE36" s="8">
        <f t="shared" si="34"/>
        <v>1524970.2482000005</v>
      </c>
      <c r="AF36" s="8">
        <f t="shared" si="34"/>
        <v>1463971.4382720005</v>
      </c>
      <c r="AG36" s="8">
        <f t="shared" si="34"/>
        <v>1402972.6283440005</v>
      </c>
      <c r="AH36" s="8">
        <f t="shared" si="34"/>
        <v>1341973.8184160006</v>
      </c>
      <c r="AI36" s="8">
        <f t="shared" si="34"/>
        <v>1280975.0084880006</v>
      </c>
      <c r="AJ36" s="8">
        <f t="shared" si="34"/>
        <v>1219976.1985600006</v>
      </c>
      <c r="AK36" s="8">
        <f t="shared" si="34"/>
        <v>1158977.3886320007</v>
      </c>
      <c r="AL36" s="8">
        <f t="shared" si="34"/>
        <v>1097978.5787040007</v>
      </c>
      <c r="AM36" s="8">
        <f t="shared" si="34"/>
        <v>1036979.7687760007</v>
      </c>
      <c r="AN36" s="8">
        <f t="shared" si="34"/>
        <v>975980.95884800074</v>
      </c>
      <c r="AO36" s="8">
        <f t="shared" si="34"/>
        <v>914982.14892000053</v>
      </c>
      <c r="AP36" s="8">
        <f t="shared" si="34"/>
        <v>853983.33899200056</v>
      </c>
      <c r="AQ36" s="8">
        <f t="shared" si="34"/>
        <v>792984.52906400058</v>
      </c>
      <c r="AR36" s="8">
        <f t="shared" si="34"/>
        <v>731985.71913600061</v>
      </c>
      <c r="AS36" s="8">
        <f t="shared" si="34"/>
        <v>670986.90920800064</v>
      </c>
      <c r="AT36" s="8">
        <f t="shared" si="34"/>
        <v>609988.09928000066</v>
      </c>
      <c r="AU36" s="8">
        <f t="shared" si="34"/>
        <v>548989.28935200069</v>
      </c>
      <c r="AV36" s="8">
        <f t="shared" si="34"/>
        <v>487990.47942400072</v>
      </c>
      <c r="AW36" s="8">
        <f t="shared" si="34"/>
        <v>426991.66949600074</v>
      </c>
      <c r="AX36" s="8">
        <f t="shared" si="34"/>
        <v>365992.85956800077</v>
      </c>
      <c r="AY36" s="8">
        <f t="shared" si="34"/>
        <v>304994.0496400008</v>
      </c>
      <c r="AZ36" s="8">
        <f t="shared" si="34"/>
        <v>243995.23971200082</v>
      </c>
      <c r="BA36" s="8">
        <f t="shared" si="34"/>
        <v>182996.42978400085</v>
      </c>
      <c r="BB36" s="8">
        <f t="shared" si="34"/>
        <v>121997.61985600088</v>
      </c>
      <c r="BC36" s="8">
        <f t="shared" si="34"/>
        <v>60998.809928000905</v>
      </c>
      <c r="BD36" s="8">
        <f t="shared" si="34"/>
        <v>0</v>
      </c>
      <c r="BE36" s="8">
        <f t="shared" si="34"/>
        <v>0</v>
      </c>
      <c r="BF36" s="8">
        <f t="shared" si="34"/>
        <v>0</v>
      </c>
      <c r="BG36" s="8">
        <f t="shared" si="34"/>
        <v>0</v>
      </c>
      <c r="BH36" s="8">
        <f t="shared" si="34"/>
        <v>0</v>
      </c>
      <c r="BI36" s="8">
        <f t="shared" si="34"/>
        <v>0</v>
      </c>
      <c r="BJ36" s="8">
        <f t="shared" si="34"/>
        <v>0</v>
      </c>
      <c r="BK36" s="8">
        <f t="shared" si="34"/>
        <v>0</v>
      </c>
      <c r="BL36" s="8">
        <f t="shared" si="34"/>
        <v>0</v>
      </c>
      <c r="BM36" s="8">
        <f t="shared" si="34"/>
        <v>0</v>
      </c>
      <c r="BN36" s="8">
        <f t="shared" si="34"/>
        <v>0</v>
      </c>
      <c r="BO36" s="8">
        <f t="shared" si="34"/>
        <v>0</v>
      </c>
      <c r="BP36" s="8">
        <f t="shared" si="34"/>
        <v>0</v>
      </c>
      <c r="BQ36" s="8">
        <f t="shared" si="34"/>
        <v>0</v>
      </c>
      <c r="BR36" s="8">
        <f t="shared" si="34"/>
        <v>0</v>
      </c>
      <c r="BS36" s="8">
        <f t="shared" si="34"/>
        <v>0</v>
      </c>
      <c r="BT36" s="8">
        <f t="shared" ref="BT36:DA36" si="35">BT33+BT34</f>
        <v>0</v>
      </c>
      <c r="BU36" s="8">
        <f t="shared" si="35"/>
        <v>0</v>
      </c>
      <c r="BV36" s="8">
        <f t="shared" si="35"/>
        <v>0</v>
      </c>
      <c r="BW36" s="8">
        <f t="shared" si="35"/>
        <v>0</v>
      </c>
      <c r="BX36" s="8">
        <f t="shared" si="35"/>
        <v>0</v>
      </c>
      <c r="BY36" s="8">
        <f t="shared" si="35"/>
        <v>0</v>
      </c>
      <c r="BZ36" s="8">
        <f t="shared" si="35"/>
        <v>0</v>
      </c>
      <c r="CA36" s="8">
        <f t="shared" si="35"/>
        <v>0</v>
      </c>
      <c r="CB36" s="8">
        <f t="shared" si="35"/>
        <v>0</v>
      </c>
      <c r="CC36" s="8">
        <f t="shared" si="35"/>
        <v>0</v>
      </c>
      <c r="CD36" s="8">
        <f t="shared" si="35"/>
        <v>0</v>
      </c>
      <c r="CE36" s="8">
        <f t="shared" si="35"/>
        <v>0</v>
      </c>
      <c r="CF36" s="8">
        <f t="shared" si="35"/>
        <v>0</v>
      </c>
      <c r="CG36" s="8">
        <f t="shared" si="35"/>
        <v>0</v>
      </c>
      <c r="CH36" s="8">
        <f t="shared" si="35"/>
        <v>0</v>
      </c>
      <c r="CI36" s="8">
        <f t="shared" si="35"/>
        <v>0</v>
      </c>
      <c r="CJ36" s="8">
        <f t="shared" si="35"/>
        <v>0</v>
      </c>
      <c r="CK36" s="8">
        <f t="shared" si="35"/>
        <v>0</v>
      </c>
      <c r="CL36" s="8">
        <f t="shared" si="35"/>
        <v>0</v>
      </c>
      <c r="CM36" s="8">
        <f t="shared" si="35"/>
        <v>0</v>
      </c>
      <c r="CN36" s="8">
        <f t="shared" si="35"/>
        <v>0</v>
      </c>
      <c r="CO36" s="8">
        <f t="shared" si="35"/>
        <v>0</v>
      </c>
      <c r="CP36" s="8">
        <f t="shared" si="35"/>
        <v>0</v>
      </c>
      <c r="CQ36" s="8">
        <f t="shared" si="35"/>
        <v>0</v>
      </c>
      <c r="CR36" s="8">
        <f t="shared" si="35"/>
        <v>0</v>
      </c>
      <c r="CS36" s="8">
        <f t="shared" si="35"/>
        <v>0</v>
      </c>
      <c r="CT36" s="8">
        <f t="shared" si="35"/>
        <v>0</v>
      </c>
      <c r="CU36" s="8">
        <f t="shared" si="35"/>
        <v>0</v>
      </c>
      <c r="CV36" s="8">
        <f t="shared" si="35"/>
        <v>0</v>
      </c>
      <c r="CW36" s="8">
        <f t="shared" si="35"/>
        <v>0</v>
      </c>
      <c r="CX36" s="8">
        <f t="shared" si="35"/>
        <v>0</v>
      </c>
      <c r="CY36" s="8">
        <f t="shared" si="35"/>
        <v>0</v>
      </c>
      <c r="CZ36" s="8">
        <f t="shared" si="35"/>
        <v>0</v>
      </c>
      <c r="DA36" s="8">
        <f t="shared" si="35"/>
        <v>0</v>
      </c>
      <c r="DB36" s="8"/>
    </row>
    <row r="37" spans="1:106" x14ac:dyDescent="0.4"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</row>
    <row r="38" spans="1:106" x14ac:dyDescent="0.4">
      <c r="D38" t="s">
        <v>169</v>
      </c>
      <c r="E38" s="8"/>
      <c r="F38" s="8"/>
      <c r="G38" s="8">
        <f>IF(G30&lt;=$B$4+1,G33*VLOOKUP(G30,Assumptions!$A$70:$B$90,2,0),0)</f>
        <v>114372.76861499999</v>
      </c>
      <c r="H38" s="8">
        <f>IF(H30&lt;=$B$4+1,H33*VLOOKUP(H30,Assumptions!$A$70:$B$90,2,0),0)</f>
        <v>220175.20443511603</v>
      </c>
      <c r="I38" s="8">
        <f>IF(I30&lt;=$B$4+1,I33*VLOOKUP(I30,Assumptions!$A$70:$B$90,2,0),0)</f>
        <v>203644.52694462799</v>
      </c>
      <c r="J38" s="8">
        <f>IF(J30&lt;=$B$4+1,J33*VLOOKUP(J30,Assumptions!$A$70:$B$90,2,0),0)</f>
        <v>188394.82446262799</v>
      </c>
      <c r="K38" s="8">
        <f>IF(K30&lt;=$B$4+1,K33*VLOOKUP(K30,Assumptions!$A$70:$B$90,2,0),0)</f>
        <v>174243.100559332</v>
      </c>
      <c r="L38" s="8">
        <f>IF(L30&lt;=$B$4+1,L33*VLOOKUP(L30,Assumptions!$A$70:$B$90,2,0),0)</f>
        <v>161189.35523474001</v>
      </c>
      <c r="M38" s="8">
        <f>IF(M30&lt;=$B$4+1,M33*VLOOKUP(M30,Assumptions!$A$70:$B$90,2,0),0)</f>
        <v>149081.09146403201</v>
      </c>
      <c r="N38" s="8">
        <f>IF(N30&lt;=$B$4+1,N33*VLOOKUP(N30,Assumptions!$A$70:$B$90,2,0),0)</f>
        <v>137918.309247208</v>
      </c>
      <c r="O38" s="8">
        <f>IF(O30&lt;=$B$4+1,O33*VLOOKUP(O30,Assumptions!$A$70:$B$90,2,0),0)</f>
        <v>136088.34494936801</v>
      </c>
      <c r="P38" s="8">
        <f>IF(P30&lt;=$B$4+1,P33*VLOOKUP(P30,Assumptions!$A$70:$B$90,2,0),0)</f>
        <v>136057.845544404</v>
      </c>
      <c r="Q38" s="8">
        <f>IF(Q30&lt;=$B$4+1,Q33*VLOOKUP(Q30,Assumptions!$A$70:$B$90,2,0),0)</f>
        <v>136088.34494936801</v>
      </c>
      <c r="R38" s="8">
        <f>IF(R30&lt;=$B$4+1,R33*VLOOKUP(R30,Assumptions!$A$70:$B$90,2,0),0)</f>
        <v>136057.845544404</v>
      </c>
      <c r="S38" s="8">
        <f>IF(S30&lt;=$B$4+1,S33*VLOOKUP(S30,Assumptions!$A$70:$B$90,2,0),0)</f>
        <v>136088.34494936801</v>
      </c>
      <c r="T38" s="8">
        <f>IF(T30&lt;=$B$4+1,T33*VLOOKUP(T30,Assumptions!$A$70:$B$90,2,0),0)</f>
        <v>136057.845544404</v>
      </c>
      <c r="U38" s="8">
        <f>IF(U30&lt;=$B$4+1,U33*VLOOKUP(U30,Assumptions!$A$70:$B$90,2,0),0)</f>
        <v>136088.34494936801</v>
      </c>
      <c r="V38" s="8">
        <f>IF(V30&lt;=$B$4+1,V33*VLOOKUP(V30,Assumptions!$A$70:$B$90,2,0),0)</f>
        <v>136057.845544404</v>
      </c>
      <c r="W38" s="8">
        <f>IF(W30&lt;=$B$4+1,W33*VLOOKUP(W30,Assumptions!$A$70:$B$90,2,0),0)</f>
        <v>136088.34494936801</v>
      </c>
      <c r="X38" s="8">
        <f>IF(X30&lt;=$B$4+1,X33*VLOOKUP(X30,Assumptions!$A$70:$B$90,2,0),0)</f>
        <v>136057.845544404</v>
      </c>
      <c r="Y38" s="8">
        <f>IF(Y30&lt;=$B$4+1,Y33*VLOOKUP(Y30,Assumptions!$A$70:$B$90,2,0),0)</f>
        <v>136088.34494936801</v>
      </c>
      <c r="Z38" s="8">
        <f>IF(Z30&lt;=$B$4+1,Z33*VLOOKUP(Z30,Assumptions!$A$70:$B$90,2,0),0)</f>
        <v>136057.845544404</v>
      </c>
      <c r="AA38" s="8">
        <f>IF(AA30&lt;=$B$4+1,AA33*VLOOKUP(AA30,Assumptions!$A$70:$B$90,2,0),0)</f>
        <v>68044.172474684005</v>
      </c>
      <c r="AB38" s="8">
        <f>IF(AB30&lt;=$B$4+1,AB33*VLOOKUP(AB30,Assumptions!$A$70:$B$90,2,0),0)</f>
        <v>0</v>
      </c>
      <c r="AC38" s="8">
        <f>IF(AC30&lt;=$B$4+1,AC33*VLOOKUP(AC30,Assumptions!$A$70:$B$90,2,0),0)</f>
        <v>0</v>
      </c>
      <c r="AD38" s="8">
        <f>IF(AD30&lt;=$B$4+1,AD33*VLOOKUP(AD30,Assumptions!$A$70:$B$90,2,0),0)</f>
        <v>0</v>
      </c>
      <c r="AE38" s="8">
        <f>IF(AE30&lt;=$B$4+1,AE33*VLOOKUP(AE30,Assumptions!$A$70:$B$90,2,0),0)</f>
        <v>0</v>
      </c>
      <c r="AF38" s="8">
        <f>IF(AF30&lt;=$B$4+1,AF33*VLOOKUP(AF30,Assumptions!$A$70:$B$90,2,0),0)</f>
        <v>0</v>
      </c>
      <c r="AG38" s="8">
        <f>IF(AG30&lt;=$B$4+1,AG33*VLOOKUP(AG30,Assumptions!$A$70:$B$90,2,0),0)</f>
        <v>0</v>
      </c>
      <c r="AH38" s="8">
        <f>IF(AH30&lt;=$B$4+1,AH33*VLOOKUP(AH30,Assumptions!$A$70:$B$90,2,0),0)</f>
        <v>0</v>
      </c>
      <c r="AI38" s="8">
        <f>IF(AI30&lt;=$B$4+1,AI33*VLOOKUP(AI30,Assumptions!$A$70:$B$90,2,0),0)</f>
        <v>0</v>
      </c>
      <c r="AJ38" s="8">
        <f>IF(AJ30&lt;=$B$4+1,AJ33*VLOOKUP(AJ30,Assumptions!$A$70:$B$90,2,0),0)</f>
        <v>0</v>
      </c>
      <c r="AK38" s="8">
        <f>IF(AK30&lt;=$B$4+1,AK33*VLOOKUP(AK30,Assumptions!$A$70:$B$90,2,0),0)</f>
        <v>0</v>
      </c>
      <c r="AL38" s="8">
        <f>IF(AL30&lt;=$B$4+1,AL33*VLOOKUP(AL30,Assumptions!$A$70:$B$90,2,0),0)</f>
        <v>0</v>
      </c>
      <c r="AM38" s="8">
        <f>IF(AM30&lt;=$B$4+1,AM33*VLOOKUP(AM30,Assumptions!$A$70:$B$90,2,0),0)</f>
        <v>0</v>
      </c>
      <c r="AN38" s="8">
        <f>IF(AN30&lt;=$B$4+1,AN33*VLOOKUP(AN30,Assumptions!$A$70:$B$90,2,0),0)</f>
        <v>0</v>
      </c>
      <c r="AO38" s="8">
        <f>IF(AO30&lt;=$B$4+1,AO33*VLOOKUP(AO30,Assumptions!$A$70:$B$90,2,0),0)</f>
        <v>0</v>
      </c>
      <c r="AP38" s="8">
        <f>IF(AP30&lt;=$B$4+1,AP33*VLOOKUP(AP30,Assumptions!$A$70:$B$90,2,0),0)</f>
        <v>0</v>
      </c>
      <c r="AQ38" s="8">
        <f>IF(AQ30&lt;=$B$4+1,AQ33*VLOOKUP(AQ30,Assumptions!$A$70:$B$90,2,0),0)</f>
        <v>0</v>
      </c>
      <c r="AR38" s="8">
        <f>IF(AR30&lt;=$B$4+1,AR33*VLOOKUP(AR30,Assumptions!$A$70:$B$90,2,0),0)</f>
        <v>0</v>
      </c>
      <c r="AS38" s="8">
        <f>IF(AS30&lt;=$B$4+1,AS33*VLOOKUP(AS30,Assumptions!$A$70:$B$90,2,0),0)</f>
        <v>0</v>
      </c>
      <c r="AT38" s="8">
        <f>IF(AT30&lt;=$B$4+1,AT33*VLOOKUP(AT30,Assumptions!$A$70:$B$90,2,0),0)</f>
        <v>0</v>
      </c>
      <c r="AU38" s="8">
        <f>IF(AU30&lt;=$B$4+1,AU33*VLOOKUP(AU30,Assumptions!$A$70:$B$90,2,0),0)</f>
        <v>0</v>
      </c>
      <c r="AV38" s="8">
        <f>IF(AV30&lt;=$B$4+1,AV33*VLOOKUP(AV30,Assumptions!$A$70:$B$90,2,0),0)</f>
        <v>0</v>
      </c>
      <c r="AW38" s="8">
        <f>IF(AW30&lt;=$B$4+1,AW33*VLOOKUP(AW30,Assumptions!$A$70:$B$90,2,0),0)</f>
        <v>0</v>
      </c>
      <c r="AX38" s="8">
        <f>IF(AX30&lt;=$B$4+1,AX33*VLOOKUP(AX30,Assumptions!$A$70:$B$90,2,0),0)</f>
        <v>0</v>
      </c>
      <c r="AY38" s="8">
        <f>IF(AY30&lt;=$B$4+1,AY33*VLOOKUP(AY30,Assumptions!$A$70:$B$90,2,0),0)</f>
        <v>0</v>
      </c>
      <c r="AZ38" s="8">
        <f>IF(AZ30&lt;=$B$4+1,AZ33*VLOOKUP(AZ30,Assumptions!$A$70:$B$90,2,0),0)</f>
        <v>0</v>
      </c>
      <c r="BA38" s="8">
        <f>IF(BA30&lt;=$B$4+1,BA33*VLOOKUP(BA30,Assumptions!$A$70:$B$90,2,0),0)</f>
        <v>0</v>
      </c>
      <c r="BB38" s="8">
        <f>IF(BB30&lt;=$B$4+1,BB33*VLOOKUP(BB30,Assumptions!$A$70:$B$90,2,0),0)</f>
        <v>0</v>
      </c>
      <c r="BC38" s="8">
        <f>IF(BC30&lt;=$B$4+1,BC33*VLOOKUP(BC30,Assumptions!$A$70:$B$90,2,0),0)</f>
        <v>0</v>
      </c>
      <c r="BD38" s="8">
        <f>IF(BD30&lt;=$B$4+1,BD33*VLOOKUP(BD30,Assumptions!$A$70:$B$90,2,0),0)</f>
        <v>0</v>
      </c>
      <c r="BE38" s="8">
        <f>IF(BE30&lt;=$B$4+1,BE33*VLOOKUP(BE30,Assumptions!$A$70:$B$90,2,0),0)</f>
        <v>0</v>
      </c>
      <c r="BF38" s="8">
        <f>IF(BF30&lt;=$B$4+1,BF33*VLOOKUP(BF30,Assumptions!$A$70:$B$90,2,0),0)</f>
        <v>0</v>
      </c>
      <c r="BG38" s="8">
        <f>IF(BG30&lt;=$B$4+1,BG33*VLOOKUP(BG30,Assumptions!$A$70:$B$90,2,0),0)</f>
        <v>0</v>
      </c>
      <c r="BH38" s="8">
        <f>IF(BH30&lt;=$B$4+1,BH33*VLOOKUP(BH30,Assumptions!$A$70:$B$90,2,0),0)</f>
        <v>0</v>
      </c>
      <c r="BI38" s="8">
        <f>IF(BI30&lt;=$B$4+1,BI33*VLOOKUP(BI30,Assumptions!$A$70:$B$90,2,0),0)</f>
        <v>0</v>
      </c>
      <c r="BJ38" s="8">
        <f>IF(BJ30&lt;=$B$4+1,BJ33*VLOOKUP(BJ30,Assumptions!$A$70:$B$90,2,0),0)</f>
        <v>0</v>
      </c>
      <c r="BK38" s="8">
        <f>IF(BK30&lt;=$B$4+1,BK33*VLOOKUP(BK30,Assumptions!$A$70:$B$90,2,0),0)</f>
        <v>0</v>
      </c>
      <c r="BL38" s="8">
        <f>IF(BL30&lt;=$B$4+1,BL33*VLOOKUP(BL30,Assumptions!$A$70:$B$90,2,0),0)</f>
        <v>0</v>
      </c>
      <c r="BM38" s="8">
        <f>IF(BM30&lt;=$B$4+1,BM33*VLOOKUP(BM30,Assumptions!$A$70:$B$90,2,0),0)</f>
        <v>0</v>
      </c>
      <c r="BN38" s="8">
        <f>IF(BN30&lt;=$B$4+1,BN33*VLOOKUP(BN30,Assumptions!$A$70:$B$90,2,0),0)</f>
        <v>0</v>
      </c>
      <c r="BO38" s="8">
        <f>IF(BO30&lt;=$B$4+1,BO33*VLOOKUP(BO30,Assumptions!$A$70:$B$90,2,0),0)</f>
        <v>0</v>
      </c>
      <c r="BP38" s="8">
        <f>IF(BP30&lt;=$B$4+1,BP33*VLOOKUP(BP30,Assumptions!$A$70:$B$90,2,0),0)</f>
        <v>0</v>
      </c>
      <c r="BQ38" s="8">
        <f>IF(BQ30&lt;=$B$4+1,BQ33*VLOOKUP(BQ30,Assumptions!$A$70:$B$90,2,0),0)</f>
        <v>0</v>
      </c>
      <c r="BR38" s="8">
        <f>IF(BR30&lt;=$B$4+1,BR33*VLOOKUP(BR30,Assumptions!$A$70:$B$90,2,0),0)</f>
        <v>0</v>
      </c>
      <c r="BS38" s="8">
        <f>IF(BS30&lt;=$B$4+1,BS33*VLOOKUP(BS30,Assumptions!$A$70:$B$90,2,0),0)</f>
        <v>0</v>
      </c>
      <c r="BT38" s="8">
        <f>IF(BT30&lt;=$B$4+1,BT33*VLOOKUP(BT30,Assumptions!$A$70:$B$90,2,0),0)</f>
        <v>0</v>
      </c>
      <c r="BU38" s="8">
        <f>IF(BU30&lt;=$B$4+1,BU33*VLOOKUP(BU30,Assumptions!$A$70:$B$90,2,0),0)</f>
        <v>0</v>
      </c>
      <c r="BV38" s="8">
        <f>IF(BV30&lt;=$B$4+1,BV33*VLOOKUP(BV30,Assumptions!$A$70:$B$90,2,0),0)</f>
        <v>0</v>
      </c>
      <c r="BW38" s="8">
        <f>IF(BW30&lt;=$B$4+1,BW33*VLOOKUP(BW30,Assumptions!$A$70:$B$90,2,0),0)</f>
        <v>0</v>
      </c>
      <c r="BX38" s="8">
        <f>IF(BX30&lt;=$B$4+1,BX33*VLOOKUP(BX30,Assumptions!$A$70:$B$90,2,0),0)</f>
        <v>0</v>
      </c>
      <c r="BY38" s="8">
        <f>IF(BY30&lt;=$B$4+1,BY33*VLOOKUP(BY30,Assumptions!$A$70:$B$90,2,0),0)</f>
        <v>0</v>
      </c>
      <c r="BZ38" s="8">
        <f>IF(BZ30&lt;=$B$4+1,BZ33*VLOOKUP(BZ30,Assumptions!$A$70:$B$90,2,0),0)</f>
        <v>0</v>
      </c>
      <c r="CA38" s="8">
        <f>IF(CA30&lt;=$B$4+1,CA33*VLOOKUP(CA30,Assumptions!$A$70:$B$90,2,0),0)</f>
        <v>0</v>
      </c>
      <c r="CB38" s="8">
        <f>IF(CB30&lt;=$B$4+1,CB33*VLOOKUP(CB30,Assumptions!$A$70:$B$90,2,0),0)</f>
        <v>0</v>
      </c>
      <c r="CC38" s="8">
        <f>IF(CC30&lt;=$B$4+1,CC33*VLOOKUP(CC30,Assumptions!$A$70:$B$90,2,0),0)</f>
        <v>0</v>
      </c>
      <c r="CD38" s="8">
        <f>IF(CD30&lt;=$B$4+1,CD33*VLOOKUP(CD30,Assumptions!$A$70:$B$90,2,0),0)</f>
        <v>0</v>
      </c>
      <c r="CE38" s="8">
        <f>IF(CE30&lt;=$B$4+1,CE33*VLOOKUP(CE30,Assumptions!$A$70:$B$90,2,0),0)</f>
        <v>0</v>
      </c>
      <c r="CF38" s="8">
        <f>IF(CF30&lt;=$B$4+1,CF33*VLOOKUP(CF30,Assumptions!$A$70:$B$90,2,0),0)</f>
        <v>0</v>
      </c>
      <c r="CG38" s="8">
        <f>IF(CG30&lt;=$B$4+1,CG33*VLOOKUP(CG30,Assumptions!$A$70:$B$90,2,0),0)</f>
        <v>0</v>
      </c>
      <c r="CH38" s="8">
        <f>IF(CH30&lt;=$B$4+1,CH33*VLOOKUP(CH30,Assumptions!$A$70:$B$90,2,0),0)</f>
        <v>0</v>
      </c>
      <c r="CI38" s="8">
        <f>IF(CI30&lt;=$B$4+1,CI33*VLOOKUP(CI30,Assumptions!$A$70:$B$90,2,0),0)</f>
        <v>0</v>
      </c>
      <c r="CJ38" s="8">
        <f>IF(CJ30&lt;=$B$4+1,CJ33*VLOOKUP(CJ30,Assumptions!$A$70:$B$90,2,0),0)</f>
        <v>0</v>
      </c>
      <c r="CK38" s="8">
        <f>IF(CK30&lt;=$B$4+1,CK33*VLOOKUP(CK30,Assumptions!$A$70:$B$90,2,0),0)</f>
        <v>0</v>
      </c>
      <c r="CL38" s="8">
        <f>IF(CL30&lt;=$B$4+1,CL33*VLOOKUP(CL30,Assumptions!$A$70:$B$90,2,0),0)</f>
        <v>0</v>
      </c>
      <c r="CM38" s="8">
        <f>IF(CM30&lt;=$B$4+1,CM33*VLOOKUP(CM30,Assumptions!$A$70:$B$90,2,0),0)</f>
        <v>0</v>
      </c>
      <c r="CN38" s="8">
        <f>IF(CN30&lt;=$B$4+1,CN33*VLOOKUP(CN30,Assumptions!$A$70:$B$90,2,0),0)</f>
        <v>0</v>
      </c>
      <c r="CO38" s="8">
        <f>IF(CO30&lt;=$B$4+1,CO33*VLOOKUP(CO30,Assumptions!$A$70:$B$90,2,0),0)</f>
        <v>0</v>
      </c>
      <c r="CP38" s="8">
        <f>IF(CP30&lt;=$B$4+1,CP33*VLOOKUP(CP30,Assumptions!$A$70:$B$90,2,0),0)</f>
        <v>0</v>
      </c>
      <c r="CQ38" s="8">
        <f>IF(CQ30&lt;=$B$4+1,CQ33*VLOOKUP(CQ30,Assumptions!$A$70:$B$90,2,0),0)</f>
        <v>0</v>
      </c>
      <c r="CR38" s="8">
        <f>IF(CR30&lt;=$B$4+1,CR33*VLOOKUP(CR30,Assumptions!$A$70:$B$90,2,0),0)</f>
        <v>0</v>
      </c>
      <c r="CS38" s="8">
        <f>IF(CS30&lt;=$B$4+1,CS33*VLOOKUP(CS30,Assumptions!$A$70:$B$90,2,0),0)</f>
        <v>0</v>
      </c>
      <c r="CT38" s="8">
        <f>IF(CT30&lt;=$B$4+1,CT33*VLOOKUP(CT30,Assumptions!$A$70:$B$90,2,0),0)</f>
        <v>0</v>
      </c>
      <c r="CU38" s="8">
        <f>IF(CU30&lt;=$B$4+1,CU33*VLOOKUP(CU30,Assumptions!$A$70:$B$90,2,0),0)</f>
        <v>0</v>
      </c>
      <c r="CV38" s="8">
        <f>IF(CV30&lt;=$B$4+1,CV33*VLOOKUP(CV30,Assumptions!$A$70:$B$90,2,0),0)</f>
        <v>0</v>
      </c>
      <c r="CW38" s="8">
        <f>IF(CW30&lt;=$B$4+1,CW33*VLOOKUP(CW30,Assumptions!$A$70:$B$90,2,0),0)</f>
        <v>0</v>
      </c>
      <c r="CX38" s="8">
        <f>IF(CX30&lt;=$B$4+1,CX33*VLOOKUP(CX30,Assumptions!$A$70:$B$90,2,0),0)</f>
        <v>0</v>
      </c>
      <c r="CY38" s="8">
        <f>IF(CY30&lt;=$B$4+1,CY33*VLOOKUP(CY30,Assumptions!$A$70:$B$90,2,0),0)</f>
        <v>0</v>
      </c>
      <c r="CZ38" s="8">
        <f>IF(CZ30&lt;=$B$4+1,CZ33*VLOOKUP(CZ30,Assumptions!$A$70:$B$90,2,0),0)</f>
        <v>0</v>
      </c>
      <c r="DA38" s="8">
        <f>IF(DA30&lt;=$B$4+1,DA33*VLOOKUP(DA30,Assumptions!$A$70:$B$90,2,0),0)</f>
        <v>0</v>
      </c>
      <c r="DB38" s="8"/>
    </row>
    <row r="39" spans="1:106" x14ac:dyDescent="0.4">
      <c r="D39" t="s">
        <v>170</v>
      </c>
      <c r="E39" s="8"/>
      <c r="F39" s="8"/>
      <c r="G39" s="8">
        <f>F40</f>
        <v>0</v>
      </c>
      <c r="H39" s="8">
        <f t="shared" ref="H39:BS39" si="36">G40</f>
        <v>-14792.592650102048</v>
      </c>
      <c r="I39" s="8">
        <f t="shared" si="36"/>
        <v>-58908.330387749258</v>
      </c>
      <c r="J39" s="8">
        <f t="shared" si="36"/>
        <v>-98442.590858907701</v>
      </c>
      <c r="K39" s="8">
        <f t="shared" si="36"/>
        <v>-133750.39628717984</v>
      </c>
      <c r="L39" s="8">
        <f t="shared" si="36"/>
        <v>-165136.0514356535</v>
      </c>
      <c r="M39" s="8">
        <f t="shared" si="36"/>
        <v>-192903.8610674165</v>
      </c>
      <c r="N39" s="8">
        <f t="shared" si="36"/>
        <v>-217315.86539512777</v>
      </c>
      <c r="O39" s="8">
        <f t="shared" si="36"/>
        <v>-238634.10463144627</v>
      </c>
      <c r="P39" s="8">
        <f t="shared" si="36"/>
        <v>-259445.16926261841</v>
      </c>
      <c r="Q39" s="8">
        <f t="shared" si="36"/>
        <v>-280247.78098370478</v>
      </c>
      <c r="R39" s="8">
        <f t="shared" si="36"/>
        <v>-301058.84561487695</v>
      </c>
      <c r="S39" s="8">
        <f t="shared" si="36"/>
        <v>-321861.45733596332</v>
      </c>
      <c r="T39" s="8">
        <f t="shared" si="36"/>
        <v>-342672.52196713549</v>
      </c>
      <c r="U39" s="8">
        <f t="shared" si="36"/>
        <v>-363475.13368822186</v>
      </c>
      <c r="V39" s="8">
        <f t="shared" si="36"/>
        <v>-384286.19831939403</v>
      </c>
      <c r="W39" s="8">
        <f t="shared" si="36"/>
        <v>-405088.8100404804</v>
      </c>
      <c r="X39" s="8">
        <f t="shared" si="36"/>
        <v>-425899.87467165256</v>
      </c>
      <c r="Y39" s="8">
        <f t="shared" si="36"/>
        <v>-446702.48639273894</v>
      </c>
      <c r="Z39" s="8">
        <f t="shared" si="36"/>
        <v>-467513.5510239111</v>
      </c>
      <c r="AA39" s="8">
        <f t="shared" si="36"/>
        <v>-488316.16274499748</v>
      </c>
      <c r="AB39" s="8">
        <f t="shared" si="36"/>
        <v>-490268.78497481096</v>
      </c>
      <c r="AC39" s="8">
        <f t="shared" si="36"/>
        <v>-473362.96480326576</v>
      </c>
      <c r="AD39" s="8">
        <f t="shared" si="36"/>
        <v>-456457.14463172056</v>
      </c>
      <c r="AE39" s="8">
        <f t="shared" si="36"/>
        <v>-439551.32446017535</v>
      </c>
      <c r="AF39" s="8">
        <f t="shared" si="36"/>
        <v>-422645.50428863015</v>
      </c>
      <c r="AG39" s="8">
        <f t="shared" si="36"/>
        <v>-405739.68411708495</v>
      </c>
      <c r="AH39" s="8">
        <f t="shared" si="36"/>
        <v>-388833.86394553975</v>
      </c>
      <c r="AI39" s="8">
        <f t="shared" si="36"/>
        <v>-371928.04377399455</v>
      </c>
      <c r="AJ39" s="8">
        <f t="shared" si="36"/>
        <v>-355022.22360244935</v>
      </c>
      <c r="AK39" s="8">
        <f t="shared" si="36"/>
        <v>-338116.40343090415</v>
      </c>
      <c r="AL39" s="8">
        <f t="shared" si="36"/>
        <v>-321210.58325935894</v>
      </c>
      <c r="AM39" s="8">
        <f t="shared" si="36"/>
        <v>-304304.76308781374</v>
      </c>
      <c r="AN39" s="8">
        <f t="shared" si="36"/>
        <v>-287398.94291626854</v>
      </c>
      <c r="AO39" s="8">
        <f t="shared" si="36"/>
        <v>-270493.12274472334</v>
      </c>
      <c r="AP39" s="8">
        <f t="shared" si="36"/>
        <v>-253587.30257317814</v>
      </c>
      <c r="AQ39" s="8">
        <f t="shared" si="36"/>
        <v>-236681.48240163294</v>
      </c>
      <c r="AR39" s="8">
        <f t="shared" si="36"/>
        <v>-219775.66223008774</v>
      </c>
      <c r="AS39" s="8">
        <f t="shared" si="36"/>
        <v>-202869.84205854253</v>
      </c>
      <c r="AT39" s="8">
        <f t="shared" si="36"/>
        <v>-185964.02188699733</v>
      </c>
      <c r="AU39" s="8">
        <f t="shared" si="36"/>
        <v>-169058.20171545213</v>
      </c>
      <c r="AV39" s="8">
        <f t="shared" si="36"/>
        <v>-152152.38154390693</v>
      </c>
      <c r="AW39" s="8">
        <f t="shared" si="36"/>
        <v>-135246.56137236173</v>
      </c>
      <c r="AX39" s="8">
        <f t="shared" si="36"/>
        <v>-118340.74120081653</v>
      </c>
      <c r="AY39" s="8">
        <f t="shared" si="36"/>
        <v>-101434.92102927133</v>
      </c>
      <c r="AZ39" s="8">
        <f t="shared" si="36"/>
        <v>-84529.100857726124</v>
      </c>
      <c r="BA39" s="8">
        <f t="shared" si="36"/>
        <v>-67623.280686180922</v>
      </c>
      <c r="BB39" s="8">
        <f t="shared" si="36"/>
        <v>-50717.460514635721</v>
      </c>
      <c r="BC39" s="8">
        <f t="shared" si="36"/>
        <v>-33811.640343090519</v>
      </c>
      <c r="BD39" s="8">
        <f t="shared" si="36"/>
        <v>-16905.820171545318</v>
      </c>
      <c r="BE39" s="8">
        <f t="shared" si="36"/>
        <v>-1.1641532182693481E-10</v>
      </c>
      <c r="BF39" s="8">
        <f t="shared" si="36"/>
        <v>-1.1641532182693481E-10</v>
      </c>
      <c r="BG39" s="8">
        <f t="shared" si="36"/>
        <v>-1.1641532182693481E-10</v>
      </c>
      <c r="BH39" s="8">
        <f t="shared" si="36"/>
        <v>-1.1641532182693481E-10</v>
      </c>
      <c r="BI39" s="8">
        <f t="shared" si="36"/>
        <v>-1.1641532182693481E-10</v>
      </c>
      <c r="BJ39" s="8">
        <f t="shared" si="36"/>
        <v>-1.1641532182693481E-10</v>
      </c>
      <c r="BK39" s="8">
        <f t="shared" si="36"/>
        <v>-1.1641532182693481E-10</v>
      </c>
      <c r="BL39" s="8">
        <f t="shared" si="36"/>
        <v>-1.1641532182693481E-10</v>
      </c>
      <c r="BM39" s="8">
        <f t="shared" si="36"/>
        <v>-1.1641532182693481E-10</v>
      </c>
      <c r="BN39" s="8">
        <f t="shared" si="36"/>
        <v>-1.1641532182693481E-10</v>
      </c>
      <c r="BO39" s="8">
        <f t="shared" si="36"/>
        <v>-1.1641532182693481E-10</v>
      </c>
      <c r="BP39" s="8">
        <f t="shared" si="36"/>
        <v>-1.1641532182693481E-10</v>
      </c>
      <c r="BQ39" s="8">
        <f t="shared" si="36"/>
        <v>-1.1641532182693481E-10</v>
      </c>
      <c r="BR39" s="8">
        <f t="shared" si="36"/>
        <v>-1.1641532182693481E-10</v>
      </c>
      <c r="BS39" s="8">
        <f t="shared" si="36"/>
        <v>-1.1641532182693481E-10</v>
      </c>
      <c r="BT39" s="8">
        <f t="shared" ref="BT39:DA39" si="37">BS40</f>
        <v>-1.1641532182693481E-10</v>
      </c>
      <c r="BU39" s="8">
        <f t="shared" si="37"/>
        <v>-1.1641532182693481E-10</v>
      </c>
      <c r="BV39" s="8">
        <f t="shared" si="37"/>
        <v>-1.1641532182693481E-10</v>
      </c>
      <c r="BW39" s="8">
        <f t="shared" si="37"/>
        <v>-1.1641532182693481E-10</v>
      </c>
      <c r="BX39" s="8">
        <f t="shared" si="37"/>
        <v>-1.1641532182693481E-10</v>
      </c>
      <c r="BY39" s="8">
        <f t="shared" si="37"/>
        <v>-1.1641532182693481E-10</v>
      </c>
      <c r="BZ39" s="8">
        <f t="shared" si="37"/>
        <v>-1.1641532182693481E-10</v>
      </c>
      <c r="CA39" s="8">
        <f t="shared" si="37"/>
        <v>-1.1641532182693481E-10</v>
      </c>
      <c r="CB39" s="8">
        <f t="shared" si="37"/>
        <v>-1.1641532182693481E-10</v>
      </c>
      <c r="CC39" s="8">
        <f t="shared" si="37"/>
        <v>-1.1641532182693481E-10</v>
      </c>
      <c r="CD39" s="8">
        <f t="shared" si="37"/>
        <v>-1.1641532182693481E-10</v>
      </c>
      <c r="CE39" s="8">
        <f t="shared" si="37"/>
        <v>-1.1641532182693481E-10</v>
      </c>
      <c r="CF39" s="8">
        <f t="shared" si="37"/>
        <v>-1.1641532182693481E-10</v>
      </c>
      <c r="CG39" s="8">
        <f t="shared" si="37"/>
        <v>-1.1641532182693481E-10</v>
      </c>
      <c r="CH39" s="8">
        <f t="shared" si="37"/>
        <v>-1.1641532182693481E-10</v>
      </c>
      <c r="CI39" s="8">
        <f t="shared" si="37"/>
        <v>-1.1641532182693481E-10</v>
      </c>
      <c r="CJ39" s="8">
        <f t="shared" si="37"/>
        <v>-1.1641532182693481E-10</v>
      </c>
      <c r="CK39" s="8">
        <f t="shared" si="37"/>
        <v>-1.1641532182693481E-10</v>
      </c>
      <c r="CL39" s="8">
        <f t="shared" si="37"/>
        <v>-1.1641532182693481E-10</v>
      </c>
      <c r="CM39" s="8">
        <f t="shared" si="37"/>
        <v>-1.1641532182693481E-10</v>
      </c>
      <c r="CN39" s="8">
        <f t="shared" si="37"/>
        <v>-1.1641532182693481E-10</v>
      </c>
      <c r="CO39" s="8">
        <f t="shared" si="37"/>
        <v>-1.1641532182693481E-10</v>
      </c>
      <c r="CP39" s="8">
        <f t="shared" si="37"/>
        <v>-1.1641532182693481E-10</v>
      </c>
      <c r="CQ39" s="8">
        <f t="shared" si="37"/>
        <v>-1.1641532182693481E-10</v>
      </c>
      <c r="CR39" s="8">
        <f t="shared" si="37"/>
        <v>-1.1641532182693481E-10</v>
      </c>
      <c r="CS39" s="8">
        <f t="shared" si="37"/>
        <v>-1.1641532182693481E-10</v>
      </c>
      <c r="CT39" s="8">
        <f t="shared" si="37"/>
        <v>-1.1641532182693481E-10</v>
      </c>
      <c r="CU39" s="8">
        <f t="shared" si="37"/>
        <v>-1.1641532182693481E-10</v>
      </c>
      <c r="CV39" s="8">
        <f t="shared" si="37"/>
        <v>-1.1641532182693481E-10</v>
      </c>
      <c r="CW39" s="8">
        <f t="shared" si="37"/>
        <v>-1.1641532182693481E-10</v>
      </c>
      <c r="CX39" s="8">
        <f t="shared" si="37"/>
        <v>-1.1641532182693481E-10</v>
      </c>
      <c r="CY39" s="8">
        <f t="shared" si="37"/>
        <v>-1.1641532182693481E-10</v>
      </c>
      <c r="CZ39" s="8">
        <f t="shared" si="37"/>
        <v>-1.1641532182693481E-10</v>
      </c>
      <c r="DA39" s="8">
        <f t="shared" si="37"/>
        <v>-1.1641532182693481E-10</v>
      </c>
      <c r="DB39" s="8"/>
    </row>
    <row r="40" spans="1:106" x14ac:dyDescent="0.4">
      <c r="D40" t="s">
        <v>171</v>
      </c>
      <c r="E40" s="8"/>
      <c r="F40" s="8"/>
      <c r="G40" s="8">
        <f t="shared" ref="G40:AL40" si="38">F40+((G32-G38)*INC_TAX_RATE)</f>
        <v>-14792.592650102048</v>
      </c>
      <c r="H40" s="8">
        <f t="shared" si="38"/>
        <v>-58908.330387749258</v>
      </c>
      <c r="I40" s="8">
        <f t="shared" si="38"/>
        <v>-98442.590858907701</v>
      </c>
      <c r="J40" s="8">
        <f t="shared" si="38"/>
        <v>-133750.39628717984</v>
      </c>
      <c r="K40" s="8">
        <f t="shared" si="38"/>
        <v>-165136.0514356535</v>
      </c>
      <c r="L40" s="8">
        <f t="shared" si="38"/>
        <v>-192903.8610674165</v>
      </c>
      <c r="M40" s="8">
        <f t="shared" si="38"/>
        <v>-217315.86539512777</v>
      </c>
      <c r="N40" s="8">
        <f t="shared" si="38"/>
        <v>-238634.10463144627</v>
      </c>
      <c r="O40" s="8">
        <f t="shared" si="38"/>
        <v>-259445.16926261841</v>
      </c>
      <c r="P40" s="8">
        <f t="shared" si="38"/>
        <v>-280247.78098370478</v>
      </c>
      <c r="Q40" s="8">
        <f t="shared" si="38"/>
        <v>-301058.84561487695</v>
      </c>
      <c r="R40" s="8">
        <f t="shared" si="38"/>
        <v>-321861.45733596332</v>
      </c>
      <c r="S40" s="8">
        <f t="shared" si="38"/>
        <v>-342672.52196713549</v>
      </c>
      <c r="T40" s="8">
        <f t="shared" si="38"/>
        <v>-363475.13368822186</v>
      </c>
      <c r="U40" s="8">
        <f t="shared" si="38"/>
        <v>-384286.19831939403</v>
      </c>
      <c r="V40" s="8">
        <f t="shared" si="38"/>
        <v>-405088.8100404804</v>
      </c>
      <c r="W40" s="8">
        <f t="shared" si="38"/>
        <v>-425899.87467165256</v>
      </c>
      <c r="X40" s="8">
        <f t="shared" si="38"/>
        <v>-446702.48639273894</v>
      </c>
      <c r="Y40" s="8">
        <f t="shared" si="38"/>
        <v>-467513.5510239111</v>
      </c>
      <c r="Z40" s="8">
        <f t="shared" si="38"/>
        <v>-488316.16274499748</v>
      </c>
      <c r="AA40" s="8">
        <f t="shared" si="38"/>
        <v>-490268.78497481096</v>
      </c>
      <c r="AB40" s="8">
        <f t="shared" si="38"/>
        <v>-473362.96480326576</v>
      </c>
      <c r="AC40" s="8">
        <f t="shared" si="38"/>
        <v>-456457.14463172056</v>
      </c>
      <c r="AD40" s="8">
        <f t="shared" si="38"/>
        <v>-439551.32446017535</v>
      </c>
      <c r="AE40" s="8">
        <f t="shared" si="38"/>
        <v>-422645.50428863015</v>
      </c>
      <c r="AF40" s="8">
        <f t="shared" si="38"/>
        <v>-405739.68411708495</v>
      </c>
      <c r="AG40" s="8">
        <f t="shared" si="38"/>
        <v>-388833.86394553975</v>
      </c>
      <c r="AH40" s="8">
        <f t="shared" si="38"/>
        <v>-371928.04377399455</v>
      </c>
      <c r="AI40" s="8">
        <f t="shared" si="38"/>
        <v>-355022.22360244935</v>
      </c>
      <c r="AJ40" s="8">
        <f t="shared" si="38"/>
        <v>-338116.40343090415</v>
      </c>
      <c r="AK40" s="8">
        <f t="shared" si="38"/>
        <v>-321210.58325935894</v>
      </c>
      <c r="AL40" s="8">
        <f t="shared" si="38"/>
        <v>-304304.76308781374</v>
      </c>
      <c r="AM40" s="8">
        <f t="shared" ref="AM40:BR40" si="39">AL40+((AM32-AM38)*INC_TAX_RATE)</f>
        <v>-287398.94291626854</v>
      </c>
      <c r="AN40" s="8">
        <f t="shared" si="39"/>
        <v>-270493.12274472334</v>
      </c>
      <c r="AO40" s="8">
        <f t="shared" si="39"/>
        <v>-253587.30257317814</v>
      </c>
      <c r="AP40" s="8">
        <f t="shared" si="39"/>
        <v>-236681.48240163294</v>
      </c>
      <c r="AQ40" s="8">
        <f t="shared" si="39"/>
        <v>-219775.66223008774</v>
      </c>
      <c r="AR40" s="8">
        <f t="shared" si="39"/>
        <v>-202869.84205854253</v>
      </c>
      <c r="AS40" s="8">
        <f t="shared" si="39"/>
        <v>-185964.02188699733</v>
      </c>
      <c r="AT40" s="8">
        <f t="shared" si="39"/>
        <v>-169058.20171545213</v>
      </c>
      <c r="AU40" s="8">
        <f t="shared" si="39"/>
        <v>-152152.38154390693</v>
      </c>
      <c r="AV40" s="8">
        <f t="shared" si="39"/>
        <v>-135246.56137236173</v>
      </c>
      <c r="AW40" s="8">
        <f t="shared" si="39"/>
        <v>-118340.74120081653</v>
      </c>
      <c r="AX40" s="8">
        <f t="shared" si="39"/>
        <v>-101434.92102927133</v>
      </c>
      <c r="AY40" s="8">
        <f t="shared" si="39"/>
        <v>-84529.100857726124</v>
      </c>
      <c r="AZ40" s="8">
        <f t="shared" si="39"/>
        <v>-67623.280686180922</v>
      </c>
      <c r="BA40" s="8">
        <f t="shared" si="39"/>
        <v>-50717.460514635721</v>
      </c>
      <c r="BB40" s="8">
        <f t="shared" si="39"/>
        <v>-33811.640343090519</v>
      </c>
      <c r="BC40" s="8">
        <f t="shared" si="39"/>
        <v>-16905.820171545318</v>
      </c>
      <c r="BD40" s="8">
        <f t="shared" si="39"/>
        <v>-1.1641532182693481E-10</v>
      </c>
      <c r="BE40" s="8">
        <f t="shared" si="39"/>
        <v>-1.1641532182693481E-10</v>
      </c>
      <c r="BF40" s="8">
        <f t="shared" si="39"/>
        <v>-1.1641532182693481E-10</v>
      </c>
      <c r="BG40" s="8">
        <f t="shared" si="39"/>
        <v>-1.1641532182693481E-10</v>
      </c>
      <c r="BH40" s="8">
        <f t="shared" si="39"/>
        <v>-1.1641532182693481E-10</v>
      </c>
      <c r="BI40" s="8">
        <f t="shared" si="39"/>
        <v>-1.1641532182693481E-10</v>
      </c>
      <c r="BJ40" s="8">
        <f t="shared" si="39"/>
        <v>-1.1641532182693481E-10</v>
      </c>
      <c r="BK40" s="8">
        <f t="shared" si="39"/>
        <v>-1.1641532182693481E-10</v>
      </c>
      <c r="BL40" s="8">
        <f t="shared" si="39"/>
        <v>-1.1641532182693481E-10</v>
      </c>
      <c r="BM40" s="8">
        <f t="shared" si="39"/>
        <v>-1.1641532182693481E-10</v>
      </c>
      <c r="BN40" s="8">
        <f t="shared" si="39"/>
        <v>-1.1641532182693481E-10</v>
      </c>
      <c r="BO40" s="8">
        <f t="shared" si="39"/>
        <v>-1.1641532182693481E-10</v>
      </c>
      <c r="BP40" s="8">
        <f t="shared" si="39"/>
        <v>-1.1641532182693481E-10</v>
      </c>
      <c r="BQ40" s="8">
        <f t="shared" si="39"/>
        <v>-1.1641532182693481E-10</v>
      </c>
      <c r="BR40" s="8">
        <f t="shared" si="39"/>
        <v>-1.1641532182693481E-10</v>
      </c>
      <c r="BS40" s="8">
        <f t="shared" ref="BS40:DA40" si="40">BR40+((BS32-BS38)*INC_TAX_RATE)</f>
        <v>-1.1641532182693481E-10</v>
      </c>
      <c r="BT40" s="8">
        <f t="shared" si="40"/>
        <v>-1.1641532182693481E-10</v>
      </c>
      <c r="BU40" s="8">
        <f t="shared" si="40"/>
        <v>-1.1641532182693481E-10</v>
      </c>
      <c r="BV40" s="8">
        <f t="shared" si="40"/>
        <v>-1.1641532182693481E-10</v>
      </c>
      <c r="BW40" s="8">
        <f t="shared" si="40"/>
        <v>-1.1641532182693481E-10</v>
      </c>
      <c r="BX40" s="8">
        <f t="shared" si="40"/>
        <v>-1.1641532182693481E-10</v>
      </c>
      <c r="BY40" s="8">
        <f t="shared" si="40"/>
        <v>-1.1641532182693481E-10</v>
      </c>
      <c r="BZ40" s="8">
        <f t="shared" si="40"/>
        <v>-1.1641532182693481E-10</v>
      </c>
      <c r="CA40" s="8">
        <f t="shared" si="40"/>
        <v>-1.1641532182693481E-10</v>
      </c>
      <c r="CB40" s="8">
        <f t="shared" si="40"/>
        <v>-1.1641532182693481E-10</v>
      </c>
      <c r="CC40" s="8">
        <f t="shared" si="40"/>
        <v>-1.1641532182693481E-10</v>
      </c>
      <c r="CD40" s="8">
        <f t="shared" si="40"/>
        <v>-1.1641532182693481E-10</v>
      </c>
      <c r="CE40" s="8">
        <f t="shared" si="40"/>
        <v>-1.1641532182693481E-10</v>
      </c>
      <c r="CF40" s="8">
        <f t="shared" si="40"/>
        <v>-1.1641532182693481E-10</v>
      </c>
      <c r="CG40" s="8">
        <f t="shared" si="40"/>
        <v>-1.1641532182693481E-10</v>
      </c>
      <c r="CH40" s="8">
        <f t="shared" si="40"/>
        <v>-1.1641532182693481E-10</v>
      </c>
      <c r="CI40" s="8">
        <f t="shared" si="40"/>
        <v>-1.1641532182693481E-10</v>
      </c>
      <c r="CJ40" s="8">
        <f t="shared" si="40"/>
        <v>-1.1641532182693481E-10</v>
      </c>
      <c r="CK40" s="8">
        <f t="shared" si="40"/>
        <v>-1.1641532182693481E-10</v>
      </c>
      <c r="CL40" s="8">
        <f t="shared" si="40"/>
        <v>-1.1641532182693481E-10</v>
      </c>
      <c r="CM40" s="8">
        <f t="shared" si="40"/>
        <v>-1.1641532182693481E-10</v>
      </c>
      <c r="CN40" s="8">
        <f t="shared" si="40"/>
        <v>-1.1641532182693481E-10</v>
      </c>
      <c r="CO40" s="8">
        <f t="shared" si="40"/>
        <v>-1.1641532182693481E-10</v>
      </c>
      <c r="CP40" s="8">
        <f t="shared" si="40"/>
        <v>-1.1641532182693481E-10</v>
      </c>
      <c r="CQ40" s="8">
        <f t="shared" si="40"/>
        <v>-1.1641532182693481E-10</v>
      </c>
      <c r="CR40" s="8">
        <f t="shared" si="40"/>
        <v>-1.1641532182693481E-10</v>
      </c>
      <c r="CS40" s="8">
        <f t="shared" si="40"/>
        <v>-1.1641532182693481E-10</v>
      </c>
      <c r="CT40" s="8">
        <f t="shared" si="40"/>
        <v>-1.1641532182693481E-10</v>
      </c>
      <c r="CU40" s="8">
        <f t="shared" si="40"/>
        <v>-1.1641532182693481E-10</v>
      </c>
      <c r="CV40" s="8">
        <f t="shared" si="40"/>
        <v>-1.1641532182693481E-10</v>
      </c>
      <c r="CW40" s="8">
        <f t="shared" si="40"/>
        <v>-1.1641532182693481E-10</v>
      </c>
      <c r="CX40" s="8">
        <f t="shared" si="40"/>
        <v>-1.1641532182693481E-10</v>
      </c>
      <c r="CY40" s="8">
        <f t="shared" si="40"/>
        <v>-1.1641532182693481E-10</v>
      </c>
      <c r="CZ40" s="8">
        <f t="shared" si="40"/>
        <v>-1.1641532182693481E-10</v>
      </c>
      <c r="DA40" s="8">
        <f t="shared" si="40"/>
        <v>-1.1641532182693481E-10</v>
      </c>
      <c r="DB40" s="8"/>
    </row>
    <row r="41" spans="1:106" x14ac:dyDescent="0.4"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</row>
    <row r="42" spans="1:106" x14ac:dyDescent="0.4">
      <c r="D42" t="s">
        <v>158</v>
      </c>
      <c r="E42" s="8"/>
      <c r="F42" s="8"/>
      <c r="G42" s="8">
        <f>AVERAGE(G35:G36)+AVERAGE(G39:G40)</f>
        <v>3012044.7951109488</v>
      </c>
      <c r="H42" s="8">
        <f t="shared" ref="H42:BS42" si="41">AVERAGE(H35:H36)+AVERAGE(H39:H40)</f>
        <v>2921591.8199890745</v>
      </c>
      <c r="I42" s="8">
        <f t="shared" si="41"/>
        <v>2818768.0109566716</v>
      </c>
      <c r="J42" s="8">
        <f t="shared" si="41"/>
        <v>2720348.1680789562</v>
      </c>
      <c r="K42" s="8">
        <f t="shared" si="41"/>
        <v>2626002.6278625834</v>
      </c>
      <c r="L42" s="8">
        <f t="shared" si="41"/>
        <v>2535427.0855444651</v>
      </c>
      <c r="M42" s="8">
        <f t="shared" si="41"/>
        <v>2448338.3686367283</v>
      </c>
      <c r="N42" s="8">
        <f t="shared" si="41"/>
        <v>2364474.4369267132</v>
      </c>
      <c r="O42" s="8">
        <f t="shared" si="41"/>
        <v>2282410.9750649678</v>
      </c>
      <c r="P42" s="8">
        <f t="shared" si="41"/>
        <v>2200605.3269608389</v>
      </c>
      <c r="Q42" s="8">
        <f t="shared" si="41"/>
        <v>2118799.6788567095</v>
      </c>
      <c r="R42" s="8">
        <f t="shared" si="41"/>
        <v>2036994.0307525801</v>
      </c>
      <c r="S42" s="8">
        <f t="shared" si="41"/>
        <v>1955188.382648451</v>
      </c>
      <c r="T42" s="8">
        <f t="shared" si="41"/>
        <v>1873382.7345443219</v>
      </c>
      <c r="U42" s="8">
        <f t="shared" si="41"/>
        <v>1791577.0864401925</v>
      </c>
      <c r="V42" s="8">
        <f t="shared" si="41"/>
        <v>1709771.4383360632</v>
      </c>
      <c r="W42" s="8">
        <f t="shared" si="41"/>
        <v>1627965.7902319341</v>
      </c>
      <c r="X42" s="8">
        <f t="shared" si="41"/>
        <v>1546160.1421278049</v>
      </c>
      <c r="Y42" s="8">
        <f t="shared" si="41"/>
        <v>1464354.4940236753</v>
      </c>
      <c r="Z42" s="8">
        <f t="shared" si="41"/>
        <v>1382548.8459195462</v>
      </c>
      <c r="AA42" s="8">
        <f t="shared" si="41"/>
        <v>1310172.4190160963</v>
      </c>
      <c r="AB42" s="8">
        <f t="shared" si="41"/>
        <v>1256650.2080589621</v>
      </c>
      <c r="AC42" s="8">
        <f t="shared" si="41"/>
        <v>1212557.2183025074</v>
      </c>
      <c r="AD42" s="8">
        <f t="shared" si="41"/>
        <v>1168464.2285460525</v>
      </c>
      <c r="AE42" s="8">
        <f t="shared" si="41"/>
        <v>1124371.2387895978</v>
      </c>
      <c r="AF42" s="8">
        <f t="shared" si="41"/>
        <v>1080278.2490331428</v>
      </c>
      <c r="AG42" s="8">
        <f t="shared" si="41"/>
        <v>1036185.2592766882</v>
      </c>
      <c r="AH42" s="8">
        <f t="shared" si="41"/>
        <v>992092.26952023339</v>
      </c>
      <c r="AI42" s="8">
        <f t="shared" si="41"/>
        <v>947999.27976377867</v>
      </c>
      <c r="AJ42" s="8">
        <f t="shared" si="41"/>
        <v>903906.29000732384</v>
      </c>
      <c r="AK42" s="8">
        <f t="shared" si="41"/>
        <v>859813.30025086913</v>
      </c>
      <c r="AL42" s="8">
        <f t="shared" si="41"/>
        <v>815720.3104944143</v>
      </c>
      <c r="AM42" s="8">
        <f t="shared" si="41"/>
        <v>771627.32073795958</v>
      </c>
      <c r="AN42" s="8">
        <f t="shared" si="41"/>
        <v>727534.33098150475</v>
      </c>
      <c r="AO42" s="8">
        <f t="shared" si="41"/>
        <v>683441.34122504992</v>
      </c>
      <c r="AP42" s="8">
        <f t="shared" si="41"/>
        <v>639348.35146859498</v>
      </c>
      <c r="AQ42" s="8">
        <f t="shared" si="41"/>
        <v>595255.36171214026</v>
      </c>
      <c r="AR42" s="8">
        <f t="shared" si="41"/>
        <v>551162.37195568543</v>
      </c>
      <c r="AS42" s="8">
        <f t="shared" si="41"/>
        <v>507069.38219923072</v>
      </c>
      <c r="AT42" s="8">
        <f t="shared" si="41"/>
        <v>462976.39244277589</v>
      </c>
      <c r="AU42" s="8">
        <f t="shared" si="41"/>
        <v>418883.40268632118</v>
      </c>
      <c r="AV42" s="8">
        <f t="shared" si="41"/>
        <v>374790.41292986635</v>
      </c>
      <c r="AW42" s="8">
        <f t="shared" si="41"/>
        <v>330697.42317341163</v>
      </c>
      <c r="AX42" s="8">
        <f t="shared" si="41"/>
        <v>286604.4334169568</v>
      </c>
      <c r="AY42" s="8">
        <f t="shared" si="41"/>
        <v>242511.44366050206</v>
      </c>
      <c r="AZ42" s="8">
        <f t="shared" si="41"/>
        <v>198418.45390404729</v>
      </c>
      <c r="BA42" s="8">
        <f t="shared" si="41"/>
        <v>154325.46414759252</v>
      </c>
      <c r="BB42" s="8">
        <f t="shared" si="41"/>
        <v>110232.47439113774</v>
      </c>
      <c r="BC42" s="8">
        <f t="shared" si="41"/>
        <v>66139.484634682973</v>
      </c>
      <c r="BD42" s="8">
        <f t="shared" si="41"/>
        <v>22046.494878227735</v>
      </c>
      <c r="BE42" s="8">
        <f t="shared" si="41"/>
        <v>-1.1641532182693481E-10</v>
      </c>
      <c r="BF42" s="8">
        <f t="shared" si="41"/>
        <v>-1.1641532182693481E-10</v>
      </c>
      <c r="BG42" s="8">
        <f t="shared" si="41"/>
        <v>-1.1641532182693481E-10</v>
      </c>
      <c r="BH42" s="8">
        <f t="shared" si="41"/>
        <v>-1.1641532182693481E-10</v>
      </c>
      <c r="BI42" s="8">
        <f t="shared" si="41"/>
        <v>-1.1641532182693481E-10</v>
      </c>
      <c r="BJ42" s="8">
        <f t="shared" si="41"/>
        <v>-1.1641532182693481E-10</v>
      </c>
      <c r="BK42" s="8">
        <f t="shared" si="41"/>
        <v>-1.1641532182693481E-10</v>
      </c>
      <c r="BL42" s="8">
        <f t="shared" si="41"/>
        <v>-1.1641532182693481E-10</v>
      </c>
      <c r="BM42" s="8">
        <f t="shared" si="41"/>
        <v>-1.1641532182693481E-10</v>
      </c>
      <c r="BN42" s="8">
        <f t="shared" si="41"/>
        <v>-1.1641532182693481E-10</v>
      </c>
      <c r="BO42" s="8">
        <f t="shared" si="41"/>
        <v>-1.1641532182693481E-10</v>
      </c>
      <c r="BP42" s="8">
        <f t="shared" si="41"/>
        <v>-1.1641532182693481E-10</v>
      </c>
      <c r="BQ42" s="8">
        <f t="shared" si="41"/>
        <v>-1.1641532182693481E-10</v>
      </c>
      <c r="BR42" s="8">
        <f t="shared" si="41"/>
        <v>-1.1641532182693481E-10</v>
      </c>
      <c r="BS42" s="8">
        <f t="shared" si="41"/>
        <v>-1.1641532182693481E-10</v>
      </c>
      <c r="BT42" s="8">
        <f t="shared" ref="BT42:DA42" si="42">AVERAGE(BT35:BT36)+AVERAGE(BT39:BT40)</f>
        <v>-1.1641532182693481E-10</v>
      </c>
      <c r="BU42" s="8">
        <f t="shared" si="42"/>
        <v>-1.1641532182693481E-10</v>
      </c>
      <c r="BV42" s="8">
        <f t="shared" si="42"/>
        <v>-1.1641532182693481E-10</v>
      </c>
      <c r="BW42" s="8">
        <f t="shared" si="42"/>
        <v>-1.1641532182693481E-10</v>
      </c>
      <c r="BX42" s="8">
        <f t="shared" si="42"/>
        <v>-1.1641532182693481E-10</v>
      </c>
      <c r="BY42" s="8">
        <f t="shared" si="42"/>
        <v>-1.1641532182693481E-10</v>
      </c>
      <c r="BZ42" s="8">
        <f t="shared" si="42"/>
        <v>-1.1641532182693481E-10</v>
      </c>
      <c r="CA42" s="8">
        <f t="shared" si="42"/>
        <v>-1.1641532182693481E-10</v>
      </c>
      <c r="CB42" s="8">
        <f t="shared" si="42"/>
        <v>-1.1641532182693481E-10</v>
      </c>
      <c r="CC42" s="8">
        <f t="shared" si="42"/>
        <v>-1.1641532182693481E-10</v>
      </c>
      <c r="CD42" s="8">
        <f t="shared" si="42"/>
        <v>-1.1641532182693481E-10</v>
      </c>
      <c r="CE42" s="8">
        <f t="shared" si="42"/>
        <v>-1.1641532182693481E-10</v>
      </c>
      <c r="CF42" s="8">
        <f t="shared" si="42"/>
        <v>-1.1641532182693481E-10</v>
      </c>
      <c r="CG42" s="8">
        <f t="shared" si="42"/>
        <v>-1.1641532182693481E-10</v>
      </c>
      <c r="CH42" s="8">
        <f t="shared" si="42"/>
        <v>-1.1641532182693481E-10</v>
      </c>
      <c r="CI42" s="8">
        <f t="shared" si="42"/>
        <v>-1.1641532182693481E-10</v>
      </c>
      <c r="CJ42" s="8">
        <f t="shared" si="42"/>
        <v>-1.1641532182693481E-10</v>
      </c>
      <c r="CK42" s="8">
        <f t="shared" si="42"/>
        <v>-1.1641532182693481E-10</v>
      </c>
      <c r="CL42" s="8">
        <f t="shared" si="42"/>
        <v>-1.1641532182693481E-10</v>
      </c>
      <c r="CM42" s="8">
        <f t="shared" si="42"/>
        <v>-1.1641532182693481E-10</v>
      </c>
      <c r="CN42" s="8">
        <f t="shared" si="42"/>
        <v>-1.1641532182693481E-10</v>
      </c>
      <c r="CO42" s="8">
        <f t="shared" si="42"/>
        <v>-1.1641532182693481E-10</v>
      </c>
      <c r="CP42" s="8">
        <f t="shared" si="42"/>
        <v>-1.1641532182693481E-10</v>
      </c>
      <c r="CQ42" s="8">
        <f t="shared" si="42"/>
        <v>-1.1641532182693481E-10</v>
      </c>
      <c r="CR42" s="8">
        <f t="shared" si="42"/>
        <v>-1.1641532182693481E-10</v>
      </c>
      <c r="CS42" s="8">
        <f t="shared" si="42"/>
        <v>-1.1641532182693481E-10</v>
      </c>
      <c r="CT42" s="8">
        <f t="shared" si="42"/>
        <v>-1.1641532182693481E-10</v>
      </c>
      <c r="CU42" s="8">
        <f t="shared" si="42"/>
        <v>-1.1641532182693481E-10</v>
      </c>
      <c r="CV42" s="8">
        <f t="shared" si="42"/>
        <v>-1.1641532182693481E-10</v>
      </c>
      <c r="CW42" s="8">
        <f t="shared" si="42"/>
        <v>-1.1641532182693481E-10</v>
      </c>
      <c r="CX42" s="8">
        <f t="shared" si="42"/>
        <v>-1.1641532182693481E-10</v>
      </c>
      <c r="CY42" s="8">
        <f t="shared" si="42"/>
        <v>-1.1641532182693481E-10</v>
      </c>
      <c r="CZ42" s="8">
        <f t="shared" si="42"/>
        <v>-1.1641532182693481E-10</v>
      </c>
      <c r="DA42" s="8">
        <f t="shared" si="42"/>
        <v>-1.1641532182693481E-10</v>
      </c>
      <c r="DB42" s="8"/>
    </row>
    <row r="43" spans="1:106" x14ac:dyDescent="0.4"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</row>
    <row r="44" spans="1:106" x14ac:dyDescent="0.4">
      <c r="D44" t="s">
        <v>209</v>
      </c>
      <c r="E44" s="8"/>
      <c r="F44" s="8"/>
      <c r="G44" s="8">
        <f t="shared" ref="G44:AL44" si="43">G42*AVG_PRE_TAX_RATE</f>
        <v>268975.60020340775</v>
      </c>
      <c r="H44" s="8">
        <f t="shared" si="43"/>
        <v>260898.14952502438</v>
      </c>
      <c r="I44" s="8">
        <f t="shared" si="43"/>
        <v>251715.98337843077</v>
      </c>
      <c r="J44" s="8">
        <f t="shared" si="43"/>
        <v>242927.0914094508</v>
      </c>
      <c r="K44" s="8">
        <f t="shared" si="43"/>
        <v>234502.0346681287</v>
      </c>
      <c r="L44" s="8">
        <f t="shared" si="43"/>
        <v>226413.63873912074</v>
      </c>
      <c r="M44" s="8">
        <f t="shared" si="43"/>
        <v>218636.61631925983</v>
      </c>
      <c r="N44" s="8">
        <f t="shared" si="43"/>
        <v>211147.56721755551</v>
      </c>
      <c r="O44" s="8">
        <f t="shared" si="43"/>
        <v>203819.30007330162</v>
      </c>
      <c r="P44" s="8">
        <f t="shared" si="43"/>
        <v>196514.05569760292</v>
      </c>
      <c r="Q44" s="8">
        <f t="shared" si="43"/>
        <v>189208.81132190416</v>
      </c>
      <c r="R44" s="8">
        <f t="shared" si="43"/>
        <v>181903.56694620542</v>
      </c>
      <c r="S44" s="8">
        <f t="shared" si="43"/>
        <v>174598.32257050669</v>
      </c>
      <c r="T44" s="8">
        <f t="shared" si="43"/>
        <v>167293.07819480795</v>
      </c>
      <c r="U44" s="8">
        <f t="shared" si="43"/>
        <v>159987.83381910919</v>
      </c>
      <c r="V44" s="8">
        <f t="shared" si="43"/>
        <v>152682.58944341046</v>
      </c>
      <c r="W44" s="8">
        <f t="shared" si="43"/>
        <v>145377.34506771172</v>
      </c>
      <c r="X44" s="8">
        <f t="shared" si="43"/>
        <v>138072.10069201299</v>
      </c>
      <c r="Y44" s="8">
        <f t="shared" si="43"/>
        <v>130766.85631631421</v>
      </c>
      <c r="Z44" s="8">
        <f t="shared" si="43"/>
        <v>123461.61194061548</v>
      </c>
      <c r="AA44" s="8">
        <f t="shared" si="43"/>
        <v>116998.3970181374</v>
      </c>
      <c r="AB44" s="8">
        <f t="shared" si="43"/>
        <v>112218.86357966533</v>
      </c>
      <c r="AC44" s="8">
        <f t="shared" si="43"/>
        <v>108281.35959441392</v>
      </c>
      <c r="AD44" s="8">
        <f t="shared" si="43"/>
        <v>104343.85560916249</v>
      </c>
      <c r="AE44" s="8">
        <f t="shared" si="43"/>
        <v>100406.35162391109</v>
      </c>
      <c r="AF44" s="8">
        <f t="shared" si="43"/>
        <v>96468.847638659659</v>
      </c>
      <c r="AG44" s="8">
        <f t="shared" si="43"/>
        <v>92531.343653408258</v>
      </c>
      <c r="AH44" s="8">
        <f t="shared" si="43"/>
        <v>88593.839668156841</v>
      </c>
      <c r="AI44" s="8">
        <f t="shared" si="43"/>
        <v>84656.335682905439</v>
      </c>
      <c r="AJ44" s="8">
        <f t="shared" si="43"/>
        <v>80718.831697654023</v>
      </c>
      <c r="AK44" s="8">
        <f t="shared" si="43"/>
        <v>76781.327712402621</v>
      </c>
      <c r="AL44" s="8">
        <f t="shared" si="43"/>
        <v>72843.823727151204</v>
      </c>
      <c r="AM44" s="8">
        <f t="shared" ref="AM44:BR44" si="44">AM42*AVG_PRE_TAX_RATE</f>
        <v>68906.319741899788</v>
      </c>
      <c r="AN44" s="8">
        <f t="shared" si="44"/>
        <v>64968.815756648379</v>
      </c>
      <c r="AO44" s="8">
        <f t="shared" si="44"/>
        <v>61031.311771396962</v>
      </c>
      <c r="AP44" s="8">
        <f t="shared" si="44"/>
        <v>57093.807786145531</v>
      </c>
      <c r="AQ44" s="8">
        <f t="shared" si="44"/>
        <v>53156.303800894129</v>
      </c>
      <c r="AR44" s="8">
        <f t="shared" si="44"/>
        <v>49218.799815642713</v>
      </c>
      <c r="AS44" s="8">
        <f t="shared" si="44"/>
        <v>45281.295830391304</v>
      </c>
      <c r="AT44" s="8">
        <f t="shared" si="44"/>
        <v>41343.791845139887</v>
      </c>
      <c r="AU44" s="8">
        <f t="shared" si="44"/>
        <v>37406.287859888485</v>
      </c>
      <c r="AV44" s="8">
        <f t="shared" si="44"/>
        <v>33468.783874637069</v>
      </c>
      <c r="AW44" s="8">
        <f t="shared" si="44"/>
        <v>29531.27988938566</v>
      </c>
      <c r="AX44" s="8">
        <f t="shared" si="44"/>
        <v>25593.775904134243</v>
      </c>
      <c r="AY44" s="8">
        <f t="shared" si="44"/>
        <v>21656.271918882834</v>
      </c>
      <c r="AZ44" s="8">
        <f t="shared" si="44"/>
        <v>17718.767933631425</v>
      </c>
      <c r="BA44" s="8">
        <f t="shared" si="44"/>
        <v>13781.263948380012</v>
      </c>
      <c r="BB44" s="8">
        <f t="shared" si="44"/>
        <v>9843.7599631286012</v>
      </c>
      <c r="BC44" s="8">
        <f t="shared" si="44"/>
        <v>5906.2559778771902</v>
      </c>
      <c r="BD44" s="8">
        <f t="shared" si="44"/>
        <v>1968.7519926257369</v>
      </c>
      <c r="BE44" s="8">
        <f t="shared" si="44"/>
        <v>-1.0395888239145279E-11</v>
      </c>
      <c r="BF44" s="8">
        <f t="shared" si="44"/>
        <v>-1.0395888239145279E-11</v>
      </c>
      <c r="BG44" s="8">
        <f t="shared" si="44"/>
        <v>-1.0395888239145279E-11</v>
      </c>
      <c r="BH44" s="8">
        <f t="shared" si="44"/>
        <v>-1.0395888239145279E-11</v>
      </c>
      <c r="BI44" s="8">
        <f t="shared" si="44"/>
        <v>-1.0395888239145279E-11</v>
      </c>
      <c r="BJ44" s="8">
        <f t="shared" si="44"/>
        <v>-1.0395888239145279E-11</v>
      </c>
      <c r="BK44" s="8">
        <f t="shared" si="44"/>
        <v>-1.0395888239145279E-11</v>
      </c>
      <c r="BL44" s="8">
        <f t="shared" si="44"/>
        <v>-1.0395888239145279E-11</v>
      </c>
      <c r="BM44" s="8">
        <f t="shared" si="44"/>
        <v>-1.0395888239145279E-11</v>
      </c>
      <c r="BN44" s="8">
        <f t="shared" si="44"/>
        <v>-1.0395888239145279E-11</v>
      </c>
      <c r="BO44" s="8">
        <f t="shared" si="44"/>
        <v>-1.0395888239145279E-11</v>
      </c>
      <c r="BP44" s="8">
        <f t="shared" si="44"/>
        <v>-1.0395888239145279E-11</v>
      </c>
      <c r="BQ44" s="8">
        <f t="shared" si="44"/>
        <v>-1.0395888239145279E-11</v>
      </c>
      <c r="BR44" s="8">
        <f t="shared" si="44"/>
        <v>-1.0395888239145279E-11</v>
      </c>
      <c r="BS44" s="8">
        <f t="shared" ref="BS44:DA44" si="45">BS42*AVG_PRE_TAX_RATE</f>
        <v>-1.0395888239145279E-11</v>
      </c>
      <c r="BT44" s="8">
        <f t="shared" si="45"/>
        <v>-1.0395888239145279E-11</v>
      </c>
      <c r="BU44" s="8">
        <f t="shared" si="45"/>
        <v>-1.0395888239145279E-11</v>
      </c>
      <c r="BV44" s="8">
        <f t="shared" si="45"/>
        <v>-1.0395888239145279E-11</v>
      </c>
      <c r="BW44" s="8">
        <f t="shared" si="45"/>
        <v>-1.0395888239145279E-11</v>
      </c>
      <c r="BX44" s="8">
        <f t="shared" si="45"/>
        <v>-1.0395888239145279E-11</v>
      </c>
      <c r="BY44" s="8">
        <f t="shared" si="45"/>
        <v>-1.0395888239145279E-11</v>
      </c>
      <c r="BZ44" s="8">
        <f t="shared" si="45"/>
        <v>-1.0395888239145279E-11</v>
      </c>
      <c r="CA44" s="8">
        <f t="shared" si="45"/>
        <v>-1.0395888239145279E-11</v>
      </c>
      <c r="CB44" s="8">
        <f t="shared" si="45"/>
        <v>-1.0395888239145279E-11</v>
      </c>
      <c r="CC44" s="8">
        <f t="shared" si="45"/>
        <v>-1.0395888239145279E-11</v>
      </c>
      <c r="CD44" s="8">
        <f t="shared" si="45"/>
        <v>-1.0395888239145279E-11</v>
      </c>
      <c r="CE44" s="8">
        <f t="shared" si="45"/>
        <v>-1.0395888239145279E-11</v>
      </c>
      <c r="CF44" s="8">
        <f t="shared" si="45"/>
        <v>-1.0395888239145279E-11</v>
      </c>
      <c r="CG44" s="8">
        <f t="shared" si="45"/>
        <v>-1.0395888239145279E-11</v>
      </c>
      <c r="CH44" s="8">
        <f t="shared" si="45"/>
        <v>-1.0395888239145279E-11</v>
      </c>
      <c r="CI44" s="8">
        <f t="shared" si="45"/>
        <v>-1.0395888239145279E-11</v>
      </c>
      <c r="CJ44" s="8">
        <f t="shared" si="45"/>
        <v>-1.0395888239145279E-11</v>
      </c>
      <c r="CK44" s="8">
        <f t="shared" si="45"/>
        <v>-1.0395888239145279E-11</v>
      </c>
      <c r="CL44" s="8">
        <f t="shared" si="45"/>
        <v>-1.0395888239145279E-11</v>
      </c>
      <c r="CM44" s="8">
        <f t="shared" si="45"/>
        <v>-1.0395888239145279E-11</v>
      </c>
      <c r="CN44" s="8">
        <f t="shared" si="45"/>
        <v>-1.0395888239145279E-11</v>
      </c>
      <c r="CO44" s="8">
        <f t="shared" si="45"/>
        <v>-1.0395888239145279E-11</v>
      </c>
      <c r="CP44" s="8">
        <f t="shared" si="45"/>
        <v>-1.0395888239145279E-11</v>
      </c>
      <c r="CQ44" s="8">
        <f t="shared" si="45"/>
        <v>-1.0395888239145279E-11</v>
      </c>
      <c r="CR44" s="8">
        <f t="shared" si="45"/>
        <v>-1.0395888239145279E-11</v>
      </c>
      <c r="CS44" s="8">
        <f t="shared" si="45"/>
        <v>-1.0395888239145279E-11</v>
      </c>
      <c r="CT44" s="8">
        <f t="shared" si="45"/>
        <v>-1.0395888239145279E-11</v>
      </c>
      <c r="CU44" s="8">
        <f t="shared" si="45"/>
        <v>-1.0395888239145279E-11</v>
      </c>
      <c r="CV44" s="8">
        <f t="shared" si="45"/>
        <v>-1.0395888239145279E-11</v>
      </c>
      <c r="CW44" s="8">
        <f t="shared" si="45"/>
        <v>-1.0395888239145279E-11</v>
      </c>
      <c r="CX44" s="8">
        <f t="shared" si="45"/>
        <v>-1.0395888239145279E-11</v>
      </c>
      <c r="CY44" s="8">
        <f t="shared" si="45"/>
        <v>-1.0395888239145279E-11</v>
      </c>
      <c r="CZ44" s="8">
        <f t="shared" si="45"/>
        <v>-1.0395888239145279E-11</v>
      </c>
      <c r="DA44" s="8">
        <f t="shared" si="45"/>
        <v>-1.0395888239145279E-11</v>
      </c>
      <c r="DB44" s="8"/>
    </row>
    <row r="47" spans="1:106" x14ac:dyDescent="0.4">
      <c r="C47" s="58" t="str">
        <f>C30</f>
        <v>Investment year in service</v>
      </c>
      <c r="E47" t="str">
        <f>IF(E48&lt;$C48,"",E48-$C48)</f>
        <v/>
      </c>
      <c r="F47" t="str">
        <f>IF(F48&lt;$C48,"",F48-$C48)</f>
        <v/>
      </c>
      <c r="G47">
        <f t="shared" ref="G47:BR47" si="46">IF(G48&lt;$C48,"",G48-$C48)</f>
        <v>0</v>
      </c>
      <c r="H47">
        <f t="shared" si="46"/>
        <v>1</v>
      </c>
      <c r="I47">
        <f t="shared" si="46"/>
        <v>2</v>
      </c>
      <c r="J47">
        <f t="shared" si="46"/>
        <v>3</v>
      </c>
      <c r="K47">
        <f t="shared" si="46"/>
        <v>4</v>
      </c>
      <c r="L47">
        <f t="shared" si="46"/>
        <v>5</v>
      </c>
      <c r="M47">
        <f t="shared" si="46"/>
        <v>6</v>
      </c>
      <c r="N47">
        <f t="shared" si="46"/>
        <v>7</v>
      </c>
      <c r="O47">
        <f t="shared" si="46"/>
        <v>8</v>
      </c>
      <c r="P47">
        <f t="shared" si="46"/>
        <v>9</v>
      </c>
      <c r="Q47">
        <f t="shared" si="46"/>
        <v>10</v>
      </c>
      <c r="R47">
        <f t="shared" si="46"/>
        <v>11</v>
      </c>
      <c r="S47">
        <f t="shared" si="46"/>
        <v>12</v>
      </c>
      <c r="T47">
        <f t="shared" si="46"/>
        <v>13</v>
      </c>
      <c r="U47">
        <f t="shared" si="46"/>
        <v>14</v>
      </c>
      <c r="V47">
        <f t="shared" si="46"/>
        <v>15</v>
      </c>
      <c r="W47">
        <f t="shared" si="46"/>
        <v>16</v>
      </c>
      <c r="X47">
        <f t="shared" si="46"/>
        <v>17</v>
      </c>
      <c r="Y47">
        <f t="shared" si="46"/>
        <v>18</v>
      </c>
      <c r="Z47">
        <f t="shared" si="46"/>
        <v>19</v>
      </c>
      <c r="AA47">
        <f t="shared" si="46"/>
        <v>20</v>
      </c>
      <c r="AB47">
        <f t="shared" si="46"/>
        <v>21</v>
      </c>
      <c r="AC47">
        <f t="shared" si="46"/>
        <v>22</v>
      </c>
      <c r="AD47">
        <f t="shared" si="46"/>
        <v>23</v>
      </c>
      <c r="AE47">
        <f t="shared" si="46"/>
        <v>24</v>
      </c>
      <c r="AF47">
        <f t="shared" si="46"/>
        <v>25</v>
      </c>
      <c r="AG47">
        <f t="shared" si="46"/>
        <v>26</v>
      </c>
      <c r="AH47">
        <f t="shared" si="46"/>
        <v>27</v>
      </c>
      <c r="AI47">
        <f t="shared" si="46"/>
        <v>28</v>
      </c>
      <c r="AJ47">
        <f t="shared" si="46"/>
        <v>29</v>
      </c>
      <c r="AK47">
        <f t="shared" si="46"/>
        <v>30</v>
      </c>
      <c r="AL47">
        <f t="shared" si="46"/>
        <v>31</v>
      </c>
      <c r="AM47">
        <f t="shared" si="46"/>
        <v>32</v>
      </c>
      <c r="AN47">
        <f t="shared" si="46"/>
        <v>33</v>
      </c>
      <c r="AO47">
        <f t="shared" si="46"/>
        <v>34</v>
      </c>
      <c r="AP47">
        <f t="shared" si="46"/>
        <v>35</v>
      </c>
      <c r="AQ47">
        <f t="shared" si="46"/>
        <v>36</v>
      </c>
      <c r="AR47">
        <f t="shared" si="46"/>
        <v>37</v>
      </c>
      <c r="AS47">
        <f t="shared" si="46"/>
        <v>38</v>
      </c>
      <c r="AT47">
        <f t="shared" si="46"/>
        <v>39</v>
      </c>
      <c r="AU47">
        <f t="shared" si="46"/>
        <v>40</v>
      </c>
      <c r="AV47">
        <f t="shared" si="46"/>
        <v>41</v>
      </c>
      <c r="AW47">
        <f t="shared" si="46"/>
        <v>42</v>
      </c>
      <c r="AX47">
        <f t="shared" si="46"/>
        <v>43</v>
      </c>
      <c r="AY47">
        <f t="shared" si="46"/>
        <v>44</v>
      </c>
      <c r="AZ47">
        <f t="shared" si="46"/>
        <v>45</v>
      </c>
      <c r="BA47">
        <f t="shared" si="46"/>
        <v>46</v>
      </c>
      <c r="BB47">
        <f t="shared" si="46"/>
        <v>47</v>
      </c>
      <c r="BC47">
        <f t="shared" si="46"/>
        <v>48</v>
      </c>
      <c r="BD47">
        <f t="shared" si="46"/>
        <v>49</v>
      </c>
      <c r="BE47">
        <f t="shared" si="46"/>
        <v>50</v>
      </c>
      <c r="BF47">
        <f t="shared" si="46"/>
        <v>51</v>
      </c>
      <c r="BG47">
        <f t="shared" si="46"/>
        <v>52</v>
      </c>
      <c r="BH47">
        <f t="shared" si="46"/>
        <v>53</v>
      </c>
      <c r="BI47">
        <f t="shared" si="46"/>
        <v>54</v>
      </c>
      <c r="BJ47">
        <f t="shared" si="46"/>
        <v>55</v>
      </c>
      <c r="BK47">
        <f t="shared" si="46"/>
        <v>56</v>
      </c>
      <c r="BL47">
        <f t="shared" si="46"/>
        <v>57</v>
      </c>
      <c r="BM47">
        <f t="shared" si="46"/>
        <v>58</v>
      </c>
      <c r="BN47">
        <f t="shared" si="46"/>
        <v>59</v>
      </c>
      <c r="BO47">
        <f t="shared" si="46"/>
        <v>60</v>
      </c>
      <c r="BP47">
        <f t="shared" si="46"/>
        <v>61</v>
      </c>
      <c r="BQ47">
        <f t="shared" si="46"/>
        <v>62</v>
      </c>
      <c r="BR47">
        <f t="shared" si="46"/>
        <v>63</v>
      </c>
      <c r="BS47">
        <f t="shared" ref="BS47:DA47" si="47">IF(BS48&lt;$C48,"",BS48-$C48)</f>
        <v>64</v>
      </c>
      <c r="BT47">
        <f t="shared" si="47"/>
        <v>65</v>
      </c>
      <c r="BU47">
        <f t="shared" si="47"/>
        <v>66</v>
      </c>
      <c r="BV47">
        <f t="shared" si="47"/>
        <v>67</v>
      </c>
      <c r="BW47">
        <f t="shared" si="47"/>
        <v>68</v>
      </c>
      <c r="BX47">
        <f t="shared" si="47"/>
        <v>69</v>
      </c>
      <c r="BY47">
        <f t="shared" si="47"/>
        <v>70</v>
      </c>
      <c r="BZ47">
        <f t="shared" si="47"/>
        <v>71</v>
      </c>
      <c r="CA47">
        <f t="shared" si="47"/>
        <v>72</v>
      </c>
      <c r="CB47">
        <f t="shared" si="47"/>
        <v>73</v>
      </c>
      <c r="CC47">
        <f t="shared" si="47"/>
        <v>74</v>
      </c>
      <c r="CD47">
        <f t="shared" si="47"/>
        <v>75</v>
      </c>
      <c r="CE47">
        <f t="shared" si="47"/>
        <v>76</v>
      </c>
      <c r="CF47">
        <f t="shared" si="47"/>
        <v>77</v>
      </c>
      <c r="CG47">
        <f t="shared" si="47"/>
        <v>78</v>
      </c>
      <c r="CH47">
        <f t="shared" si="47"/>
        <v>79</v>
      </c>
      <c r="CI47">
        <f t="shared" si="47"/>
        <v>80</v>
      </c>
      <c r="CJ47">
        <f t="shared" si="47"/>
        <v>81</v>
      </c>
      <c r="CK47">
        <f t="shared" si="47"/>
        <v>82</v>
      </c>
      <c r="CL47">
        <f t="shared" si="47"/>
        <v>83</v>
      </c>
      <c r="CM47">
        <f t="shared" si="47"/>
        <v>84</v>
      </c>
      <c r="CN47">
        <f t="shared" si="47"/>
        <v>85</v>
      </c>
      <c r="CO47">
        <f t="shared" si="47"/>
        <v>86</v>
      </c>
      <c r="CP47">
        <f t="shared" si="47"/>
        <v>87</v>
      </c>
      <c r="CQ47">
        <f t="shared" si="47"/>
        <v>88</v>
      </c>
      <c r="CR47">
        <f t="shared" si="47"/>
        <v>89</v>
      </c>
      <c r="CS47">
        <f t="shared" si="47"/>
        <v>90</v>
      </c>
      <c r="CT47">
        <f t="shared" si="47"/>
        <v>91</v>
      </c>
      <c r="CU47">
        <f t="shared" si="47"/>
        <v>92</v>
      </c>
      <c r="CV47">
        <f t="shared" si="47"/>
        <v>93</v>
      </c>
      <c r="CW47">
        <f t="shared" si="47"/>
        <v>94</v>
      </c>
      <c r="CX47">
        <f t="shared" si="47"/>
        <v>95</v>
      </c>
      <c r="CY47">
        <f t="shared" si="47"/>
        <v>96</v>
      </c>
      <c r="CZ47">
        <f t="shared" si="47"/>
        <v>97</v>
      </c>
      <c r="DA47">
        <f t="shared" si="47"/>
        <v>98</v>
      </c>
    </row>
    <row r="48" spans="1:106" x14ac:dyDescent="0.4">
      <c r="A48" s="54" t="s">
        <v>186</v>
      </c>
      <c r="C48">
        <f>C31+1</f>
        <v>2029</v>
      </c>
      <c r="D48" s="5" t="s">
        <v>434</v>
      </c>
      <c r="E48" s="5">
        <v>2027</v>
      </c>
      <c r="F48" s="5">
        <v>2028</v>
      </c>
      <c r="G48" s="5">
        <v>2029</v>
      </c>
      <c r="H48" s="5">
        <v>2030</v>
      </c>
      <c r="I48" s="5">
        <v>2031</v>
      </c>
      <c r="J48" s="5">
        <v>2032</v>
      </c>
      <c r="K48" s="5">
        <v>2033</v>
      </c>
      <c r="L48" s="5">
        <v>2034</v>
      </c>
      <c r="M48" s="5">
        <v>2035</v>
      </c>
      <c r="N48" s="5">
        <v>2036</v>
      </c>
      <c r="O48" s="5">
        <v>2037</v>
      </c>
      <c r="P48" s="5">
        <v>2038</v>
      </c>
      <c r="Q48" s="5">
        <v>2039</v>
      </c>
      <c r="R48" s="5">
        <v>2040</v>
      </c>
      <c r="S48" s="5">
        <v>2041</v>
      </c>
      <c r="T48" s="5">
        <v>2042</v>
      </c>
      <c r="U48" s="5">
        <v>2043</v>
      </c>
      <c r="V48" s="5">
        <v>2044</v>
      </c>
      <c r="W48" s="5">
        <v>2045</v>
      </c>
      <c r="X48" s="5">
        <v>2046</v>
      </c>
      <c r="Y48" s="5">
        <v>2047</v>
      </c>
      <c r="Z48" s="5">
        <v>2048</v>
      </c>
      <c r="AA48" s="5">
        <v>2049</v>
      </c>
      <c r="AB48" s="5">
        <v>2050</v>
      </c>
      <c r="AC48" s="5">
        <v>2051</v>
      </c>
      <c r="AD48" s="5">
        <v>2052</v>
      </c>
      <c r="AE48" s="5">
        <v>2053</v>
      </c>
      <c r="AF48" s="5">
        <v>2054</v>
      </c>
      <c r="AG48" s="5">
        <v>2055</v>
      </c>
      <c r="AH48" s="5">
        <v>2056</v>
      </c>
      <c r="AI48" s="5">
        <v>2057</v>
      </c>
      <c r="AJ48" s="5">
        <v>2058</v>
      </c>
      <c r="AK48" s="5">
        <v>2059</v>
      </c>
      <c r="AL48" s="5">
        <v>2060</v>
      </c>
      <c r="AM48" s="5">
        <v>2061</v>
      </c>
      <c r="AN48" s="5">
        <v>2062</v>
      </c>
      <c r="AO48" s="5">
        <v>2063</v>
      </c>
      <c r="AP48" s="5">
        <v>2064</v>
      </c>
      <c r="AQ48" s="5">
        <v>2065</v>
      </c>
      <c r="AR48" s="5">
        <v>2066</v>
      </c>
      <c r="AS48" s="5">
        <v>2067</v>
      </c>
      <c r="AT48" s="5">
        <v>2068</v>
      </c>
      <c r="AU48" s="5">
        <v>2069</v>
      </c>
      <c r="AV48" s="5">
        <v>2070</v>
      </c>
      <c r="AW48" s="5">
        <v>2071</v>
      </c>
      <c r="AX48" s="5">
        <v>2072</v>
      </c>
      <c r="AY48" s="5">
        <v>2073</v>
      </c>
      <c r="AZ48" s="5">
        <v>2074</v>
      </c>
      <c r="BA48" s="5">
        <v>2075</v>
      </c>
      <c r="BB48" s="5">
        <v>2076</v>
      </c>
      <c r="BC48" s="5">
        <v>2077</v>
      </c>
      <c r="BD48" s="5">
        <v>2078</v>
      </c>
      <c r="BE48" s="5">
        <v>2079</v>
      </c>
      <c r="BF48" s="5">
        <v>2080</v>
      </c>
      <c r="BG48" s="5">
        <v>2081</v>
      </c>
      <c r="BH48" s="5">
        <v>2082</v>
      </c>
      <c r="BI48" s="5">
        <v>2083</v>
      </c>
      <c r="BJ48" s="5">
        <v>2084</v>
      </c>
      <c r="BK48" s="5">
        <v>2085</v>
      </c>
      <c r="BL48" s="5">
        <v>2086</v>
      </c>
      <c r="BM48" s="5">
        <v>2087</v>
      </c>
      <c r="BN48" s="5">
        <v>2088</v>
      </c>
      <c r="BO48" s="5">
        <v>2089</v>
      </c>
      <c r="BP48" s="5">
        <v>2090</v>
      </c>
      <c r="BQ48" s="5">
        <v>2091</v>
      </c>
      <c r="BR48" s="5">
        <v>2092</v>
      </c>
      <c r="BS48" s="5">
        <v>2093</v>
      </c>
      <c r="BT48" s="5">
        <v>2094</v>
      </c>
      <c r="BU48" s="5">
        <v>2095</v>
      </c>
      <c r="BV48" s="5">
        <v>2096</v>
      </c>
      <c r="BW48" s="5">
        <v>2097</v>
      </c>
      <c r="BX48" s="5">
        <v>2098</v>
      </c>
      <c r="BY48" s="5">
        <v>2099</v>
      </c>
      <c r="BZ48" s="5">
        <v>2100</v>
      </c>
      <c r="CA48" s="5">
        <v>2101</v>
      </c>
      <c r="CB48" s="5">
        <v>2102</v>
      </c>
      <c r="CC48" s="5">
        <v>2103</v>
      </c>
      <c r="CD48" s="5">
        <v>2104</v>
      </c>
      <c r="CE48" s="5">
        <v>2105</v>
      </c>
      <c r="CF48" s="5">
        <v>2106</v>
      </c>
      <c r="CG48" s="5">
        <v>2107</v>
      </c>
      <c r="CH48" s="5">
        <v>2108</v>
      </c>
      <c r="CI48" s="5">
        <v>2109</v>
      </c>
      <c r="CJ48" s="5">
        <v>2110</v>
      </c>
      <c r="CK48" s="5">
        <v>2111</v>
      </c>
      <c r="CL48" s="5">
        <v>2112</v>
      </c>
      <c r="CM48" s="5">
        <v>2113</v>
      </c>
      <c r="CN48" s="5">
        <v>2114</v>
      </c>
      <c r="CO48" s="5">
        <v>2115</v>
      </c>
      <c r="CP48" s="5">
        <v>2116</v>
      </c>
      <c r="CQ48" s="5">
        <v>2117</v>
      </c>
      <c r="CR48" s="5">
        <v>2118</v>
      </c>
      <c r="CS48" s="5">
        <v>2119</v>
      </c>
      <c r="CT48" s="5">
        <v>2120</v>
      </c>
      <c r="CU48" s="5">
        <v>2121</v>
      </c>
      <c r="CV48" s="5">
        <v>2122</v>
      </c>
      <c r="CW48" s="5">
        <v>2123</v>
      </c>
      <c r="CX48" s="5">
        <v>2124</v>
      </c>
      <c r="CY48" s="5">
        <v>2125</v>
      </c>
      <c r="CZ48" s="5">
        <v>2126</v>
      </c>
      <c r="DA48" s="5">
        <v>2127</v>
      </c>
    </row>
    <row r="49" spans="1:105" x14ac:dyDescent="0.4">
      <c r="A49" s="45">
        <f>SUM(F49:DA49)</f>
        <v>3117039.1873208033</v>
      </c>
      <c r="D49" t="s">
        <v>207</v>
      </c>
      <c r="H49" s="8">
        <f>IF(H$13&lt;=$B$3,H50/$B$3,0)</f>
        <v>62340.783746416004</v>
      </c>
      <c r="I49" s="8">
        <f>IF(I47&lt;=$B$3,H49,0)</f>
        <v>62340.783746416004</v>
      </c>
      <c r="J49" s="8">
        <f t="shared" ref="J49:BU49" si="48">IF(J47&lt;=$B$3,I49,0)</f>
        <v>62340.783746416004</v>
      </c>
      <c r="K49" s="8">
        <f t="shared" si="48"/>
        <v>62340.783746416004</v>
      </c>
      <c r="L49" s="8">
        <f t="shared" si="48"/>
        <v>62340.783746416004</v>
      </c>
      <c r="M49" s="8">
        <f t="shared" si="48"/>
        <v>62340.783746416004</v>
      </c>
      <c r="N49" s="8">
        <f t="shared" si="48"/>
        <v>62340.783746416004</v>
      </c>
      <c r="O49" s="8">
        <f t="shared" si="48"/>
        <v>62340.783746416004</v>
      </c>
      <c r="P49" s="8">
        <f t="shared" si="48"/>
        <v>62340.783746416004</v>
      </c>
      <c r="Q49" s="8">
        <f t="shared" si="48"/>
        <v>62340.783746416004</v>
      </c>
      <c r="R49" s="8">
        <f t="shared" si="48"/>
        <v>62340.783746416004</v>
      </c>
      <c r="S49" s="8">
        <f t="shared" si="48"/>
        <v>62340.783746416004</v>
      </c>
      <c r="T49" s="8">
        <f t="shared" si="48"/>
        <v>62340.783746416004</v>
      </c>
      <c r="U49" s="8">
        <f t="shared" si="48"/>
        <v>62340.783746416004</v>
      </c>
      <c r="V49" s="8">
        <f t="shared" si="48"/>
        <v>62340.783746416004</v>
      </c>
      <c r="W49" s="8">
        <f t="shared" si="48"/>
        <v>62340.783746416004</v>
      </c>
      <c r="X49" s="8">
        <f t="shared" si="48"/>
        <v>62340.783746416004</v>
      </c>
      <c r="Y49" s="8">
        <f t="shared" si="48"/>
        <v>62340.783746416004</v>
      </c>
      <c r="Z49" s="8">
        <f t="shared" si="48"/>
        <v>62340.783746416004</v>
      </c>
      <c r="AA49" s="8">
        <f t="shared" si="48"/>
        <v>62340.783746416004</v>
      </c>
      <c r="AB49" s="8">
        <f t="shared" si="48"/>
        <v>62340.783746416004</v>
      </c>
      <c r="AC49" s="8">
        <f t="shared" si="48"/>
        <v>62340.783746416004</v>
      </c>
      <c r="AD49" s="8">
        <f t="shared" si="48"/>
        <v>62340.783746416004</v>
      </c>
      <c r="AE49" s="8">
        <f t="shared" si="48"/>
        <v>62340.783746416004</v>
      </c>
      <c r="AF49" s="8">
        <f t="shared" si="48"/>
        <v>62340.783746416004</v>
      </c>
      <c r="AG49" s="8">
        <f t="shared" si="48"/>
        <v>62340.783746416004</v>
      </c>
      <c r="AH49" s="8">
        <f t="shared" si="48"/>
        <v>62340.783746416004</v>
      </c>
      <c r="AI49" s="8">
        <f t="shared" si="48"/>
        <v>62340.783746416004</v>
      </c>
      <c r="AJ49" s="8">
        <f t="shared" si="48"/>
        <v>62340.783746416004</v>
      </c>
      <c r="AK49" s="8">
        <f t="shared" si="48"/>
        <v>62340.783746416004</v>
      </c>
      <c r="AL49" s="8">
        <f t="shared" si="48"/>
        <v>62340.783746416004</v>
      </c>
      <c r="AM49" s="8">
        <f t="shared" si="48"/>
        <v>62340.783746416004</v>
      </c>
      <c r="AN49" s="8">
        <f t="shared" si="48"/>
        <v>62340.783746416004</v>
      </c>
      <c r="AO49" s="8">
        <f t="shared" si="48"/>
        <v>62340.783746416004</v>
      </c>
      <c r="AP49" s="8">
        <f t="shared" si="48"/>
        <v>62340.783746416004</v>
      </c>
      <c r="AQ49" s="8">
        <f t="shared" si="48"/>
        <v>62340.783746416004</v>
      </c>
      <c r="AR49" s="8">
        <f t="shared" si="48"/>
        <v>62340.783746416004</v>
      </c>
      <c r="AS49" s="8">
        <f t="shared" si="48"/>
        <v>62340.783746416004</v>
      </c>
      <c r="AT49" s="8">
        <f t="shared" si="48"/>
        <v>62340.783746416004</v>
      </c>
      <c r="AU49" s="8">
        <f t="shared" si="48"/>
        <v>62340.783746416004</v>
      </c>
      <c r="AV49" s="8">
        <f t="shared" si="48"/>
        <v>62340.783746416004</v>
      </c>
      <c r="AW49" s="8">
        <f t="shared" si="48"/>
        <v>62340.783746416004</v>
      </c>
      <c r="AX49" s="8">
        <f t="shared" si="48"/>
        <v>62340.783746416004</v>
      </c>
      <c r="AY49" s="8">
        <f t="shared" si="48"/>
        <v>62340.783746416004</v>
      </c>
      <c r="AZ49" s="8">
        <f t="shared" si="48"/>
        <v>62340.783746416004</v>
      </c>
      <c r="BA49" s="8">
        <f t="shared" si="48"/>
        <v>62340.783746416004</v>
      </c>
      <c r="BB49" s="8">
        <f t="shared" si="48"/>
        <v>62340.783746416004</v>
      </c>
      <c r="BC49" s="8">
        <f t="shared" si="48"/>
        <v>62340.783746416004</v>
      </c>
      <c r="BD49" s="8">
        <f t="shared" si="48"/>
        <v>62340.783746416004</v>
      </c>
      <c r="BE49" s="8">
        <f t="shared" si="48"/>
        <v>62340.783746416004</v>
      </c>
      <c r="BF49" s="8">
        <f t="shared" si="48"/>
        <v>0</v>
      </c>
      <c r="BG49" s="8">
        <f t="shared" si="48"/>
        <v>0</v>
      </c>
      <c r="BH49" s="8">
        <f t="shared" si="48"/>
        <v>0</v>
      </c>
      <c r="BI49" s="8">
        <f t="shared" si="48"/>
        <v>0</v>
      </c>
      <c r="BJ49" s="8">
        <f t="shared" si="48"/>
        <v>0</v>
      </c>
      <c r="BK49" s="8">
        <f t="shared" si="48"/>
        <v>0</v>
      </c>
      <c r="BL49" s="8">
        <f t="shared" si="48"/>
        <v>0</v>
      </c>
      <c r="BM49" s="8">
        <f t="shared" si="48"/>
        <v>0</v>
      </c>
      <c r="BN49" s="8">
        <f t="shared" si="48"/>
        <v>0</v>
      </c>
      <c r="BO49" s="8">
        <f t="shared" si="48"/>
        <v>0</v>
      </c>
      <c r="BP49" s="8">
        <f t="shared" si="48"/>
        <v>0</v>
      </c>
      <c r="BQ49" s="8">
        <f t="shared" si="48"/>
        <v>0</v>
      </c>
      <c r="BR49" s="8">
        <f t="shared" si="48"/>
        <v>0</v>
      </c>
      <c r="BS49" s="8">
        <f t="shared" si="48"/>
        <v>0</v>
      </c>
      <c r="BT49" s="8">
        <f t="shared" si="48"/>
        <v>0</v>
      </c>
      <c r="BU49" s="8">
        <f t="shared" si="48"/>
        <v>0</v>
      </c>
      <c r="BV49" s="8">
        <f t="shared" ref="BV49:DA49" si="49">IF(BV47&lt;=$B$3,BU49,0)</f>
        <v>0</v>
      </c>
      <c r="BW49" s="8">
        <f t="shared" si="49"/>
        <v>0</v>
      </c>
      <c r="BX49" s="8">
        <f t="shared" si="49"/>
        <v>0</v>
      </c>
      <c r="BY49" s="8">
        <f t="shared" si="49"/>
        <v>0</v>
      </c>
      <c r="BZ49" s="8">
        <f t="shared" si="49"/>
        <v>0</v>
      </c>
      <c r="CA49" s="8">
        <f t="shared" si="49"/>
        <v>0</v>
      </c>
      <c r="CB49" s="8">
        <f t="shared" si="49"/>
        <v>0</v>
      </c>
      <c r="CC49" s="8">
        <f t="shared" si="49"/>
        <v>0</v>
      </c>
      <c r="CD49" s="8">
        <f t="shared" si="49"/>
        <v>0</v>
      </c>
      <c r="CE49" s="8">
        <f t="shared" si="49"/>
        <v>0</v>
      </c>
      <c r="CF49" s="8">
        <f t="shared" si="49"/>
        <v>0</v>
      </c>
      <c r="CG49" s="8">
        <f t="shared" si="49"/>
        <v>0</v>
      </c>
      <c r="CH49" s="8">
        <f t="shared" si="49"/>
        <v>0</v>
      </c>
      <c r="CI49" s="8">
        <f t="shared" si="49"/>
        <v>0</v>
      </c>
      <c r="CJ49" s="8">
        <f t="shared" si="49"/>
        <v>0</v>
      </c>
      <c r="CK49" s="8">
        <f t="shared" si="49"/>
        <v>0</v>
      </c>
      <c r="CL49" s="8">
        <f t="shared" si="49"/>
        <v>0</v>
      </c>
      <c r="CM49" s="8">
        <f t="shared" si="49"/>
        <v>0</v>
      </c>
      <c r="CN49" s="8">
        <f t="shared" si="49"/>
        <v>0</v>
      </c>
      <c r="CO49" s="8">
        <f t="shared" si="49"/>
        <v>0</v>
      </c>
      <c r="CP49" s="8">
        <f t="shared" si="49"/>
        <v>0</v>
      </c>
      <c r="CQ49" s="8">
        <f t="shared" si="49"/>
        <v>0</v>
      </c>
      <c r="CR49" s="8">
        <f t="shared" si="49"/>
        <v>0</v>
      </c>
      <c r="CS49" s="8">
        <f t="shared" si="49"/>
        <v>0</v>
      </c>
      <c r="CT49" s="8">
        <f t="shared" si="49"/>
        <v>0</v>
      </c>
      <c r="CU49" s="8">
        <f t="shared" si="49"/>
        <v>0</v>
      </c>
      <c r="CV49" s="8">
        <f t="shared" si="49"/>
        <v>0</v>
      </c>
      <c r="CW49" s="8">
        <f t="shared" si="49"/>
        <v>0</v>
      </c>
      <c r="CX49" s="8">
        <f t="shared" si="49"/>
        <v>0</v>
      </c>
      <c r="CY49" s="8">
        <f t="shared" si="49"/>
        <v>0</v>
      </c>
      <c r="CZ49" s="8">
        <f t="shared" si="49"/>
        <v>0</v>
      </c>
      <c r="DA49" s="8">
        <f t="shared" si="49"/>
        <v>0</v>
      </c>
    </row>
    <row r="50" spans="1:105" x14ac:dyDescent="0.4">
      <c r="A50" s="82"/>
      <c r="D50" t="s">
        <v>154</v>
      </c>
      <c r="G50" s="8">
        <f>HLOOKUP(H48,$F$3:$O$10,7,0)</f>
        <v>3117039.1873208</v>
      </c>
      <c r="H50" s="8">
        <f>IF(ROUND(G51,4)=-ROUND(G50,4),0,G50)</f>
        <v>3117039.1873208</v>
      </c>
      <c r="I50" s="8">
        <f t="shared" ref="I50:BT50" si="50">IF(ROUND(H51,4)=-ROUND(H50,4),0,H50)</f>
        <v>3117039.1873208</v>
      </c>
      <c r="J50" s="8">
        <f t="shared" si="50"/>
        <v>3117039.1873208</v>
      </c>
      <c r="K50" s="8">
        <f t="shared" si="50"/>
        <v>3117039.1873208</v>
      </c>
      <c r="L50" s="8">
        <f t="shared" si="50"/>
        <v>3117039.1873208</v>
      </c>
      <c r="M50" s="8">
        <f t="shared" si="50"/>
        <v>3117039.1873208</v>
      </c>
      <c r="N50" s="8">
        <f t="shared" si="50"/>
        <v>3117039.1873208</v>
      </c>
      <c r="O50" s="8">
        <f t="shared" si="50"/>
        <v>3117039.1873208</v>
      </c>
      <c r="P50" s="8">
        <f t="shared" si="50"/>
        <v>3117039.1873208</v>
      </c>
      <c r="Q50" s="8">
        <f t="shared" si="50"/>
        <v>3117039.1873208</v>
      </c>
      <c r="R50" s="8">
        <f t="shared" si="50"/>
        <v>3117039.1873208</v>
      </c>
      <c r="S50" s="8">
        <f t="shared" si="50"/>
        <v>3117039.1873208</v>
      </c>
      <c r="T50" s="8">
        <f t="shared" si="50"/>
        <v>3117039.1873208</v>
      </c>
      <c r="U50" s="8">
        <f t="shared" si="50"/>
        <v>3117039.1873208</v>
      </c>
      <c r="V50" s="8">
        <f t="shared" si="50"/>
        <v>3117039.1873208</v>
      </c>
      <c r="W50" s="8">
        <f t="shared" si="50"/>
        <v>3117039.1873208</v>
      </c>
      <c r="X50" s="8">
        <f t="shared" si="50"/>
        <v>3117039.1873208</v>
      </c>
      <c r="Y50" s="8">
        <f t="shared" si="50"/>
        <v>3117039.1873208</v>
      </c>
      <c r="Z50" s="8">
        <f t="shared" si="50"/>
        <v>3117039.1873208</v>
      </c>
      <c r="AA50" s="8">
        <f t="shared" si="50"/>
        <v>3117039.1873208</v>
      </c>
      <c r="AB50" s="8">
        <f t="shared" si="50"/>
        <v>3117039.1873208</v>
      </c>
      <c r="AC50" s="8">
        <f t="shared" si="50"/>
        <v>3117039.1873208</v>
      </c>
      <c r="AD50" s="8">
        <f t="shared" si="50"/>
        <v>3117039.1873208</v>
      </c>
      <c r="AE50" s="8">
        <f t="shared" si="50"/>
        <v>3117039.1873208</v>
      </c>
      <c r="AF50" s="8">
        <f t="shared" si="50"/>
        <v>3117039.1873208</v>
      </c>
      <c r="AG50" s="8">
        <f t="shared" si="50"/>
        <v>3117039.1873208</v>
      </c>
      <c r="AH50" s="8">
        <f t="shared" si="50"/>
        <v>3117039.1873208</v>
      </c>
      <c r="AI50" s="8">
        <f t="shared" si="50"/>
        <v>3117039.1873208</v>
      </c>
      <c r="AJ50" s="8">
        <f t="shared" si="50"/>
        <v>3117039.1873208</v>
      </c>
      <c r="AK50" s="8">
        <f t="shared" si="50"/>
        <v>3117039.1873208</v>
      </c>
      <c r="AL50" s="8">
        <f t="shared" si="50"/>
        <v>3117039.1873208</v>
      </c>
      <c r="AM50" s="8">
        <f t="shared" si="50"/>
        <v>3117039.1873208</v>
      </c>
      <c r="AN50" s="8">
        <f t="shared" si="50"/>
        <v>3117039.1873208</v>
      </c>
      <c r="AO50" s="8">
        <f t="shared" si="50"/>
        <v>3117039.1873208</v>
      </c>
      <c r="AP50" s="8">
        <f t="shared" si="50"/>
        <v>3117039.1873208</v>
      </c>
      <c r="AQ50" s="8">
        <f t="shared" si="50"/>
        <v>3117039.1873208</v>
      </c>
      <c r="AR50" s="8">
        <f t="shared" si="50"/>
        <v>3117039.1873208</v>
      </c>
      <c r="AS50" s="8">
        <f t="shared" si="50"/>
        <v>3117039.1873208</v>
      </c>
      <c r="AT50" s="8">
        <f t="shared" si="50"/>
        <v>3117039.1873208</v>
      </c>
      <c r="AU50" s="8">
        <f t="shared" si="50"/>
        <v>3117039.1873208</v>
      </c>
      <c r="AV50" s="8">
        <f t="shared" si="50"/>
        <v>3117039.1873208</v>
      </c>
      <c r="AW50" s="8">
        <f t="shared" si="50"/>
        <v>3117039.1873208</v>
      </c>
      <c r="AX50" s="8">
        <f t="shared" si="50"/>
        <v>3117039.1873208</v>
      </c>
      <c r="AY50" s="8">
        <f t="shared" si="50"/>
        <v>3117039.1873208</v>
      </c>
      <c r="AZ50" s="8">
        <f t="shared" si="50"/>
        <v>3117039.1873208</v>
      </c>
      <c r="BA50" s="8">
        <f t="shared" si="50"/>
        <v>3117039.1873208</v>
      </c>
      <c r="BB50" s="8">
        <f t="shared" si="50"/>
        <v>3117039.1873208</v>
      </c>
      <c r="BC50" s="8">
        <f t="shared" si="50"/>
        <v>3117039.1873208</v>
      </c>
      <c r="BD50" s="8">
        <f t="shared" si="50"/>
        <v>3117039.1873208</v>
      </c>
      <c r="BE50" s="8">
        <f t="shared" si="50"/>
        <v>3117039.1873208</v>
      </c>
      <c r="BF50" s="8">
        <f t="shared" si="50"/>
        <v>0</v>
      </c>
      <c r="BG50" s="8">
        <f t="shared" si="50"/>
        <v>0</v>
      </c>
      <c r="BH50" s="8">
        <f t="shared" si="50"/>
        <v>0</v>
      </c>
      <c r="BI50" s="8">
        <f t="shared" si="50"/>
        <v>0</v>
      </c>
      <c r="BJ50" s="8">
        <f t="shared" si="50"/>
        <v>0</v>
      </c>
      <c r="BK50" s="8">
        <f t="shared" si="50"/>
        <v>0</v>
      </c>
      <c r="BL50" s="8">
        <f t="shared" si="50"/>
        <v>0</v>
      </c>
      <c r="BM50" s="8">
        <f t="shared" si="50"/>
        <v>0</v>
      </c>
      <c r="BN50" s="8">
        <f t="shared" si="50"/>
        <v>0</v>
      </c>
      <c r="BO50" s="8">
        <f t="shared" si="50"/>
        <v>0</v>
      </c>
      <c r="BP50" s="8">
        <f t="shared" si="50"/>
        <v>0</v>
      </c>
      <c r="BQ50" s="8">
        <f t="shared" si="50"/>
        <v>0</v>
      </c>
      <c r="BR50" s="8">
        <f t="shared" si="50"/>
        <v>0</v>
      </c>
      <c r="BS50" s="8">
        <f t="shared" si="50"/>
        <v>0</v>
      </c>
      <c r="BT50" s="8">
        <f t="shared" si="50"/>
        <v>0</v>
      </c>
      <c r="BU50" s="8">
        <f t="shared" ref="BU50:DA50" si="51">IF(ROUND(BT51,4)=-ROUND(BT50,4),0,BT50)</f>
        <v>0</v>
      </c>
      <c r="BV50" s="8">
        <f t="shared" si="51"/>
        <v>0</v>
      </c>
      <c r="BW50" s="8">
        <f t="shared" si="51"/>
        <v>0</v>
      </c>
      <c r="BX50" s="8">
        <f t="shared" si="51"/>
        <v>0</v>
      </c>
      <c r="BY50" s="8">
        <f t="shared" si="51"/>
        <v>0</v>
      </c>
      <c r="BZ50" s="8">
        <f t="shared" si="51"/>
        <v>0</v>
      </c>
      <c r="CA50" s="8">
        <f t="shared" si="51"/>
        <v>0</v>
      </c>
      <c r="CB50" s="8">
        <f t="shared" si="51"/>
        <v>0</v>
      </c>
      <c r="CC50" s="8">
        <f t="shared" si="51"/>
        <v>0</v>
      </c>
      <c r="CD50" s="8">
        <f t="shared" si="51"/>
        <v>0</v>
      </c>
      <c r="CE50" s="8">
        <f t="shared" si="51"/>
        <v>0</v>
      </c>
      <c r="CF50" s="8">
        <f t="shared" si="51"/>
        <v>0</v>
      </c>
      <c r="CG50" s="8">
        <f t="shared" si="51"/>
        <v>0</v>
      </c>
      <c r="CH50" s="8">
        <f t="shared" si="51"/>
        <v>0</v>
      </c>
      <c r="CI50" s="8">
        <f t="shared" si="51"/>
        <v>0</v>
      </c>
      <c r="CJ50" s="8">
        <f t="shared" si="51"/>
        <v>0</v>
      </c>
      <c r="CK50" s="8">
        <f t="shared" si="51"/>
        <v>0</v>
      </c>
      <c r="CL50" s="8">
        <f t="shared" si="51"/>
        <v>0</v>
      </c>
      <c r="CM50" s="8">
        <f t="shared" si="51"/>
        <v>0</v>
      </c>
      <c r="CN50" s="8">
        <f t="shared" si="51"/>
        <v>0</v>
      </c>
      <c r="CO50" s="8">
        <f t="shared" si="51"/>
        <v>0</v>
      </c>
      <c r="CP50" s="8">
        <f t="shared" si="51"/>
        <v>0</v>
      </c>
      <c r="CQ50" s="8">
        <f t="shared" si="51"/>
        <v>0</v>
      </c>
      <c r="CR50" s="8">
        <f t="shared" si="51"/>
        <v>0</v>
      </c>
      <c r="CS50" s="8">
        <f t="shared" si="51"/>
        <v>0</v>
      </c>
      <c r="CT50" s="8">
        <f t="shared" si="51"/>
        <v>0</v>
      </c>
      <c r="CU50" s="8">
        <f t="shared" si="51"/>
        <v>0</v>
      </c>
      <c r="CV50" s="8">
        <f t="shared" si="51"/>
        <v>0</v>
      </c>
      <c r="CW50" s="8">
        <f t="shared" si="51"/>
        <v>0</v>
      </c>
      <c r="CX50" s="8">
        <f t="shared" si="51"/>
        <v>0</v>
      </c>
      <c r="CY50" s="8">
        <f t="shared" si="51"/>
        <v>0</v>
      </c>
      <c r="CZ50" s="8">
        <f t="shared" si="51"/>
        <v>0</v>
      </c>
      <c r="DA50" s="8">
        <f t="shared" si="51"/>
        <v>0</v>
      </c>
    </row>
    <row r="51" spans="1:105" x14ac:dyDescent="0.4">
      <c r="D51" t="s">
        <v>208</v>
      </c>
      <c r="G51" s="8"/>
      <c r="H51" s="8">
        <f>IF(H47&lt;=$B$3,-SUM($E49:H49),0)</f>
        <v>-62340.783746416004</v>
      </c>
      <c r="I51" s="8">
        <f>IF(I47&lt;=$B$3,-SUM($E49:I49),0)</f>
        <v>-124681.56749283201</v>
      </c>
      <c r="J51" s="8">
        <f>IF(J47&lt;=$B$3,-SUM($E49:J49),0)</f>
        <v>-187022.351239248</v>
      </c>
      <c r="K51" s="8">
        <f>IF(K47&lt;=$B$3,-SUM($E49:K49),0)</f>
        <v>-249363.13498566402</v>
      </c>
      <c r="L51" s="8">
        <f>IF(L47&lt;=$B$3,-SUM($E49:L49),0)</f>
        <v>-311703.91873208003</v>
      </c>
      <c r="M51" s="8">
        <f>IF(M47&lt;=$B$3,-SUM($E49:M49),0)</f>
        <v>-374044.70247849601</v>
      </c>
      <c r="N51" s="8">
        <f>IF(N47&lt;=$B$3,-SUM($E49:N49),0)</f>
        <v>-436385.48622491199</v>
      </c>
      <c r="O51" s="8">
        <f>IF(O47&lt;=$B$3,-SUM($E49:O49),0)</f>
        <v>-498726.26997132797</v>
      </c>
      <c r="P51" s="8">
        <f>IF(P47&lt;=$B$3,-SUM($E49:P49),0)</f>
        <v>-561067.05371774395</v>
      </c>
      <c r="Q51" s="8">
        <f>IF(Q47&lt;=$B$3,-SUM($E49:Q49),0)</f>
        <v>-623407.83746415994</v>
      </c>
      <c r="R51" s="8">
        <f>IF(R47&lt;=$B$3,-SUM($E49:R49),0)</f>
        <v>-685748.62121057592</v>
      </c>
      <c r="S51" s="8">
        <f>IF(S47&lt;=$B$3,-SUM($E49:S49),0)</f>
        <v>-748089.4049569919</v>
      </c>
      <c r="T51" s="8">
        <f>IF(T47&lt;=$B$3,-SUM($E49:T49),0)</f>
        <v>-810430.18870340788</v>
      </c>
      <c r="U51" s="8">
        <f>IF(U47&lt;=$B$3,-SUM($E49:U49),0)</f>
        <v>-872770.97244982386</v>
      </c>
      <c r="V51" s="8">
        <f>IF(V47&lt;=$B$3,-SUM($E49:V49),0)</f>
        <v>-935111.75619623985</v>
      </c>
      <c r="W51" s="8">
        <f>IF(W47&lt;=$B$3,-SUM($E49:W49),0)</f>
        <v>-997452.53994265583</v>
      </c>
      <c r="X51" s="8">
        <f>IF(X47&lt;=$B$3,-SUM($E49:X49),0)</f>
        <v>-1059793.3236890719</v>
      </c>
      <c r="Y51" s="8">
        <f>IF(Y47&lt;=$B$3,-SUM($E49:Y49),0)</f>
        <v>-1122134.1074354879</v>
      </c>
      <c r="Z51" s="8">
        <f>IF(Z47&lt;=$B$3,-SUM($E49:Z49),0)</f>
        <v>-1184474.8911819039</v>
      </c>
      <c r="AA51" s="8">
        <f>IF(AA47&lt;=$B$3,-SUM($E49:AA49),0)</f>
        <v>-1246815.6749283199</v>
      </c>
      <c r="AB51" s="8">
        <f>IF(AB47&lt;=$B$3,-SUM($E49:AB49),0)</f>
        <v>-1309156.4586747359</v>
      </c>
      <c r="AC51" s="8">
        <f>IF(AC47&lt;=$B$3,-SUM($E49:AC49),0)</f>
        <v>-1371497.2424211518</v>
      </c>
      <c r="AD51" s="8">
        <f>IF(AD47&lt;=$B$3,-SUM($E49:AD49),0)</f>
        <v>-1433838.0261675678</v>
      </c>
      <c r="AE51" s="8">
        <f>IF(AE47&lt;=$B$3,-SUM($E49:AE49),0)</f>
        <v>-1496178.8099139838</v>
      </c>
      <c r="AF51" s="8">
        <f>IF(AF47&lt;=$B$3,-SUM($E49:AF49),0)</f>
        <v>-1558519.5936603998</v>
      </c>
      <c r="AG51" s="8">
        <f>IF(AG47&lt;=$B$3,-SUM($E49:AG49),0)</f>
        <v>-1620860.3774068158</v>
      </c>
      <c r="AH51" s="8">
        <f>IF(AH47&lt;=$B$3,-SUM($E49:AH49),0)</f>
        <v>-1683201.1611532317</v>
      </c>
      <c r="AI51" s="8">
        <f>IF(AI47&lt;=$B$3,-SUM($E49:AI49),0)</f>
        <v>-1745541.9448996477</v>
      </c>
      <c r="AJ51" s="8">
        <f>IF(AJ47&lt;=$B$3,-SUM($E49:AJ49),0)</f>
        <v>-1807882.7286460637</v>
      </c>
      <c r="AK51" s="8">
        <f>IF(AK47&lt;=$B$3,-SUM($E49:AK49),0)</f>
        <v>-1870223.5123924797</v>
      </c>
      <c r="AL51" s="8">
        <f>IF(AL47&lt;=$B$3,-SUM($E49:AL49),0)</f>
        <v>-1932564.2961388957</v>
      </c>
      <c r="AM51" s="8">
        <f>IF(AM47&lt;=$B$3,-SUM($E49:AM49),0)</f>
        <v>-1994905.0798853117</v>
      </c>
      <c r="AN51" s="8">
        <f>IF(AN47&lt;=$B$3,-SUM($E49:AN49),0)</f>
        <v>-2057245.8636317276</v>
      </c>
      <c r="AO51" s="8">
        <f>IF(AO47&lt;=$B$3,-SUM($E49:AO49),0)</f>
        <v>-2119586.6473781439</v>
      </c>
      <c r="AP51" s="8">
        <f>IF(AP47&lt;=$B$3,-SUM($E49:AP49),0)</f>
        <v>-2181927.4311245601</v>
      </c>
      <c r="AQ51" s="8">
        <f>IF(AQ47&lt;=$B$3,-SUM($E49:AQ49),0)</f>
        <v>-2244268.2148709763</v>
      </c>
      <c r="AR51" s="8">
        <f>IF(AR47&lt;=$B$3,-SUM($E49:AR49),0)</f>
        <v>-2306608.9986173925</v>
      </c>
      <c r="AS51" s="8">
        <f>IF(AS47&lt;=$B$3,-SUM($E49:AS49),0)</f>
        <v>-2368949.7823638087</v>
      </c>
      <c r="AT51" s="8">
        <f>IF(AT47&lt;=$B$3,-SUM($E49:AT49),0)</f>
        <v>-2431290.5661102249</v>
      </c>
      <c r="AU51" s="8">
        <f>IF(AU47&lt;=$B$3,-SUM($E49:AU49),0)</f>
        <v>-2493631.3498566411</v>
      </c>
      <c r="AV51" s="8">
        <f>IF(AV47&lt;=$B$3,-SUM($E49:AV49),0)</f>
        <v>-2555972.1336030574</v>
      </c>
      <c r="AW51" s="8">
        <f>IF(AW47&lt;=$B$3,-SUM($E49:AW49),0)</f>
        <v>-2618312.9173494736</v>
      </c>
      <c r="AX51" s="8">
        <f>IF(AX47&lt;=$B$3,-SUM($E49:AX49),0)</f>
        <v>-2680653.7010958898</v>
      </c>
      <c r="AY51" s="8">
        <f>IF(AY47&lt;=$B$3,-SUM($E49:AY49),0)</f>
        <v>-2742994.484842306</v>
      </c>
      <c r="AZ51" s="8">
        <f>IF(AZ47&lt;=$B$3,-SUM($E49:AZ49),0)</f>
        <v>-2805335.2685887222</v>
      </c>
      <c r="BA51" s="8">
        <f>IF(BA47&lt;=$B$3,-SUM($E49:BA49),0)</f>
        <v>-2867676.0523351384</v>
      </c>
      <c r="BB51" s="8">
        <f>IF(BB47&lt;=$B$3,-SUM($E49:BB49),0)</f>
        <v>-2930016.8360815546</v>
      </c>
      <c r="BC51" s="8">
        <f>IF(BC47&lt;=$B$3,-SUM($E49:BC49),0)</f>
        <v>-2992357.6198279709</v>
      </c>
      <c r="BD51" s="8">
        <f>IF(BD47&lt;=$B$3,-SUM($E49:BD49),0)</f>
        <v>-3054698.4035743871</v>
      </c>
      <c r="BE51" s="8">
        <f>IF(BE47&lt;=$B$3,-SUM($E49:BE49),0)</f>
        <v>-3117039.1873208033</v>
      </c>
      <c r="BF51" s="8">
        <f>IF(BF47&lt;=$B$3,-SUM($E49:BF49),0)</f>
        <v>0</v>
      </c>
      <c r="BG51" s="8">
        <f>IF(BG47&lt;=$B$3,-SUM($E49:BG49),0)</f>
        <v>0</v>
      </c>
      <c r="BH51" s="8">
        <f>IF(BH47&lt;=$B$3,-SUM($E49:BH49),0)</f>
        <v>0</v>
      </c>
      <c r="BI51" s="8">
        <f>IF(BI47&lt;=$B$3,-SUM($E49:BI49),0)</f>
        <v>0</v>
      </c>
      <c r="BJ51" s="8">
        <f>IF(BJ47&lt;=$B$3,-SUM($E49:BJ49),0)</f>
        <v>0</v>
      </c>
      <c r="BK51" s="8">
        <f>IF(BK47&lt;=$B$3,-SUM($E49:BK49),0)</f>
        <v>0</v>
      </c>
      <c r="BL51" s="8">
        <f>IF(BL47&lt;=$B$3,-SUM($E49:BL49),0)</f>
        <v>0</v>
      </c>
      <c r="BM51" s="8">
        <f>IF(BM47&lt;=$B$3,-SUM($E49:BM49),0)</f>
        <v>0</v>
      </c>
      <c r="BN51" s="8">
        <f>IF(BN47&lt;=$B$3,-SUM($E49:BN49),0)</f>
        <v>0</v>
      </c>
      <c r="BO51" s="8">
        <f>IF(BO47&lt;=$B$3,-SUM($E49:BO49),0)</f>
        <v>0</v>
      </c>
      <c r="BP51" s="8">
        <f>IF(BP47&lt;=$B$3,-SUM($E49:BP49),0)</f>
        <v>0</v>
      </c>
      <c r="BQ51" s="8">
        <f>IF(BQ47&lt;=$B$3,-SUM($E49:BQ49),0)</f>
        <v>0</v>
      </c>
      <c r="BR51" s="8">
        <f>IF(BR47&lt;=$B$3,-SUM($E49:BR49),0)</f>
        <v>0</v>
      </c>
      <c r="BS51" s="8">
        <f>IF(BS47&lt;=$B$3,-SUM($E49:BS49),0)</f>
        <v>0</v>
      </c>
      <c r="BT51" s="8">
        <f>IF(BT47&lt;=$B$3,-SUM($E49:BT49),0)</f>
        <v>0</v>
      </c>
      <c r="BU51" s="8">
        <f>IF(BU47&lt;=$B$3,-SUM($E49:BU49),0)</f>
        <v>0</v>
      </c>
      <c r="BV51" s="8">
        <f>IF(BV47&lt;=$B$3,-SUM($E49:BV49),0)</f>
        <v>0</v>
      </c>
      <c r="BW51" s="8">
        <f>IF(BW47&lt;=$B$3,-SUM($E49:BW49),0)</f>
        <v>0</v>
      </c>
      <c r="BX51" s="8">
        <f>IF(BX47&lt;=$B$3,-SUM($E49:BX49),0)</f>
        <v>0</v>
      </c>
      <c r="BY51" s="8">
        <f>IF(BY47&lt;=$B$3,-SUM($E49:BY49),0)</f>
        <v>0</v>
      </c>
      <c r="BZ51" s="8">
        <f>IF(BZ47&lt;=$B$3,-SUM($E49:BZ49),0)</f>
        <v>0</v>
      </c>
      <c r="CA51" s="8">
        <f>IF(CA47&lt;=$B$3,-SUM($E49:CA49),0)</f>
        <v>0</v>
      </c>
      <c r="CB51" s="8">
        <f>IF(CB47&lt;=$B$3,-SUM($E49:CB49),0)</f>
        <v>0</v>
      </c>
      <c r="CC51" s="8">
        <f>IF(CC47&lt;=$B$3,-SUM($E49:CC49),0)</f>
        <v>0</v>
      </c>
      <c r="CD51" s="8">
        <f>IF(CD47&lt;=$B$3,-SUM($E49:CD49),0)</f>
        <v>0</v>
      </c>
      <c r="CE51" s="8">
        <f>IF(CE47&lt;=$B$3,-SUM($E49:CE49),0)</f>
        <v>0</v>
      </c>
      <c r="CF51" s="8">
        <f>IF(CF47&lt;=$B$3,-SUM($E49:CF49),0)</f>
        <v>0</v>
      </c>
      <c r="CG51" s="8">
        <f>IF(CG47&lt;=$B$3,-SUM($E49:CG49),0)</f>
        <v>0</v>
      </c>
      <c r="CH51" s="8">
        <f>IF(CH47&lt;=$B$3,-SUM($E49:CH49),0)</f>
        <v>0</v>
      </c>
      <c r="CI51" s="8">
        <f>IF(CI47&lt;=$B$3,-SUM($E49:CI49),0)</f>
        <v>0</v>
      </c>
      <c r="CJ51" s="8">
        <f>IF(CJ47&lt;=$B$3,-SUM($E49:CJ49),0)</f>
        <v>0</v>
      </c>
      <c r="CK51" s="8">
        <f>IF(CK47&lt;=$B$3,-SUM($E49:CK49),0)</f>
        <v>0</v>
      </c>
      <c r="CL51" s="8">
        <f>IF(CL47&lt;=$B$3,-SUM($E49:CL49),0)</f>
        <v>0</v>
      </c>
      <c r="CM51" s="8">
        <f>IF(CM47&lt;=$B$3,-SUM($E49:CM49),0)</f>
        <v>0</v>
      </c>
      <c r="CN51" s="8">
        <f>IF(CN47&lt;=$B$3,-SUM($E49:CN49),0)</f>
        <v>0</v>
      </c>
      <c r="CO51" s="8">
        <f>IF(CO47&lt;=$B$3,-SUM($E49:CO49),0)</f>
        <v>0</v>
      </c>
      <c r="CP51" s="8">
        <f>IF(CP47&lt;=$B$3,-SUM($E49:CP49),0)</f>
        <v>0</v>
      </c>
      <c r="CQ51" s="8">
        <f>IF(CQ47&lt;=$B$3,-SUM($E49:CQ49),0)</f>
        <v>0</v>
      </c>
      <c r="CR51" s="8">
        <f>IF(CR47&lt;=$B$3,-SUM($E49:CR49),0)</f>
        <v>0</v>
      </c>
      <c r="CS51" s="8">
        <f>IF(CS47&lt;=$B$3,-SUM($E49:CS49),0)</f>
        <v>0</v>
      </c>
      <c r="CT51" s="8">
        <f>IF(CT47&lt;=$B$3,-SUM($E49:CT49),0)</f>
        <v>0</v>
      </c>
      <c r="CU51" s="8">
        <f>IF(CU47&lt;=$B$3,-SUM($E49:CU49),0)</f>
        <v>0</v>
      </c>
      <c r="CV51" s="8">
        <f>IF(CV47&lt;=$B$3,-SUM($E49:CV49),0)</f>
        <v>0</v>
      </c>
      <c r="CW51" s="8">
        <f>IF(CW47&lt;=$B$3,-SUM($E49:CW49),0)</f>
        <v>0</v>
      </c>
      <c r="CX51" s="8">
        <f>IF(CX47&lt;=$B$3,-SUM($E49:CX49),0)</f>
        <v>0</v>
      </c>
      <c r="CY51" s="8">
        <f>IF(CY47&lt;=$B$3,-SUM($E49:CY49),0)</f>
        <v>0</v>
      </c>
      <c r="CZ51" s="8">
        <f>IF(CZ47&lt;=$B$3,-SUM($E49:CZ49),0)</f>
        <v>0</v>
      </c>
      <c r="DA51" s="8">
        <f>IF(DA47&lt;=$B$3,-SUM($E49:DA49),0)</f>
        <v>0</v>
      </c>
    </row>
    <row r="52" spans="1:105" x14ac:dyDescent="0.4">
      <c r="D52" t="s">
        <v>167</v>
      </c>
      <c r="G52" s="8"/>
      <c r="H52" s="8">
        <f>G53</f>
        <v>3117039.1873208</v>
      </c>
      <c r="I52" s="8">
        <f t="shared" ref="I52:BT52" si="52">H53</f>
        <v>3054698.4035743838</v>
      </c>
      <c r="J52" s="8">
        <f t="shared" si="52"/>
        <v>2992357.6198279681</v>
      </c>
      <c r="K52" s="8">
        <f t="shared" si="52"/>
        <v>2930016.8360815519</v>
      </c>
      <c r="L52" s="8">
        <f t="shared" si="52"/>
        <v>2867676.0523351361</v>
      </c>
      <c r="M52" s="8">
        <f t="shared" si="52"/>
        <v>2805335.2685887199</v>
      </c>
      <c r="N52" s="8">
        <f t="shared" si="52"/>
        <v>2742994.4848423041</v>
      </c>
      <c r="O52" s="8">
        <f t="shared" si="52"/>
        <v>2680653.7010958879</v>
      </c>
      <c r="P52" s="8">
        <f t="shared" si="52"/>
        <v>2618312.9173494722</v>
      </c>
      <c r="Q52" s="8">
        <f t="shared" si="52"/>
        <v>2555972.133603056</v>
      </c>
      <c r="R52" s="8">
        <f t="shared" si="52"/>
        <v>2493631.3498566402</v>
      </c>
      <c r="S52" s="8">
        <f t="shared" si="52"/>
        <v>2431290.566110224</v>
      </c>
      <c r="T52" s="8">
        <f t="shared" si="52"/>
        <v>2368949.7823638082</v>
      </c>
      <c r="U52" s="8">
        <f t="shared" si="52"/>
        <v>2306608.998617392</v>
      </c>
      <c r="V52" s="8">
        <f t="shared" si="52"/>
        <v>2244268.2148709763</v>
      </c>
      <c r="W52" s="8">
        <f t="shared" si="52"/>
        <v>2181927.4311245601</v>
      </c>
      <c r="X52" s="8">
        <f t="shared" si="52"/>
        <v>2119586.6473781443</v>
      </c>
      <c r="Y52" s="8">
        <f t="shared" si="52"/>
        <v>2057245.8636317281</v>
      </c>
      <c r="Z52" s="8">
        <f t="shared" si="52"/>
        <v>1994905.0798853121</v>
      </c>
      <c r="AA52" s="8">
        <f t="shared" si="52"/>
        <v>1932564.2961388961</v>
      </c>
      <c r="AB52" s="8">
        <f t="shared" si="52"/>
        <v>1870223.5123924802</v>
      </c>
      <c r="AC52" s="8">
        <f t="shared" si="52"/>
        <v>1807882.7286460642</v>
      </c>
      <c r="AD52" s="8">
        <f t="shared" si="52"/>
        <v>1745541.9448996482</v>
      </c>
      <c r="AE52" s="8">
        <f t="shared" si="52"/>
        <v>1683201.1611532322</v>
      </c>
      <c r="AF52" s="8">
        <f t="shared" si="52"/>
        <v>1620860.3774068162</v>
      </c>
      <c r="AG52" s="8">
        <f t="shared" si="52"/>
        <v>1558519.5936604002</v>
      </c>
      <c r="AH52" s="8">
        <f t="shared" si="52"/>
        <v>1496178.8099139843</v>
      </c>
      <c r="AI52" s="8">
        <f t="shared" si="52"/>
        <v>1433838.0261675683</v>
      </c>
      <c r="AJ52" s="8">
        <f t="shared" si="52"/>
        <v>1371497.2424211523</v>
      </c>
      <c r="AK52" s="8">
        <f t="shared" si="52"/>
        <v>1309156.4586747363</v>
      </c>
      <c r="AL52" s="8">
        <f t="shared" si="52"/>
        <v>1246815.6749283203</v>
      </c>
      <c r="AM52" s="8">
        <f t="shared" si="52"/>
        <v>1184474.8911819044</v>
      </c>
      <c r="AN52" s="8">
        <f t="shared" si="52"/>
        <v>1122134.1074354884</v>
      </c>
      <c r="AO52" s="8">
        <f t="shared" si="52"/>
        <v>1059793.3236890724</v>
      </c>
      <c r="AP52" s="8">
        <f t="shared" si="52"/>
        <v>997452.53994265618</v>
      </c>
      <c r="AQ52" s="8">
        <f t="shared" si="52"/>
        <v>935111.75619623996</v>
      </c>
      <c r="AR52" s="8">
        <f t="shared" si="52"/>
        <v>872770.97244982375</v>
      </c>
      <c r="AS52" s="8">
        <f t="shared" si="52"/>
        <v>810430.18870340753</v>
      </c>
      <c r="AT52" s="8">
        <f t="shared" si="52"/>
        <v>748089.40495699132</v>
      </c>
      <c r="AU52" s="8">
        <f t="shared" si="52"/>
        <v>685748.6212105751</v>
      </c>
      <c r="AV52" s="8">
        <f t="shared" si="52"/>
        <v>623407.83746415889</v>
      </c>
      <c r="AW52" s="8">
        <f t="shared" si="52"/>
        <v>561067.05371774267</v>
      </c>
      <c r="AX52" s="8">
        <f t="shared" si="52"/>
        <v>498726.26997132646</v>
      </c>
      <c r="AY52" s="8">
        <f t="shared" si="52"/>
        <v>436385.48622491024</v>
      </c>
      <c r="AZ52" s="8">
        <f t="shared" si="52"/>
        <v>374044.70247849403</v>
      </c>
      <c r="BA52" s="8">
        <f t="shared" si="52"/>
        <v>311703.91873207781</v>
      </c>
      <c r="BB52" s="8">
        <f t="shared" si="52"/>
        <v>249363.1349856616</v>
      </c>
      <c r="BC52" s="8">
        <f t="shared" si="52"/>
        <v>187022.35123924538</v>
      </c>
      <c r="BD52" s="8">
        <f t="shared" si="52"/>
        <v>124681.56749282917</v>
      </c>
      <c r="BE52" s="8">
        <f t="shared" si="52"/>
        <v>62340.783746412955</v>
      </c>
      <c r="BF52" s="8">
        <f t="shared" si="52"/>
        <v>0</v>
      </c>
      <c r="BG52" s="8">
        <f t="shared" si="52"/>
        <v>0</v>
      </c>
      <c r="BH52" s="8">
        <f t="shared" si="52"/>
        <v>0</v>
      </c>
      <c r="BI52" s="8">
        <f t="shared" si="52"/>
        <v>0</v>
      </c>
      <c r="BJ52" s="8">
        <f t="shared" si="52"/>
        <v>0</v>
      </c>
      <c r="BK52" s="8">
        <f t="shared" si="52"/>
        <v>0</v>
      </c>
      <c r="BL52" s="8">
        <f t="shared" si="52"/>
        <v>0</v>
      </c>
      <c r="BM52" s="8">
        <f t="shared" si="52"/>
        <v>0</v>
      </c>
      <c r="BN52" s="8">
        <f t="shared" si="52"/>
        <v>0</v>
      </c>
      <c r="BO52" s="8">
        <f t="shared" si="52"/>
        <v>0</v>
      </c>
      <c r="BP52" s="8">
        <f t="shared" si="52"/>
        <v>0</v>
      </c>
      <c r="BQ52" s="8">
        <f t="shared" si="52"/>
        <v>0</v>
      </c>
      <c r="BR52" s="8">
        <f t="shared" si="52"/>
        <v>0</v>
      </c>
      <c r="BS52" s="8">
        <f t="shared" si="52"/>
        <v>0</v>
      </c>
      <c r="BT52" s="8">
        <f t="shared" si="52"/>
        <v>0</v>
      </c>
      <c r="BU52" s="8">
        <f t="shared" ref="BU52:DA52" si="53">BT53</f>
        <v>0</v>
      </c>
      <c r="BV52" s="8">
        <f t="shared" si="53"/>
        <v>0</v>
      </c>
      <c r="BW52" s="8">
        <f t="shared" si="53"/>
        <v>0</v>
      </c>
      <c r="BX52" s="8">
        <f t="shared" si="53"/>
        <v>0</v>
      </c>
      <c r="BY52" s="8">
        <f t="shared" si="53"/>
        <v>0</v>
      </c>
      <c r="BZ52" s="8">
        <f t="shared" si="53"/>
        <v>0</v>
      </c>
      <c r="CA52" s="8">
        <f t="shared" si="53"/>
        <v>0</v>
      </c>
      <c r="CB52" s="8">
        <f t="shared" si="53"/>
        <v>0</v>
      </c>
      <c r="CC52" s="8">
        <f t="shared" si="53"/>
        <v>0</v>
      </c>
      <c r="CD52" s="8">
        <f t="shared" si="53"/>
        <v>0</v>
      </c>
      <c r="CE52" s="8">
        <f t="shared" si="53"/>
        <v>0</v>
      </c>
      <c r="CF52" s="8">
        <f t="shared" si="53"/>
        <v>0</v>
      </c>
      <c r="CG52" s="8">
        <f t="shared" si="53"/>
        <v>0</v>
      </c>
      <c r="CH52" s="8">
        <f t="shared" si="53"/>
        <v>0</v>
      </c>
      <c r="CI52" s="8">
        <f t="shared" si="53"/>
        <v>0</v>
      </c>
      <c r="CJ52" s="8">
        <f t="shared" si="53"/>
        <v>0</v>
      </c>
      <c r="CK52" s="8">
        <f t="shared" si="53"/>
        <v>0</v>
      </c>
      <c r="CL52" s="8">
        <f t="shared" si="53"/>
        <v>0</v>
      </c>
      <c r="CM52" s="8">
        <f t="shared" si="53"/>
        <v>0</v>
      </c>
      <c r="CN52" s="8">
        <f t="shared" si="53"/>
        <v>0</v>
      </c>
      <c r="CO52" s="8">
        <f t="shared" si="53"/>
        <v>0</v>
      </c>
      <c r="CP52" s="8">
        <f t="shared" si="53"/>
        <v>0</v>
      </c>
      <c r="CQ52" s="8">
        <f t="shared" si="53"/>
        <v>0</v>
      </c>
      <c r="CR52" s="8">
        <f t="shared" si="53"/>
        <v>0</v>
      </c>
      <c r="CS52" s="8">
        <f t="shared" si="53"/>
        <v>0</v>
      </c>
      <c r="CT52" s="8">
        <f t="shared" si="53"/>
        <v>0</v>
      </c>
      <c r="CU52" s="8">
        <f t="shared" si="53"/>
        <v>0</v>
      </c>
      <c r="CV52" s="8">
        <f t="shared" si="53"/>
        <v>0</v>
      </c>
      <c r="CW52" s="8">
        <f t="shared" si="53"/>
        <v>0</v>
      </c>
      <c r="CX52" s="8">
        <f t="shared" si="53"/>
        <v>0</v>
      </c>
      <c r="CY52" s="8">
        <f t="shared" si="53"/>
        <v>0</v>
      </c>
      <c r="CZ52" s="8">
        <f t="shared" si="53"/>
        <v>0</v>
      </c>
      <c r="DA52" s="8">
        <f t="shared" si="53"/>
        <v>0</v>
      </c>
    </row>
    <row r="53" spans="1:105" x14ac:dyDescent="0.4">
      <c r="D53" t="s">
        <v>168</v>
      </c>
      <c r="G53" s="8">
        <f>G50+G51</f>
        <v>3117039.1873208</v>
      </c>
      <c r="H53" s="8">
        <f>H50+H51</f>
        <v>3054698.4035743838</v>
      </c>
      <c r="I53" s="8">
        <f t="shared" ref="I53:BT53" si="54">I50+I51</f>
        <v>2992357.6198279681</v>
      </c>
      <c r="J53" s="8">
        <f t="shared" si="54"/>
        <v>2930016.8360815519</v>
      </c>
      <c r="K53" s="8">
        <f t="shared" si="54"/>
        <v>2867676.0523351361</v>
      </c>
      <c r="L53" s="8">
        <f t="shared" si="54"/>
        <v>2805335.2685887199</v>
      </c>
      <c r="M53" s="8">
        <f t="shared" si="54"/>
        <v>2742994.4848423041</v>
      </c>
      <c r="N53" s="8">
        <f t="shared" si="54"/>
        <v>2680653.7010958879</v>
      </c>
      <c r="O53" s="8">
        <f t="shared" si="54"/>
        <v>2618312.9173494722</v>
      </c>
      <c r="P53" s="8">
        <f t="shared" si="54"/>
        <v>2555972.133603056</v>
      </c>
      <c r="Q53" s="8">
        <f t="shared" si="54"/>
        <v>2493631.3498566402</v>
      </c>
      <c r="R53" s="8">
        <f t="shared" si="54"/>
        <v>2431290.566110224</v>
      </c>
      <c r="S53" s="8">
        <f t="shared" si="54"/>
        <v>2368949.7823638082</v>
      </c>
      <c r="T53" s="8">
        <f t="shared" si="54"/>
        <v>2306608.998617392</v>
      </c>
      <c r="U53" s="8">
        <f t="shared" si="54"/>
        <v>2244268.2148709763</v>
      </c>
      <c r="V53" s="8">
        <f t="shared" si="54"/>
        <v>2181927.4311245601</v>
      </c>
      <c r="W53" s="8">
        <f t="shared" si="54"/>
        <v>2119586.6473781443</v>
      </c>
      <c r="X53" s="8">
        <f t="shared" si="54"/>
        <v>2057245.8636317281</v>
      </c>
      <c r="Y53" s="8">
        <f t="shared" si="54"/>
        <v>1994905.0798853121</v>
      </c>
      <c r="Z53" s="8">
        <f t="shared" si="54"/>
        <v>1932564.2961388961</v>
      </c>
      <c r="AA53" s="8">
        <f t="shared" si="54"/>
        <v>1870223.5123924802</v>
      </c>
      <c r="AB53" s="8">
        <f t="shared" si="54"/>
        <v>1807882.7286460642</v>
      </c>
      <c r="AC53" s="8">
        <f t="shared" si="54"/>
        <v>1745541.9448996482</v>
      </c>
      <c r="AD53" s="8">
        <f t="shared" si="54"/>
        <v>1683201.1611532322</v>
      </c>
      <c r="AE53" s="8">
        <f t="shared" si="54"/>
        <v>1620860.3774068162</v>
      </c>
      <c r="AF53" s="8">
        <f t="shared" si="54"/>
        <v>1558519.5936604002</v>
      </c>
      <c r="AG53" s="8">
        <f t="shared" si="54"/>
        <v>1496178.8099139843</v>
      </c>
      <c r="AH53" s="8">
        <f t="shared" si="54"/>
        <v>1433838.0261675683</v>
      </c>
      <c r="AI53" s="8">
        <f t="shared" si="54"/>
        <v>1371497.2424211523</v>
      </c>
      <c r="AJ53" s="8">
        <f t="shared" si="54"/>
        <v>1309156.4586747363</v>
      </c>
      <c r="AK53" s="8">
        <f t="shared" si="54"/>
        <v>1246815.6749283203</v>
      </c>
      <c r="AL53" s="8">
        <f t="shared" si="54"/>
        <v>1184474.8911819044</v>
      </c>
      <c r="AM53" s="8">
        <f t="shared" si="54"/>
        <v>1122134.1074354884</v>
      </c>
      <c r="AN53" s="8">
        <f t="shared" si="54"/>
        <v>1059793.3236890724</v>
      </c>
      <c r="AO53" s="8">
        <f t="shared" si="54"/>
        <v>997452.53994265618</v>
      </c>
      <c r="AP53" s="8">
        <f t="shared" si="54"/>
        <v>935111.75619623996</v>
      </c>
      <c r="AQ53" s="8">
        <f t="shared" si="54"/>
        <v>872770.97244982375</v>
      </c>
      <c r="AR53" s="8">
        <f t="shared" si="54"/>
        <v>810430.18870340753</v>
      </c>
      <c r="AS53" s="8">
        <f t="shared" si="54"/>
        <v>748089.40495699132</v>
      </c>
      <c r="AT53" s="8">
        <f t="shared" si="54"/>
        <v>685748.6212105751</v>
      </c>
      <c r="AU53" s="8">
        <f t="shared" si="54"/>
        <v>623407.83746415889</v>
      </c>
      <c r="AV53" s="8">
        <f t="shared" si="54"/>
        <v>561067.05371774267</v>
      </c>
      <c r="AW53" s="8">
        <f t="shared" si="54"/>
        <v>498726.26997132646</v>
      </c>
      <c r="AX53" s="8">
        <f t="shared" si="54"/>
        <v>436385.48622491024</v>
      </c>
      <c r="AY53" s="8">
        <f t="shared" si="54"/>
        <v>374044.70247849403</v>
      </c>
      <c r="AZ53" s="8">
        <f t="shared" si="54"/>
        <v>311703.91873207781</v>
      </c>
      <c r="BA53" s="8">
        <f t="shared" si="54"/>
        <v>249363.1349856616</v>
      </c>
      <c r="BB53" s="8">
        <f t="shared" si="54"/>
        <v>187022.35123924538</v>
      </c>
      <c r="BC53" s="8">
        <f t="shared" si="54"/>
        <v>124681.56749282917</v>
      </c>
      <c r="BD53" s="8">
        <f t="shared" si="54"/>
        <v>62340.783746412955</v>
      </c>
      <c r="BE53" s="8">
        <f t="shared" si="54"/>
        <v>0</v>
      </c>
      <c r="BF53" s="8">
        <f t="shared" si="54"/>
        <v>0</v>
      </c>
      <c r="BG53" s="8">
        <f t="shared" si="54"/>
        <v>0</v>
      </c>
      <c r="BH53" s="8">
        <f t="shared" si="54"/>
        <v>0</v>
      </c>
      <c r="BI53" s="8">
        <f t="shared" si="54"/>
        <v>0</v>
      </c>
      <c r="BJ53" s="8">
        <f t="shared" si="54"/>
        <v>0</v>
      </c>
      <c r="BK53" s="8">
        <f t="shared" si="54"/>
        <v>0</v>
      </c>
      <c r="BL53" s="8">
        <f t="shared" si="54"/>
        <v>0</v>
      </c>
      <c r="BM53" s="8">
        <f t="shared" si="54"/>
        <v>0</v>
      </c>
      <c r="BN53" s="8">
        <f t="shared" si="54"/>
        <v>0</v>
      </c>
      <c r="BO53" s="8">
        <f t="shared" si="54"/>
        <v>0</v>
      </c>
      <c r="BP53" s="8">
        <f t="shared" si="54"/>
        <v>0</v>
      </c>
      <c r="BQ53" s="8">
        <f t="shared" si="54"/>
        <v>0</v>
      </c>
      <c r="BR53" s="8">
        <f t="shared" si="54"/>
        <v>0</v>
      </c>
      <c r="BS53" s="8">
        <f t="shared" si="54"/>
        <v>0</v>
      </c>
      <c r="BT53" s="8">
        <f t="shared" si="54"/>
        <v>0</v>
      </c>
      <c r="BU53" s="8">
        <f t="shared" ref="BU53:DA53" si="55">BU50+BU51</f>
        <v>0</v>
      </c>
      <c r="BV53" s="8">
        <f t="shared" si="55"/>
        <v>0</v>
      </c>
      <c r="BW53" s="8">
        <f t="shared" si="55"/>
        <v>0</v>
      </c>
      <c r="BX53" s="8">
        <f t="shared" si="55"/>
        <v>0</v>
      </c>
      <c r="BY53" s="8">
        <f t="shared" si="55"/>
        <v>0</v>
      </c>
      <c r="BZ53" s="8">
        <f t="shared" si="55"/>
        <v>0</v>
      </c>
      <c r="CA53" s="8">
        <f t="shared" si="55"/>
        <v>0</v>
      </c>
      <c r="CB53" s="8">
        <f t="shared" si="55"/>
        <v>0</v>
      </c>
      <c r="CC53" s="8">
        <f t="shared" si="55"/>
        <v>0</v>
      </c>
      <c r="CD53" s="8">
        <f t="shared" si="55"/>
        <v>0</v>
      </c>
      <c r="CE53" s="8">
        <f t="shared" si="55"/>
        <v>0</v>
      </c>
      <c r="CF53" s="8">
        <f t="shared" si="55"/>
        <v>0</v>
      </c>
      <c r="CG53" s="8">
        <f t="shared" si="55"/>
        <v>0</v>
      </c>
      <c r="CH53" s="8">
        <f t="shared" si="55"/>
        <v>0</v>
      </c>
      <c r="CI53" s="8">
        <f t="shared" si="55"/>
        <v>0</v>
      </c>
      <c r="CJ53" s="8">
        <f t="shared" si="55"/>
        <v>0</v>
      </c>
      <c r="CK53" s="8">
        <f t="shared" si="55"/>
        <v>0</v>
      </c>
      <c r="CL53" s="8">
        <f t="shared" si="55"/>
        <v>0</v>
      </c>
      <c r="CM53" s="8">
        <f t="shared" si="55"/>
        <v>0</v>
      </c>
      <c r="CN53" s="8">
        <f t="shared" si="55"/>
        <v>0</v>
      </c>
      <c r="CO53" s="8">
        <f t="shared" si="55"/>
        <v>0</v>
      </c>
      <c r="CP53" s="8">
        <f t="shared" si="55"/>
        <v>0</v>
      </c>
      <c r="CQ53" s="8">
        <f t="shared" si="55"/>
        <v>0</v>
      </c>
      <c r="CR53" s="8">
        <f t="shared" si="55"/>
        <v>0</v>
      </c>
      <c r="CS53" s="8">
        <f t="shared" si="55"/>
        <v>0</v>
      </c>
      <c r="CT53" s="8">
        <f t="shared" si="55"/>
        <v>0</v>
      </c>
      <c r="CU53" s="8">
        <f t="shared" si="55"/>
        <v>0</v>
      </c>
      <c r="CV53" s="8">
        <f t="shared" si="55"/>
        <v>0</v>
      </c>
      <c r="CW53" s="8">
        <f t="shared" si="55"/>
        <v>0</v>
      </c>
      <c r="CX53" s="8">
        <f t="shared" si="55"/>
        <v>0</v>
      </c>
      <c r="CY53" s="8">
        <f t="shared" si="55"/>
        <v>0</v>
      </c>
      <c r="CZ53" s="8">
        <f t="shared" si="55"/>
        <v>0</v>
      </c>
      <c r="DA53" s="8">
        <f t="shared" si="55"/>
        <v>0</v>
      </c>
    </row>
    <row r="54" spans="1:105" x14ac:dyDescent="0.4"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</row>
    <row r="55" spans="1:105" x14ac:dyDescent="0.4">
      <c r="D55" t="s">
        <v>169</v>
      </c>
      <c r="G55" s="8"/>
      <c r="H55" s="8">
        <f>IF(H47&lt;=$B$4+1,H50*VLOOKUP(H47,Assumptions!$A$70:$B$90,2,0),0)</f>
        <v>116888.96952453</v>
      </c>
      <c r="I55" s="8">
        <f>IF(I47&lt;=$B$4+1,I50*VLOOKUP(I47,Assumptions!$A$70:$B$90,2,0),0)</f>
        <v>225019.05893268855</v>
      </c>
      <c r="J55" s="8">
        <f>IF(J47&lt;=$B$4+1,J50*VLOOKUP(J47,Assumptions!$A$70:$B$90,2,0),0)</f>
        <v>208124.7065374098</v>
      </c>
      <c r="K55" s="8">
        <f>IF(K47&lt;=$B$4+1,K50*VLOOKUP(K47,Assumptions!$A$70:$B$90,2,0),0)</f>
        <v>192539.51060080581</v>
      </c>
      <c r="L55" s="8">
        <f>IF(L47&lt;=$B$4+1,L50*VLOOKUP(L47,Assumptions!$A$70:$B$90,2,0),0)</f>
        <v>178076.44877163731</v>
      </c>
      <c r="M55" s="8">
        <f>IF(M47&lt;=$B$4+1,M50*VLOOKUP(M47,Assumptions!$A$70:$B$90,2,0),0)</f>
        <v>164735.52104990429</v>
      </c>
      <c r="N55" s="8">
        <f>IF(N47&lt;=$B$4+1,N50*VLOOKUP(N47,Assumptions!$A$70:$B$90,2,0),0)</f>
        <v>152360.8754762407</v>
      </c>
      <c r="O55" s="8">
        <f>IF(O47&lt;=$B$4+1,O50*VLOOKUP(O47,Assumptions!$A$70:$B$90,2,0),0)</f>
        <v>140952.51205064659</v>
      </c>
      <c r="P55" s="8">
        <f>IF(P47&lt;=$B$4+1,P50*VLOOKUP(P47,Assumptions!$A$70:$B$90,2,0),0)</f>
        <v>139082.2885382541</v>
      </c>
      <c r="Q55" s="8">
        <f>IF(Q47&lt;=$B$4+1,Q50*VLOOKUP(Q47,Assumptions!$A$70:$B$90,2,0),0)</f>
        <v>139051.11814638088</v>
      </c>
      <c r="R55" s="8">
        <f>IF(R47&lt;=$B$4+1,R50*VLOOKUP(R47,Assumptions!$A$70:$B$90,2,0),0)</f>
        <v>139082.2885382541</v>
      </c>
      <c r="S55" s="8">
        <f>IF(S47&lt;=$B$4+1,S50*VLOOKUP(S47,Assumptions!$A$70:$B$90,2,0),0)</f>
        <v>139051.11814638088</v>
      </c>
      <c r="T55" s="8">
        <f>IF(T47&lt;=$B$4+1,T50*VLOOKUP(T47,Assumptions!$A$70:$B$90,2,0),0)</f>
        <v>139082.2885382541</v>
      </c>
      <c r="U55" s="8">
        <f>IF(U47&lt;=$B$4+1,U50*VLOOKUP(U47,Assumptions!$A$70:$B$90,2,0),0)</f>
        <v>139051.11814638088</v>
      </c>
      <c r="V55" s="8">
        <f>IF(V47&lt;=$B$4+1,V50*VLOOKUP(V47,Assumptions!$A$70:$B$90,2,0),0)</f>
        <v>139082.2885382541</v>
      </c>
      <c r="W55" s="8">
        <f>IF(W47&lt;=$B$4+1,W50*VLOOKUP(W47,Assumptions!$A$70:$B$90,2,0),0)</f>
        <v>139051.11814638088</v>
      </c>
      <c r="X55" s="8">
        <f>IF(X47&lt;=$B$4+1,X50*VLOOKUP(X47,Assumptions!$A$70:$B$90,2,0),0)</f>
        <v>139082.2885382541</v>
      </c>
      <c r="Y55" s="8">
        <f>IF(Y47&lt;=$B$4+1,Y50*VLOOKUP(Y47,Assumptions!$A$70:$B$90,2,0),0)</f>
        <v>139051.11814638088</v>
      </c>
      <c r="Z55" s="8">
        <f>IF(Z47&lt;=$B$4+1,Z50*VLOOKUP(Z47,Assumptions!$A$70:$B$90,2,0),0)</f>
        <v>139082.2885382541</v>
      </c>
      <c r="AA55" s="8">
        <f>IF(AA47&lt;=$B$4+1,AA50*VLOOKUP(AA47,Assumptions!$A$70:$B$90,2,0),0)</f>
        <v>139051.11814638088</v>
      </c>
      <c r="AB55" s="8">
        <f>IF(AB47&lt;=$B$4+1,AB50*VLOOKUP(AB47,Assumptions!$A$70:$B$90,2,0),0)</f>
        <v>69541.144269127049</v>
      </c>
      <c r="AC55" s="8">
        <f>IF(AC47&lt;=$B$4+1,AC50*VLOOKUP(AC47,Assumptions!$A$70:$B$90,2,0),0)</f>
        <v>0</v>
      </c>
      <c r="AD55" s="8">
        <f>IF(AD47&lt;=$B$4+1,AD50*VLOOKUP(AD47,Assumptions!$A$70:$B$90,2,0),0)</f>
        <v>0</v>
      </c>
      <c r="AE55" s="8">
        <f>IF(AE47&lt;=$B$4+1,AE50*VLOOKUP(AE47,Assumptions!$A$70:$B$90,2,0),0)</f>
        <v>0</v>
      </c>
      <c r="AF55" s="8">
        <f>IF(AF47&lt;=$B$4+1,AF50*VLOOKUP(AF47,Assumptions!$A$70:$B$90,2,0),0)</f>
        <v>0</v>
      </c>
      <c r="AG55" s="8">
        <f>IF(AG47&lt;=$B$4+1,AG50*VLOOKUP(AG47,Assumptions!$A$70:$B$90,2,0),0)</f>
        <v>0</v>
      </c>
      <c r="AH55" s="8">
        <f>IF(AH47&lt;=$B$4+1,AH50*VLOOKUP(AH47,Assumptions!$A$70:$B$90,2,0),0)</f>
        <v>0</v>
      </c>
      <c r="AI55" s="8">
        <f>IF(AI47&lt;=$B$4+1,AI50*VLOOKUP(AI47,Assumptions!$A$70:$B$90,2,0),0)</f>
        <v>0</v>
      </c>
      <c r="AJ55" s="8">
        <f>IF(AJ47&lt;=$B$4+1,AJ50*VLOOKUP(AJ47,Assumptions!$A$70:$B$90,2,0),0)</f>
        <v>0</v>
      </c>
      <c r="AK55" s="8">
        <f>IF(AK47&lt;=$B$4+1,AK50*VLOOKUP(AK47,Assumptions!$A$70:$B$90,2,0),0)</f>
        <v>0</v>
      </c>
      <c r="AL55" s="8">
        <f>IF(AL47&lt;=$B$4+1,AL50*VLOOKUP(AL47,Assumptions!$A$70:$B$90,2,0),0)</f>
        <v>0</v>
      </c>
      <c r="AM55" s="8">
        <f>IF(AM47&lt;=$B$4+1,AM50*VLOOKUP(AM47,Assumptions!$A$70:$B$90,2,0),0)</f>
        <v>0</v>
      </c>
      <c r="AN55" s="8">
        <f>IF(AN47&lt;=$B$4+1,AN50*VLOOKUP(AN47,Assumptions!$A$70:$B$90,2,0),0)</f>
        <v>0</v>
      </c>
      <c r="AO55" s="8">
        <f>IF(AO47&lt;=$B$4+1,AO50*VLOOKUP(AO47,Assumptions!$A$70:$B$90,2,0),0)</f>
        <v>0</v>
      </c>
      <c r="AP55" s="8">
        <f>IF(AP47&lt;=$B$4+1,AP50*VLOOKUP(AP47,Assumptions!$A$70:$B$90,2,0),0)</f>
        <v>0</v>
      </c>
      <c r="AQ55" s="8">
        <f>IF(AQ47&lt;=$B$4+1,AQ50*VLOOKUP(AQ47,Assumptions!$A$70:$B$90,2,0),0)</f>
        <v>0</v>
      </c>
      <c r="AR55" s="8">
        <f>IF(AR47&lt;=$B$4+1,AR50*VLOOKUP(AR47,Assumptions!$A$70:$B$90,2,0),0)</f>
        <v>0</v>
      </c>
      <c r="AS55" s="8">
        <f>IF(AS47&lt;=$B$4+1,AS50*VLOOKUP(AS47,Assumptions!$A$70:$B$90,2,0),0)</f>
        <v>0</v>
      </c>
      <c r="AT55" s="8">
        <f>IF(AT47&lt;=$B$4+1,AT50*VLOOKUP(AT47,Assumptions!$A$70:$B$90,2,0),0)</f>
        <v>0</v>
      </c>
      <c r="AU55" s="8">
        <f>IF(AU47&lt;=$B$4+1,AU50*VLOOKUP(AU47,Assumptions!$A$70:$B$90,2,0),0)</f>
        <v>0</v>
      </c>
      <c r="AV55" s="8">
        <f>IF(AV47&lt;=$B$4+1,AV50*VLOOKUP(AV47,Assumptions!$A$70:$B$90,2,0),0)</f>
        <v>0</v>
      </c>
      <c r="AW55" s="8">
        <f>IF(AW47&lt;=$B$4+1,AW50*VLOOKUP(AW47,Assumptions!$A$70:$B$90,2,0),0)</f>
        <v>0</v>
      </c>
      <c r="AX55" s="8">
        <f>IF(AX47&lt;=$B$4+1,AX50*VLOOKUP(AX47,Assumptions!$A$70:$B$90,2,0),0)</f>
        <v>0</v>
      </c>
      <c r="AY55" s="8">
        <f>IF(AY47&lt;=$B$4+1,AY50*VLOOKUP(AY47,Assumptions!$A$70:$B$90,2,0),0)</f>
        <v>0</v>
      </c>
      <c r="AZ55" s="8">
        <f>IF(AZ47&lt;=$B$4+1,AZ50*VLOOKUP(AZ47,Assumptions!$A$70:$B$90,2,0),0)</f>
        <v>0</v>
      </c>
      <c r="BA55" s="8">
        <f>IF(BA47&lt;=$B$4+1,BA50*VLOOKUP(BA47,Assumptions!$A$70:$B$90,2,0),0)</f>
        <v>0</v>
      </c>
      <c r="BB55" s="8">
        <f>IF(BB47&lt;=$B$4+1,BB50*VLOOKUP(BB47,Assumptions!$A$70:$B$90,2,0),0)</f>
        <v>0</v>
      </c>
      <c r="BC55" s="8">
        <f>IF(BC47&lt;=$B$4+1,BC50*VLOOKUP(BC47,Assumptions!$A$70:$B$90,2,0),0)</f>
        <v>0</v>
      </c>
      <c r="BD55" s="8">
        <f>IF(BD47&lt;=$B$4+1,BD50*VLOOKUP(BD47,Assumptions!$A$70:$B$90,2,0),0)</f>
        <v>0</v>
      </c>
      <c r="BE55" s="8">
        <f>IF(BE47&lt;=$B$4+1,BE50*VLOOKUP(BE47,Assumptions!$A$70:$B$90,2,0),0)</f>
        <v>0</v>
      </c>
      <c r="BF55" s="8">
        <f>IF(BF47&lt;=$B$4+1,BF50*VLOOKUP(BF47,Assumptions!$A$70:$B$90,2,0),0)</f>
        <v>0</v>
      </c>
      <c r="BG55" s="8">
        <f>IF(BG47&lt;=$B$4+1,BG50*VLOOKUP(BG47,Assumptions!$A$70:$B$90,2,0),0)</f>
        <v>0</v>
      </c>
      <c r="BH55" s="8">
        <f>IF(BH47&lt;=$B$4+1,BH50*VLOOKUP(BH47,Assumptions!$A$70:$B$90,2,0),0)</f>
        <v>0</v>
      </c>
      <c r="BI55" s="8">
        <f>IF(BI47&lt;=$B$4+1,BI50*VLOOKUP(BI47,Assumptions!$A$70:$B$90,2,0),0)</f>
        <v>0</v>
      </c>
      <c r="BJ55" s="8">
        <f>IF(BJ47&lt;=$B$4+1,BJ50*VLOOKUP(BJ47,Assumptions!$A$70:$B$90,2,0),0)</f>
        <v>0</v>
      </c>
      <c r="BK55" s="8">
        <f>IF(BK47&lt;=$B$4+1,BK50*VLOOKUP(BK47,Assumptions!$A$70:$B$90,2,0),0)</f>
        <v>0</v>
      </c>
      <c r="BL55" s="8">
        <f>IF(BL47&lt;=$B$4+1,BL50*VLOOKUP(BL47,Assumptions!$A$70:$B$90,2,0),0)</f>
        <v>0</v>
      </c>
      <c r="BM55" s="8">
        <f>IF(BM47&lt;=$B$4+1,BM50*VLOOKUP(BM47,Assumptions!$A$70:$B$90,2,0),0)</f>
        <v>0</v>
      </c>
      <c r="BN55" s="8">
        <f>IF(BN47&lt;=$B$4+1,BN50*VLOOKUP(BN47,Assumptions!$A$70:$B$90,2,0),0)</f>
        <v>0</v>
      </c>
      <c r="BO55" s="8">
        <f>IF(BO47&lt;=$B$4+1,BO50*VLOOKUP(BO47,Assumptions!$A$70:$B$90,2,0),0)</f>
        <v>0</v>
      </c>
      <c r="BP55" s="8">
        <f>IF(BP47&lt;=$B$4+1,BP50*VLOOKUP(BP47,Assumptions!$A$70:$B$90,2,0),0)</f>
        <v>0</v>
      </c>
      <c r="BQ55" s="8">
        <f>IF(BQ47&lt;=$B$4+1,BQ50*VLOOKUP(BQ47,Assumptions!$A$70:$B$90,2,0),0)</f>
        <v>0</v>
      </c>
      <c r="BR55" s="8">
        <f>IF(BR47&lt;=$B$4+1,BR50*VLOOKUP(BR47,Assumptions!$A$70:$B$90,2,0),0)</f>
        <v>0</v>
      </c>
      <c r="BS55" s="8">
        <f>IF(BS47&lt;=$B$4+1,BS50*VLOOKUP(BS47,Assumptions!$A$70:$B$90,2,0),0)</f>
        <v>0</v>
      </c>
      <c r="BT55" s="8">
        <f>IF(BT47&lt;=$B$4+1,BT50*VLOOKUP(BT47,Assumptions!$A$70:$B$90,2,0),0)</f>
        <v>0</v>
      </c>
      <c r="BU55" s="8">
        <f>IF(BU47&lt;=$B$4+1,BU50*VLOOKUP(BU47,Assumptions!$A$70:$B$90,2,0),0)</f>
        <v>0</v>
      </c>
      <c r="BV55" s="8">
        <f>IF(BV47&lt;=$B$4+1,BV50*VLOOKUP(BV47,Assumptions!$A$70:$B$90,2,0),0)</f>
        <v>0</v>
      </c>
      <c r="BW55" s="8">
        <f>IF(BW47&lt;=$B$4+1,BW50*VLOOKUP(BW47,Assumptions!$A$70:$B$90,2,0),0)</f>
        <v>0</v>
      </c>
      <c r="BX55" s="8">
        <f>IF(BX47&lt;=$B$4+1,BX50*VLOOKUP(BX47,Assumptions!$A$70:$B$90,2,0),0)</f>
        <v>0</v>
      </c>
      <c r="BY55" s="8">
        <f>IF(BY47&lt;=$B$4+1,BY50*VLOOKUP(BY47,Assumptions!$A$70:$B$90,2,0),0)</f>
        <v>0</v>
      </c>
      <c r="BZ55" s="8">
        <f>IF(BZ47&lt;=$B$4+1,BZ50*VLOOKUP(BZ47,Assumptions!$A$70:$B$90,2,0),0)</f>
        <v>0</v>
      </c>
      <c r="CA55" s="8">
        <f>IF(CA47&lt;=$B$4+1,CA50*VLOOKUP(CA47,Assumptions!$A$70:$B$90,2,0),0)</f>
        <v>0</v>
      </c>
      <c r="CB55" s="8">
        <f>IF(CB47&lt;=$B$4+1,CB50*VLOOKUP(CB47,Assumptions!$A$70:$B$90,2,0),0)</f>
        <v>0</v>
      </c>
      <c r="CC55" s="8">
        <f>IF(CC47&lt;=$B$4+1,CC50*VLOOKUP(CC47,Assumptions!$A$70:$B$90,2,0),0)</f>
        <v>0</v>
      </c>
      <c r="CD55" s="8">
        <f>IF(CD47&lt;=$B$4+1,CD50*VLOOKUP(CD47,Assumptions!$A$70:$B$90,2,0),0)</f>
        <v>0</v>
      </c>
      <c r="CE55" s="8">
        <f>IF(CE47&lt;=$B$4+1,CE50*VLOOKUP(CE47,Assumptions!$A$70:$B$90,2,0),0)</f>
        <v>0</v>
      </c>
      <c r="CF55" s="8">
        <f>IF(CF47&lt;=$B$4+1,CF50*VLOOKUP(CF47,Assumptions!$A$70:$B$90,2,0),0)</f>
        <v>0</v>
      </c>
      <c r="CG55" s="8">
        <f>IF(CG47&lt;=$B$4+1,CG50*VLOOKUP(CG47,Assumptions!$A$70:$B$90,2,0),0)</f>
        <v>0</v>
      </c>
      <c r="CH55" s="8">
        <f>IF(CH47&lt;=$B$4+1,CH50*VLOOKUP(CH47,Assumptions!$A$70:$B$90,2,0),0)</f>
        <v>0</v>
      </c>
      <c r="CI55" s="8">
        <f>IF(CI47&lt;=$B$4+1,CI50*VLOOKUP(CI47,Assumptions!$A$70:$B$90,2,0),0)</f>
        <v>0</v>
      </c>
      <c r="CJ55" s="8">
        <f>IF(CJ47&lt;=$B$4+1,CJ50*VLOOKUP(CJ47,Assumptions!$A$70:$B$90,2,0),0)</f>
        <v>0</v>
      </c>
      <c r="CK55" s="8">
        <f>IF(CK47&lt;=$B$4+1,CK50*VLOOKUP(CK47,Assumptions!$A$70:$B$90,2,0),0)</f>
        <v>0</v>
      </c>
      <c r="CL55" s="8">
        <f>IF(CL47&lt;=$B$4+1,CL50*VLOOKUP(CL47,Assumptions!$A$70:$B$90,2,0),0)</f>
        <v>0</v>
      </c>
      <c r="CM55" s="8">
        <f>IF(CM47&lt;=$B$4+1,CM50*VLOOKUP(CM47,Assumptions!$A$70:$B$90,2,0),0)</f>
        <v>0</v>
      </c>
      <c r="CN55" s="8">
        <f>IF(CN47&lt;=$B$4+1,CN50*VLOOKUP(CN47,Assumptions!$A$70:$B$90,2,0),0)</f>
        <v>0</v>
      </c>
      <c r="CO55" s="8">
        <f>IF(CO47&lt;=$B$4+1,CO50*VLOOKUP(CO47,Assumptions!$A$70:$B$90,2,0),0)</f>
        <v>0</v>
      </c>
      <c r="CP55" s="8">
        <f>IF(CP47&lt;=$B$4+1,CP50*VLOOKUP(CP47,Assumptions!$A$70:$B$90,2,0),0)</f>
        <v>0</v>
      </c>
      <c r="CQ55" s="8">
        <f>IF(CQ47&lt;=$B$4+1,CQ50*VLOOKUP(CQ47,Assumptions!$A$70:$B$90,2,0),0)</f>
        <v>0</v>
      </c>
      <c r="CR55" s="8">
        <f>IF(CR47&lt;=$B$4+1,CR50*VLOOKUP(CR47,Assumptions!$A$70:$B$90,2,0),0)</f>
        <v>0</v>
      </c>
      <c r="CS55" s="8">
        <f>IF(CS47&lt;=$B$4+1,CS50*VLOOKUP(CS47,Assumptions!$A$70:$B$90,2,0),0)</f>
        <v>0</v>
      </c>
      <c r="CT55" s="8">
        <f>IF(CT47&lt;=$B$4+1,CT50*VLOOKUP(CT47,Assumptions!$A$70:$B$90,2,0),0)</f>
        <v>0</v>
      </c>
      <c r="CU55" s="8">
        <f>IF(CU47&lt;=$B$4+1,CU50*VLOOKUP(CU47,Assumptions!$A$70:$B$90,2,0),0)</f>
        <v>0</v>
      </c>
      <c r="CV55" s="8">
        <f>IF(CV47&lt;=$B$4+1,CV50*VLOOKUP(CV47,Assumptions!$A$70:$B$90,2,0),0)</f>
        <v>0</v>
      </c>
      <c r="CW55" s="8">
        <f>IF(CW47&lt;=$B$4+1,CW50*VLOOKUP(CW47,Assumptions!$A$70:$B$90,2,0),0)</f>
        <v>0</v>
      </c>
      <c r="CX55" s="8">
        <f>IF(CX47&lt;=$B$4+1,CX50*VLOOKUP(CX47,Assumptions!$A$70:$B$90,2,0),0)</f>
        <v>0</v>
      </c>
      <c r="CY55" s="8">
        <f>IF(CY47&lt;=$B$4+1,CY50*VLOOKUP(CY47,Assumptions!$A$70:$B$90,2,0),0)</f>
        <v>0</v>
      </c>
      <c r="CZ55" s="8">
        <f>IF(CZ47&lt;=$B$4+1,CZ50*VLOOKUP(CZ47,Assumptions!$A$70:$B$90,2,0),0)</f>
        <v>0</v>
      </c>
      <c r="DA55" s="8">
        <f>IF(DA47&lt;=$B$4+1,DA50*VLOOKUP(DA47,Assumptions!$A$70:$B$90,2,0),0)</f>
        <v>0</v>
      </c>
    </row>
    <row r="56" spans="1:105" x14ac:dyDescent="0.4">
      <c r="D56" t="s">
        <v>170</v>
      </c>
      <c r="G56" s="8"/>
      <c r="H56" s="8">
        <f>G57</f>
        <v>0</v>
      </c>
      <c r="I56" s="8">
        <f t="shared" ref="I56:BT56" si="56">H57</f>
        <v>-15118.029688404293</v>
      </c>
      <c r="J56" s="8">
        <f t="shared" si="56"/>
        <v>-60204.31365627973</v>
      </c>
      <c r="K56" s="8">
        <f t="shared" si="56"/>
        <v>-100608.32785780367</v>
      </c>
      <c r="L56" s="8">
        <f t="shared" si="56"/>
        <v>-136692.9050054978</v>
      </c>
      <c r="M56" s="8">
        <f t="shared" si="56"/>
        <v>-168769.0445672379</v>
      </c>
      <c r="N56" s="8">
        <f t="shared" si="56"/>
        <v>-197147.74601089966</v>
      </c>
      <c r="O56" s="8">
        <f t="shared" si="56"/>
        <v>-222096.81443382057</v>
      </c>
      <c r="P56" s="8">
        <f t="shared" si="56"/>
        <v>-243884.05493333808</v>
      </c>
      <c r="Q56" s="8">
        <f t="shared" si="56"/>
        <v>-265152.96298639599</v>
      </c>
      <c r="R56" s="8">
        <f t="shared" si="56"/>
        <v>-286413.23216534627</v>
      </c>
      <c r="S56" s="8">
        <f t="shared" si="56"/>
        <v>-307682.14021840418</v>
      </c>
      <c r="T56" s="8">
        <f t="shared" si="56"/>
        <v>-328942.40939735447</v>
      </c>
      <c r="U56" s="8">
        <f t="shared" si="56"/>
        <v>-350211.31745041237</v>
      </c>
      <c r="V56" s="8">
        <f t="shared" si="56"/>
        <v>-371471.58662936266</v>
      </c>
      <c r="W56" s="8">
        <f t="shared" si="56"/>
        <v>-392740.49468242057</v>
      </c>
      <c r="X56" s="8">
        <f t="shared" si="56"/>
        <v>-414000.76386137086</v>
      </c>
      <c r="Y56" s="8">
        <f t="shared" si="56"/>
        <v>-435269.67191442876</v>
      </c>
      <c r="Z56" s="8">
        <f t="shared" si="56"/>
        <v>-456529.94109337905</v>
      </c>
      <c r="AA56" s="8">
        <f t="shared" si="56"/>
        <v>-477798.84914643696</v>
      </c>
      <c r="AB56" s="8">
        <f t="shared" si="56"/>
        <v>-499059.11832538724</v>
      </c>
      <c r="AC56" s="8">
        <f t="shared" si="56"/>
        <v>-501054.69824425661</v>
      </c>
      <c r="AD56" s="8">
        <f t="shared" si="56"/>
        <v>-483776.95002893743</v>
      </c>
      <c r="AE56" s="8">
        <f t="shared" si="56"/>
        <v>-466499.20181361825</v>
      </c>
      <c r="AF56" s="8">
        <f t="shared" si="56"/>
        <v>-449221.45359829906</v>
      </c>
      <c r="AG56" s="8">
        <f t="shared" si="56"/>
        <v>-431943.70538297988</v>
      </c>
      <c r="AH56" s="8">
        <f t="shared" si="56"/>
        <v>-414665.9571676607</v>
      </c>
      <c r="AI56" s="8">
        <f t="shared" si="56"/>
        <v>-397388.20895234152</v>
      </c>
      <c r="AJ56" s="8">
        <f t="shared" si="56"/>
        <v>-380110.46073702234</v>
      </c>
      <c r="AK56" s="8">
        <f t="shared" si="56"/>
        <v>-362832.71252170316</v>
      </c>
      <c r="AL56" s="8">
        <f t="shared" si="56"/>
        <v>-345554.96430638398</v>
      </c>
      <c r="AM56" s="8">
        <f t="shared" si="56"/>
        <v>-328277.21609106479</v>
      </c>
      <c r="AN56" s="8">
        <f t="shared" si="56"/>
        <v>-310999.46787574561</v>
      </c>
      <c r="AO56" s="8">
        <f t="shared" si="56"/>
        <v>-293721.71966042643</v>
      </c>
      <c r="AP56" s="8">
        <f t="shared" si="56"/>
        <v>-276443.97144510725</v>
      </c>
      <c r="AQ56" s="8">
        <f t="shared" si="56"/>
        <v>-259166.22322978807</v>
      </c>
      <c r="AR56" s="8">
        <f t="shared" si="56"/>
        <v>-241888.47501446889</v>
      </c>
      <c r="AS56" s="8">
        <f t="shared" si="56"/>
        <v>-224610.72679914971</v>
      </c>
      <c r="AT56" s="8">
        <f t="shared" si="56"/>
        <v>-207332.97858383053</v>
      </c>
      <c r="AU56" s="8">
        <f t="shared" si="56"/>
        <v>-190055.23036851134</v>
      </c>
      <c r="AV56" s="8">
        <f t="shared" si="56"/>
        <v>-172777.48215319216</v>
      </c>
      <c r="AW56" s="8">
        <f t="shared" si="56"/>
        <v>-155499.73393787298</v>
      </c>
      <c r="AX56" s="8">
        <f t="shared" si="56"/>
        <v>-138221.9857225538</v>
      </c>
      <c r="AY56" s="8">
        <f t="shared" si="56"/>
        <v>-120944.2375072346</v>
      </c>
      <c r="AZ56" s="8">
        <f t="shared" si="56"/>
        <v>-103666.48929191541</v>
      </c>
      <c r="BA56" s="8">
        <f t="shared" si="56"/>
        <v>-86388.741076596212</v>
      </c>
      <c r="BB56" s="8">
        <f t="shared" si="56"/>
        <v>-69110.992861277016</v>
      </c>
      <c r="BC56" s="8">
        <f t="shared" si="56"/>
        <v>-51833.24464595782</v>
      </c>
      <c r="BD56" s="8">
        <f t="shared" si="56"/>
        <v>-34555.496430638625</v>
      </c>
      <c r="BE56" s="8">
        <f t="shared" si="56"/>
        <v>-17277.748215319429</v>
      </c>
      <c r="BF56" s="8">
        <f t="shared" si="56"/>
        <v>-2.3283064365386963E-10</v>
      </c>
      <c r="BG56" s="8">
        <f t="shared" si="56"/>
        <v>-2.3283064365386963E-10</v>
      </c>
      <c r="BH56" s="8">
        <f t="shared" si="56"/>
        <v>-2.3283064365386963E-10</v>
      </c>
      <c r="BI56" s="8">
        <f t="shared" si="56"/>
        <v>-2.3283064365386963E-10</v>
      </c>
      <c r="BJ56" s="8">
        <f t="shared" si="56"/>
        <v>-2.3283064365386963E-10</v>
      </c>
      <c r="BK56" s="8">
        <f t="shared" si="56"/>
        <v>-2.3283064365386963E-10</v>
      </c>
      <c r="BL56" s="8">
        <f t="shared" si="56"/>
        <v>-2.3283064365386963E-10</v>
      </c>
      <c r="BM56" s="8">
        <f t="shared" si="56"/>
        <v>-2.3283064365386963E-10</v>
      </c>
      <c r="BN56" s="8">
        <f t="shared" si="56"/>
        <v>-2.3283064365386963E-10</v>
      </c>
      <c r="BO56" s="8">
        <f t="shared" si="56"/>
        <v>-2.3283064365386963E-10</v>
      </c>
      <c r="BP56" s="8">
        <f t="shared" si="56"/>
        <v>-2.3283064365386963E-10</v>
      </c>
      <c r="BQ56" s="8">
        <f t="shared" si="56"/>
        <v>-2.3283064365386963E-10</v>
      </c>
      <c r="BR56" s="8">
        <f t="shared" si="56"/>
        <v>-2.3283064365386963E-10</v>
      </c>
      <c r="BS56" s="8">
        <f t="shared" si="56"/>
        <v>-2.3283064365386963E-10</v>
      </c>
      <c r="BT56" s="8">
        <f t="shared" si="56"/>
        <v>-2.3283064365386963E-10</v>
      </c>
      <c r="BU56" s="8">
        <f t="shared" ref="BU56:DA56" si="57">BT57</f>
        <v>-2.3283064365386963E-10</v>
      </c>
      <c r="BV56" s="8">
        <f t="shared" si="57"/>
        <v>-2.3283064365386963E-10</v>
      </c>
      <c r="BW56" s="8">
        <f t="shared" si="57"/>
        <v>-2.3283064365386963E-10</v>
      </c>
      <c r="BX56" s="8">
        <f t="shared" si="57"/>
        <v>-2.3283064365386963E-10</v>
      </c>
      <c r="BY56" s="8">
        <f t="shared" si="57"/>
        <v>-2.3283064365386963E-10</v>
      </c>
      <c r="BZ56" s="8">
        <f t="shared" si="57"/>
        <v>-2.3283064365386963E-10</v>
      </c>
      <c r="CA56" s="8">
        <f t="shared" si="57"/>
        <v>-2.3283064365386963E-10</v>
      </c>
      <c r="CB56" s="8">
        <f t="shared" si="57"/>
        <v>-2.3283064365386963E-10</v>
      </c>
      <c r="CC56" s="8">
        <f t="shared" si="57"/>
        <v>-2.3283064365386963E-10</v>
      </c>
      <c r="CD56" s="8">
        <f t="shared" si="57"/>
        <v>-2.3283064365386963E-10</v>
      </c>
      <c r="CE56" s="8">
        <f t="shared" si="57"/>
        <v>-2.3283064365386963E-10</v>
      </c>
      <c r="CF56" s="8">
        <f t="shared" si="57"/>
        <v>-2.3283064365386963E-10</v>
      </c>
      <c r="CG56" s="8">
        <f t="shared" si="57"/>
        <v>-2.3283064365386963E-10</v>
      </c>
      <c r="CH56" s="8">
        <f t="shared" si="57"/>
        <v>-2.3283064365386963E-10</v>
      </c>
      <c r="CI56" s="8">
        <f t="shared" si="57"/>
        <v>-2.3283064365386963E-10</v>
      </c>
      <c r="CJ56" s="8">
        <f t="shared" si="57"/>
        <v>-2.3283064365386963E-10</v>
      </c>
      <c r="CK56" s="8">
        <f t="shared" si="57"/>
        <v>-2.3283064365386963E-10</v>
      </c>
      <c r="CL56" s="8">
        <f t="shared" si="57"/>
        <v>-2.3283064365386963E-10</v>
      </c>
      <c r="CM56" s="8">
        <f t="shared" si="57"/>
        <v>-2.3283064365386963E-10</v>
      </c>
      <c r="CN56" s="8">
        <f t="shared" si="57"/>
        <v>-2.3283064365386963E-10</v>
      </c>
      <c r="CO56" s="8">
        <f t="shared" si="57"/>
        <v>-2.3283064365386963E-10</v>
      </c>
      <c r="CP56" s="8">
        <f t="shared" si="57"/>
        <v>-2.3283064365386963E-10</v>
      </c>
      <c r="CQ56" s="8">
        <f t="shared" si="57"/>
        <v>-2.3283064365386963E-10</v>
      </c>
      <c r="CR56" s="8">
        <f t="shared" si="57"/>
        <v>-2.3283064365386963E-10</v>
      </c>
      <c r="CS56" s="8">
        <f t="shared" si="57"/>
        <v>-2.3283064365386963E-10</v>
      </c>
      <c r="CT56" s="8">
        <f t="shared" si="57"/>
        <v>-2.3283064365386963E-10</v>
      </c>
      <c r="CU56" s="8">
        <f t="shared" si="57"/>
        <v>-2.3283064365386963E-10</v>
      </c>
      <c r="CV56" s="8">
        <f t="shared" si="57"/>
        <v>-2.3283064365386963E-10</v>
      </c>
      <c r="CW56" s="8">
        <f t="shared" si="57"/>
        <v>-2.3283064365386963E-10</v>
      </c>
      <c r="CX56" s="8">
        <f t="shared" si="57"/>
        <v>-2.3283064365386963E-10</v>
      </c>
      <c r="CY56" s="8">
        <f t="shared" si="57"/>
        <v>-2.3283064365386963E-10</v>
      </c>
      <c r="CZ56" s="8">
        <f t="shared" si="57"/>
        <v>-2.3283064365386963E-10</v>
      </c>
      <c r="DA56" s="8">
        <f t="shared" si="57"/>
        <v>-2.3283064365386963E-10</v>
      </c>
    </row>
    <row r="57" spans="1:105" x14ac:dyDescent="0.4">
      <c r="D57" t="s">
        <v>171</v>
      </c>
      <c r="G57" s="8"/>
      <c r="H57" s="8">
        <f t="shared" ref="H57:AM57" si="58">G57+((H49-H55)*INC_TAX_RATE)</f>
        <v>-15118.029688404293</v>
      </c>
      <c r="I57" s="8">
        <f t="shared" si="58"/>
        <v>-60204.31365627973</v>
      </c>
      <c r="J57" s="8">
        <f t="shared" si="58"/>
        <v>-100608.32785780367</v>
      </c>
      <c r="K57" s="8">
        <f t="shared" si="58"/>
        <v>-136692.9050054978</v>
      </c>
      <c r="L57" s="8">
        <f t="shared" si="58"/>
        <v>-168769.0445672379</v>
      </c>
      <c r="M57" s="8">
        <f t="shared" si="58"/>
        <v>-197147.74601089966</v>
      </c>
      <c r="N57" s="8">
        <f t="shared" si="58"/>
        <v>-222096.81443382057</v>
      </c>
      <c r="O57" s="8">
        <f t="shared" si="58"/>
        <v>-243884.05493333808</v>
      </c>
      <c r="P57" s="8">
        <f t="shared" si="58"/>
        <v>-265152.96298639599</v>
      </c>
      <c r="Q57" s="8">
        <f t="shared" si="58"/>
        <v>-286413.23216534627</v>
      </c>
      <c r="R57" s="8">
        <f t="shared" si="58"/>
        <v>-307682.14021840418</v>
      </c>
      <c r="S57" s="8">
        <f t="shared" si="58"/>
        <v>-328942.40939735447</v>
      </c>
      <c r="T57" s="8">
        <f t="shared" si="58"/>
        <v>-350211.31745041237</v>
      </c>
      <c r="U57" s="8">
        <f t="shared" si="58"/>
        <v>-371471.58662936266</v>
      </c>
      <c r="V57" s="8">
        <f t="shared" si="58"/>
        <v>-392740.49468242057</v>
      </c>
      <c r="W57" s="8">
        <f t="shared" si="58"/>
        <v>-414000.76386137086</v>
      </c>
      <c r="X57" s="8">
        <f t="shared" si="58"/>
        <v>-435269.67191442876</v>
      </c>
      <c r="Y57" s="8">
        <f t="shared" si="58"/>
        <v>-456529.94109337905</v>
      </c>
      <c r="Z57" s="8">
        <f t="shared" si="58"/>
        <v>-477798.84914643696</v>
      </c>
      <c r="AA57" s="8">
        <f t="shared" si="58"/>
        <v>-499059.11832538724</v>
      </c>
      <c r="AB57" s="8">
        <f t="shared" si="58"/>
        <v>-501054.69824425661</v>
      </c>
      <c r="AC57" s="8">
        <f t="shared" si="58"/>
        <v>-483776.95002893743</v>
      </c>
      <c r="AD57" s="8">
        <f t="shared" si="58"/>
        <v>-466499.20181361825</v>
      </c>
      <c r="AE57" s="8">
        <f t="shared" si="58"/>
        <v>-449221.45359829906</v>
      </c>
      <c r="AF57" s="8">
        <f t="shared" si="58"/>
        <v>-431943.70538297988</v>
      </c>
      <c r="AG57" s="8">
        <f t="shared" si="58"/>
        <v>-414665.9571676607</v>
      </c>
      <c r="AH57" s="8">
        <f t="shared" si="58"/>
        <v>-397388.20895234152</v>
      </c>
      <c r="AI57" s="8">
        <f t="shared" si="58"/>
        <v>-380110.46073702234</v>
      </c>
      <c r="AJ57" s="8">
        <f t="shared" si="58"/>
        <v>-362832.71252170316</v>
      </c>
      <c r="AK57" s="8">
        <f t="shared" si="58"/>
        <v>-345554.96430638398</v>
      </c>
      <c r="AL57" s="8">
        <f t="shared" si="58"/>
        <v>-328277.21609106479</v>
      </c>
      <c r="AM57" s="8">
        <f t="shared" si="58"/>
        <v>-310999.46787574561</v>
      </c>
      <c r="AN57" s="8">
        <f t="shared" ref="AN57:BS57" si="59">AM57+((AN49-AN55)*INC_TAX_RATE)</f>
        <v>-293721.71966042643</v>
      </c>
      <c r="AO57" s="8">
        <f t="shared" si="59"/>
        <v>-276443.97144510725</v>
      </c>
      <c r="AP57" s="8">
        <f t="shared" si="59"/>
        <v>-259166.22322978807</v>
      </c>
      <c r="AQ57" s="8">
        <f t="shared" si="59"/>
        <v>-241888.47501446889</v>
      </c>
      <c r="AR57" s="8">
        <f t="shared" si="59"/>
        <v>-224610.72679914971</v>
      </c>
      <c r="AS57" s="8">
        <f t="shared" si="59"/>
        <v>-207332.97858383053</v>
      </c>
      <c r="AT57" s="8">
        <f t="shared" si="59"/>
        <v>-190055.23036851134</v>
      </c>
      <c r="AU57" s="8">
        <f t="shared" si="59"/>
        <v>-172777.48215319216</v>
      </c>
      <c r="AV57" s="8">
        <f t="shared" si="59"/>
        <v>-155499.73393787298</v>
      </c>
      <c r="AW57" s="8">
        <f t="shared" si="59"/>
        <v>-138221.9857225538</v>
      </c>
      <c r="AX57" s="8">
        <f t="shared" si="59"/>
        <v>-120944.2375072346</v>
      </c>
      <c r="AY57" s="8">
        <f t="shared" si="59"/>
        <v>-103666.48929191541</v>
      </c>
      <c r="AZ57" s="8">
        <f t="shared" si="59"/>
        <v>-86388.741076596212</v>
      </c>
      <c r="BA57" s="8">
        <f t="shared" si="59"/>
        <v>-69110.992861277016</v>
      </c>
      <c r="BB57" s="8">
        <f t="shared" si="59"/>
        <v>-51833.24464595782</v>
      </c>
      <c r="BC57" s="8">
        <f t="shared" si="59"/>
        <v>-34555.496430638625</v>
      </c>
      <c r="BD57" s="8">
        <f t="shared" si="59"/>
        <v>-17277.748215319429</v>
      </c>
      <c r="BE57" s="8">
        <f t="shared" si="59"/>
        <v>-2.3283064365386963E-10</v>
      </c>
      <c r="BF57" s="8">
        <f t="shared" si="59"/>
        <v>-2.3283064365386963E-10</v>
      </c>
      <c r="BG57" s="8">
        <f t="shared" si="59"/>
        <v>-2.3283064365386963E-10</v>
      </c>
      <c r="BH57" s="8">
        <f t="shared" si="59"/>
        <v>-2.3283064365386963E-10</v>
      </c>
      <c r="BI57" s="8">
        <f t="shared" si="59"/>
        <v>-2.3283064365386963E-10</v>
      </c>
      <c r="BJ57" s="8">
        <f t="shared" si="59"/>
        <v>-2.3283064365386963E-10</v>
      </c>
      <c r="BK57" s="8">
        <f t="shared" si="59"/>
        <v>-2.3283064365386963E-10</v>
      </c>
      <c r="BL57" s="8">
        <f t="shared" si="59"/>
        <v>-2.3283064365386963E-10</v>
      </c>
      <c r="BM57" s="8">
        <f t="shared" si="59"/>
        <v>-2.3283064365386963E-10</v>
      </c>
      <c r="BN57" s="8">
        <f t="shared" si="59"/>
        <v>-2.3283064365386963E-10</v>
      </c>
      <c r="BO57" s="8">
        <f t="shared" si="59"/>
        <v>-2.3283064365386963E-10</v>
      </c>
      <c r="BP57" s="8">
        <f t="shared" si="59"/>
        <v>-2.3283064365386963E-10</v>
      </c>
      <c r="BQ57" s="8">
        <f t="shared" si="59"/>
        <v>-2.3283064365386963E-10</v>
      </c>
      <c r="BR57" s="8">
        <f t="shared" si="59"/>
        <v>-2.3283064365386963E-10</v>
      </c>
      <c r="BS57" s="8">
        <f t="shared" si="59"/>
        <v>-2.3283064365386963E-10</v>
      </c>
      <c r="BT57" s="8">
        <f t="shared" ref="BT57:DA57" si="60">BS57+((BT49-BT55)*INC_TAX_RATE)</f>
        <v>-2.3283064365386963E-10</v>
      </c>
      <c r="BU57" s="8">
        <f t="shared" si="60"/>
        <v>-2.3283064365386963E-10</v>
      </c>
      <c r="BV57" s="8">
        <f t="shared" si="60"/>
        <v>-2.3283064365386963E-10</v>
      </c>
      <c r="BW57" s="8">
        <f t="shared" si="60"/>
        <v>-2.3283064365386963E-10</v>
      </c>
      <c r="BX57" s="8">
        <f t="shared" si="60"/>
        <v>-2.3283064365386963E-10</v>
      </c>
      <c r="BY57" s="8">
        <f t="shared" si="60"/>
        <v>-2.3283064365386963E-10</v>
      </c>
      <c r="BZ57" s="8">
        <f t="shared" si="60"/>
        <v>-2.3283064365386963E-10</v>
      </c>
      <c r="CA57" s="8">
        <f t="shared" si="60"/>
        <v>-2.3283064365386963E-10</v>
      </c>
      <c r="CB57" s="8">
        <f t="shared" si="60"/>
        <v>-2.3283064365386963E-10</v>
      </c>
      <c r="CC57" s="8">
        <f t="shared" si="60"/>
        <v>-2.3283064365386963E-10</v>
      </c>
      <c r="CD57" s="8">
        <f t="shared" si="60"/>
        <v>-2.3283064365386963E-10</v>
      </c>
      <c r="CE57" s="8">
        <f t="shared" si="60"/>
        <v>-2.3283064365386963E-10</v>
      </c>
      <c r="CF57" s="8">
        <f t="shared" si="60"/>
        <v>-2.3283064365386963E-10</v>
      </c>
      <c r="CG57" s="8">
        <f t="shared" si="60"/>
        <v>-2.3283064365386963E-10</v>
      </c>
      <c r="CH57" s="8">
        <f t="shared" si="60"/>
        <v>-2.3283064365386963E-10</v>
      </c>
      <c r="CI57" s="8">
        <f t="shared" si="60"/>
        <v>-2.3283064365386963E-10</v>
      </c>
      <c r="CJ57" s="8">
        <f t="shared" si="60"/>
        <v>-2.3283064365386963E-10</v>
      </c>
      <c r="CK57" s="8">
        <f t="shared" si="60"/>
        <v>-2.3283064365386963E-10</v>
      </c>
      <c r="CL57" s="8">
        <f t="shared" si="60"/>
        <v>-2.3283064365386963E-10</v>
      </c>
      <c r="CM57" s="8">
        <f t="shared" si="60"/>
        <v>-2.3283064365386963E-10</v>
      </c>
      <c r="CN57" s="8">
        <f t="shared" si="60"/>
        <v>-2.3283064365386963E-10</v>
      </c>
      <c r="CO57" s="8">
        <f t="shared" si="60"/>
        <v>-2.3283064365386963E-10</v>
      </c>
      <c r="CP57" s="8">
        <f t="shared" si="60"/>
        <v>-2.3283064365386963E-10</v>
      </c>
      <c r="CQ57" s="8">
        <f t="shared" si="60"/>
        <v>-2.3283064365386963E-10</v>
      </c>
      <c r="CR57" s="8">
        <f t="shared" si="60"/>
        <v>-2.3283064365386963E-10</v>
      </c>
      <c r="CS57" s="8">
        <f t="shared" si="60"/>
        <v>-2.3283064365386963E-10</v>
      </c>
      <c r="CT57" s="8">
        <f t="shared" si="60"/>
        <v>-2.3283064365386963E-10</v>
      </c>
      <c r="CU57" s="8">
        <f t="shared" si="60"/>
        <v>-2.3283064365386963E-10</v>
      </c>
      <c r="CV57" s="8">
        <f t="shared" si="60"/>
        <v>-2.3283064365386963E-10</v>
      </c>
      <c r="CW57" s="8">
        <f t="shared" si="60"/>
        <v>-2.3283064365386963E-10</v>
      </c>
      <c r="CX57" s="8">
        <f t="shared" si="60"/>
        <v>-2.3283064365386963E-10</v>
      </c>
      <c r="CY57" s="8">
        <f t="shared" si="60"/>
        <v>-2.3283064365386963E-10</v>
      </c>
      <c r="CZ57" s="8">
        <f t="shared" si="60"/>
        <v>-2.3283064365386963E-10</v>
      </c>
      <c r="DA57" s="8">
        <f t="shared" si="60"/>
        <v>-2.3283064365386963E-10</v>
      </c>
    </row>
    <row r="58" spans="1:105" x14ac:dyDescent="0.4"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</row>
    <row r="59" spans="1:105" x14ac:dyDescent="0.4">
      <c r="D59" t="s">
        <v>158</v>
      </c>
      <c r="G59" s="8"/>
      <c r="H59" s="8">
        <f>AVERAGE(H52:H53)+AVERAGE(H56:H57)</f>
        <v>3078309.7806033897</v>
      </c>
      <c r="I59" s="8">
        <f t="shared" ref="I59:BT59" si="61">AVERAGE(I52:I53)+AVERAGE(I56:I57)</f>
        <v>2985866.8400288341</v>
      </c>
      <c r="J59" s="8">
        <f t="shared" si="61"/>
        <v>2880780.9071977185</v>
      </c>
      <c r="K59" s="8">
        <f t="shared" si="61"/>
        <v>2780195.8277766933</v>
      </c>
      <c r="L59" s="8">
        <f t="shared" si="61"/>
        <v>2683774.68567556</v>
      </c>
      <c r="M59" s="8">
        <f t="shared" si="61"/>
        <v>2591206.4814264434</v>
      </c>
      <c r="N59" s="8">
        <f t="shared" si="61"/>
        <v>2502201.8127467362</v>
      </c>
      <c r="O59" s="8">
        <f t="shared" si="61"/>
        <v>2416492.8745391006</v>
      </c>
      <c r="P59" s="8">
        <f t="shared" si="61"/>
        <v>2332624.0165163968</v>
      </c>
      <c r="Q59" s="8">
        <f t="shared" si="61"/>
        <v>2249018.6441539768</v>
      </c>
      <c r="R59" s="8">
        <f t="shared" si="61"/>
        <v>2165413.2717915569</v>
      </c>
      <c r="S59" s="8">
        <f t="shared" si="61"/>
        <v>2081807.8994291369</v>
      </c>
      <c r="T59" s="8">
        <f t="shared" si="61"/>
        <v>1998202.5270667165</v>
      </c>
      <c r="U59" s="8">
        <f t="shared" si="61"/>
        <v>1914597.1547042965</v>
      </c>
      <c r="V59" s="8">
        <f t="shared" si="61"/>
        <v>1830991.7823418768</v>
      </c>
      <c r="W59" s="8">
        <f t="shared" si="61"/>
        <v>1747386.4099794566</v>
      </c>
      <c r="X59" s="8">
        <f t="shared" si="61"/>
        <v>1663781.0376170364</v>
      </c>
      <c r="Y59" s="8">
        <f t="shared" si="61"/>
        <v>1580175.6652546162</v>
      </c>
      <c r="Z59" s="8">
        <f t="shared" si="61"/>
        <v>1496570.292892196</v>
      </c>
      <c r="AA59" s="8">
        <f t="shared" si="61"/>
        <v>1412964.9205297763</v>
      </c>
      <c r="AB59" s="8">
        <f t="shared" si="61"/>
        <v>1338996.21223445</v>
      </c>
      <c r="AC59" s="8">
        <f t="shared" si="61"/>
        <v>1284296.5126362592</v>
      </c>
      <c r="AD59" s="8">
        <f t="shared" si="61"/>
        <v>1239233.4771051621</v>
      </c>
      <c r="AE59" s="8">
        <f t="shared" si="61"/>
        <v>1194170.4415740657</v>
      </c>
      <c r="AF59" s="8">
        <f t="shared" si="61"/>
        <v>1149107.4060429686</v>
      </c>
      <c r="AG59" s="8">
        <f t="shared" si="61"/>
        <v>1104044.3705118722</v>
      </c>
      <c r="AH59" s="8">
        <f t="shared" si="61"/>
        <v>1058981.3349807751</v>
      </c>
      <c r="AI59" s="8">
        <f t="shared" si="61"/>
        <v>1013918.2994496785</v>
      </c>
      <c r="AJ59" s="8">
        <f t="shared" si="61"/>
        <v>968855.26391858142</v>
      </c>
      <c r="AK59" s="8">
        <f t="shared" si="61"/>
        <v>923792.22838748491</v>
      </c>
      <c r="AL59" s="8">
        <f t="shared" si="61"/>
        <v>878729.19285638782</v>
      </c>
      <c r="AM59" s="8">
        <f t="shared" si="61"/>
        <v>833666.15732529131</v>
      </c>
      <c r="AN59" s="8">
        <f t="shared" si="61"/>
        <v>788603.12179419422</v>
      </c>
      <c r="AO59" s="8">
        <f t="shared" si="61"/>
        <v>743540.08626309747</v>
      </c>
      <c r="AP59" s="8">
        <f t="shared" si="61"/>
        <v>698477.05073200038</v>
      </c>
      <c r="AQ59" s="8">
        <f t="shared" si="61"/>
        <v>653414.01520090341</v>
      </c>
      <c r="AR59" s="8">
        <f t="shared" si="61"/>
        <v>608350.97966980631</v>
      </c>
      <c r="AS59" s="8">
        <f t="shared" si="61"/>
        <v>563287.94413870934</v>
      </c>
      <c r="AT59" s="8">
        <f t="shared" si="61"/>
        <v>518224.90860761225</v>
      </c>
      <c r="AU59" s="8">
        <f t="shared" si="61"/>
        <v>473161.87307651527</v>
      </c>
      <c r="AV59" s="8">
        <f t="shared" si="61"/>
        <v>428098.83754541818</v>
      </c>
      <c r="AW59" s="8">
        <f t="shared" si="61"/>
        <v>383035.80201432121</v>
      </c>
      <c r="AX59" s="8">
        <f t="shared" si="61"/>
        <v>337972.76648322411</v>
      </c>
      <c r="AY59" s="8">
        <f t="shared" si="61"/>
        <v>292909.73095212714</v>
      </c>
      <c r="AZ59" s="8">
        <f t="shared" si="61"/>
        <v>247846.6954210301</v>
      </c>
      <c r="BA59" s="8">
        <f t="shared" si="61"/>
        <v>202783.6598899331</v>
      </c>
      <c r="BB59" s="8">
        <f t="shared" si="61"/>
        <v>157720.62435883607</v>
      </c>
      <c r="BC59" s="8">
        <f t="shared" si="61"/>
        <v>112657.58882773906</v>
      </c>
      <c r="BD59" s="8">
        <f t="shared" si="61"/>
        <v>67594.553296642029</v>
      </c>
      <c r="BE59" s="8">
        <f t="shared" si="61"/>
        <v>22531.517765546647</v>
      </c>
      <c r="BF59" s="8">
        <f t="shared" si="61"/>
        <v>-2.3283064365386963E-10</v>
      </c>
      <c r="BG59" s="8">
        <f t="shared" si="61"/>
        <v>-2.3283064365386963E-10</v>
      </c>
      <c r="BH59" s="8">
        <f t="shared" si="61"/>
        <v>-2.3283064365386963E-10</v>
      </c>
      <c r="BI59" s="8">
        <f t="shared" si="61"/>
        <v>-2.3283064365386963E-10</v>
      </c>
      <c r="BJ59" s="8">
        <f t="shared" si="61"/>
        <v>-2.3283064365386963E-10</v>
      </c>
      <c r="BK59" s="8">
        <f t="shared" si="61"/>
        <v>-2.3283064365386963E-10</v>
      </c>
      <c r="BL59" s="8">
        <f t="shared" si="61"/>
        <v>-2.3283064365386963E-10</v>
      </c>
      <c r="BM59" s="8">
        <f t="shared" si="61"/>
        <v>-2.3283064365386963E-10</v>
      </c>
      <c r="BN59" s="8">
        <f t="shared" si="61"/>
        <v>-2.3283064365386963E-10</v>
      </c>
      <c r="BO59" s="8">
        <f t="shared" si="61"/>
        <v>-2.3283064365386963E-10</v>
      </c>
      <c r="BP59" s="8">
        <f t="shared" si="61"/>
        <v>-2.3283064365386963E-10</v>
      </c>
      <c r="BQ59" s="8">
        <f t="shared" si="61"/>
        <v>-2.3283064365386963E-10</v>
      </c>
      <c r="BR59" s="8">
        <f t="shared" si="61"/>
        <v>-2.3283064365386963E-10</v>
      </c>
      <c r="BS59" s="8">
        <f t="shared" si="61"/>
        <v>-2.3283064365386963E-10</v>
      </c>
      <c r="BT59" s="8">
        <f t="shared" si="61"/>
        <v>-2.3283064365386963E-10</v>
      </c>
      <c r="BU59" s="8">
        <f t="shared" ref="BU59:DA59" si="62">AVERAGE(BU52:BU53)+AVERAGE(BU56:BU57)</f>
        <v>-2.3283064365386963E-10</v>
      </c>
      <c r="BV59" s="8">
        <f t="shared" si="62"/>
        <v>-2.3283064365386963E-10</v>
      </c>
      <c r="BW59" s="8">
        <f t="shared" si="62"/>
        <v>-2.3283064365386963E-10</v>
      </c>
      <c r="BX59" s="8">
        <f t="shared" si="62"/>
        <v>-2.3283064365386963E-10</v>
      </c>
      <c r="BY59" s="8">
        <f t="shared" si="62"/>
        <v>-2.3283064365386963E-10</v>
      </c>
      <c r="BZ59" s="8">
        <f t="shared" si="62"/>
        <v>-2.3283064365386963E-10</v>
      </c>
      <c r="CA59" s="8">
        <f t="shared" si="62"/>
        <v>-2.3283064365386963E-10</v>
      </c>
      <c r="CB59" s="8">
        <f t="shared" si="62"/>
        <v>-2.3283064365386963E-10</v>
      </c>
      <c r="CC59" s="8">
        <f t="shared" si="62"/>
        <v>-2.3283064365386963E-10</v>
      </c>
      <c r="CD59" s="8">
        <f t="shared" si="62"/>
        <v>-2.3283064365386963E-10</v>
      </c>
      <c r="CE59" s="8">
        <f t="shared" si="62"/>
        <v>-2.3283064365386963E-10</v>
      </c>
      <c r="CF59" s="8">
        <f t="shared" si="62"/>
        <v>-2.3283064365386963E-10</v>
      </c>
      <c r="CG59" s="8">
        <f t="shared" si="62"/>
        <v>-2.3283064365386963E-10</v>
      </c>
      <c r="CH59" s="8">
        <f t="shared" si="62"/>
        <v>-2.3283064365386963E-10</v>
      </c>
      <c r="CI59" s="8">
        <f t="shared" si="62"/>
        <v>-2.3283064365386963E-10</v>
      </c>
      <c r="CJ59" s="8">
        <f t="shared" si="62"/>
        <v>-2.3283064365386963E-10</v>
      </c>
      <c r="CK59" s="8">
        <f t="shared" si="62"/>
        <v>-2.3283064365386963E-10</v>
      </c>
      <c r="CL59" s="8">
        <f t="shared" si="62"/>
        <v>-2.3283064365386963E-10</v>
      </c>
      <c r="CM59" s="8">
        <f t="shared" si="62"/>
        <v>-2.3283064365386963E-10</v>
      </c>
      <c r="CN59" s="8">
        <f t="shared" si="62"/>
        <v>-2.3283064365386963E-10</v>
      </c>
      <c r="CO59" s="8">
        <f t="shared" si="62"/>
        <v>-2.3283064365386963E-10</v>
      </c>
      <c r="CP59" s="8">
        <f t="shared" si="62"/>
        <v>-2.3283064365386963E-10</v>
      </c>
      <c r="CQ59" s="8">
        <f t="shared" si="62"/>
        <v>-2.3283064365386963E-10</v>
      </c>
      <c r="CR59" s="8">
        <f t="shared" si="62"/>
        <v>-2.3283064365386963E-10</v>
      </c>
      <c r="CS59" s="8">
        <f t="shared" si="62"/>
        <v>-2.3283064365386963E-10</v>
      </c>
      <c r="CT59" s="8">
        <f t="shared" si="62"/>
        <v>-2.3283064365386963E-10</v>
      </c>
      <c r="CU59" s="8">
        <f t="shared" si="62"/>
        <v>-2.3283064365386963E-10</v>
      </c>
      <c r="CV59" s="8">
        <f t="shared" si="62"/>
        <v>-2.3283064365386963E-10</v>
      </c>
      <c r="CW59" s="8">
        <f t="shared" si="62"/>
        <v>-2.3283064365386963E-10</v>
      </c>
      <c r="CX59" s="8">
        <f t="shared" si="62"/>
        <v>-2.3283064365386963E-10</v>
      </c>
      <c r="CY59" s="8">
        <f t="shared" si="62"/>
        <v>-2.3283064365386963E-10</v>
      </c>
      <c r="CZ59" s="8">
        <f t="shared" si="62"/>
        <v>-2.3283064365386963E-10</v>
      </c>
      <c r="DA59" s="8">
        <f t="shared" si="62"/>
        <v>-2.3283064365386963E-10</v>
      </c>
    </row>
    <row r="60" spans="1:105" x14ac:dyDescent="0.4"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</row>
    <row r="61" spans="1:105" x14ac:dyDescent="0.4">
      <c r="D61" t="s">
        <v>209</v>
      </c>
      <c r="G61" s="8"/>
      <c r="H61" s="8">
        <f t="shared" ref="H61:AM61" si="63">H59*AVG_PRE_TAX_RATE</f>
        <v>274893.0634078827</v>
      </c>
      <c r="I61" s="8">
        <f t="shared" si="63"/>
        <v>266637.90881457488</v>
      </c>
      <c r="J61" s="8">
        <f t="shared" si="63"/>
        <v>257253.73501275628</v>
      </c>
      <c r="K61" s="8">
        <f t="shared" si="63"/>
        <v>248271.48742045872</v>
      </c>
      <c r="L61" s="8">
        <f t="shared" si="63"/>
        <v>239661.07943082752</v>
      </c>
      <c r="M61" s="8">
        <f t="shared" si="63"/>
        <v>231394.73879138142</v>
      </c>
      <c r="N61" s="8">
        <f t="shared" si="63"/>
        <v>223446.62187828356</v>
      </c>
      <c r="O61" s="8">
        <f t="shared" si="63"/>
        <v>215792.81369634171</v>
      </c>
      <c r="P61" s="8">
        <f t="shared" si="63"/>
        <v>208303.32467491424</v>
      </c>
      <c r="Q61" s="8">
        <f t="shared" si="63"/>
        <v>200837.36492295013</v>
      </c>
      <c r="R61" s="8">
        <f t="shared" si="63"/>
        <v>193371.40517098605</v>
      </c>
      <c r="S61" s="8">
        <f t="shared" si="63"/>
        <v>185905.44541902194</v>
      </c>
      <c r="T61" s="8">
        <f t="shared" si="63"/>
        <v>178439.4856670578</v>
      </c>
      <c r="U61" s="8">
        <f t="shared" si="63"/>
        <v>170973.52591509369</v>
      </c>
      <c r="V61" s="8">
        <f t="shared" si="63"/>
        <v>163507.56616312961</v>
      </c>
      <c r="W61" s="8">
        <f t="shared" si="63"/>
        <v>156041.60641116547</v>
      </c>
      <c r="X61" s="8">
        <f t="shared" si="63"/>
        <v>148575.64665920136</v>
      </c>
      <c r="Y61" s="8">
        <f t="shared" si="63"/>
        <v>141109.68690723722</v>
      </c>
      <c r="Z61" s="8">
        <f t="shared" si="63"/>
        <v>133643.72715527311</v>
      </c>
      <c r="AA61" s="8">
        <f t="shared" si="63"/>
        <v>126177.76740330903</v>
      </c>
      <c r="AB61" s="8">
        <f t="shared" si="63"/>
        <v>119572.3617525364</v>
      </c>
      <c r="AC61" s="8">
        <f t="shared" si="63"/>
        <v>114687.67857841795</v>
      </c>
      <c r="AD61" s="8">
        <f t="shared" si="63"/>
        <v>110663.54950549098</v>
      </c>
      <c r="AE61" s="8">
        <f t="shared" si="63"/>
        <v>106639.42043256407</v>
      </c>
      <c r="AF61" s="8">
        <f t="shared" si="63"/>
        <v>102615.29135963711</v>
      </c>
      <c r="AG61" s="8">
        <f t="shared" si="63"/>
        <v>98591.162286710198</v>
      </c>
      <c r="AH61" s="8">
        <f t="shared" si="63"/>
        <v>94567.03321378323</v>
      </c>
      <c r="AI61" s="8">
        <f t="shared" si="63"/>
        <v>90542.904140856292</v>
      </c>
      <c r="AJ61" s="8">
        <f t="shared" si="63"/>
        <v>86518.775067929324</v>
      </c>
      <c r="AK61" s="8">
        <f t="shared" si="63"/>
        <v>82494.6459950024</v>
      </c>
      <c r="AL61" s="8">
        <f t="shared" si="63"/>
        <v>78470.516922075432</v>
      </c>
      <c r="AM61" s="8">
        <f t="shared" si="63"/>
        <v>74446.387849148523</v>
      </c>
      <c r="AN61" s="8">
        <f t="shared" ref="AN61:BS61" si="64">AN59*AVG_PRE_TAX_RATE</f>
        <v>70422.258776221541</v>
      </c>
      <c r="AO61" s="8">
        <f t="shared" si="64"/>
        <v>66398.129703294602</v>
      </c>
      <c r="AP61" s="8">
        <f t="shared" si="64"/>
        <v>62374.000630367635</v>
      </c>
      <c r="AQ61" s="8">
        <f t="shared" si="64"/>
        <v>58349.871557440674</v>
      </c>
      <c r="AR61" s="8">
        <f t="shared" si="64"/>
        <v>54325.742484513707</v>
      </c>
      <c r="AS61" s="8">
        <f t="shared" si="64"/>
        <v>50301.613411586746</v>
      </c>
      <c r="AT61" s="8">
        <f t="shared" si="64"/>
        <v>46277.484338659779</v>
      </c>
      <c r="AU61" s="8">
        <f t="shared" si="64"/>
        <v>42253.355265732818</v>
      </c>
      <c r="AV61" s="8">
        <f t="shared" si="64"/>
        <v>38229.226192805843</v>
      </c>
      <c r="AW61" s="8">
        <f t="shared" si="64"/>
        <v>34205.097119878883</v>
      </c>
      <c r="AX61" s="8">
        <f t="shared" si="64"/>
        <v>30180.968046951915</v>
      </c>
      <c r="AY61" s="8">
        <f t="shared" si="64"/>
        <v>26156.838974024955</v>
      </c>
      <c r="AZ61" s="8">
        <f t="shared" si="64"/>
        <v>22132.709901097991</v>
      </c>
      <c r="BA61" s="8">
        <f t="shared" si="64"/>
        <v>18108.580828171027</v>
      </c>
      <c r="BB61" s="8">
        <f t="shared" si="64"/>
        <v>14084.451755244061</v>
      </c>
      <c r="BC61" s="8">
        <f t="shared" si="64"/>
        <v>10060.322682317099</v>
      </c>
      <c r="BD61" s="8">
        <f t="shared" si="64"/>
        <v>6036.1936093901331</v>
      </c>
      <c r="BE61" s="8">
        <f t="shared" si="64"/>
        <v>2012.0645364633156</v>
      </c>
      <c r="BF61" s="8">
        <f t="shared" si="64"/>
        <v>-2.0791776478290559E-11</v>
      </c>
      <c r="BG61" s="8">
        <f t="shared" si="64"/>
        <v>-2.0791776478290559E-11</v>
      </c>
      <c r="BH61" s="8">
        <f t="shared" si="64"/>
        <v>-2.0791776478290559E-11</v>
      </c>
      <c r="BI61" s="8">
        <f t="shared" si="64"/>
        <v>-2.0791776478290559E-11</v>
      </c>
      <c r="BJ61" s="8">
        <f t="shared" si="64"/>
        <v>-2.0791776478290559E-11</v>
      </c>
      <c r="BK61" s="8">
        <f t="shared" si="64"/>
        <v>-2.0791776478290559E-11</v>
      </c>
      <c r="BL61" s="8">
        <f t="shared" si="64"/>
        <v>-2.0791776478290559E-11</v>
      </c>
      <c r="BM61" s="8">
        <f t="shared" si="64"/>
        <v>-2.0791776478290559E-11</v>
      </c>
      <c r="BN61" s="8">
        <f t="shared" si="64"/>
        <v>-2.0791776478290559E-11</v>
      </c>
      <c r="BO61" s="8">
        <f t="shared" si="64"/>
        <v>-2.0791776478290559E-11</v>
      </c>
      <c r="BP61" s="8">
        <f t="shared" si="64"/>
        <v>-2.0791776478290559E-11</v>
      </c>
      <c r="BQ61" s="8">
        <f t="shared" si="64"/>
        <v>-2.0791776478290559E-11</v>
      </c>
      <c r="BR61" s="8">
        <f t="shared" si="64"/>
        <v>-2.0791776478290559E-11</v>
      </c>
      <c r="BS61" s="8">
        <f t="shared" si="64"/>
        <v>-2.0791776478290559E-11</v>
      </c>
      <c r="BT61" s="8">
        <f t="shared" ref="BT61:DA61" si="65">BT59*AVG_PRE_TAX_RATE</f>
        <v>-2.0791776478290559E-11</v>
      </c>
      <c r="BU61" s="8">
        <f t="shared" si="65"/>
        <v>-2.0791776478290559E-11</v>
      </c>
      <c r="BV61" s="8">
        <f t="shared" si="65"/>
        <v>-2.0791776478290559E-11</v>
      </c>
      <c r="BW61" s="8">
        <f t="shared" si="65"/>
        <v>-2.0791776478290559E-11</v>
      </c>
      <c r="BX61" s="8">
        <f t="shared" si="65"/>
        <v>-2.0791776478290559E-11</v>
      </c>
      <c r="BY61" s="8">
        <f t="shared" si="65"/>
        <v>-2.0791776478290559E-11</v>
      </c>
      <c r="BZ61" s="8">
        <f t="shared" si="65"/>
        <v>-2.0791776478290559E-11</v>
      </c>
      <c r="CA61" s="8">
        <f t="shared" si="65"/>
        <v>-2.0791776478290559E-11</v>
      </c>
      <c r="CB61" s="8">
        <f t="shared" si="65"/>
        <v>-2.0791776478290559E-11</v>
      </c>
      <c r="CC61" s="8">
        <f t="shared" si="65"/>
        <v>-2.0791776478290559E-11</v>
      </c>
      <c r="CD61" s="8">
        <f t="shared" si="65"/>
        <v>-2.0791776478290559E-11</v>
      </c>
      <c r="CE61" s="8">
        <f t="shared" si="65"/>
        <v>-2.0791776478290559E-11</v>
      </c>
      <c r="CF61" s="8">
        <f t="shared" si="65"/>
        <v>-2.0791776478290559E-11</v>
      </c>
      <c r="CG61" s="8">
        <f t="shared" si="65"/>
        <v>-2.0791776478290559E-11</v>
      </c>
      <c r="CH61" s="8">
        <f t="shared" si="65"/>
        <v>-2.0791776478290559E-11</v>
      </c>
      <c r="CI61" s="8">
        <f t="shared" si="65"/>
        <v>-2.0791776478290559E-11</v>
      </c>
      <c r="CJ61" s="8">
        <f t="shared" si="65"/>
        <v>-2.0791776478290559E-11</v>
      </c>
      <c r="CK61" s="8">
        <f t="shared" si="65"/>
        <v>-2.0791776478290559E-11</v>
      </c>
      <c r="CL61" s="8">
        <f t="shared" si="65"/>
        <v>-2.0791776478290559E-11</v>
      </c>
      <c r="CM61" s="8">
        <f t="shared" si="65"/>
        <v>-2.0791776478290559E-11</v>
      </c>
      <c r="CN61" s="8">
        <f t="shared" si="65"/>
        <v>-2.0791776478290559E-11</v>
      </c>
      <c r="CO61" s="8">
        <f t="shared" si="65"/>
        <v>-2.0791776478290559E-11</v>
      </c>
      <c r="CP61" s="8">
        <f t="shared" si="65"/>
        <v>-2.0791776478290559E-11</v>
      </c>
      <c r="CQ61" s="8">
        <f t="shared" si="65"/>
        <v>-2.0791776478290559E-11</v>
      </c>
      <c r="CR61" s="8">
        <f t="shared" si="65"/>
        <v>-2.0791776478290559E-11</v>
      </c>
      <c r="CS61" s="8">
        <f t="shared" si="65"/>
        <v>-2.0791776478290559E-11</v>
      </c>
      <c r="CT61" s="8">
        <f t="shared" si="65"/>
        <v>-2.0791776478290559E-11</v>
      </c>
      <c r="CU61" s="8">
        <f t="shared" si="65"/>
        <v>-2.0791776478290559E-11</v>
      </c>
      <c r="CV61" s="8">
        <f t="shared" si="65"/>
        <v>-2.0791776478290559E-11</v>
      </c>
      <c r="CW61" s="8">
        <f t="shared" si="65"/>
        <v>-2.0791776478290559E-11</v>
      </c>
      <c r="CX61" s="8">
        <f t="shared" si="65"/>
        <v>-2.0791776478290559E-11</v>
      </c>
      <c r="CY61" s="8">
        <f t="shared" si="65"/>
        <v>-2.0791776478290559E-11</v>
      </c>
      <c r="CZ61" s="8">
        <f t="shared" si="65"/>
        <v>-2.0791776478290559E-11</v>
      </c>
      <c r="DA61" s="8">
        <f t="shared" si="65"/>
        <v>-2.0791776478290559E-11</v>
      </c>
    </row>
    <row r="64" spans="1:105" x14ac:dyDescent="0.4">
      <c r="C64" s="58" t="str">
        <f>C47</f>
        <v>Investment year in service</v>
      </c>
      <c r="E64" t="str">
        <f>IF(E65&lt;$C65,"",E65-$C65)</f>
        <v/>
      </c>
      <c r="F64" t="str">
        <f>IF(F65&lt;$C65,"",F65-$C65)</f>
        <v/>
      </c>
      <c r="G64" t="str">
        <f t="shared" ref="G64:BR64" si="66">IF(G65&lt;$C65,"",G65-$C65)</f>
        <v/>
      </c>
      <c r="H64">
        <f t="shared" si="66"/>
        <v>0</v>
      </c>
      <c r="I64">
        <f t="shared" si="66"/>
        <v>1</v>
      </c>
      <c r="J64">
        <f t="shared" si="66"/>
        <v>2</v>
      </c>
      <c r="K64">
        <f t="shared" si="66"/>
        <v>3</v>
      </c>
      <c r="L64">
        <f t="shared" si="66"/>
        <v>4</v>
      </c>
      <c r="M64">
        <f t="shared" si="66"/>
        <v>5</v>
      </c>
      <c r="N64">
        <f t="shared" si="66"/>
        <v>6</v>
      </c>
      <c r="O64">
        <f t="shared" si="66"/>
        <v>7</v>
      </c>
      <c r="P64">
        <f t="shared" si="66"/>
        <v>8</v>
      </c>
      <c r="Q64">
        <f t="shared" si="66"/>
        <v>9</v>
      </c>
      <c r="R64">
        <f t="shared" si="66"/>
        <v>10</v>
      </c>
      <c r="S64">
        <f t="shared" si="66"/>
        <v>11</v>
      </c>
      <c r="T64">
        <f t="shared" si="66"/>
        <v>12</v>
      </c>
      <c r="U64">
        <f t="shared" si="66"/>
        <v>13</v>
      </c>
      <c r="V64">
        <f t="shared" si="66"/>
        <v>14</v>
      </c>
      <c r="W64">
        <f t="shared" si="66"/>
        <v>15</v>
      </c>
      <c r="X64">
        <f t="shared" si="66"/>
        <v>16</v>
      </c>
      <c r="Y64">
        <f t="shared" si="66"/>
        <v>17</v>
      </c>
      <c r="Z64">
        <f t="shared" si="66"/>
        <v>18</v>
      </c>
      <c r="AA64">
        <f t="shared" si="66"/>
        <v>19</v>
      </c>
      <c r="AB64">
        <f t="shared" si="66"/>
        <v>20</v>
      </c>
      <c r="AC64">
        <f t="shared" si="66"/>
        <v>21</v>
      </c>
      <c r="AD64">
        <f t="shared" si="66"/>
        <v>22</v>
      </c>
      <c r="AE64">
        <f t="shared" si="66"/>
        <v>23</v>
      </c>
      <c r="AF64">
        <f t="shared" si="66"/>
        <v>24</v>
      </c>
      <c r="AG64">
        <f t="shared" si="66"/>
        <v>25</v>
      </c>
      <c r="AH64">
        <f t="shared" si="66"/>
        <v>26</v>
      </c>
      <c r="AI64">
        <f t="shared" si="66"/>
        <v>27</v>
      </c>
      <c r="AJ64">
        <f t="shared" si="66"/>
        <v>28</v>
      </c>
      <c r="AK64">
        <f t="shared" si="66"/>
        <v>29</v>
      </c>
      <c r="AL64">
        <f t="shared" si="66"/>
        <v>30</v>
      </c>
      <c r="AM64">
        <f t="shared" si="66"/>
        <v>31</v>
      </c>
      <c r="AN64">
        <f t="shared" si="66"/>
        <v>32</v>
      </c>
      <c r="AO64">
        <f t="shared" si="66"/>
        <v>33</v>
      </c>
      <c r="AP64">
        <f t="shared" si="66"/>
        <v>34</v>
      </c>
      <c r="AQ64">
        <f t="shared" si="66"/>
        <v>35</v>
      </c>
      <c r="AR64">
        <f t="shared" si="66"/>
        <v>36</v>
      </c>
      <c r="AS64">
        <f t="shared" si="66"/>
        <v>37</v>
      </c>
      <c r="AT64">
        <f t="shared" si="66"/>
        <v>38</v>
      </c>
      <c r="AU64">
        <f t="shared" si="66"/>
        <v>39</v>
      </c>
      <c r="AV64">
        <f t="shared" si="66"/>
        <v>40</v>
      </c>
      <c r="AW64">
        <f t="shared" si="66"/>
        <v>41</v>
      </c>
      <c r="AX64">
        <f t="shared" si="66"/>
        <v>42</v>
      </c>
      <c r="AY64">
        <f t="shared" si="66"/>
        <v>43</v>
      </c>
      <c r="AZ64">
        <f t="shared" si="66"/>
        <v>44</v>
      </c>
      <c r="BA64">
        <f t="shared" si="66"/>
        <v>45</v>
      </c>
      <c r="BB64">
        <f t="shared" si="66"/>
        <v>46</v>
      </c>
      <c r="BC64">
        <f t="shared" si="66"/>
        <v>47</v>
      </c>
      <c r="BD64">
        <f t="shared" si="66"/>
        <v>48</v>
      </c>
      <c r="BE64">
        <f t="shared" si="66"/>
        <v>49</v>
      </c>
      <c r="BF64">
        <f t="shared" si="66"/>
        <v>50</v>
      </c>
      <c r="BG64">
        <f t="shared" si="66"/>
        <v>51</v>
      </c>
      <c r="BH64">
        <f t="shared" si="66"/>
        <v>52</v>
      </c>
      <c r="BI64">
        <f t="shared" si="66"/>
        <v>53</v>
      </c>
      <c r="BJ64">
        <f t="shared" si="66"/>
        <v>54</v>
      </c>
      <c r="BK64">
        <f t="shared" si="66"/>
        <v>55</v>
      </c>
      <c r="BL64">
        <f t="shared" si="66"/>
        <v>56</v>
      </c>
      <c r="BM64">
        <f t="shared" si="66"/>
        <v>57</v>
      </c>
      <c r="BN64">
        <f t="shared" si="66"/>
        <v>58</v>
      </c>
      <c r="BO64">
        <f t="shared" si="66"/>
        <v>59</v>
      </c>
      <c r="BP64">
        <f t="shared" si="66"/>
        <v>60</v>
      </c>
      <c r="BQ64">
        <f t="shared" si="66"/>
        <v>61</v>
      </c>
      <c r="BR64">
        <f t="shared" si="66"/>
        <v>62</v>
      </c>
      <c r="BS64">
        <f t="shared" ref="BS64:DA64" si="67">IF(BS65&lt;$C65,"",BS65-$C65)</f>
        <v>63</v>
      </c>
      <c r="BT64">
        <f t="shared" si="67"/>
        <v>64</v>
      </c>
      <c r="BU64">
        <f t="shared" si="67"/>
        <v>65</v>
      </c>
      <c r="BV64">
        <f t="shared" si="67"/>
        <v>66</v>
      </c>
      <c r="BW64">
        <f t="shared" si="67"/>
        <v>67</v>
      </c>
      <c r="BX64">
        <f t="shared" si="67"/>
        <v>68</v>
      </c>
      <c r="BY64">
        <f t="shared" si="67"/>
        <v>69</v>
      </c>
      <c r="BZ64">
        <f t="shared" si="67"/>
        <v>70</v>
      </c>
      <c r="CA64">
        <f t="shared" si="67"/>
        <v>71</v>
      </c>
      <c r="CB64">
        <f t="shared" si="67"/>
        <v>72</v>
      </c>
      <c r="CC64">
        <f t="shared" si="67"/>
        <v>73</v>
      </c>
      <c r="CD64">
        <f t="shared" si="67"/>
        <v>74</v>
      </c>
      <c r="CE64">
        <f t="shared" si="67"/>
        <v>75</v>
      </c>
      <c r="CF64">
        <f t="shared" si="67"/>
        <v>76</v>
      </c>
      <c r="CG64">
        <f t="shared" si="67"/>
        <v>77</v>
      </c>
      <c r="CH64">
        <f t="shared" si="67"/>
        <v>78</v>
      </c>
      <c r="CI64">
        <f t="shared" si="67"/>
        <v>79</v>
      </c>
      <c r="CJ64">
        <f t="shared" si="67"/>
        <v>80</v>
      </c>
      <c r="CK64">
        <f t="shared" si="67"/>
        <v>81</v>
      </c>
      <c r="CL64">
        <f t="shared" si="67"/>
        <v>82</v>
      </c>
      <c r="CM64">
        <f t="shared" si="67"/>
        <v>83</v>
      </c>
      <c r="CN64">
        <f t="shared" si="67"/>
        <v>84</v>
      </c>
      <c r="CO64">
        <f t="shared" si="67"/>
        <v>85</v>
      </c>
      <c r="CP64">
        <f t="shared" si="67"/>
        <v>86</v>
      </c>
      <c r="CQ64">
        <f t="shared" si="67"/>
        <v>87</v>
      </c>
      <c r="CR64">
        <f t="shared" si="67"/>
        <v>88</v>
      </c>
      <c r="CS64">
        <f t="shared" si="67"/>
        <v>89</v>
      </c>
      <c r="CT64">
        <f t="shared" si="67"/>
        <v>90</v>
      </c>
      <c r="CU64">
        <f t="shared" si="67"/>
        <v>91</v>
      </c>
      <c r="CV64">
        <f t="shared" si="67"/>
        <v>92</v>
      </c>
      <c r="CW64">
        <f t="shared" si="67"/>
        <v>93</v>
      </c>
      <c r="CX64">
        <f t="shared" si="67"/>
        <v>94</v>
      </c>
      <c r="CY64">
        <f t="shared" si="67"/>
        <v>95</v>
      </c>
      <c r="CZ64">
        <f t="shared" si="67"/>
        <v>96</v>
      </c>
      <c r="DA64">
        <f t="shared" si="67"/>
        <v>97</v>
      </c>
    </row>
    <row r="65" spans="3:105" x14ac:dyDescent="0.4">
      <c r="C65">
        <f>C48+1</f>
        <v>2030</v>
      </c>
      <c r="D65" s="5" t="s">
        <v>434</v>
      </c>
      <c r="E65" s="5">
        <v>2027</v>
      </c>
      <c r="F65" s="5">
        <v>2028</v>
      </c>
      <c r="G65" s="5">
        <v>2029</v>
      </c>
      <c r="H65" s="5">
        <v>2030</v>
      </c>
      <c r="I65" s="5">
        <v>2031</v>
      </c>
      <c r="J65" s="5">
        <v>2032</v>
      </c>
      <c r="K65" s="5">
        <v>2033</v>
      </c>
      <c r="L65" s="5">
        <v>2034</v>
      </c>
      <c r="M65" s="5">
        <v>2035</v>
      </c>
      <c r="N65" s="5">
        <v>2036</v>
      </c>
      <c r="O65" s="5">
        <v>2037</v>
      </c>
      <c r="P65" s="5">
        <v>2038</v>
      </c>
      <c r="Q65" s="5">
        <v>2039</v>
      </c>
      <c r="R65" s="5">
        <v>2040</v>
      </c>
      <c r="S65" s="5">
        <v>2041</v>
      </c>
      <c r="T65" s="5">
        <v>2042</v>
      </c>
      <c r="U65" s="5">
        <v>2043</v>
      </c>
      <c r="V65" s="5">
        <v>2044</v>
      </c>
      <c r="W65" s="5">
        <v>2045</v>
      </c>
      <c r="X65" s="5">
        <v>2046</v>
      </c>
      <c r="Y65" s="5">
        <v>2047</v>
      </c>
      <c r="Z65" s="5">
        <v>2048</v>
      </c>
      <c r="AA65" s="5">
        <v>2049</v>
      </c>
      <c r="AB65" s="5">
        <v>2050</v>
      </c>
      <c r="AC65" s="5">
        <v>2051</v>
      </c>
      <c r="AD65" s="5">
        <v>2052</v>
      </c>
      <c r="AE65" s="5">
        <v>2053</v>
      </c>
      <c r="AF65" s="5">
        <v>2054</v>
      </c>
      <c r="AG65" s="5">
        <v>2055</v>
      </c>
      <c r="AH65" s="5">
        <v>2056</v>
      </c>
      <c r="AI65" s="5">
        <v>2057</v>
      </c>
      <c r="AJ65" s="5">
        <v>2058</v>
      </c>
      <c r="AK65" s="5">
        <v>2059</v>
      </c>
      <c r="AL65" s="5">
        <v>2060</v>
      </c>
      <c r="AM65" s="5">
        <v>2061</v>
      </c>
      <c r="AN65" s="5">
        <v>2062</v>
      </c>
      <c r="AO65" s="5">
        <v>2063</v>
      </c>
      <c r="AP65" s="5">
        <v>2064</v>
      </c>
      <c r="AQ65" s="5">
        <v>2065</v>
      </c>
      <c r="AR65" s="5">
        <v>2066</v>
      </c>
      <c r="AS65" s="5">
        <v>2067</v>
      </c>
      <c r="AT65" s="5">
        <v>2068</v>
      </c>
      <c r="AU65" s="5">
        <v>2069</v>
      </c>
      <c r="AV65" s="5">
        <v>2070</v>
      </c>
      <c r="AW65" s="5">
        <v>2071</v>
      </c>
      <c r="AX65" s="5">
        <v>2072</v>
      </c>
      <c r="AY65" s="5">
        <v>2073</v>
      </c>
      <c r="AZ65" s="5">
        <v>2074</v>
      </c>
      <c r="BA65" s="5">
        <v>2075</v>
      </c>
      <c r="BB65" s="5">
        <v>2076</v>
      </c>
      <c r="BC65" s="5">
        <v>2077</v>
      </c>
      <c r="BD65" s="5">
        <v>2078</v>
      </c>
      <c r="BE65" s="5">
        <v>2079</v>
      </c>
      <c r="BF65" s="5">
        <v>2080</v>
      </c>
      <c r="BG65" s="5">
        <v>2081</v>
      </c>
      <c r="BH65" s="5">
        <v>2082</v>
      </c>
      <c r="BI65" s="5">
        <v>2083</v>
      </c>
      <c r="BJ65" s="5">
        <v>2084</v>
      </c>
      <c r="BK65" s="5">
        <v>2085</v>
      </c>
      <c r="BL65" s="5">
        <v>2086</v>
      </c>
      <c r="BM65" s="5">
        <v>2087</v>
      </c>
      <c r="BN65" s="5">
        <v>2088</v>
      </c>
      <c r="BO65" s="5">
        <v>2089</v>
      </c>
      <c r="BP65" s="5">
        <v>2090</v>
      </c>
      <c r="BQ65" s="5">
        <v>2091</v>
      </c>
      <c r="BR65" s="5">
        <v>2092</v>
      </c>
      <c r="BS65" s="5">
        <v>2093</v>
      </c>
      <c r="BT65" s="5">
        <v>2094</v>
      </c>
      <c r="BU65" s="5">
        <v>2095</v>
      </c>
      <c r="BV65" s="5">
        <v>2096</v>
      </c>
      <c r="BW65" s="5">
        <v>2097</v>
      </c>
      <c r="BX65" s="5">
        <v>2098</v>
      </c>
      <c r="BY65" s="5">
        <v>2099</v>
      </c>
      <c r="BZ65" s="5">
        <v>2100</v>
      </c>
      <c r="CA65" s="5">
        <v>2101</v>
      </c>
      <c r="CB65" s="5">
        <v>2102</v>
      </c>
      <c r="CC65" s="5">
        <v>2103</v>
      </c>
      <c r="CD65" s="5">
        <v>2104</v>
      </c>
      <c r="CE65" s="5">
        <v>2105</v>
      </c>
      <c r="CF65" s="5">
        <v>2106</v>
      </c>
      <c r="CG65" s="5">
        <v>2107</v>
      </c>
      <c r="CH65" s="5">
        <v>2108</v>
      </c>
      <c r="CI65" s="5">
        <v>2109</v>
      </c>
      <c r="CJ65" s="5">
        <v>2110</v>
      </c>
      <c r="CK65" s="5">
        <v>2111</v>
      </c>
      <c r="CL65" s="5">
        <v>2112</v>
      </c>
      <c r="CM65" s="5">
        <v>2113</v>
      </c>
      <c r="CN65" s="5">
        <v>2114</v>
      </c>
      <c r="CO65" s="5">
        <v>2115</v>
      </c>
      <c r="CP65" s="5">
        <v>2116</v>
      </c>
      <c r="CQ65" s="5">
        <v>2117</v>
      </c>
      <c r="CR65" s="5">
        <v>2118</v>
      </c>
      <c r="CS65" s="5">
        <v>2119</v>
      </c>
      <c r="CT65" s="5">
        <v>2120</v>
      </c>
      <c r="CU65" s="5">
        <v>2121</v>
      </c>
      <c r="CV65" s="5">
        <v>2122</v>
      </c>
      <c r="CW65" s="5">
        <v>2123</v>
      </c>
      <c r="CX65" s="5">
        <v>2124</v>
      </c>
      <c r="CY65" s="5">
        <v>2125</v>
      </c>
      <c r="CZ65" s="5">
        <v>2126</v>
      </c>
      <c r="DA65" s="5">
        <v>2127</v>
      </c>
    </row>
    <row r="66" spans="3:105" x14ac:dyDescent="0.4">
      <c r="D66" t="s">
        <v>207</v>
      </c>
      <c r="I66" s="8">
        <f>IF(I$13&lt;=$B$3,I67/$B$3,0)</f>
        <v>63712.280988837156</v>
      </c>
      <c r="J66" s="8">
        <f>IF(J64&lt;=$B$3,I66,0)</f>
        <v>63712.280988837156</v>
      </c>
      <c r="K66" s="8">
        <f t="shared" ref="K66:BV66" si="68">IF(K64&lt;=$B$3,J66,0)</f>
        <v>63712.280988837156</v>
      </c>
      <c r="L66" s="8">
        <f t="shared" si="68"/>
        <v>63712.280988837156</v>
      </c>
      <c r="M66" s="8">
        <f t="shared" si="68"/>
        <v>63712.280988837156</v>
      </c>
      <c r="N66" s="8">
        <f t="shared" si="68"/>
        <v>63712.280988837156</v>
      </c>
      <c r="O66" s="8">
        <f t="shared" si="68"/>
        <v>63712.280988837156</v>
      </c>
      <c r="P66" s="8">
        <f t="shared" si="68"/>
        <v>63712.280988837156</v>
      </c>
      <c r="Q66" s="8">
        <f t="shared" si="68"/>
        <v>63712.280988837156</v>
      </c>
      <c r="R66" s="8">
        <f t="shared" si="68"/>
        <v>63712.280988837156</v>
      </c>
      <c r="S66" s="8">
        <f t="shared" si="68"/>
        <v>63712.280988837156</v>
      </c>
      <c r="T66" s="8">
        <f t="shared" si="68"/>
        <v>63712.280988837156</v>
      </c>
      <c r="U66" s="8">
        <f t="shared" si="68"/>
        <v>63712.280988837156</v>
      </c>
      <c r="V66" s="8">
        <f t="shared" si="68"/>
        <v>63712.280988837156</v>
      </c>
      <c r="W66" s="8">
        <f t="shared" si="68"/>
        <v>63712.280988837156</v>
      </c>
      <c r="X66" s="8">
        <f t="shared" si="68"/>
        <v>63712.280988837156</v>
      </c>
      <c r="Y66" s="8">
        <f t="shared" si="68"/>
        <v>63712.280988837156</v>
      </c>
      <c r="Z66" s="8">
        <f t="shared" si="68"/>
        <v>63712.280988837156</v>
      </c>
      <c r="AA66" s="8">
        <f t="shared" si="68"/>
        <v>63712.280988837156</v>
      </c>
      <c r="AB66" s="8">
        <f t="shared" si="68"/>
        <v>63712.280988837156</v>
      </c>
      <c r="AC66" s="8">
        <f t="shared" si="68"/>
        <v>63712.280988837156</v>
      </c>
      <c r="AD66" s="8">
        <f t="shared" si="68"/>
        <v>63712.280988837156</v>
      </c>
      <c r="AE66" s="8">
        <f t="shared" si="68"/>
        <v>63712.280988837156</v>
      </c>
      <c r="AF66" s="8">
        <f t="shared" si="68"/>
        <v>63712.280988837156</v>
      </c>
      <c r="AG66" s="8">
        <f t="shared" si="68"/>
        <v>63712.280988837156</v>
      </c>
      <c r="AH66" s="8">
        <f t="shared" si="68"/>
        <v>63712.280988837156</v>
      </c>
      <c r="AI66" s="8">
        <f t="shared" si="68"/>
        <v>63712.280988837156</v>
      </c>
      <c r="AJ66" s="8">
        <f t="shared" si="68"/>
        <v>63712.280988837156</v>
      </c>
      <c r="AK66" s="8">
        <f t="shared" si="68"/>
        <v>63712.280988837156</v>
      </c>
      <c r="AL66" s="8">
        <f t="shared" si="68"/>
        <v>63712.280988837156</v>
      </c>
      <c r="AM66" s="8">
        <f t="shared" si="68"/>
        <v>63712.280988837156</v>
      </c>
      <c r="AN66" s="8">
        <f t="shared" si="68"/>
        <v>63712.280988837156</v>
      </c>
      <c r="AO66" s="8">
        <f t="shared" si="68"/>
        <v>63712.280988837156</v>
      </c>
      <c r="AP66" s="8">
        <f t="shared" si="68"/>
        <v>63712.280988837156</v>
      </c>
      <c r="AQ66" s="8">
        <f t="shared" si="68"/>
        <v>63712.280988837156</v>
      </c>
      <c r="AR66" s="8">
        <f t="shared" si="68"/>
        <v>63712.280988837156</v>
      </c>
      <c r="AS66" s="8">
        <f t="shared" si="68"/>
        <v>63712.280988837156</v>
      </c>
      <c r="AT66" s="8">
        <f t="shared" si="68"/>
        <v>63712.280988837156</v>
      </c>
      <c r="AU66" s="8">
        <f t="shared" si="68"/>
        <v>63712.280988837156</v>
      </c>
      <c r="AV66" s="8">
        <f t="shared" si="68"/>
        <v>63712.280988837156</v>
      </c>
      <c r="AW66" s="8">
        <f t="shared" si="68"/>
        <v>63712.280988837156</v>
      </c>
      <c r="AX66" s="8">
        <f t="shared" si="68"/>
        <v>63712.280988837156</v>
      </c>
      <c r="AY66" s="8">
        <f t="shared" si="68"/>
        <v>63712.280988837156</v>
      </c>
      <c r="AZ66" s="8">
        <f t="shared" si="68"/>
        <v>63712.280988837156</v>
      </c>
      <c r="BA66" s="8">
        <f t="shared" si="68"/>
        <v>63712.280988837156</v>
      </c>
      <c r="BB66" s="8">
        <f t="shared" si="68"/>
        <v>63712.280988837156</v>
      </c>
      <c r="BC66" s="8">
        <f t="shared" si="68"/>
        <v>63712.280988837156</v>
      </c>
      <c r="BD66" s="8">
        <f t="shared" si="68"/>
        <v>63712.280988837156</v>
      </c>
      <c r="BE66" s="8">
        <f t="shared" si="68"/>
        <v>63712.280988837156</v>
      </c>
      <c r="BF66" s="8">
        <f t="shared" si="68"/>
        <v>63712.280988837156</v>
      </c>
      <c r="BG66" s="8">
        <f t="shared" si="68"/>
        <v>0</v>
      </c>
      <c r="BH66" s="8">
        <f t="shared" si="68"/>
        <v>0</v>
      </c>
      <c r="BI66" s="8">
        <f t="shared" si="68"/>
        <v>0</v>
      </c>
      <c r="BJ66" s="8">
        <f t="shared" si="68"/>
        <v>0</v>
      </c>
      <c r="BK66" s="8">
        <f t="shared" si="68"/>
        <v>0</v>
      </c>
      <c r="BL66" s="8">
        <f t="shared" si="68"/>
        <v>0</v>
      </c>
      <c r="BM66" s="8">
        <f t="shared" si="68"/>
        <v>0</v>
      </c>
      <c r="BN66" s="8">
        <f t="shared" si="68"/>
        <v>0</v>
      </c>
      <c r="BO66" s="8">
        <f t="shared" si="68"/>
        <v>0</v>
      </c>
      <c r="BP66" s="8">
        <f t="shared" si="68"/>
        <v>0</v>
      </c>
      <c r="BQ66" s="8">
        <f t="shared" si="68"/>
        <v>0</v>
      </c>
      <c r="BR66" s="8">
        <f t="shared" si="68"/>
        <v>0</v>
      </c>
      <c r="BS66" s="8">
        <f t="shared" si="68"/>
        <v>0</v>
      </c>
      <c r="BT66" s="8">
        <f t="shared" si="68"/>
        <v>0</v>
      </c>
      <c r="BU66" s="8">
        <f t="shared" si="68"/>
        <v>0</v>
      </c>
      <c r="BV66" s="8">
        <f t="shared" si="68"/>
        <v>0</v>
      </c>
      <c r="BW66" s="8">
        <f t="shared" ref="BW66:DA66" si="69">IF(BW64&lt;=$B$3,BV66,0)</f>
        <v>0</v>
      </c>
      <c r="BX66" s="8">
        <f t="shared" si="69"/>
        <v>0</v>
      </c>
      <c r="BY66" s="8">
        <f t="shared" si="69"/>
        <v>0</v>
      </c>
      <c r="BZ66" s="8">
        <f t="shared" si="69"/>
        <v>0</v>
      </c>
      <c r="CA66" s="8">
        <f t="shared" si="69"/>
        <v>0</v>
      </c>
      <c r="CB66" s="8">
        <f t="shared" si="69"/>
        <v>0</v>
      </c>
      <c r="CC66" s="8">
        <f t="shared" si="69"/>
        <v>0</v>
      </c>
      <c r="CD66" s="8">
        <f t="shared" si="69"/>
        <v>0</v>
      </c>
      <c r="CE66" s="8">
        <f t="shared" si="69"/>
        <v>0</v>
      </c>
      <c r="CF66" s="8">
        <f t="shared" si="69"/>
        <v>0</v>
      </c>
      <c r="CG66" s="8">
        <f t="shared" si="69"/>
        <v>0</v>
      </c>
      <c r="CH66" s="8">
        <f t="shared" si="69"/>
        <v>0</v>
      </c>
      <c r="CI66" s="8">
        <f t="shared" si="69"/>
        <v>0</v>
      </c>
      <c r="CJ66" s="8">
        <f t="shared" si="69"/>
        <v>0</v>
      </c>
      <c r="CK66" s="8">
        <f t="shared" si="69"/>
        <v>0</v>
      </c>
      <c r="CL66" s="8">
        <f t="shared" si="69"/>
        <v>0</v>
      </c>
      <c r="CM66" s="8">
        <f t="shared" si="69"/>
        <v>0</v>
      </c>
      <c r="CN66" s="8">
        <f t="shared" si="69"/>
        <v>0</v>
      </c>
      <c r="CO66" s="8">
        <f t="shared" si="69"/>
        <v>0</v>
      </c>
      <c r="CP66" s="8">
        <f t="shared" si="69"/>
        <v>0</v>
      </c>
      <c r="CQ66" s="8">
        <f t="shared" si="69"/>
        <v>0</v>
      </c>
      <c r="CR66" s="8">
        <f t="shared" si="69"/>
        <v>0</v>
      </c>
      <c r="CS66" s="8">
        <f t="shared" si="69"/>
        <v>0</v>
      </c>
      <c r="CT66" s="8">
        <f t="shared" si="69"/>
        <v>0</v>
      </c>
      <c r="CU66" s="8">
        <f t="shared" si="69"/>
        <v>0</v>
      </c>
      <c r="CV66" s="8">
        <f t="shared" si="69"/>
        <v>0</v>
      </c>
      <c r="CW66" s="8">
        <f t="shared" si="69"/>
        <v>0</v>
      </c>
      <c r="CX66" s="8">
        <f t="shared" si="69"/>
        <v>0</v>
      </c>
      <c r="CY66" s="8">
        <f t="shared" si="69"/>
        <v>0</v>
      </c>
      <c r="CZ66" s="8">
        <f t="shared" si="69"/>
        <v>0</v>
      </c>
      <c r="DA66" s="8">
        <f t="shared" si="69"/>
        <v>0</v>
      </c>
    </row>
    <row r="67" spans="3:105" x14ac:dyDescent="0.4">
      <c r="D67" t="s">
        <v>154</v>
      </c>
      <c r="H67" s="8">
        <f>HLOOKUP(I65,$F$3:$O$10,7,0)</f>
        <v>3185614.0494418577</v>
      </c>
      <c r="I67" s="8">
        <f>IF(ROUND(H68,4)=-ROUND(H67,4),0,H67)</f>
        <v>3185614.0494418577</v>
      </c>
      <c r="J67" s="8">
        <f t="shared" ref="J67:BU67" si="70">IF(ROUND(I68,4)=-ROUND(I67,4),0,I67)</f>
        <v>3185614.0494418577</v>
      </c>
      <c r="K67" s="8">
        <f t="shared" si="70"/>
        <v>3185614.0494418577</v>
      </c>
      <c r="L67" s="8">
        <f t="shared" si="70"/>
        <v>3185614.0494418577</v>
      </c>
      <c r="M67" s="8">
        <f t="shared" si="70"/>
        <v>3185614.0494418577</v>
      </c>
      <c r="N67" s="8">
        <f t="shared" si="70"/>
        <v>3185614.0494418577</v>
      </c>
      <c r="O67" s="8">
        <f t="shared" si="70"/>
        <v>3185614.0494418577</v>
      </c>
      <c r="P67" s="8">
        <f t="shared" si="70"/>
        <v>3185614.0494418577</v>
      </c>
      <c r="Q67" s="8">
        <f t="shared" si="70"/>
        <v>3185614.0494418577</v>
      </c>
      <c r="R67" s="8">
        <f t="shared" si="70"/>
        <v>3185614.0494418577</v>
      </c>
      <c r="S67" s="8">
        <f t="shared" si="70"/>
        <v>3185614.0494418577</v>
      </c>
      <c r="T67" s="8">
        <f t="shared" si="70"/>
        <v>3185614.0494418577</v>
      </c>
      <c r="U67" s="8">
        <f t="shared" si="70"/>
        <v>3185614.0494418577</v>
      </c>
      <c r="V67" s="8">
        <f t="shared" si="70"/>
        <v>3185614.0494418577</v>
      </c>
      <c r="W67" s="8">
        <f t="shared" si="70"/>
        <v>3185614.0494418577</v>
      </c>
      <c r="X67" s="8">
        <f t="shared" si="70"/>
        <v>3185614.0494418577</v>
      </c>
      <c r="Y67" s="8">
        <f t="shared" si="70"/>
        <v>3185614.0494418577</v>
      </c>
      <c r="Z67" s="8">
        <f t="shared" si="70"/>
        <v>3185614.0494418577</v>
      </c>
      <c r="AA67" s="8">
        <f t="shared" si="70"/>
        <v>3185614.0494418577</v>
      </c>
      <c r="AB67" s="8">
        <f t="shared" si="70"/>
        <v>3185614.0494418577</v>
      </c>
      <c r="AC67" s="8">
        <f t="shared" si="70"/>
        <v>3185614.0494418577</v>
      </c>
      <c r="AD67" s="8">
        <f t="shared" si="70"/>
        <v>3185614.0494418577</v>
      </c>
      <c r="AE67" s="8">
        <f t="shared" si="70"/>
        <v>3185614.0494418577</v>
      </c>
      <c r="AF67" s="8">
        <f t="shared" si="70"/>
        <v>3185614.0494418577</v>
      </c>
      <c r="AG67" s="8">
        <f t="shared" si="70"/>
        <v>3185614.0494418577</v>
      </c>
      <c r="AH67" s="8">
        <f t="shared" si="70"/>
        <v>3185614.0494418577</v>
      </c>
      <c r="AI67" s="8">
        <f t="shared" si="70"/>
        <v>3185614.0494418577</v>
      </c>
      <c r="AJ67" s="8">
        <f t="shared" si="70"/>
        <v>3185614.0494418577</v>
      </c>
      <c r="AK67" s="8">
        <f t="shared" si="70"/>
        <v>3185614.0494418577</v>
      </c>
      <c r="AL67" s="8">
        <f t="shared" si="70"/>
        <v>3185614.0494418577</v>
      </c>
      <c r="AM67" s="8">
        <f t="shared" si="70"/>
        <v>3185614.0494418577</v>
      </c>
      <c r="AN67" s="8">
        <f t="shared" si="70"/>
        <v>3185614.0494418577</v>
      </c>
      <c r="AO67" s="8">
        <f t="shared" si="70"/>
        <v>3185614.0494418577</v>
      </c>
      <c r="AP67" s="8">
        <f t="shared" si="70"/>
        <v>3185614.0494418577</v>
      </c>
      <c r="AQ67" s="8">
        <f t="shared" si="70"/>
        <v>3185614.0494418577</v>
      </c>
      <c r="AR67" s="8">
        <f t="shared" si="70"/>
        <v>3185614.0494418577</v>
      </c>
      <c r="AS67" s="8">
        <f t="shared" si="70"/>
        <v>3185614.0494418577</v>
      </c>
      <c r="AT67" s="8">
        <f t="shared" si="70"/>
        <v>3185614.0494418577</v>
      </c>
      <c r="AU67" s="8">
        <f t="shared" si="70"/>
        <v>3185614.0494418577</v>
      </c>
      <c r="AV67" s="8">
        <f t="shared" si="70"/>
        <v>3185614.0494418577</v>
      </c>
      <c r="AW67" s="8">
        <f t="shared" si="70"/>
        <v>3185614.0494418577</v>
      </c>
      <c r="AX67" s="8">
        <f t="shared" si="70"/>
        <v>3185614.0494418577</v>
      </c>
      <c r="AY67" s="8">
        <f t="shared" si="70"/>
        <v>3185614.0494418577</v>
      </c>
      <c r="AZ67" s="8">
        <f t="shared" si="70"/>
        <v>3185614.0494418577</v>
      </c>
      <c r="BA67" s="8">
        <f t="shared" si="70"/>
        <v>3185614.0494418577</v>
      </c>
      <c r="BB67" s="8">
        <f t="shared" si="70"/>
        <v>3185614.0494418577</v>
      </c>
      <c r="BC67" s="8">
        <f t="shared" si="70"/>
        <v>3185614.0494418577</v>
      </c>
      <c r="BD67" s="8">
        <f t="shared" si="70"/>
        <v>3185614.0494418577</v>
      </c>
      <c r="BE67" s="8">
        <f t="shared" si="70"/>
        <v>3185614.0494418577</v>
      </c>
      <c r="BF67" s="8">
        <f t="shared" si="70"/>
        <v>3185614.0494418577</v>
      </c>
      <c r="BG67" s="8">
        <f t="shared" si="70"/>
        <v>0</v>
      </c>
      <c r="BH67" s="8">
        <f t="shared" si="70"/>
        <v>0</v>
      </c>
      <c r="BI67" s="8">
        <f t="shared" si="70"/>
        <v>0</v>
      </c>
      <c r="BJ67" s="8">
        <f t="shared" si="70"/>
        <v>0</v>
      </c>
      <c r="BK67" s="8">
        <f t="shared" si="70"/>
        <v>0</v>
      </c>
      <c r="BL67" s="8">
        <f t="shared" si="70"/>
        <v>0</v>
      </c>
      <c r="BM67" s="8">
        <f t="shared" si="70"/>
        <v>0</v>
      </c>
      <c r="BN67" s="8">
        <f t="shared" si="70"/>
        <v>0</v>
      </c>
      <c r="BO67" s="8">
        <f t="shared" si="70"/>
        <v>0</v>
      </c>
      <c r="BP67" s="8">
        <f t="shared" si="70"/>
        <v>0</v>
      </c>
      <c r="BQ67" s="8">
        <f t="shared" si="70"/>
        <v>0</v>
      </c>
      <c r="BR67" s="8">
        <f t="shared" si="70"/>
        <v>0</v>
      </c>
      <c r="BS67" s="8">
        <f t="shared" si="70"/>
        <v>0</v>
      </c>
      <c r="BT67" s="8">
        <f t="shared" si="70"/>
        <v>0</v>
      </c>
      <c r="BU67" s="8">
        <f t="shared" si="70"/>
        <v>0</v>
      </c>
      <c r="BV67" s="8">
        <f t="shared" ref="BV67:DA67" si="71">IF(ROUND(BU68,4)=-ROUND(BU67,4),0,BU67)</f>
        <v>0</v>
      </c>
      <c r="BW67" s="8">
        <f t="shared" si="71"/>
        <v>0</v>
      </c>
      <c r="BX67" s="8">
        <f t="shared" si="71"/>
        <v>0</v>
      </c>
      <c r="BY67" s="8">
        <f t="shared" si="71"/>
        <v>0</v>
      </c>
      <c r="BZ67" s="8">
        <f t="shared" si="71"/>
        <v>0</v>
      </c>
      <c r="CA67" s="8">
        <f t="shared" si="71"/>
        <v>0</v>
      </c>
      <c r="CB67" s="8">
        <f t="shared" si="71"/>
        <v>0</v>
      </c>
      <c r="CC67" s="8">
        <f t="shared" si="71"/>
        <v>0</v>
      </c>
      <c r="CD67" s="8">
        <f t="shared" si="71"/>
        <v>0</v>
      </c>
      <c r="CE67" s="8">
        <f t="shared" si="71"/>
        <v>0</v>
      </c>
      <c r="CF67" s="8">
        <f t="shared" si="71"/>
        <v>0</v>
      </c>
      <c r="CG67" s="8">
        <f t="shared" si="71"/>
        <v>0</v>
      </c>
      <c r="CH67" s="8">
        <f t="shared" si="71"/>
        <v>0</v>
      </c>
      <c r="CI67" s="8">
        <f t="shared" si="71"/>
        <v>0</v>
      </c>
      <c r="CJ67" s="8">
        <f t="shared" si="71"/>
        <v>0</v>
      </c>
      <c r="CK67" s="8">
        <f t="shared" si="71"/>
        <v>0</v>
      </c>
      <c r="CL67" s="8">
        <f t="shared" si="71"/>
        <v>0</v>
      </c>
      <c r="CM67" s="8">
        <f t="shared" si="71"/>
        <v>0</v>
      </c>
      <c r="CN67" s="8">
        <f t="shared" si="71"/>
        <v>0</v>
      </c>
      <c r="CO67" s="8">
        <f t="shared" si="71"/>
        <v>0</v>
      </c>
      <c r="CP67" s="8">
        <f t="shared" si="71"/>
        <v>0</v>
      </c>
      <c r="CQ67" s="8">
        <f t="shared" si="71"/>
        <v>0</v>
      </c>
      <c r="CR67" s="8">
        <f t="shared" si="71"/>
        <v>0</v>
      </c>
      <c r="CS67" s="8">
        <f t="shared" si="71"/>
        <v>0</v>
      </c>
      <c r="CT67" s="8">
        <f t="shared" si="71"/>
        <v>0</v>
      </c>
      <c r="CU67" s="8">
        <f t="shared" si="71"/>
        <v>0</v>
      </c>
      <c r="CV67" s="8">
        <f t="shared" si="71"/>
        <v>0</v>
      </c>
      <c r="CW67" s="8">
        <f t="shared" si="71"/>
        <v>0</v>
      </c>
      <c r="CX67" s="8">
        <f t="shared" si="71"/>
        <v>0</v>
      </c>
      <c r="CY67" s="8">
        <f t="shared" si="71"/>
        <v>0</v>
      </c>
      <c r="CZ67" s="8">
        <f t="shared" si="71"/>
        <v>0</v>
      </c>
      <c r="DA67" s="8">
        <f t="shared" si="71"/>
        <v>0</v>
      </c>
    </row>
    <row r="68" spans="3:105" x14ac:dyDescent="0.4">
      <c r="D68" t="s">
        <v>208</v>
      </c>
      <c r="H68" s="8"/>
      <c r="I68" s="8">
        <f>IF(I64&lt;=$B$3,-SUM($E66:I66),0)</f>
        <v>-63712.280988837156</v>
      </c>
      <c r="J68" s="8">
        <f>IF(J64&lt;=$B$3,-SUM($E66:J66),0)</f>
        <v>-127424.56197767431</v>
      </c>
      <c r="K68" s="8">
        <f>IF(K64&lt;=$B$3,-SUM($E66:K66),0)</f>
        <v>-191136.84296651147</v>
      </c>
      <c r="L68" s="8">
        <f>IF(L64&lt;=$B$3,-SUM($E66:L66),0)</f>
        <v>-254849.12395534862</v>
      </c>
      <c r="M68" s="8">
        <f>IF(M64&lt;=$B$3,-SUM($E66:M66),0)</f>
        <v>-318561.40494418575</v>
      </c>
      <c r="N68" s="8">
        <f>IF(N64&lt;=$B$3,-SUM($E66:N66),0)</f>
        <v>-382273.68593302288</v>
      </c>
      <c r="O68" s="8">
        <f>IF(O64&lt;=$B$3,-SUM($E66:O66),0)</f>
        <v>-445985.96692186</v>
      </c>
      <c r="P68" s="8">
        <f>IF(P64&lt;=$B$3,-SUM($E66:P66),0)</f>
        <v>-509698.24791069713</v>
      </c>
      <c r="Q68" s="8">
        <f>IF(Q64&lt;=$B$3,-SUM($E66:Q66),0)</f>
        <v>-573410.52889953426</v>
      </c>
      <c r="R68" s="8">
        <f>IF(R64&lt;=$B$3,-SUM($E66:R66),0)</f>
        <v>-637122.80988837138</v>
      </c>
      <c r="S68" s="8">
        <f>IF(S64&lt;=$B$3,-SUM($E66:S66),0)</f>
        <v>-700835.09087720851</v>
      </c>
      <c r="T68" s="8">
        <f>IF(T64&lt;=$B$3,-SUM($E66:T66),0)</f>
        <v>-764547.37186604564</v>
      </c>
      <c r="U68" s="8">
        <f>IF(U64&lt;=$B$3,-SUM($E66:U66),0)</f>
        <v>-828259.65285488276</v>
      </c>
      <c r="V68" s="8">
        <f>IF(V64&lt;=$B$3,-SUM($E66:V66),0)</f>
        <v>-891971.93384371989</v>
      </c>
      <c r="W68" s="8">
        <f>IF(W64&lt;=$B$3,-SUM($E66:W66),0)</f>
        <v>-955684.21483255702</v>
      </c>
      <c r="X68" s="8">
        <f>IF(X64&lt;=$B$3,-SUM($E66:X66),0)</f>
        <v>-1019396.4958213941</v>
      </c>
      <c r="Y68" s="8">
        <f>IF(Y64&lt;=$B$3,-SUM($E66:Y66),0)</f>
        <v>-1083108.7768102314</v>
      </c>
      <c r="Z68" s="8">
        <f>IF(Z64&lt;=$B$3,-SUM($E66:Z66),0)</f>
        <v>-1146821.0577990685</v>
      </c>
      <c r="AA68" s="8">
        <f>IF(AA64&lt;=$B$3,-SUM($E66:AA66),0)</f>
        <v>-1210533.3387879056</v>
      </c>
      <c r="AB68" s="8">
        <f>IF(AB64&lt;=$B$3,-SUM($E66:AB66),0)</f>
        <v>-1274245.6197767428</v>
      </c>
      <c r="AC68" s="8">
        <f>IF(AC64&lt;=$B$3,-SUM($E66:AC66),0)</f>
        <v>-1337957.9007655799</v>
      </c>
      <c r="AD68" s="8">
        <f>IF(AD64&lt;=$B$3,-SUM($E66:AD66),0)</f>
        <v>-1401670.181754417</v>
      </c>
      <c r="AE68" s="8">
        <f>IF(AE64&lt;=$B$3,-SUM($E66:AE66),0)</f>
        <v>-1465382.4627432541</v>
      </c>
      <c r="AF68" s="8">
        <f>IF(AF64&lt;=$B$3,-SUM($E66:AF66),0)</f>
        <v>-1529094.7437320913</v>
      </c>
      <c r="AG68" s="8">
        <f>IF(AG64&lt;=$B$3,-SUM($E66:AG66),0)</f>
        <v>-1592807.0247209284</v>
      </c>
      <c r="AH68" s="8">
        <f>IF(AH64&lt;=$B$3,-SUM($E66:AH66),0)</f>
        <v>-1656519.3057097655</v>
      </c>
      <c r="AI68" s="8">
        <f>IF(AI64&lt;=$B$3,-SUM($E66:AI66),0)</f>
        <v>-1720231.5866986027</v>
      </c>
      <c r="AJ68" s="8">
        <f>IF(AJ64&lt;=$B$3,-SUM($E66:AJ66),0)</f>
        <v>-1783943.8676874398</v>
      </c>
      <c r="AK68" s="8">
        <f>IF(AK64&lt;=$B$3,-SUM($E66:AK66),0)</f>
        <v>-1847656.1486762769</v>
      </c>
      <c r="AL68" s="8">
        <f>IF(AL64&lt;=$B$3,-SUM($E66:AL66),0)</f>
        <v>-1911368.429665114</v>
      </c>
      <c r="AM68" s="8">
        <f>IF(AM64&lt;=$B$3,-SUM($E66:AM66),0)</f>
        <v>-1975080.7106539512</v>
      </c>
      <c r="AN68" s="8">
        <f>IF(AN64&lt;=$B$3,-SUM($E66:AN66),0)</f>
        <v>-2038792.9916427883</v>
      </c>
      <c r="AO68" s="8">
        <f>IF(AO64&lt;=$B$3,-SUM($E66:AO66),0)</f>
        <v>-2102505.2726316256</v>
      </c>
      <c r="AP68" s="8">
        <f>IF(AP64&lt;=$B$3,-SUM($E66:AP66),0)</f>
        <v>-2166217.5536204628</v>
      </c>
      <c r="AQ68" s="8">
        <f>IF(AQ64&lt;=$B$3,-SUM($E66:AQ66),0)</f>
        <v>-2229929.8346092999</v>
      </c>
      <c r="AR68" s="8">
        <f>IF(AR64&lt;=$B$3,-SUM($E66:AR66),0)</f>
        <v>-2293642.115598137</v>
      </c>
      <c r="AS68" s="8">
        <f>IF(AS64&lt;=$B$3,-SUM($E66:AS66),0)</f>
        <v>-2357354.3965869742</v>
      </c>
      <c r="AT68" s="8">
        <f>IF(AT64&lt;=$B$3,-SUM($E66:AT66),0)</f>
        <v>-2421066.6775758113</v>
      </c>
      <c r="AU68" s="8">
        <f>IF(AU64&lt;=$B$3,-SUM($E66:AU66),0)</f>
        <v>-2484778.9585646484</v>
      </c>
      <c r="AV68" s="8">
        <f>IF(AV64&lt;=$B$3,-SUM($E66:AV66),0)</f>
        <v>-2548491.2395534855</v>
      </c>
      <c r="AW68" s="8">
        <f>IF(AW64&lt;=$B$3,-SUM($E66:AW66),0)</f>
        <v>-2612203.5205423227</v>
      </c>
      <c r="AX68" s="8">
        <f>IF(AX64&lt;=$B$3,-SUM($E66:AX66),0)</f>
        <v>-2675915.8015311598</v>
      </c>
      <c r="AY68" s="8">
        <f>IF(AY64&lt;=$B$3,-SUM($E66:AY66),0)</f>
        <v>-2739628.0825199969</v>
      </c>
      <c r="AZ68" s="8">
        <f>IF(AZ64&lt;=$B$3,-SUM($E66:AZ66),0)</f>
        <v>-2803340.363508834</v>
      </c>
      <c r="BA68" s="8">
        <f>IF(BA64&lt;=$B$3,-SUM($E66:BA66),0)</f>
        <v>-2867052.6444976712</v>
      </c>
      <c r="BB68" s="8">
        <f>IF(BB64&lt;=$B$3,-SUM($E66:BB66),0)</f>
        <v>-2930764.9254865083</v>
      </c>
      <c r="BC68" s="8">
        <f>IF(BC64&lt;=$B$3,-SUM($E66:BC66),0)</f>
        <v>-2994477.2064753454</v>
      </c>
      <c r="BD68" s="8">
        <f>IF(BD64&lt;=$B$3,-SUM($E66:BD66),0)</f>
        <v>-3058189.4874641825</v>
      </c>
      <c r="BE68" s="8">
        <f>IF(BE64&lt;=$B$3,-SUM($E66:BE66),0)</f>
        <v>-3121901.7684530197</v>
      </c>
      <c r="BF68" s="8">
        <f>IF(BF64&lt;=$B$3,-SUM($E66:BF66),0)</f>
        <v>-3185614.0494418568</v>
      </c>
      <c r="BG68" s="8">
        <f>IF(BG64&lt;=$B$3,-SUM($E66:BG66),0)</f>
        <v>0</v>
      </c>
      <c r="BH68" s="8">
        <f>IF(BH64&lt;=$B$3,-SUM($E66:BH66),0)</f>
        <v>0</v>
      </c>
      <c r="BI68" s="8">
        <f>IF(BI64&lt;=$B$3,-SUM($E66:BI66),0)</f>
        <v>0</v>
      </c>
      <c r="BJ68" s="8">
        <f>IF(BJ64&lt;=$B$3,-SUM($E66:BJ66),0)</f>
        <v>0</v>
      </c>
      <c r="BK68" s="8">
        <f>IF(BK64&lt;=$B$3,-SUM($E66:BK66),0)</f>
        <v>0</v>
      </c>
      <c r="BL68" s="8">
        <f>IF(BL64&lt;=$B$3,-SUM($E66:BL66),0)</f>
        <v>0</v>
      </c>
      <c r="BM68" s="8">
        <f>IF(BM64&lt;=$B$3,-SUM($E66:BM66),0)</f>
        <v>0</v>
      </c>
      <c r="BN68" s="8">
        <f>IF(BN64&lt;=$B$3,-SUM($E66:BN66),0)</f>
        <v>0</v>
      </c>
      <c r="BO68" s="8">
        <f>IF(BO64&lt;=$B$3,-SUM($E66:BO66),0)</f>
        <v>0</v>
      </c>
      <c r="BP68" s="8">
        <f>IF(BP64&lt;=$B$3,-SUM($E66:BP66),0)</f>
        <v>0</v>
      </c>
      <c r="BQ68" s="8">
        <f>IF(BQ64&lt;=$B$3,-SUM($E66:BQ66),0)</f>
        <v>0</v>
      </c>
      <c r="BR68" s="8">
        <f>IF(BR64&lt;=$B$3,-SUM($E66:BR66),0)</f>
        <v>0</v>
      </c>
      <c r="BS68" s="8">
        <f>IF(BS64&lt;=$B$3,-SUM($E66:BS66),0)</f>
        <v>0</v>
      </c>
      <c r="BT68" s="8">
        <f>IF(BT64&lt;=$B$3,-SUM($E66:BT66),0)</f>
        <v>0</v>
      </c>
      <c r="BU68" s="8">
        <f>IF(BU64&lt;=$B$3,-SUM($E66:BU66),0)</f>
        <v>0</v>
      </c>
      <c r="BV68" s="8">
        <f>IF(BV64&lt;=$B$3,-SUM($E66:BV66),0)</f>
        <v>0</v>
      </c>
      <c r="BW68" s="8">
        <f>IF(BW64&lt;=$B$3,-SUM($E66:BW66),0)</f>
        <v>0</v>
      </c>
      <c r="BX68" s="8">
        <f>IF(BX64&lt;=$B$3,-SUM($E66:BX66),0)</f>
        <v>0</v>
      </c>
      <c r="BY68" s="8">
        <f>IF(BY64&lt;=$B$3,-SUM($E66:BY66),0)</f>
        <v>0</v>
      </c>
      <c r="BZ68" s="8">
        <f>IF(BZ64&lt;=$B$3,-SUM($E66:BZ66),0)</f>
        <v>0</v>
      </c>
      <c r="CA68" s="8">
        <f>IF(CA64&lt;=$B$3,-SUM($E66:CA66),0)</f>
        <v>0</v>
      </c>
      <c r="CB68" s="8">
        <f>IF(CB64&lt;=$B$3,-SUM($E66:CB66),0)</f>
        <v>0</v>
      </c>
      <c r="CC68" s="8">
        <f>IF(CC64&lt;=$B$3,-SUM($E66:CC66),0)</f>
        <v>0</v>
      </c>
      <c r="CD68" s="8">
        <f>IF(CD64&lt;=$B$3,-SUM($E66:CD66),0)</f>
        <v>0</v>
      </c>
      <c r="CE68" s="8">
        <f>IF(CE64&lt;=$B$3,-SUM($E66:CE66),0)</f>
        <v>0</v>
      </c>
      <c r="CF68" s="8">
        <f>IF(CF64&lt;=$B$3,-SUM($E66:CF66),0)</f>
        <v>0</v>
      </c>
      <c r="CG68" s="8">
        <f>IF(CG64&lt;=$B$3,-SUM($E66:CG66),0)</f>
        <v>0</v>
      </c>
      <c r="CH68" s="8">
        <f>IF(CH64&lt;=$B$3,-SUM($E66:CH66),0)</f>
        <v>0</v>
      </c>
      <c r="CI68" s="8">
        <f>IF(CI64&lt;=$B$3,-SUM($E66:CI66),0)</f>
        <v>0</v>
      </c>
      <c r="CJ68" s="8">
        <f>IF(CJ64&lt;=$B$3,-SUM($E66:CJ66),0)</f>
        <v>0</v>
      </c>
      <c r="CK68" s="8">
        <f>IF(CK64&lt;=$B$3,-SUM($E66:CK66),0)</f>
        <v>0</v>
      </c>
      <c r="CL68" s="8">
        <f>IF(CL64&lt;=$B$3,-SUM($E66:CL66),0)</f>
        <v>0</v>
      </c>
      <c r="CM68" s="8">
        <f>IF(CM64&lt;=$B$3,-SUM($E66:CM66),0)</f>
        <v>0</v>
      </c>
      <c r="CN68" s="8">
        <f>IF(CN64&lt;=$B$3,-SUM($E66:CN66),0)</f>
        <v>0</v>
      </c>
      <c r="CO68" s="8">
        <f>IF(CO64&lt;=$B$3,-SUM($E66:CO66),0)</f>
        <v>0</v>
      </c>
      <c r="CP68" s="8">
        <f>IF(CP64&lt;=$B$3,-SUM($E66:CP66),0)</f>
        <v>0</v>
      </c>
      <c r="CQ68" s="8">
        <f>IF(CQ64&lt;=$B$3,-SUM($E66:CQ66),0)</f>
        <v>0</v>
      </c>
      <c r="CR68" s="8">
        <f>IF(CR64&lt;=$B$3,-SUM($E66:CR66),0)</f>
        <v>0</v>
      </c>
      <c r="CS68" s="8">
        <f>IF(CS64&lt;=$B$3,-SUM($E66:CS66),0)</f>
        <v>0</v>
      </c>
      <c r="CT68" s="8">
        <f>IF(CT64&lt;=$B$3,-SUM($E66:CT66),0)</f>
        <v>0</v>
      </c>
      <c r="CU68" s="8">
        <f>IF(CU64&lt;=$B$3,-SUM($E66:CU66),0)</f>
        <v>0</v>
      </c>
      <c r="CV68" s="8">
        <f>IF(CV64&lt;=$B$3,-SUM($E66:CV66),0)</f>
        <v>0</v>
      </c>
      <c r="CW68" s="8">
        <f>IF(CW64&lt;=$B$3,-SUM($E66:CW66),0)</f>
        <v>0</v>
      </c>
      <c r="CX68" s="8">
        <f>IF(CX64&lt;=$B$3,-SUM($E66:CX66),0)</f>
        <v>0</v>
      </c>
      <c r="CY68" s="8">
        <f>IF(CY64&lt;=$B$3,-SUM($E66:CY66),0)</f>
        <v>0</v>
      </c>
      <c r="CZ68" s="8">
        <f>IF(CZ64&lt;=$B$3,-SUM($E66:CZ66),0)</f>
        <v>0</v>
      </c>
      <c r="DA68" s="8">
        <f>IF(DA64&lt;=$B$3,-SUM($E66:DA66),0)</f>
        <v>0</v>
      </c>
    </row>
    <row r="69" spans="3:105" x14ac:dyDescent="0.4">
      <c r="D69" t="s">
        <v>167</v>
      </c>
      <c r="H69" s="8"/>
      <c r="I69" s="8">
        <f>H70</f>
        <v>3185614.0494418577</v>
      </c>
      <c r="J69" s="8">
        <f t="shared" ref="J69:BU69" si="72">I70</f>
        <v>3121901.7684530206</v>
      </c>
      <c r="K69" s="8">
        <f t="shared" si="72"/>
        <v>3058189.4874641835</v>
      </c>
      <c r="L69" s="8">
        <f t="shared" si="72"/>
        <v>2994477.2064753463</v>
      </c>
      <c r="M69" s="8">
        <f t="shared" si="72"/>
        <v>2930764.9254865092</v>
      </c>
      <c r="N69" s="8">
        <f t="shared" si="72"/>
        <v>2867052.6444976721</v>
      </c>
      <c r="O69" s="8">
        <f t="shared" si="72"/>
        <v>2803340.363508835</v>
      </c>
      <c r="P69" s="8">
        <f t="shared" si="72"/>
        <v>2739628.0825199978</v>
      </c>
      <c r="Q69" s="8">
        <f t="shared" si="72"/>
        <v>2675915.8015311607</v>
      </c>
      <c r="R69" s="8">
        <f t="shared" si="72"/>
        <v>2612203.5205423236</v>
      </c>
      <c r="S69" s="8">
        <f t="shared" si="72"/>
        <v>2548491.2395534865</v>
      </c>
      <c r="T69" s="8">
        <f t="shared" si="72"/>
        <v>2484778.9585646493</v>
      </c>
      <c r="U69" s="8">
        <f t="shared" si="72"/>
        <v>2421066.6775758122</v>
      </c>
      <c r="V69" s="8">
        <f t="shared" si="72"/>
        <v>2357354.3965869751</v>
      </c>
      <c r="W69" s="8">
        <f t="shared" si="72"/>
        <v>2293642.115598138</v>
      </c>
      <c r="X69" s="8">
        <f t="shared" si="72"/>
        <v>2229929.8346093008</v>
      </c>
      <c r="Y69" s="8">
        <f t="shared" si="72"/>
        <v>2166217.5536204637</v>
      </c>
      <c r="Z69" s="8">
        <f t="shared" si="72"/>
        <v>2102505.2726316266</v>
      </c>
      <c r="AA69" s="8">
        <f t="shared" si="72"/>
        <v>2038792.9916427892</v>
      </c>
      <c r="AB69" s="8">
        <f t="shared" si="72"/>
        <v>1975080.7106539521</v>
      </c>
      <c r="AC69" s="8">
        <f t="shared" si="72"/>
        <v>1911368.429665115</v>
      </c>
      <c r="AD69" s="8">
        <f t="shared" si="72"/>
        <v>1847656.1486762778</v>
      </c>
      <c r="AE69" s="8">
        <f t="shared" si="72"/>
        <v>1783943.8676874407</v>
      </c>
      <c r="AF69" s="8">
        <f t="shared" si="72"/>
        <v>1720231.5866986036</v>
      </c>
      <c r="AG69" s="8">
        <f t="shared" si="72"/>
        <v>1656519.3057097665</v>
      </c>
      <c r="AH69" s="8">
        <f t="shared" si="72"/>
        <v>1592807.0247209293</v>
      </c>
      <c r="AI69" s="8">
        <f t="shared" si="72"/>
        <v>1529094.7437320922</v>
      </c>
      <c r="AJ69" s="8">
        <f t="shared" si="72"/>
        <v>1465382.4627432551</v>
      </c>
      <c r="AK69" s="8">
        <f t="shared" si="72"/>
        <v>1401670.181754418</v>
      </c>
      <c r="AL69" s="8">
        <f t="shared" si="72"/>
        <v>1337957.9007655808</v>
      </c>
      <c r="AM69" s="8">
        <f t="shared" si="72"/>
        <v>1274245.6197767437</v>
      </c>
      <c r="AN69" s="8">
        <f t="shared" si="72"/>
        <v>1210533.3387879066</v>
      </c>
      <c r="AO69" s="8">
        <f t="shared" si="72"/>
        <v>1146821.0577990694</v>
      </c>
      <c r="AP69" s="8">
        <f t="shared" si="72"/>
        <v>1083108.7768102321</v>
      </c>
      <c r="AQ69" s="8">
        <f t="shared" si="72"/>
        <v>1019396.495821395</v>
      </c>
      <c r="AR69" s="8">
        <f t="shared" si="72"/>
        <v>955684.21483255783</v>
      </c>
      <c r="AS69" s="8">
        <f t="shared" si="72"/>
        <v>891971.9338437207</v>
      </c>
      <c r="AT69" s="8">
        <f t="shared" si="72"/>
        <v>828259.65285488358</v>
      </c>
      <c r="AU69" s="8">
        <f t="shared" si="72"/>
        <v>764547.37186604645</v>
      </c>
      <c r="AV69" s="8">
        <f t="shared" si="72"/>
        <v>700835.09087720932</v>
      </c>
      <c r="AW69" s="8">
        <f t="shared" si="72"/>
        <v>637122.8098883722</v>
      </c>
      <c r="AX69" s="8">
        <f t="shared" si="72"/>
        <v>573410.52889953507</v>
      </c>
      <c r="AY69" s="8">
        <f t="shared" si="72"/>
        <v>509698.24791069794</v>
      </c>
      <c r="AZ69" s="8">
        <f t="shared" si="72"/>
        <v>445985.96692186082</v>
      </c>
      <c r="BA69" s="8">
        <f t="shared" si="72"/>
        <v>382273.68593302369</v>
      </c>
      <c r="BB69" s="8">
        <f t="shared" si="72"/>
        <v>318561.40494418656</v>
      </c>
      <c r="BC69" s="8">
        <f t="shared" si="72"/>
        <v>254849.12395534944</v>
      </c>
      <c r="BD69" s="8">
        <f t="shared" si="72"/>
        <v>191136.84296651231</v>
      </c>
      <c r="BE69" s="8">
        <f t="shared" si="72"/>
        <v>127424.56197767518</v>
      </c>
      <c r="BF69" s="8">
        <f t="shared" si="72"/>
        <v>63712.280988838058</v>
      </c>
      <c r="BG69" s="8">
        <f t="shared" si="72"/>
        <v>0</v>
      </c>
      <c r="BH69" s="8">
        <f t="shared" si="72"/>
        <v>0</v>
      </c>
      <c r="BI69" s="8">
        <f t="shared" si="72"/>
        <v>0</v>
      </c>
      <c r="BJ69" s="8">
        <f t="shared" si="72"/>
        <v>0</v>
      </c>
      <c r="BK69" s="8">
        <f t="shared" si="72"/>
        <v>0</v>
      </c>
      <c r="BL69" s="8">
        <f t="shared" si="72"/>
        <v>0</v>
      </c>
      <c r="BM69" s="8">
        <f t="shared" si="72"/>
        <v>0</v>
      </c>
      <c r="BN69" s="8">
        <f t="shared" si="72"/>
        <v>0</v>
      </c>
      <c r="BO69" s="8">
        <f t="shared" si="72"/>
        <v>0</v>
      </c>
      <c r="BP69" s="8">
        <f t="shared" si="72"/>
        <v>0</v>
      </c>
      <c r="BQ69" s="8">
        <f t="shared" si="72"/>
        <v>0</v>
      </c>
      <c r="BR69" s="8">
        <f t="shared" si="72"/>
        <v>0</v>
      </c>
      <c r="BS69" s="8">
        <f t="shared" si="72"/>
        <v>0</v>
      </c>
      <c r="BT69" s="8">
        <f t="shared" si="72"/>
        <v>0</v>
      </c>
      <c r="BU69" s="8">
        <f t="shared" si="72"/>
        <v>0</v>
      </c>
      <c r="BV69" s="8">
        <f t="shared" ref="BV69:DA69" si="73">BU70</f>
        <v>0</v>
      </c>
      <c r="BW69" s="8">
        <f t="shared" si="73"/>
        <v>0</v>
      </c>
      <c r="BX69" s="8">
        <f t="shared" si="73"/>
        <v>0</v>
      </c>
      <c r="BY69" s="8">
        <f t="shared" si="73"/>
        <v>0</v>
      </c>
      <c r="BZ69" s="8">
        <f t="shared" si="73"/>
        <v>0</v>
      </c>
      <c r="CA69" s="8">
        <f t="shared" si="73"/>
        <v>0</v>
      </c>
      <c r="CB69" s="8">
        <f t="shared" si="73"/>
        <v>0</v>
      </c>
      <c r="CC69" s="8">
        <f t="shared" si="73"/>
        <v>0</v>
      </c>
      <c r="CD69" s="8">
        <f t="shared" si="73"/>
        <v>0</v>
      </c>
      <c r="CE69" s="8">
        <f t="shared" si="73"/>
        <v>0</v>
      </c>
      <c r="CF69" s="8">
        <f t="shared" si="73"/>
        <v>0</v>
      </c>
      <c r="CG69" s="8">
        <f t="shared" si="73"/>
        <v>0</v>
      </c>
      <c r="CH69" s="8">
        <f t="shared" si="73"/>
        <v>0</v>
      </c>
      <c r="CI69" s="8">
        <f t="shared" si="73"/>
        <v>0</v>
      </c>
      <c r="CJ69" s="8">
        <f t="shared" si="73"/>
        <v>0</v>
      </c>
      <c r="CK69" s="8">
        <f t="shared" si="73"/>
        <v>0</v>
      </c>
      <c r="CL69" s="8">
        <f t="shared" si="73"/>
        <v>0</v>
      </c>
      <c r="CM69" s="8">
        <f t="shared" si="73"/>
        <v>0</v>
      </c>
      <c r="CN69" s="8">
        <f t="shared" si="73"/>
        <v>0</v>
      </c>
      <c r="CO69" s="8">
        <f t="shared" si="73"/>
        <v>0</v>
      </c>
      <c r="CP69" s="8">
        <f t="shared" si="73"/>
        <v>0</v>
      </c>
      <c r="CQ69" s="8">
        <f t="shared" si="73"/>
        <v>0</v>
      </c>
      <c r="CR69" s="8">
        <f t="shared" si="73"/>
        <v>0</v>
      </c>
      <c r="CS69" s="8">
        <f t="shared" si="73"/>
        <v>0</v>
      </c>
      <c r="CT69" s="8">
        <f t="shared" si="73"/>
        <v>0</v>
      </c>
      <c r="CU69" s="8">
        <f t="shared" si="73"/>
        <v>0</v>
      </c>
      <c r="CV69" s="8">
        <f t="shared" si="73"/>
        <v>0</v>
      </c>
      <c r="CW69" s="8">
        <f t="shared" si="73"/>
        <v>0</v>
      </c>
      <c r="CX69" s="8">
        <f t="shared" si="73"/>
        <v>0</v>
      </c>
      <c r="CY69" s="8">
        <f t="shared" si="73"/>
        <v>0</v>
      </c>
      <c r="CZ69" s="8">
        <f t="shared" si="73"/>
        <v>0</v>
      </c>
      <c r="DA69" s="8">
        <f t="shared" si="73"/>
        <v>0</v>
      </c>
    </row>
    <row r="70" spans="3:105" x14ac:dyDescent="0.4">
      <c r="D70" t="s">
        <v>168</v>
      </c>
      <c r="H70" s="8">
        <f>H67+H68</f>
        <v>3185614.0494418577</v>
      </c>
      <c r="I70" s="8">
        <f>I67+I68</f>
        <v>3121901.7684530206</v>
      </c>
      <c r="J70" s="8">
        <f t="shared" ref="J70:BU70" si="74">J67+J68</f>
        <v>3058189.4874641835</v>
      </c>
      <c r="K70" s="8">
        <f t="shared" si="74"/>
        <v>2994477.2064753463</v>
      </c>
      <c r="L70" s="8">
        <f t="shared" si="74"/>
        <v>2930764.9254865092</v>
      </c>
      <c r="M70" s="8">
        <f t="shared" si="74"/>
        <v>2867052.6444976721</v>
      </c>
      <c r="N70" s="8">
        <f t="shared" si="74"/>
        <v>2803340.363508835</v>
      </c>
      <c r="O70" s="8">
        <f t="shared" si="74"/>
        <v>2739628.0825199978</v>
      </c>
      <c r="P70" s="8">
        <f t="shared" si="74"/>
        <v>2675915.8015311607</v>
      </c>
      <c r="Q70" s="8">
        <f t="shared" si="74"/>
        <v>2612203.5205423236</v>
      </c>
      <c r="R70" s="8">
        <f t="shared" si="74"/>
        <v>2548491.2395534865</v>
      </c>
      <c r="S70" s="8">
        <f t="shared" si="74"/>
        <v>2484778.9585646493</v>
      </c>
      <c r="T70" s="8">
        <f t="shared" si="74"/>
        <v>2421066.6775758122</v>
      </c>
      <c r="U70" s="8">
        <f t="shared" si="74"/>
        <v>2357354.3965869751</v>
      </c>
      <c r="V70" s="8">
        <f t="shared" si="74"/>
        <v>2293642.115598138</v>
      </c>
      <c r="W70" s="8">
        <f t="shared" si="74"/>
        <v>2229929.8346093008</v>
      </c>
      <c r="X70" s="8">
        <f t="shared" si="74"/>
        <v>2166217.5536204637</v>
      </c>
      <c r="Y70" s="8">
        <f t="shared" si="74"/>
        <v>2102505.2726316266</v>
      </c>
      <c r="Z70" s="8">
        <f t="shared" si="74"/>
        <v>2038792.9916427892</v>
      </c>
      <c r="AA70" s="8">
        <f t="shared" si="74"/>
        <v>1975080.7106539521</v>
      </c>
      <c r="AB70" s="8">
        <f t="shared" si="74"/>
        <v>1911368.429665115</v>
      </c>
      <c r="AC70" s="8">
        <f t="shared" si="74"/>
        <v>1847656.1486762778</v>
      </c>
      <c r="AD70" s="8">
        <f t="shared" si="74"/>
        <v>1783943.8676874407</v>
      </c>
      <c r="AE70" s="8">
        <f t="shared" si="74"/>
        <v>1720231.5866986036</v>
      </c>
      <c r="AF70" s="8">
        <f t="shared" si="74"/>
        <v>1656519.3057097665</v>
      </c>
      <c r="AG70" s="8">
        <f t="shared" si="74"/>
        <v>1592807.0247209293</v>
      </c>
      <c r="AH70" s="8">
        <f t="shared" si="74"/>
        <v>1529094.7437320922</v>
      </c>
      <c r="AI70" s="8">
        <f t="shared" si="74"/>
        <v>1465382.4627432551</v>
      </c>
      <c r="AJ70" s="8">
        <f t="shared" si="74"/>
        <v>1401670.181754418</v>
      </c>
      <c r="AK70" s="8">
        <f t="shared" si="74"/>
        <v>1337957.9007655808</v>
      </c>
      <c r="AL70" s="8">
        <f t="shared" si="74"/>
        <v>1274245.6197767437</v>
      </c>
      <c r="AM70" s="8">
        <f t="shared" si="74"/>
        <v>1210533.3387879066</v>
      </c>
      <c r="AN70" s="8">
        <f t="shared" si="74"/>
        <v>1146821.0577990694</v>
      </c>
      <c r="AO70" s="8">
        <f t="shared" si="74"/>
        <v>1083108.7768102321</v>
      </c>
      <c r="AP70" s="8">
        <f t="shared" si="74"/>
        <v>1019396.495821395</v>
      </c>
      <c r="AQ70" s="8">
        <f t="shared" si="74"/>
        <v>955684.21483255783</v>
      </c>
      <c r="AR70" s="8">
        <f t="shared" si="74"/>
        <v>891971.9338437207</v>
      </c>
      <c r="AS70" s="8">
        <f t="shared" si="74"/>
        <v>828259.65285488358</v>
      </c>
      <c r="AT70" s="8">
        <f t="shared" si="74"/>
        <v>764547.37186604645</v>
      </c>
      <c r="AU70" s="8">
        <f t="shared" si="74"/>
        <v>700835.09087720932</v>
      </c>
      <c r="AV70" s="8">
        <f t="shared" si="74"/>
        <v>637122.8098883722</v>
      </c>
      <c r="AW70" s="8">
        <f t="shared" si="74"/>
        <v>573410.52889953507</v>
      </c>
      <c r="AX70" s="8">
        <f t="shared" si="74"/>
        <v>509698.24791069794</v>
      </c>
      <c r="AY70" s="8">
        <f t="shared" si="74"/>
        <v>445985.96692186082</v>
      </c>
      <c r="AZ70" s="8">
        <f t="shared" si="74"/>
        <v>382273.68593302369</v>
      </c>
      <c r="BA70" s="8">
        <f t="shared" si="74"/>
        <v>318561.40494418656</v>
      </c>
      <c r="BB70" s="8">
        <f t="shared" si="74"/>
        <v>254849.12395534944</v>
      </c>
      <c r="BC70" s="8">
        <f t="shared" si="74"/>
        <v>191136.84296651231</v>
      </c>
      <c r="BD70" s="8">
        <f t="shared" si="74"/>
        <v>127424.56197767518</v>
      </c>
      <c r="BE70" s="8">
        <f t="shared" si="74"/>
        <v>63712.280988838058</v>
      </c>
      <c r="BF70" s="8">
        <f t="shared" si="74"/>
        <v>0</v>
      </c>
      <c r="BG70" s="8">
        <f t="shared" si="74"/>
        <v>0</v>
      </c>
      <c r="BH70" s="8">
        <f t="shared" si="74"/>
        <v>0</v>
      </c>
      <c r="BI70" s="8">
        <f t="shared" si="74"/>
        <v>0</v>
      </c>
      <c r="BJ70" s="8">
        <f t="shared" si="74"/>
        <v>0</v>
      </c>
      <c r="BK70" s="8">
        <f t="shared" si="74"/>
        <v>0</v>
      </c>
      <c r="BL70" s="8">
        <f t="shared" si="74"/>
        <v>0</v>
      </c>
      <c r="BM70" s="8">
        <f t="shared" si="74"/>
        <v>0</v>
      </c>
      <c r="BN70" s="8">
        <f t="shared" si="74"/>
        <v>0</v>
      </c>
      <c r="BO70" s="8">
        <f t="shared" si="74"/>
        <v>0</v>
      </c>
      <c r="BP70" s="8">
        <f t="shared" si="74"/>
        <v>0</v>
      </c>
      <c r="BQ70" s="8">
        <f t="shared" si="74"/>
        <v>0</v>
      </c>
      <c r="BR70" s="8">
        <f t="shared" si="74"/>
        <v>0</v>
      </c>
      <c r="BS70" s="8">
        <f t="shared" si="74"/>
        <v>0</v>
      </c>
      <c r="BT70" s="8">
        <f t="shared" si="74"/>
        <v>0</v>
      </c>
      <c r="BU70" s="8">
        <f t="shared" si="74"/>
        <v>0</v>
      </c>
      <c r="BV70" s="8">
        <f t="shared" ref="BV70:DA70" si="75">BV67+BV68</f>
        <v>0</v>
      </c>
      <c r="BW70" s="8">
        <f t="shared" si="75"/>
        <v>0</v>
      </c>
      <c r="BX70" s="8">
        <f t="shared" si="75"/>
        <v>0</v>
      </c>
      <c r="BY70" s="8">
        <f t="shared" si="75"/>
        <v>0</v>
      </c>
      <c r="BZ70" s="8">
        <f t="shared" si="75"/>
        <v>0</v>
      </c>
      <c r="CA70" s="8">
        <f t="shared" si="75"/>
        <v>0</v>
      </c>
      <c r="CB70" s="8">
        <f t="shared" si="75"/>
        <v>0</v>
      </c>
      <c r="CC70" s="8">
        <f t="shared" si="75"/>
        <v>0</v>
      </c>
      <c r="CD70" s="8">
        <f t="shared" si="75"/>
        <v>0</v>
      </c>
      <c r="CE70" s="8">
        <f t="shared" si="75"/>
        <v>0</v>
      </c>
      <c r="CF70" s="8">
        <f t="shared" si="75"/>
        <v>0</v>
      </c>
      <c r="CG70" s="8">
        <f t="shared" si="75"/>
        <v>0</v>
      </c>
      <c r="CH70" s="8">
        <f t="shared" si="75"/>
        <v>0</v>
      </c>
      <c r="CI70" s="8">
        <f t="shared" si="75"/>
        <v>0</v>
      </c>
      <c r="CJ70" s="8">
        <f t="shared" si="75"/>
        <v>0</v>
      </c>
      <c r="CK70" s="8">
        <f t="shared" si="75"/>
        <v>0</v>
      </c>
      <c r="CL70" s="8">
        <f t="shared" si="75"/>
        <v>0</v>
      </c>
      <c r="CM70" s="8">
        <f t="shared" si="75"/>
        <v>0</v>
      </c>
      <c r="CN70" s="8">
        <f t="shared" si="75"/>
        <v>0</v>
      </c>
      <c r="CO70" s="8">
        <f t="shared" si="75"/>
        <v>0</v>
      </c>
      <c r="CP70" s="8">
        <f t="shared" si="75"/>
        <v>0</v>
      </c>
      <c r="CQ70" s="8">
        <f t="shared" si="75"/>
        <v>0</v>
      </c>
      <c r="CR70" s="8">
        <f t="shared" si="75"/>
        <v>0</v>
      </c>
      <c r="CS70" s="8">
        <f t="shared" si="75"/>
        <v>0</v>
      </c>
      <c r="CT70" s="8">
        <f t="shared" si="75"/>
        <v>0</v>
      </c>
      <c r="CU70" s="8">
        <f t="shared" si="75"/>
        <v>0</v>
      </c>
      <c r="CV70" s="8">
        <f t="shared" si="75"/>
        <v>0</v>
      </c>
      <c r="CW70" s="8">
        <f t="shared" si="75"/>
        <v>0</v>
      </c>
      <c r="CX70" s="8">
        <f t="shared" si="75"/>
        <v>0</v>
      </c>
      <c r="CY70" s="8">
        <f t="shared" si="75"/>
        <v>0</v>
      </c>
      <c r="CZ70" s="8">
        <f t="shared" si="75"/>
        <v>0</v>
      </c>
      <c r="DA70" s="8">
        <f t="shared" si="75"/>
        <v>0</v>
      </c>
    </row>
    <row r="71" spans="3:105" x14ac:dyDescent="0.4"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</row>
    <row r="72" spans="3:105" x14ac:dyDescent="0.4">
      <c r="D72" t="s">
        <v>169</v>
      </c>
      <c r="H72" s="8"/>
      <c r="I72" s="8">
        <f>IF(I64&lt;=$B$4+1,I67*VLOOKUP(I64,Assumptions!$A$70:$B$90,2,0),0)</f>
        <v>119460.52685406966</v>
      </c>
      <c r="J72" s="8">
        <f>IF(J64&lt;=$B$4+1,J67*VLOOKUP(J64,Assumptions!$A$70:$B$90,2,0),0)</f>
        <v>229969.47822920771</v>
      </c>
      <c r="K72" s="8">
        <f>IF(K64&lt;=$B$4+1,K67*VLOOKUP(K64,Assumptions!$A$70:$B$90,2,0),0)</f>
        <v>212703.45008123282</v>
      </c>
      <c r="L72" s="8">
        <f>IF(L64&lt;=$B$4+1,L67*VLOOKUP(L64,Assumptions!$A$70:$B$90,2,0),0)</f>
        <v>196775.37983402354</v>
      </c>
      <c r="M72" s="8">
        <f>IF(M64&lt;=$B$4+1,M67*VLOOKUP(M64,Assumptions!$A$70:$B$90,2,0),0)</f>
        <v>181994.13064461332</v>
      </c>
      <c r="N72" s="8">
        <f>IF(N64&lt;=$B$4+1,N67*VLOOKUP(N64,Assumptions!$A$70:$B$90,2,0),0)</f>
        <v>168359.70251300218</v>
      </c>
      <c r="O72" s="8">
        <f>IF(O64&lt;=$B$4+1,O67*VLOOKUP(O64,Assumptions!$A$70:$B$90,2,0),0)</f>
        <v>155712.81473671799</v>
      </c>
      <c r="P72" s="8">
        <f>IF(P64&lt;=$B$4+1,P67*VLOOKUP(P64,Assumptions!$A$70:$B$90,2,0),0)</f>
        <v>144053.46731576082</v>
      </c>
      <c r="Q72" s="8">
        <f>IF(Q64&lt;=$B$4+1,Q67*VLOOKUP(Q64,Assumptions!$A$70:$B$90,2,0),0)</f>
        <v>142142.09888609569</v>
      </c>
      <c r="R72" s="8">
        <f>IF(R64&lt;=$B$4+1,R67*VLOOKUP(R64,Assumptions!$A$70:$B$90,2,0),0)</f>
        <v>142110.24274560125</v>
      </c>
      <c r="S72" s="8">
        <f>IF(S64&lt;=$B$4+1,S67*VLOOKUP(S64,Assumptions!$A$70:$B$90,2,0),0)</f>
        <v>142142.09888609569</v>
      </c>
      <c r="T72" s="8">
        <f>IF(T64&lt;=$B$4+1,T67*VLOOKUP(T64,Assumptions!$A$70:$B$90,2,0),0)</f>
        <v>142110.24274560125</v>
      </c>
      <c r="U72" s="8">
        <f>IF(U64&lt;=$B$4+1,U67*VLOOKUP(U64,Assumptions!$A$70:$B$90,2,0),0)</f>
        <v>142142.09888609569</v>
      </c>
      <c r="V72" s="8">
        <f>IF(V64&lt;=$B$4+1,V67*VLOOKUP(V64,Assumptions!$A$70:$B$90,2,0),0)</f>
        <v>142110.24274560125</v>
      </c>
      <c r="W72" s="8">
        <f>IF(W64&lt;=$B$4+1,W67*VLOOKUP(W64,Assumptions!$A$70:$B$90,2,0),0)</f>
        <v>142142.09888609569</v>
      </c>
      <c r="X72" s="8">
        <f>IF(X64&lt;=$B$4+1,X67*VLOOKUP(X64,Assumptions!$A$70:$B$90,2,0),0)</f>
        <v>142110.24274560125</v>
      </c>
      <c r="Y72" s="8">
        <f>IF(Y64&lt;=$B$4+1,Y67*VLOOKUP(Y64,Assumptions!$A$70:$B$90,2,0),0)</f>
        <v>142142.09888609569</v>
      </c>
      <c r="Z72" s="8">
        <f>IF(Z64&lt;=$B$4+1,Z67*VLOOKUP(Z64,Assumptions!$A$70:$B$90,2,0),0)</f>
        <v>142110.24274560125</v>
      </c>
      <c r="AA72" s="8">
        <f>IF(AA64&lt;=$B$4+1,AA67*VLOOKUP(AA64,Assumptions!$A$70:$B$90,2,0),0)</f>
        <v>142142.09888609569</v>
      </c>
      <c r="AB72" s="8">
        <f>IF(AB64&lt;=$B$4+1,AB67*VLOOKUP(AB64,Assumptions!$A$70:$B$90,2,0),0)</f>
        <v>142110.24274560125</v>
      </c>
      <c r="AC72" s="8">
        <f>IF(AC64&lt;=$B$4+1,AC67*VLOOKUP(AC64,Assumptions!$A$70:$B$90,2,0),0)</f>
        <v>71071.049443047843</v>
      </c>
      <c r="AD72" s="8">
        <f>IF(AD64&lt;=$B$4+1,AD67*VLOOKUP(AD64,Assumptions!$A$70:$B$90,2,0),0)</f>
        <v>0</v>
      </c>
      <c r="AE72" s="8">
        <f>IF(AE64&lt;=$B$4+1,AE67*VLOOKUP(AE64,Assumptions!$A$70:$B$90,2,0),0)</f>
        <v>0</v>
      </c>
      <c r="AF72" s="8">
        <f>IF(AF64&lt;=$B$4+1,AF67*VLOOKUP(AF64,Assumptions!$A$70:$B$90,2,0),0)</f>
        <v>0</v>
      </c>
      <c r="AG72" s="8">
        <f>IF(AG64&lt;=$B$4+1,AG67*VLOOKUP(AG64,Assumptions!$A$70:$B$90,2,0),0)</f>
        <v>0</v>
      </c>
      <c r="AH72" s="8">
        <f>IF(AH64&lt;=$B$4+1,AH67*VLOOKUP(AH64,Assumptions!$A$70:$B$90,2,0),0)</f>
        <v>0</v>
      </c>
      <c r="AI72" s="8">
        <f>IF(AI64&lt;=$B$4+1,AI67*VLOOKUP(AI64,Assumptions!$A$70:$B$90,2,0),0)</f>
        <v>0</v>
      </c>
      <c r="AJ72" s="8">
        <f>IF(AJ64&lt;=$B$4+1,AJ67*VLOOKUP(AJ64,Assumptions!$A$70:$B$90,2,0),0)</f>
        <v>0</v>
      </c>
      <c r="AK72" s="8">
        <f>IF(AK64&lt;=$B$4+1,AK67*VLOOKUP(AK64,Assumptions!$A$70:$B$90,2,0),0)</f>
        <v>0</v>
      </c>
      <c r="AL72" s="8">
        <f>IF(AL64&lt;=$B$4+1,AL67*VLOOKUP(AL64,Assumptions!$A$70:$B$90,2,0),0)</f>
        <v>0</v>
      </c>
      <c r="AM72" s="8">
        <f>IF(AM64&lt;=$B$4+1,AM67*VLOOKUP(AM64,Assumptions!$A$70:$B$90,2,0),0)</f>
        <v>0</v>
      </c>
      <c r="AN72" s="8">
        <f>IF(AN64&lt;=$B$4+1,AN67*VLOOKUP(AN64,Assumptions!$A$70:$B$90,2,0),0)</f>
        <v>0</v>
      </c>
      <c r="AO72" s="8">
        <f>IF(AO64&lt;=$B$4+1,AO67*VLOOKUP(AO64,Assumptions!$A$70:$B$90,2,0),0)</f>
        <v>0</v>
      </c>
      <c r="AP72" s="8">
        <f>IF(AP64&lt;=$B$4+1,AP67*VLOOKUP(AP64,Assumptions!$A$70:$B$90,2,0),0)</f>
        <v>0</v>
      </c>
      <c r="AQ72" s="8">
        <f>IF(AQ64&lt;=$B$4+1,AQ67*VLOOKUP(AQ64,Assumptions!$A$70:$B$90,2,0),0)</f>
        <v>0</v>
      </c>
      <c r="AR72" s="8">
        <f>IF(AR64&lt;=$B$4+1,AR67*VLOOKUP(AR64,Assumptions!$A$70:$B$90,2,0),0)</f>
        <v>0</v>
      </c>
      <c r="AS72" s="8">
        <f>IF(AS64&lt;=$B$4+1,AS67*VLOOKUP(AS64,Assumptions!$A$70:$B$90,2,0),0)</f>
        <v>0</v>
      </c>
      <c r="AT72" s="8">
        <f>IF(AT64&lt;=$B$4+1,AT67*VLOOKUP(AT64,Assumptions!$A$70:$B$90,2,0),0)</f>
        <v>0</v>
      </c>
      <c r="AU72" s="8">
        <f>IF(AU64&lt;=$B$4+1,AU67*VLOOKUP(AU64,Assumptions!$A$70:$B$90,2,0),0)</f>
        <v>0</v>
      </c>
      <c r="AV72" s="8">
        <f>IF(AV64&lt;=$B$4+1,AV67*VLOOKUP(AV64,Assumptions!$A$70:$B$90,2,0),0)</f>
        <v>0</v>
      </c>
      <c r="AW72" s="8">
        <f>IF(AW64&lt;=$B$4+1,AW67*VLOOKUP(AW64,Assumptions!$A$70:$B$90,2,0),0)</f>
        <v>0</v>
      </c>
      <c r="AX72" s="8">
        <f>IF(AX64&lt;=$B$4+1,AX67*VLOOKUP(AX64,Assumptions!$A$70:$B$90,2,0),0)</f>
        <v>0</v>
      </c>
      <c r="AY72" s="8">
        <f>IF(AY64&lt;=$B$4+1,AY67*VLOOKUP(AY64,Assumptions!$A$70:$B$90,2,0),0)</f>
        <v>0</v>
      </c>
      <c r="AZ72" s="8">
        <f>IF(AZ64&lt;=$B$4+1,AZ67*VLOOKUP(AZ64,Assumptions!$A$70:$B$90,2,0),0)</f>
        <v>0</v>
      </c>
      <c r="BA72" s="8">
        <f>IF(BA64&lt;=$B$4+1,BA67*VLOOKUP(BA64,Assumptions!$A$70:$B$90,2,0),0)</f>
        <v>0</v>
      </c>
      <c r="BB72" s="8">
        <f>IF(BB64&lt;=$B$4+1,BB67*VLOOKUP(BB64,Assumptions!$A$70:$B$90,2,0),0)</f>
        <v>0</v>
      </c>
      <c r="BC72" s="8">
        <f>IF(BC64&lt;=$B$4+1,BC67*VLOOKUP(BC64,Assumptions!$A$70:$B$90,2,0),0)</f>
        <v>0</v>
      </c>
      <c r="BD72" s="8">
        <f>IF(BD64&lt;=$B$4+1,BD67*VLOOKUP(BD64,Assumptions!$A$70:$B$90,2,0),0)</f>
        <v>0</v>
      </c>
      <c r="BE72" s="8">
        <f>IF(BE64&lt;=$B$4+1,BE67*VLOOKUP(BE64,Assumptions!$A$70:$B$90,2,0),0)</f>
        <v>0</v>
      </c>
      <c r="BF72" s="8">
        <f>IF(BF64&lt;=$B$4+1,BF67*VLOOKUP(BF64,Assumptions!$A$70:$B$90,2,0),0)</f>
        <v>0</v>
      </c>
      <c r="BG72" s="8">
        <f>IF(BG64&lt;=$B$4+1,BG67*VLOOKUP(BG64,Assumptions!$A$70:$B$90,2,0),0)</f>
        <v>0</v>
      </c>
      <c r="BH72" s="8">
        <f>IF(BH64&lt;=$B$4+1,BH67*VLOOKUP(BH64,Assumptions!$A$70:$B$90,2,0),0)</f>
        <v>0</v>
      </c>
      <c r="BI72" s="8">
        <f>IF(BI64&lt;=$B$4+1,BI67*VLOOKUP(BI64,Assumptions!$A$70:$B$90,2,0),0)</f>
        <v>0</v>
      </c>
      <c r="BJ72" s="8">
        <f>IF(BJ64&lt;=$B$4+1,BJ67*VLOOKUP(BJ64,Assumptions!$A$70:$B$90,2,0),0)</f>
        <v>0</v>
      </c>
      <c r="BK72" s="8">
        <f>IF(BK64&lt;=$B$4+1,BK67*VLOOKUP(BK64,Assumptions!$A$70:$B$90,2,0),0)</f>
        <v>0</v>
      </c>
      <c r="BL72" s="8">
        <f>IF(BL64&lt;=$B$4+1,BL67*VLOOKUP(BL64,Assumptions!$A$70:$B$90,2,0),0)</f>
        <v>0</v>
      </c>
      <c r="BM72" s="8">
        <f>IF(BM64&lt;=$B$4+1,BM67*VLOOKUP(BM64,Assumptions!$A$70:$B$90,2,0),0)</f>
        <v>0</v>
      </c>
      <c r="BN72" s="8">
        <f>IF(BN64&lt;=$B$4+1,BN67*VLOOKUP(BN64,Assumptions!$A$70:$B$90,2,0),0)</f>
        <v>0</v>
      </c>
      <c r="BO72" s="8">
        <f>IF(BO64&lt;=$B$4+1,BO67*VLOOKUP(BO64,Assumptions!$A$70:$B$90,2,0),0)</f>
        <v>0</v>
      </c>
      <c r="BP72" s="8">
        <f>IF(BP64&lt;=$B$4+1,BP67*VLOOKUP(BP64,Assumptions!$A$70:$B$90,2,0),0)</f>
        <v>0</v>
      </c>
      <c r="BQ72" s="8">
        <f>IF(BQ64&lt;=$B$4+1,BQ67*VLOOKUP(BQ64,Assumptions!$A$70:$B$90,2,0),0)</f>
        <v>0</v>
      </c>
      <c r="BR72" s="8">
        <f>IF(BR64&lt;=$B$4+1,BR67*VLOOKUP(BR64,Assumptions!$A$70:$B$90,2,0),0)</f>
        <v>0</v>
      </c>
      <c r="BS72" s="8">
        <f>IF(BS64&lt;=$B$4+1,BS67*VLOOKUP(BS64,Assumptions!$A$70:$B$90,2,0),0)</f>
        <v>0</v>
      </c>
      <c r="BT72" s="8">
        <f>IF(BT64&lt;=$B$4+1,BT67*VLOOKUP(BT64,Assumptions!$A$70:$B$90,2,0),0)</f>
        <v>0</v>
      </c>
      <c r="BU72" s="8">
        <f>IF(BU64&lt;=$B$4+1,BU67*VLOOKUP(BU64,Assumptions!$A$70:$B$90,2,0),0)</f>
        <v>0</v>
      </c>
      <c r="BV72" s="8">
        <f>IF(BV64&lt;=$B$4+1,BV67*VLOOKUP(BV64,Assumptions!$A$70:$B$90,2,0),0)</f>
        <v>0</v>
      </c>
      <c r="BW72" s="8">
        <f>IF(BW64&lt;=$B$4+1,BW67*VLOOKUP(BW64,Assumptions!$A$70:$B$90,2,0),0)</f>
        <v>0</v>
      </c>
      <c r="BX72" s="8">
        <f>IF(BX64&lt;=$B$4+1,BX67*VLOOKUP(BX64,Assumptions!$A$70:$B$90,2,0),0)</f>
        <v>0</v>
      </c>
      <c r="BY72" s="8">
        <f>IF(BY64&lt;=$B$4+1,BY67*VLOOKUP(BY64,Assumptions!$A$70:$B$90,2,0),0)</f>
        <v>0</v>
      </c>
      <c r="BZ72" s="8">
        <f>IF(BZ64&lt;=$B$4+1,BZ67*VLOOKUP(BZ64,Assumptions!$A$70:$B$90,2,0),0)</f>
        <v>0</v>
      </c>
      <c r="CA72" s="8">
        <f>IF(CA64&lt;=$B$4+1,CA67*VLOOKUP(CA64,Assumptions!$A$70:$B$90,2,0),0)</f>
        <v>0</v>
      </c>
      <c r="CB72" s="8">
        <f>IF(CB64&lt;=$B$4+1,CB67*VLOOKUP(CB64,Assumptions!$A$70:$B$90,2,0),0)</f>
        <v>0</v>
      </c>
      <c r="CC72" s="8">
        <f>IF(CC64&lt;=$B$4+1,CC67*VLOOKUP(CC64,Assumptions!$A$70:$B$90,2,0),0)</f>
        <v>0</v>
      </c>
      <c r="CD72" s="8">
        <f>IF(CD64&lt;=$B$4+1,CD67*VLOOKUP(CD64,Assumptions!$A$70:$B$90,2,0),0)</f>
        <v>0</v>
      </c>
      <c r="CE72" s="8">
        <f>IF(CE64&lt;=$B$4+1,CE67*VLOOKUP(CE64,Assumptions!$A$70:$B$90,2,0),0)</f>
        <v>0</v>
      </c>
      <c r="CF72" s="8">
        <f>IF(CF64&lt;=$B$4+1,CF67*VLOOKUP(CF64,Assumptions!$A$70:$B$90,2,0),0)</f>
        <v>0</v>
      </c>
      <c r="CG72" s="8">
        <f>IF(CG64&lt;=$B$4+1,CG67*VLOOKUP(CG64,Assumptions!$A$70:$B$90,2,0),0)</f>
        <v>0</v>
      </c>
      <c r="CH72" s="8">
        <f>IF(CH64&lt;=$B$4+1,CH67*VLOOKUP(CH64,Assumptions!$A$70:$B$90,2,0),0)</f>
        <v>0</v>
      </c>
      <c r="CI72" s="8">
        <f>IF(CI64&lt;=$B$4+1,CI67*VLOOKUP(CI64,Assumptions!$A$70:$B$90,2,0),0)</f>
        <v>0</v>
      </c>
      <c r="CJ72" s="8">
        <f>IF(CJ64&lt;=$B$4+1,CJ67*VLOOKUP(CJ64,Assumptions!$A$70:$B$90,2,0),0)</f>
        <v>0</v>
      </c>
      <c r="CK72" s="8">
        <f>IF(CK64&lt;=$B$4+1,CK67*VLOOKUP(CK64,Assumptions!$A$70:$B$90,2,0),0)</f>
        <v>0</v>
      </c>
      <c r="CL72" s="8">
        <f>IF(CL64&lt;=$B$4+1,CL67*VLOOKUP(CL64,Assumptions!$A$70:$B$90,2,0),0)</f>
        <v>0</v>
      </c>
      <c r="CM72" s="8">
        <f>IF(CM64&lt;=$B$4+1,CM67*VLOOKUP(CM64,Assumptions!$A$70:$B$90,2,0),0)</f>
        <v>0</v>
      </c>
      <c r="CN72" s="8">
        <f>IF(CN64&lt;=$B$4+1,CN67*VLOOKUP(CN64,Assumptions!$A$70:$B$90,2,0),0)</f>
        <v>0</v>
      </c>
      <c r="CO72" s="8">
        <f>IF(CO64&lt;=$B$4+1,CO67*VLOOKUP(CO64,Assumptions!$A$70:$B$90,2,0),0)</f>
        <v>0</v>
      </c>
      <c r="CP72" s="8">
        <f>IF(CP64&lt;=$B$4+1,CP67*VLOOKUP(CP64,Assumptions!$A$70:$B$90,2,0),0)</f>
        <v>0</v>
      </c>
      <c r="CQ72" s="8">
        <f>IF(CQ64&lt;=$B$4+1,CQ67*VLOOKUP(CQ64,Assumptions!$A$70:$B$90,2,0),0)</f>
        <v>0</v>
      </c>
      <c r="CR72" s="8">
        <f>IF(CR64&lt;=$B$4+1,CR67*VLOOKUP(CR64,Assumptions!$A$70:$B$90,2,0),0)</f>
        <v>0</v>
      </c>
      <c r="CS72" s="8">
        <f>IF(CS64&lt;=$B$4+1,CS67*VLOOKUP(CS64,Assumptions!$A$70:$B$90,2,0),0)</f>
        <v>0</v>
      </c>
      <c r="CT72" s="8">
        <f>IF(CT64&lt;=$B$4+1,CT67*VLOOKUP(CT64,Assumptions!$A$70:$B$90,2,0),0)</f>
        <v>0</v>
      </c>
      <c r="CU72" s="8">
        <f>IF(CU64&lt;=$B$4+1,CU67*VLOOKUP(CU64,Assumptions!$A$70:$B$90,2,0),0)</f>
        <v>0</v>
      </c>
      <c r="CV72" s="8">
        <f>IF(CV64&lt;=$B$4+1,CV67*VLOOKUP(CV64,Assumptions!$A$70:$B$90,2,0),0)</f>
        <v>0</v>
      </c>
      <c r="CW72" s="8">
        <f>IF(CW64&lt;=$B$4+1,CW67*VLOOKUP(CW64,Assumptions!$A$70:$B$90,2,0),0)</f>
        <v>0</v>
      </c>
      <c r="CX72" s="8">
        <f>IF(CX64&lt;=$B$4+1,CX67*VLOOKUP(CX64,Assumptions!$A$70:$B$90,2,0),0)</f>
        <v>0</v>
      </c>
      <c r="CY72" s="8">
        <f>IF(CY64&lt;=$B$4+1,CY67*VLOOKUP(CY64,Assumptions!$A$70:$B$90,2,0),0)</f>
        <v>0</v>
      </c>
      <c r="CZ72" s="8">
        <f>IF(CZ64&lt;=$B$4+1,CZ67*VLOOKUP(CZ64,Assumptions!$A$70:$B$90,2,0),0)</f>
        <v>0</v>
      </c>
      <c r="DA72" s="8">
        <f>IF(DA64&lt;=$B$4+1,DA67*VLOOKUP(DA64,Assumptions!$A$70:$B$90,2,0),0)</f>
        <v>0</v>
      </c>
    </row>
    <row r="73" spans="3:105" x14ac:dyDescent="0.4">
      <c r="D73" t="s">
        <v>170</v>
      </c>
      <c r="H73" s="8"/>
      <c r="I73" s="8">
        <f>H74</f>
        <v>0</v>
      </c>
      <c r="J73" s="8">
        <f t="shared" ref="J73:BU73" si="76">I74</f>
        <v>-15450.626341549189</v>
      </c>
      <c r="K73" s="8">
        <f t="shared" si="76"/>
        <v>-61528.808556717893</v>
      </c>
      <c r="L73" s="8">
        <f t="shared" si="76"/>
        <v>-102821.71107067534</v>
      </c>
      <c r="M73" s="8">
        <f t="shared" si="76"/>
        <v>-139700.14891561875</v>
      </c>
      <c r="N73" s="8">
        <f t="shared" si="76"/>
        <v>-172481.96354771711</v>
      </c>
      <c r="O73" s="8">
        <f t="shared" si="76"/>
        <v>-201484.99642313944</v>
      </c>
      <c r="P73" s="8">
        <f t="shared" si="76"/>
        <v>-226982.94435136463</v>
      </c>
      <c r="Q73" s="8">
        <f t="shared" si="76"/>
        <v>-249249.50414187153</v>
      </c>
      <c r="R73" s="8">
        <f t="shared" si="76"/>
        <v>-270986.32817209675</v>
      </c>
      <c r="S73" s="8">
        <f t="shared" si="76"/>
        <v>-292714.32327298389</v>
      </c>
      <c r="T73" s="8">
        <f t="shared" si="76"/>
        <v>-314451.14730320912</v>
      </c>
      <c r="U73" s="8">
        <f t="shared" si="76"/>
        <v>-336179.14240409626</v>
      </c>
      <c r="V73" s="8">
        <f t="shared" si="76"/>
        <v>-357915.96643432148</v>
      </c>
      <c r="W73" s="8">
        <f t="shared" si="76"/>
        <v>-379643.96153520863</v>
      </c>
      <c r="X73" s="8">
        <f t="shared" si="76"/>
        <v>-401380.78556543385</v>
      </c>
      <c r="Y73" s="8">
        <f t="shared" si="76"/>
        <v>-423108.78066632099</v>
      </c>
      <c r="Z73" s="8">
        <f t="shared" si="76"/>
        <v>-444845.60469654622</v>
      </c>
      <c r="AA73" s="8">
        <f t="shared" si="76"/>
        <v>-466573.59979743336</v>
      </c>
      <c r="AB73" s="8">
        <f t="shared" si="76"/>
        <v>-488310.42382765858</v>
      </c>
      <c r="AC73" s="8">
        <f t="shared" si="76"/>
        <v>-510038.41892854573</v>
      </c>
      <c r="AD73" s="8">
        <f t="shared" si="76"/>
        <v>-512077.90160563024</v>
      </c>
      <c r="AE73" s="8">
        <f t="shared" si="76"/>
        <v>-494420.04292957403</v>
      </c>
      <c r="AF73" s="8">
        <f t="shared" si="76"/>
        <v>-476762.18425351783</v>
      </c>
      <c r="AG73" s="8">
        <f t="shared" si="76"/>
        <v>-459104.32557746163</v>
      </c>
      <c r="AH73" s="8">
        <f t="shared" si="76"/>
        <v>-441446.46690140542</v>
      </c>
      <c r="AI73" s="8">
        <f t="shared" si="76"/>
        <v>-423788.60822534922</v>
      </c>
      <c r="AJ73" s="8">
        <f t="shared" si="76"/>
        <v>-406130.74954929302</v>
      </c>
      <c r="AK73" s="8">
        <f t="shared" si="76"/>
        <v>-388472.89087323681</v>
      </c>
      <c r="AL73" s="8">
        <f t="shared" si="76"/>
        <v>-370815.03219718061</v>
      </c>
      <c r="AM73" s="8">
        <f t="shared" si="76"/>
        <v>-353157.17352112441</v>
      </c>
      <c r="AN73" s="8">
        <f t="shared" si="76"/>
        <v>-335499.31484506821</v>
      </c>
      <c r="AO73" s="8">
        <f t="shared" si="76"/>
        <v>-317841.456169012</v>
      </c>
      <c r="AP73" s="8">
        <f t="shared" si="76"/>
        <v>-300183.5974929558</v>
      </c>
      <c r="AQ73" s="8">
        <f t="shared" si="76"/>
        <v>-282525.7388168996</v>
      </c>
      <c r="AR73" s="8">
        <f t="shared" si="76"/>
        <v>-264867.88014084339</v>
      </c>
      <c r="AS73" s="8">
        <f t="shared" si="76"/>
        <v>-247210.02146478719</v>
      </c>
      <c r="AT73" s="8">
        <f t="shared" si="76"/>
        <v>-229552.16278873099</v>
      </c>
      <c r="AU73" s="8">
        <f t="shared" si="76"/>
        <v>-211894.30411267478</v>
      </c>
      <c r="AV73" s="8">
        <f t="shared" si="76"/>
        <v>-194236.44543661858</v>
      </c>
      <c r="AW73" s="8">
        <f t="shared" si="76"/>
        <v>-176578.58676056238</v>
      </c>
      <c r="AX73" s="8">
        <f t="shared" si="76"/>
        <v>-158920.72808450618</v>
      </c>
      <c r="AY73" s="8">
        <f t="shared" si="76"/>
        <v>-141262.86940844997</v>
      </c>
      <c r="AZ73" s="8">
        <f t="shared" si="76"/>
        <v>-123605.01073239376</v>
      </c>
      <c r="BA73" s="8">
        <f t="shared" si="76"/>
        <v>-105947.15205633754</v>
      </c>
      <c r="BB73" s="8">
        <f t="shared" si="76"/>
        <v>-88289.29338028132</v>
      </c>
      <c r="BC73" s="8">
        <f t="shared" si="76"/>
        <v>-70631.434704225103</v>
      </c>
      <c r="BD73" s="8">
        <f t="shared" si="76"/>
        <v>-52973.576028168885</v>
      </c>
      <c r="BE73" s="8">
        <f t="shared" si="76"/>
        <v>-35315.717352112668</v>
      </c>
      <c r="BF73" s="8">
        <f t="shared" si="76"/>
        <v>-17657.85867605645</v>
      </c>
      <c r="BG73" s="8">
        <f t="shared" si="76"/>
        <v>-2.3283064365386963E-10</v>
      </c>
      <c r="BH73" s="8">
        <f t="shared" si="76"/>
        <v>-2.3283064365386963E-10</v>
      </c>
      <c r="BI73" s="8">
        <f t="shared" si="76"/>
        <v>-2.3283064365386963E-10</v>
      </c>
      <c r="BJ73" s="8">
        <f t="shared" si="76"/>
        <v>-2.3283064365386963E-10</v>
      </c>
      <c r="BK73" s="8">
        <f t="shared" si="76"/>
        <v>-2.3283064365386963E-10</v>
      </c>
      <c r="BL73" s="8">
        <f t="shared" si="76"/>
        <v>-2.3283064365386963E-10</v>
      </c>
      <c r="BM73" s="8">
        <f t="shared" si="76"/>
        <v>-2.3283064365386963E-10</v>
      </c>
      <c r="BN73" s="8">
        <f t="shared" si="76"/>
        <v>-2.3283064365386963E-10</v>
      </c>
      <c r="BO73" s="8">
        <f t="shared" si="76"/>
        <v>-2.3283064365386963E-10</v>
      </c>
      <c r="BP73" s="8">
        <f t="shared" si="76"/>
        <v>-2.3283064365386963E-10</v>
      </c>
      <c r="BQ73" s="8">
        <f t="shared" si="76"/>
        <v>-2.3283064365386963E-10</v>
      </c>
      <c r="BR73" s="8">
        <f t="shared" si="76"/>
        <v>-2.3283064365386963E-10</v>
      </c>
      <c r="BS73" s="8">
        <f t="shared" si="76"/>
        <v>-2.3283064365386963E-10</v>
      </c>
      <c r="BT73" s="8">
        <f t="shared" si="76"/>
        <v>-2.3283064365386963E-10</v>
      </c>
      <c r="BU73" s="8">
        <f t="shared" si="76"/>
        <v>-2.3283064365386963E-10</v>
      </c>
      <c r="BV73" s="8">
        <f t="shared" ref="BV73:DA73" si="77">BU74</f>
        <v>-2.3283064365386963E-10</v>
      </c>
      <c r="BW73" s="8">
        <f t="shared" si="77"/>
        <v>-2.3283064365386963E-10</v>
      </c>
      <c r="BX73" s="8">
        <f t="shared" si="77"/>
        <v>-2.3283064365386963E-10</v>
      </c>
      <c r="BY73" s="8">
        <f t="shared" si="77"/>
        <v>-2.3283064365386963E-10</v>
      </c>
      <c r="BZ73" s="8">
        <f t="shared" si="77"/>
        <v>-2.3283064365386963E-10</v>
      </c>
      <c r="CA73" s="8">
        <f t="shared" si="77"/>
        <v>-2.3283064365386963E-10</v>
      </c>
      <c r="CB73" s="8">
        <f t="shared" si="77"/>
        <v>-2.3283064365386963E-10</v>
      </c>
      <c r="CC73" s="8">
        <f t="shared" si="77"/>
        <v>-2.3283064365386963E-10</v>
      </c>
      <c r="CD73" s="8">
        <f t="shared" si="77"/>
        <v>-2.3283064365386963E-10</v>
      </c>
      <c r="CE73" s="8">
        <f t="shared" si="77"/>
        <v>-2.3283064365386963E-10</v>
      </c>
      <c r="CF73" s="8">
        <f t="shared" si="77"/>
        <v>-2.3283064365386963E-10</v>
      </c>
      <c r="CG73" s="8">
        <f t="shared" si="77"/>
        <v>-2.3283064365386963E-10</v>
      </c>
      <c r="CH73" s="8">
        <f t="shared" si="77"/>
        <v>-2.3283064365386963E-10</v>
      </c>
      <c r="CI73" s="8">
        <f t="shared" si="77"/>
        <v>-2.3283064365386963E-10</v>
      </c>
      <c r="CJ73" s="8">
        <f t="shared" si="77"/>
        <v>-2.3283064365386963E-10</v>
      </c>
      <c r="CK73" s="8">
        <f t="shared" si="77"/>
        <v>-2.3283064365386963E-10</v>
      </c>
      <c r="CL73" s="8">
        <f t="shared" si="77"/>
        <v>-2.3283064365386963E-10</v>
      </c>
      <c r="CM73" s="8">
        <f t="shared" si="77"/>
        <v>-2.3283064365386963E-10</v>
      </c>
      <c r="CN73" s="8">
        <f t="shared" si="77"/>
        <v>-2.3283064365386963E-10</v>
      </c>
      <c r="CO73" s="8">
        <f t="shared" si="77"/>
        <v>-2.3283064365386963E-10</v>
      </c>
      <c r="CP73" s="8">
        <f t="shared" si="77"/>
        <v>-2.3283064365386963E-10</v>
      </c>
      <c r="CQ73" s="8">
        <f t="shared" si="77"/>
        <v>-2.3283064365386963E-10</v>
      </c>
      <c r="CR73" s="8">
        <f t="shared" si="77"/>
        <v>-2.3283064365386963E-10</v>
      </c>
      <c r="CS73" s="8">
        <f t="shared" si="77"/>
        <v>-2.3283064365386963E-10</v>
      </c>
      <c r="CT73" s="8">
        <f t="shared" si="77"/>
        <v>-2.3283064365386963E-10</v>
      </c>
      <c r="CU73" s="8">
        <f t="shared" si="77"/>
        <v>-2.3283064365386963E-10</v>
      </c>
      <c r="CV73" s="8">
        <f t="shared" si="77"/>
        <v>-2.3283064365386963E-10</v>
      </c>
      <c r="CW73" s="8">
        <f t="shared" si="77"/>
        <v>-2.3283064365386963E-10</v>
      </c>
      <c r="CX73" s="8">
        <f t="shared" si="77"/>
        <v>-2.3283064365386963E-10</v>
      </c>
      <c r="CY73" s="8">
        <f t="shared" si="77"/>
        <v>-2.3283064365386963E-10</v>
      </c>
      <c r="CZ73" s="8">
        <f t="shared" si="77"/>
        <v>-2.3283064365386963E-10</v>
      </c>
      <c r="DA73" s="8">
        <f t="shared" si="77"/>
        <v>-2.3283064365386963E-10</v>
      </c>
    </row>
    <row r="74" spans="3:105" x14ac:dyDescent="0.4">
      <c r="D74" t="s">
        <v>171</v>
      </c>
      <c r="H74" s="8"/>
      <c r="I74" s="8">
        <f t="shared" ref="I74:AN74" si="78">H74+((I66-I72)*INC_TAX_RATE)</f>
        <v>-15450.626341549189</v>
      </c>
      <c r="J74" s="8">
        <f t="shared" si="78"/>
        <v>-61528.808556717893</v>
      </c>
      <c r="K74" s="8">
        <f t="shared" si="78"/>
        <v>-102821.71107067534</v>
      </c>
      <c r="L74" s="8">
        <f t="shared" si="78"/>
        <v>-139700.14891561875</v>
      </c>
      <c r="M74" s="8">
        <f t="shared" si="78"/>
        <v>-172481.96354771711</v>
      </c>
      <c r="N74" s="8">
        <f t="shared" si="78"/>
        <v>-201484.99642313944</v>
      </c>
      <c r="O74" s="8">
        <f t="shared" si="78"/>
        <v>-226982.94435136463</v>
      </c>
      <c r="P74" s="8">
        <f t="shared" si="78"/>
        <v>-249249.50414187153</v>
      </c>
      <c r="Q74" s="8">
        <f t="shared" si="78"/>
        <v>-270986.32817209675</v>
      </c>
      <c r="R74" s="8">
        <f t="shared" si="78"/>
        <v>-292714.32327298389</v>
      </c>
      <c r="S74" s="8">
        <f t="shared" si="78"/>
        <v>-314451.14730320912</v>
      </c>
      <c r="T74" s="8">
        <f t="shared" si="78"/>
        <v>-336179.14240409626</v>
      </c>
      <c r="U74" s="8">
        <f t="shared" si="78"/>
        <v>-357915.96643432148</v>
      </c>
      <c r="V74" s="8">
        <f t="shared" si="78"/>
        <v>-379643.96153520863</v>
      </c>
      <c r="W74" s="8">
        <f t="shared" si="78"/>
        <v>-401380.78556543385</v>
      </c>
      <c r="X74" s="8">
        <f t="shared" si="78"/>
        <v>-423108.78066632099</v>
      </c>
      <c r="Y74" s="8">
        <f t="shared" si="78"/>
        <v>-444845.60469654622</v>
      </c>
      <c r="Z74" s="8">
        <f t="shared" si="78"/>
        <v>-466573.59979743336</v>
      </c>
      <c r="AA74" s="8">
        <f t="shared" si="78"/>
        <v>-488310.42382765858</v>
      </c>
      <c r="AB74" s="8">
        <f t="shared" si="78"/>
        <v>-510038.41892854573</v>
      </c>
      <c r="AC74" s="8">
        <f t="shared" si="78"/>
        <v>-512077.90160563024</v>
      </c>
      <c r="AD74" s="8">
        <f t="shared" si="78"/>
        <v>-494420.04292957403</v>
      </c>
      <c r="AE74" s="8">
        <f t="shared" si="78"/>
        <v>-476762.18425351783</v>
      </c>
      <c r="AF74" s="8">
        <f t="shared" si="78"/>
        <v>-459104.32557746163</v>
      </c>
      <c r="AG74" s="8">
        <f t="shared" si="78"/>
        <v>-441446.46690140542</v>
      </c>
      <c r="AH74" s="8">
        <f t="shared" si="78"/>
        <v>-423788.60822534922</v>
      </c>
      <c r="AI74" s="8">
        <f t="shared" si="78"/>
        <v>-406130.74954929302</v>
      </c>
      <c r="AJ74" s="8">
        <f t="shared" si="78"/>
        <v>-388472.89087323681</v>
      </c>
      <c r="AK74" s="8">
        <f t="shared" si="78"/>
        <v>-370815.03219718061</v>
      </c>
      <c r="AL74" s="8">
        <f t="shared" si="78"/>
        <v>-353157.17352112441</v>
      </c>
      <c r="AM74" s="8">
        <f t="shared" si="78"/>
        <v>-335499.31484506821</v>
      </c>
      <c r="AN74" s="8">
        <f t="shared" si="78"/>
        <v>-317841.456169012</v>
      </c>
      <c r="AO74" s="8">
        <f t="shared" ref="AO74:BT74" si="79">AN74+((AO66-AO72)*INC_TAX_RATE)</f>
        <v>-300183.5974929558</v>
      </c>
      <c r="AP74" s="8">
        <f t="shared" si="79"/>
        <v>-282525.7388168996</v>
      </c>
      <c r="AQ74" s="8">
        <f t="shared" si="79"/>
        <v>-264867.88014084339</v>
      </c>
      <c r="AR74" s="8">
        <f t="shared" si="79"/>
        <v>-247210.02146478719</v>
      </c>
      <c r="AS74" s="8">
        <f t="shared" si="79"/>
        <v>-229552.16278873099</v>
      </c>
      <c r="AT74" s="8">
        <f t="shared" si="79"/>
        <v>-211894.30411267478</v>
      </c>
      <c r="AU74" s="8">
        <f t="shared" si="79"/>
        <v>-194236.44543661858</v>
      </c>
      <c r="AV74" s="8">
        <f t="shared" si="79"/>
        <v>-176578.58676056238</v>
      </c>
      <c r="AW74" s="8">
        <f t="shared" si="79"/>
        <v>-158920.72808450618</v>
      </c>
      <c r="AX74" s="8">
        <f t="shared" si="79"/>
        <v>-141262.86940844997</v>
      </c>
      <c r="AY74" s="8">
        <f t="shared" si="79"/>
        <v>-123605.01073239376</v>
      </c>
      <c r="AZ74" s="8">
        <f t="shared" si="79"/>
        <v>-105947.15205633754</v>
      </c>
      <c r="BA74" s="8">
        <f t="shared" si="79"/>
        <v>-88289.29338028132</v>
      </c>
      <c r="BB74" s="8">
        <f t="shared" si="79"/>
        <v>-70631.434704225103</v>
      </c>
      <c r="BC74" s="8">
        <f t="shared" si="79"/>
        <v>-52973.576028168885</v>
      </c>
      <c r="BD74" s="8">
        <f t="shared" si="79"/>
        <v>-35315.717352112668</v>
      </c>
      <c r="BE74" s="8">
        <f t="shared" si="79"/>
        <v>-17657.85867605645</v>
      </c>
      <c r="BF74" s="8">
        <f t="shared" si="79"/>
        <v>-2.3283064365386963E-10</v>
      </c>
      <c r="BG74" s="8">
        <f t="shared" si="79"/>
        <v>-2.3283064365386963E-10</v>
      </c>
      <c r="BH74" s="8">
        <f t="shared" si="79"/>
        <v>-2.3283064365386963E-10</v>
      </c>
      <c r="BI74" s="8">
        <f t="shared" si="79"/>
        <v>-2.3283064365386963E-10</v>
      </c>
      <c r="BJ74" s="8">
        <f t="shared" si="79"/>
        <v>-2.3283064365386963E-10</v>
      </c>
      <c r="BK74" s="8">
        <f t="shared" si="79"/>
        <v>-2.3283064365386963E-10</v>
      </c>
      <c r="BL74" s="8">
        <f t="shared" si="79"/>
        <v>-2.3283064365386963E-10</v>
      </c>
      <c r="BM74" s="8">
        <f t="shared" si="79"/>
        <v>-2.3283064365386963E-10</v>
      </c>
      <c r="BN74" s="8">
        <f t="shared" si="79"/>
        <v>-2.3283064365386963E-10</v>
      </c>
      <c r="BO74" s="8">
        <f t="shared" si="79"/>
        <v>-2.3283064365386963E-10</v>
      </c>
      <c r="BP74" s="8">
        <f t="shared" si="79"/>
        <v>-2.3283064365386963E-10</v>
      </c>
      <c r="BQ74" s="8">
        <f t="shared" si="79"/>
        <v>-2.3283064365386963E-10</v>
      </c>
      <c r="BR74" s="8">
        <f t="shared" si="79"/>
        <v>-2.3283064365386963E-10</v>
      </c>
      <c r="BS74" s="8">
        <f t="shared" si="79"/>
        <v>-2.3283064365386963E-10</v>
      </c>
      <c r="BT74" s="8">
        <f t="shared" si="79"/>
        <v>-2.3283064365386963E-10</v>
      </c>
      <c r="BU74" s="8">
        <f t="shared" ref="BU74:DA74" si="80">BT74+((BU66-BU72)*INC_TAX_RATE)</f>
        <v>-2.3283064365386963E-10</v>
      </c>
      <c r="BV74" s="8">
        <f t="shared" si="80"/>
        <v>-2.3283064365386963E-10</v>
      </c>
      <c r="BW74" s="8">
        <f t="shared" si="80"/>
        <v>-2.3283064365386963E-10</v>
      </c>
      <c r="BX74" s="8">
        <f t="shared" si="80"/>
        <v>-2.3283064365386963E-10</v>
      </c>
      <c r="BY74" s="8">
        <f t="shared" si="80"/>
        <v>-2.3283064365386963E-10</v>
      </c>
      <c r="BZ74" s="8">
        <f t="shared" si="80"/>
        <v>-2.3283064365386963E-10</v>
      </c>
      <c r="CA74" s="8">
        <f t="shared" si="80"/>
        <v>-2.3283064365386963E-10</v>
      </c>
      <c r="CB74" s="8">
        <f t="shared" si="80"/>
        <v>-2.3283064365386963E-10</v>
      </c>
      <c r="CC74" s="8">
        <f t="shared" si="80"/>
        <v>-2.3283064365386963E-10</v>
      </c>
      <c r="CD74" s="8">
        <f t="shared" si="80"/>
        <v>-2.3283064365386963E-10</v>
      </c>
      <c r="CE74" s="8">
        <f t="shared" si="80"/>
        <v>-2.3283064365386963E-10</v>
      </c>
      <c r="CF74" s="8">
        <f t="shared" si="80"/>
        <v>-2.3283064365386963E-10</v>
      </c>
      <c r="CG74" s="8">
        <f t="shared" si="80"/>
        <v>-2.3283064365386963E-10</v>
      </c>
      <c r="CH74" s="8">
        <f t="shared" si="80"/>
        <v>-2.3283064365386963E-10</v>
      </c>
      <c r="CI74" s="8">
        <f t="shared" si="80"/>
        <v>-2.3283064365386963E-10</v>
      </c>
      <c r="CJ74" s="8">
        <f t="shared" si="80"/>
        <v>-2.3283064365386963E-10</v>
      </c>
      <c r="CK74" s="8">
        <f t="shared" si="80"/>
        <v>-2.3283064365386963E-10</v>
      </c>
      <c r="CL74" s="8">
        <f t="shared" si="80"/>
        <v>-2.3283064365386963E-10</v>
      </c>
      <c r="CM74" s="8">
        <f t="shared" si="80"/>
        <v>-2.3283064365386963E-10</v>
      </c>
      <c r="CN74" s="8">
        <f t="shared" si="80"/>
        <v>-2.3283064365386963E-10</v>
      </c>
      <c r="CO74" s="8">
        <f t="shared" si="80"/>
        <v>-2.3283064365386963E-10</v>
      </c>
      <c r="CP74" s="8">
        <f t="shared" si="80"/>
        <v>-2.3283064365386963E-10</v>
      </c>
      <c r="CQ74" s="8">
        <f t="shared" si="80"/>
        <v>-2.3283064365386963E-10</v>
      </c>
      <c r="CR74" s="8">
        <f t="shared" si="80"/>
        <v>-2.3283064365386963E-10</v>
      </c>
      <c r="CS74" s="8">
        <f t="shared" si="80"/>
        <v>-2.3283064365386963E-10</v>
      </c>
      <c r="CT74" s="8">
        <f t="shared" si="80"/>
        <v>-2.3283064365386963E-10</v>
      </c>
      <c r="CU74" s="8">
        <f t="shared" si="80"/>
        <v>-2.3283064365386963E-10</v>
      </c>
      <c r="CV74" s="8">
        <f t="shared" si="80"/>
        <v>-2.3283064365386963E-10</v>
      </c>
      <c r="CW74" s="8">
        <f t="shared" si="80"/>
        <v>-2.3283064365386963E-10</v>
      </c>
      <c r="CX74" s="8">
        <f t="shared" si="80"/>
        <v>-2.3283064365386963E-10</v>
      </c>
      <c r="CY74" s="8">
        <f t="shared" si="80"/>
        <v>-2.3283064365386963E-10</v>
      </c>
      <c r="CZ74" s="8">
        <f t="shared" si="80"/>
        <v>-2.3283064365386963E-10</v>
      </c>
      <c r="DA74" s="8">
        <f t="shared" si="80"/>
        <v>-2.3283064365386963E-10</v>
      </c>
    </row>
    <row r="75" spans="3:105" x14ac:dyDescent="0.4"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</row>
    <row r="76" spans="3:105" x14ac:dyDescent="0.4">
      <c r="D76" t="s">
        <v>158</v>
      </c>
      <c r="H76" s="8"/>
      <c r="I76" s="8">
        <f>AVERAGE(I69:I70)+AVERAGE(I73:I74)</f>
        <v>3146032.5957766646</v>
      </c>
      <c r="J76" s="8">
        <f t="shared" ref="J76:BU76" si="81">AVERAGE(J69:J70)+AVERAGE(J73:J74)</f>
        <v>3051555.9105094685</v>
      </c>
      <c r="K76" s="8">
        <f t="shared" si="81"/>
        <v>2944158.0871560681</v>
      </c>
      <c r="L76" s="8">
        <f t="shared" si="81"/>
        <v>2841360.135987781</v>
      </c>
      <c r="M76" s="8">
        <f t="shared" si="81"/>
        <v>2742817.7287604227</v>
      </c>
      <c r="N76" s="8">
        <f t="shared" si="81"/>
        <v>2648213.0240178257</v>
      </c>
      <c r="O76" s="8">
        <f t="shared" si="81"/>
        <v>2557250.2526271641</v>
      </c>
      <c r="P76" s="8">
        <f t="shared" si="81"/>
        <v>2469655.7177789616</v>
      </c>
      <c r="Q76" s="8">
        <f t="shared" si="81"/>
        <v>2383941.744879758</v>
      </c>
      <c r="R76" s="8">
        <f t="shared" si="81"/>
        <v>2298497.054325365</v>
      </c>
      <c r="S76" s="8">
        <f t="shared" si="81"/>
        <v>2213052.3637709711</v>
      </c>
      <c r="T76" s="8">
        <f t="shared" si="81"/>
        <v>2127607.6732165786</v>
      </c>
      <c r="U76" s="8">
        <f t="shared" si="81"/>
        <v>2042162.9826621846</v>
      </c>
      <c r="V76" s="8">
        <f t="shared" si="81"/>
        <v>1956718.2921077916</v>
      </c>
      <c r="W76" s="8">
        <f t="shared" si="81"/>
        <v>1871273.601553398</v>
      </c>
      <c r="X76" s="8">
        <f t="shared" si="81"/>
        <v>1785828.9109990052</v>
      </c>
      <c r="Y76" s="8">
        <f t="shared" si="81"/>
        <v>1700384.2204446113</v>
      </c>
      <c r="Z76" s="8">
        <f t="shared" si="81"/>
        <v>1614939.5298902181</v>
      </c>
      <c r="AA76" s="8">
        <f t="shared" si="81"/>
        <v>1529494.8393358248</v>
      </c>
      <c r="AB76" s="8">
        <f t="shared" si="81"/>
        <v>1444050.1487814314</v>
      </c>
      <c r="AC76" s="8">
        <f t="shared" si="81"/>
        <v>1368454.1289036083</v>
      </c>
      <c r="AD76" s="8">
        <f t="shared" si="81"/>
        <v>1312551.0359142572</v>
      </c>
      <c r="AE76" s="8">
        <f t="shared" si="81"/>
        <v>1266496.6136014762</v>
      </c>
      <c r="AF76" s="8">
        <f t="shared" si="81"/>
        <v>1220442.1912886952</v>
      </c>
      <c r="AG76" s="8">
        <f t="shared" si="81"/>
        <v>1174387.7689759145</v>
      </c>
      <c r="AH76" s="8">
        <f t="shared" si="81"/>
        <v>1128333.3466631335</v>
      </c>
      <c r="AI76" s="8">
        <f t="shared" si="81"/>
        <v>1082278.9243503525</v>
      </c>
      <c r="AJ76" s="8">
        <f t="shared" si="81"/>
        <v>1036224.5020375716</v>
      </c>
      <c r="AK76" s="8">
        <f t="shared" si="81"/>
        <v>990170.07972479064</v>
      </c>
      <c r="AL76" s="8">
        <f t="shared" si="81"/>
        <v>944115.65741200978</v>
      </c>
      <c r="AM76" s="8">
        <f t="shared" si="81"/>
        <v>898061.2350992288</v>
      </c>
      <c r="AN76" s="8">
        <f t="shared" si="81"/>
        <v>852006.81278644793</v>
      </c>
      <c r="AO76" s="8">
        <f t="shared" si="81"/>
        <v>805952.39047366695</v>
      </c>
      <c r="AP76" s="8">
        <f t="shared" si="81"/>
        <v>759897.96816088585</v>
      </c>
      <c r="AQ76" s="8">
        <f t="shared" si="81"/>
        <v>713843.54584810487</v>
      </c>
      <c r="AR76" s="8">
        <f t="shared" si="81"/>
        <v>667789.123535324</v>
      </c>
      <c r="AS76" s="8">
        <f t="shared" si="81"/>
        <v>621734.70122254302</v>
      </c>
      <c r="AT76" s="8">
        <f t="shared" si="81"/>
        <v>575680.27890976216</v>
      </c>
      <c r="AU76" s="8">
        <f t="shared" si="81"/>
        <v>529625.85659698118</v>
      </c>
      <c r="AV76" s="8">
        <f t="shared" si="81"/>
        <v>483571.43428420031</v>
      </c>
      <c r="AW76" s="8">
        <f t="shared" si="81"/>
        <v>437517.01197141933</v>
      </c>
      <c r="AX76" s="8">
        <f t="shared" si="81"/>
        <v>391462.58965863846</v>
      </c>
      <c r="AY76" s="8">
        <f t="shared" si="81"/>
        <v>345408.16734585748</v>
      </c>
      <c r="AZ76" s="8">
        <f t="shared" si="81"/>
        <v>299353.74503307662</v>
      </c>
      <c r="BA76" s="8">
        <f t="shared" si="81"/>
        <v>253299.32272029569</v>
      </c>
      <c r="BB76" s="8">
        <f t="shared" si="81"/>
        <v>207244.9004075148</v>
      </c>
      <c r="BC76" s="8">
        <f t="shared" si="81"/>
        <v>161190.47809473387</v>
      </c>
      <c r="BD76" s="8">
        <f t="shared" si="81"/>
        <v>115136.05578195298</v>
      </c>
      <c r="BE76" s="8">
        <f t="shared" si="81"/>
        <v>69081.633469172055</v>
      </c>
      <c r="BF76" s="8">
        <f t="shared" si="81"/>
        <v>23027.211156390687</v>
      </c>
      <c r="BG76" s="8">
        <f t="shared" si="81"/>
        <v>-2.3283064365386963E-10</v>
      </c>
      <c r="BH76" s="8">
        <f t="shared" si="81"/>
        <v>-2.3283064365386963E-10</v>
      </c>
      <c r="BI76" s="8">
        <f t="shared" si="81"/>
        <v>-2.3283064365386963E-10</v>
      </c>
      <c r="BJ76" s="8">
        <f t="shared" si="81"/>
        <v>-2.3283064365386963E-10</v>
      </c>
      <c r="BK76" s="8">
        <f t="shared" si="81"/>
        <v>-2.3283064365386963E-10</v>
      </c>
      <c r="BL76" s="8">
        <f t="shared" si="81"/>
        <v>-2.3283064365386963E-10</v>
      </c>
      <c r="BM76" s="8">
        <f t="shared" si="81"/>
        <v>-2.3283064365386963E-10</v>
      </c>
      <c r="BN76" s="8">
        <f t="shared" si="81"/>
        <v>-2.3283064365386963E-10</v>
      </c>
      <c r="BO76" s="8">
        <f t="shared" si="81"/>
        <v>-2.3283064365386963E-10</v>
      </c>
      <c r="BP76" s="8">
        <f t="shared" si="81"/>
        <v>-2.3283064365386963E-10</v>
      </c>
      <c r="BQ76" s="8">
        <f t="shared" si="81"/>
        <v>-2.3283064365386963E-10</v>
      </c>
      <c r="BR76" s="8">
        <f t="shared" si="81"/>
        <v>-2.3283064365386963E-10</v>
      </c>
      <c r="BS76" s="8">
        <f t="shared" si="81"/>
        <v>-2.3283064365386963E-10</v>
      </c>
      <c r="BT76" s="8">
        <f t="shared" si="81"/>
        <v>-2.3283064365386963E-10</v>
      </c>
      <c r="BU76" s="8">
        <f t="shared" si="81"/>
        <v>-2.3283064365386963E-10</v>
      </c>
      <c r="BV76" s="8">
        <f t="shared" ref="BV76:DA76" si="82">AVERAGE(BV69:BV70)+AVERAGE(BV73:BV74)</f>
        <v>-2.3283064365386963E-10</v>
      </c>
      <c r="BW76" s="8">
        <f t="shared" si="82"/>
        <v>-2.3283064365386963E-10</v>
      </c>
      <c r="BX76" s="8">
        <f t="shared" si="82"/>
        <v>-2.3283064365386963E-10</v>
      </c>
      <c r="BY76" s="8">
        <f t="shared" si="82"/>
        <v>-2.3283064365386963E-10</v>
      </c>
      <c r="BZ76" s="8">
        <f t="shared" si="82"/>
        <v>-2.3283064365386963E-10</v>
      </c>
      <c r="CA76" s="8">
        <f t="shared" si="82"/>
        <v>-2.3283064365386963E-10</v>
      </c>
      <c r="CB76" s="8">
        <f t="shared" si="82"/>
        <v>-2.3283064365386963E-10</v>
      </c>
      <c r="CC76" s="8">
        <f t="shared" si="82"/>
        <v>-2.3283064365386963E-10</v>
      </c>
      <c r="CD76" s="8">
        <f t="shared" si="82"/>
        <v>-2.3283064365386963E-10</v>
      </c>
      <c r="CE76" s="8">
        <f t="shared" si="82"/>
        <v>-2.3283064365386963E-10</v>
      </c>
      <c r="CF76" s="8">
        <f t="shared" si="82"/>
        <v>-2.3283064365386963E-10</v>
      </c>
      <c r="CG76" s="8">
        <f t="shared" si="82"/>
        <v>-2.3283064365386963E-10</v>
      </c>
      <c r="CH76" s="8">
        <f t="shared" si="82"/>
        <v>-2.3283064365386963E-10</v>
      </c>
      <c r="CI76" s="8">
        <f t="shared" si="82"/>
        <v>-2.3283064365386963E-10</v>
      </c>
      <c r="CJ76" s="8">
        <f t="shared" si="82"/>
        <v>-2.3283064365386963E-10</v>
      </c>
      <c r="CK76" s="8">
        <f t="shared" si="82"/>
        <v>-2.3283064365386963E-10</v>
      </c>
      <c r="CL76" s="8">
        <f t="shared" si="82"/>
        <v>-2.3283064365386963E-10</v>
      </c>
      <c r="CM76" s="8">
        <f t="shared" si="82"/>
        <v>-2.3283064365386963E-10</v>
      </c>
      <c r="CN76" s="8">
        <f t="shared" si="82"/>
        <v>-2.3283064365386963E-10</v>
      </c>
      <c r="CO76" s="8">
        <f t="shared" si="82"/>
        <v>-2.3283064365386963E-10</v>
      </c>
      <c r="CP76" s="8">
        <f t="shared" si="82"/>
        <v>-2.3283064365386963E-10</v>
      </c>
      <c r="CQ76" s="8">
        <f t="shared" si="82"/>
        <v>-2.3283064365386963E-10</v>
      </c>
      <c r="CR76" s="8">
        <f t="shared" si="82"/>
        <v>-2.3283064365386963E-10</v>
      </c>
      <c r="CS76" s="8">
        <f t="shared" si="82"/>
        <v>-2.3283064365386963E-10</v>
      </c>
      <c r="CT76" s="8">
        <f t="shared" si="82"/>
        <v>-2.3283064365386963E-10</v>
      </c>
      <c r="CU76" s="8">
        <f t="shared" si="82"/>
        <v>-2.3283064365386963E-10</v>
      </c>
      <c r="CV76" s="8">
        <f t="shared" si="82"/>
        <v>-2.3283064365386963E-10</v>
      </c>
      <c r="CW76" s="8">
        <f t="shared" si="82"/>
        <v>-2.3283064365386963E-10</v>
      </c>
      <c r="CX76" s="8">
        <f t="shared" si="82"/>
        <v>-2.3283064365386963E-10</v>
      </c>
      <c r="CY76" s="8">
        <f t="shared" si="82"/>
        <v>-2.3283064365386963E-10</v>
      </c>
      <c r="CZ76" s="8">
        <f t="shared" si="82"/>
        <v>-2.3283064365386963E-10</v>
      </c>
      <c r="DA76" s="8">
        <f t="shared" si="82"/>
        <v>-2.3283064365386963E-10</v>
      </c>
    </row>
    <row r="77" spans="3:105" x14ac:dyDescent="0.4"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</row>
    <row r="78" spans="3:105" x14ac:dyDescent="0.4">
      <c r="D78" t="s">
        <v>209</v>
      </c>
      <c r="H78" s="8"/>
      <c r="I78" s="8">
        <f t="shared" ref="I78:AN78" si="83">I76*AVG_PRE_TAX_RATE</f>
        <v>280940.71080285613</v>
      </c>
      <c r="J78" s="8">
        <f t="shared" si="83"/>
        <v>272503.94280849554</v>
      </c>
      <c r="K78" s="8">
        <f t="shared" si="83"/>
        <v>262913.31718303688</v>
      </c>
      <c r="L78" s="8">
        <f t="shared" si="83"/>
        <v>253733.46014370886</v>
      </c>
      <c r="M78" s="8">
        <f t="shared" si="83"/>
        <v>244933.62317830574</v>
      </c>
      <c r="N78" s="8">
        <f t="shared" si="83"/>
        <v>236485.42304479185</v>
      </c>
      <c r="O78" s="8">
        <f t="shared" si="83"/>
        <v>228362.44755960576</v>
      </c>
      <c r="P78" s="8">
        <f t="shared" si="83"/>
        <v>220540.25559766128</v>
      </c>
      <c r="Q78" s="8">
        <f t="shared" si="83"/>
        <v>212885.9978177624</v>
      </c>
      <c r="R78" s="8">
        <f t="shared" si="83"/>
        <v>205255.78695125511</v>
      </c>
      <c r="S78" s="8">
        <f t="shared" si="83"/>
        <v>197625.57608474774</v>
      </c>
      <c r="T78" s="8">
        <f t="shared" si="83"/>
        <v>189995.36521824048</v>
      </c>
      <c r="U78" s="8">
        <f t="shared" si="83"/>
        <v>182365.1543517331</v>
      </c>
      <c r="V78" s="8">
        <f t="shared" si="83"/>
        <v>174734.94348522581</v>
      </c>
      <c r="W78" s="8">
        <f t="shared" si="83"/>
        <v>167104.73261871844</v>
      </c>
      <c r="X78" s="8">
        <f t="shared" si="83"/>
        <v>159474.52175221118</v>
      </c>
      <c r="Y78" s="8">
        <f t="shared" si="83"/>
        <v>151844.3108857038</v>
      </c>
      <c r="Z78" s="8">
        <f t="shared" si="83"/>
        <v>144214.10001919648</v>
      </c>
      <c r="AA78" s="8">
        <f t="shared" si="83"/>
        <v>136583.88915268917</v>
      </c>
      <c r="AB78" s="8">
        <f t="shared" si="83"/>
        <v>128953.67828618182</v>
      </c>
      <c r="AC78" s="8">
        <f t="shared" si="83"/>
        <v>122202.95371109222</v>
      </c>
      <c r="AD78" s="8">
        <f t="shared" si="83"/>
        <v>117210.80750714317</v>
      </c>
      <c r="AE78" s="8">
        <f t="shared" si="83"/>
        <v>113098.14759461183</v>
      </c>
      <c r="AF78" s="8">
        <f t="shared" si="83"/>
        <v>108985.48768208049</v>
      </c>
      <c r="AG78" s="8">
        <f t="shared" si="83"/>
        <v>104872.82776954917</v>
      </c>
      <c r="AH78" s="8">
        <f t="shared" si="83"/>
        <v>100760.16785701782</v>
      </c>
      <c r="AI78" s="8">
        <f t="shared" si="83"/>
        <v>96647.507944486482</v>
      </c>
      <c r="AJ78" s="8">
        <f t="shared" si="83"/>
        <v>92534.848031955145</v>
      </c>
      <c r="AK78" s="8">
        <f t="shared" si="83"/>
        <v>88422.188119423809</v>
      </c>
      <c r="AL78" s="8">
        <f t="shared" si="83"/>
        <v>84309.528206892472</v>
      </c>
      <c r="AM78" s="8">
        <f t="shared" si="83"/>
        <v>80196.868294361135</v>
      </c>
      <c r="AN78" s="8">
        <f t="shared" si="83"/>
        <v>76084.208381829798</v>
      </c>
      <c r="AO78" s="8">
        <f t="shared" ref="AO78:BT78" si="84">AO76*AVG_PRE_TAX_RATE</f>
        <v>71971.548469298461</v>
      </c>
      <c r="AP78" s="8">
        <f t="shared" si="84"/>
        <v>67858.88855676711</v>
      </c>
      <c r="AQ78" s="8">
        <f t="shared" si="84"/>
        <v>63746.228644235765</v>
      </c>
      <c r="AR78" s="8">
        <f t="shared" si="84"/>
        <v>59633.568731704436</v>
      </c>
      <c r="AS78" s="8">
        <f t="shared" si="84"/>
        <v>55520.908819173092</v>
      </c>
      <c r="AT78" s="8">
        <f t="shared" si="84"/>
        <v>51408.248906641762</v>
      </c>
      <c r="AU78" s="8">
        <f t="shared" si="84"/>
        <v>47295.588994110418</v>
      </c>
      <c r="AV78" s="8">
        <f t="shared" si="84"/>
        <v>43182.929081579088</v>
      </c>
      <c r="AW78" s="8">
        <f t="shared" si="84"/>
        <v>39070.269169047751</v>
      </c>
      <c r="AX78" s="8">
        <f t="shared" si="84"/>
        <v>34957.609256516414</v>
      </c>
      <c r="AY78" s="8">
        <f t="shared" si="84"/>
        <v>30844.949343985074</v>
      </c>
      <c r="AZ78" s="8">
        <f t="shared" si="84"/>
        <v>26732.289431453744</v>
      </c>
      <c r="BA78" s="8">
        <f t="shared" si="84"/>
        <v>22619.629518922407</v>
      </c>
      <c r="BB78" s="8">
        <f t="shared" si="84"/>
        <v>18506.969606391071</v>
      </c>
      <c r="BC78" s="8">
        <f t="shared" si="84"/>
        <v>14394.309693859735</v>
      </c>
      <c r="BD78" s="8">
        <f t="shared" si="84"/>
        <v>10281.649781328402</v>
      </c>
      <c r="BE78" s="8">
        <f t="shared" si="84"/>
        <v>6168.9898687970644</v>
      </c>
      <c r="BF78" s="8">
        <f t="shared" si="84"/>
        <v>2056.3299562656885</v>
      </c>
      <c r="BG78" s="8">
        <f t="shared" si="84"/>
        <v>-2.0791776478290559E-11</v>
      </c>
      <c r="BH78" s="8">
        <f t="shared" si="84"/>
        <v>-2.0791776478290559E-11</v>
      </c>
      <c r="BI78" s="8">
        <f t="shared" si="84"/>
        <v>-2.0791776478290559E-11</v>
      </c>
      <c r="BJ78" s="8">
        <f t="shared" si="84"/>
        <v>-2.0791776478290559E-11</v>
      </c>
      <c r="BK78" s="8">
        <f t="shared" si="84"/>
        <v>-2.0791776478290559E-11</v>
      </c>
      <c r="BL78" s="8">
        <f t="shared" si="84"/>
        <v>-2.0791776478290559E-11</v>
      </c>
      <c r="BM78" s="8">
        <f t="shared" si="84"/>
        <v>-2.0791776478290559E-11</v>
      </c>
      <c r="BN78" s="8">
        <f t="shared" si="84"/>
        <v>-2.0791776478290559E-11</v>
      </c>
      <c r="BO78" s="8">
        <f t="shared" si="84"/>
        <v>-2.0791776478290559E-11</v>
      </c>
      <c r="BP78" s="8">
        <f t="shared" si="84"/>
        <v>-2.0791776478290559E-11</v>
      </c>
      <c r="BQ78" s="8">
        <f t="shared" si="84"/>
        <v>-2.0791776478290559E-11</v>
      </c>
      <c r="BR78" s="8">
        <f t="shared" si="84"/>
        <v>-2.0791776478290559E-11</v>
      </c>
      <c r="BS78" s="8">
        <f t="shared" si="84"/>
        <v>-2.0791776478290559E-11</v>
      </c>
      <c r="BT78" s="8">
        <f t="shared" si="84"/>
        <v>-2.0791776478290559E-11</v>
      </c>
      <c r="BU78" s="8">
        <f t="shared" ref="BU78:DA78" si="85">BU76*AVG_PRE_TAX_RATE</f>
        <v>-2.0791776478290559E-11</v>
      </c>
      <c r="BV78" s="8">
        <f t="shared" si="85"/>
        <v>-2.0791776478290559E-11</v>
      </c>
      <c r="BW78" s="8">
        <f t="shared" si="85"/>
        <v>-2.0791776478290559E-11</v>
      </c>
      <c r="BX78" s="8">
        <f t="shared" si="85"/>
        <v>-2.0791776478290559E-11</v>
      </c>
      <c r="BY78" s="8">
        <f t="shared" si="85"/>
        <v>-2.0791776478290559E-11</v>
      </c>
      <c r="BZ78" s="8">
        <f t="shared" si="85"/>
        <v>-2.0791776478290559E-11</v>
      </c>
      <c r="CA78" s="8">
        <f t="shared" si="85"/>
        <v>-2.0791776478290559E-11</v>
      </c>
      <c r="CB78" s="8">
        <f t="shared" si="85"/>
        <v>-2.0791776478290559E-11</v>
      </c>
      <c r="CC78" s="8">
        <f t="shared" si="85"/>
        <v>-2.0791776478290559E-11</v>
      </c>
      <c r="CD78" s="8">
        <f t="shared" si="85"/>
        <v>-2.0791776478290559E-11</v>
      </c>
      <c r="CE78" s="8">
        <f t="shared" si="85"/>
        <v>-2.0791776478290559E-11</v>
      </c>
      <c r="CF78" s="8">
        <f t="shared" si="85"/>
        <v>-2.0791776478290559E-11</v>
      </c>
      <c r="CG78" s="8">
        <f t="shared" si="85"/>
        <v>-2.0791776478290559E-11</v>
      </c>
      <c r="CH78" s="8">
        <f t="shared" si="85"/>
        <v>-2.0791776478290559E-11</v>
      </c>
      <c r="CI78" s="8">
        <f t="shared" si="85"/>
        <v>-2.0791776478290559E-11</v>
      </c>
      <c r="CJ78" s="8">
        <f t="shared" si="85"/>
        <v>-2.0791776478290559E-11</v>
      </c>
      <c r="CK78" s="8">
        <f t="shared" si="85"/>
        <v>-2.0791776478290559E-11</v>
      </c>
      <c r="CL78" s="8">
        <f t="shared" si="85"/>
        <v>-2.0791776478290559E-11</v>
      </c>
      <c r="CM78" s="8">
        <f t="shared" si="85"/>
        <v>-2.0791776478290559E-11</v>
      </c>
      <c r="CN78" s="8">
        <f t="shared" si="85"/>
        <v>-2.0791776478290559E-11</v>
      </c>
      <c r="CO78" s="8">
        <f t="shared" si="85"/>
        <v>-2.0791776478290559E-11</v>
      </c>
      <c r="CP78" s="8">
        <f t="shared" si="85"/>
        <v>-2.0791776478290559E-11</v>
      </c>
      <c r="CQ78" s="8">
        <f t="shared" si="85"/>
        <v>-2.0791776478290559E-11</v>
      </c>
      <c r="CR78" s="8">
        <f t="shared" si="85"/>
        <v>-2.0791776478290559E-11</v>
      </c>
      <c r="CS78" s="8">
        <f t="shared" si="85"/>
        <v>-2.0791776478290559E-11</v>
      </c>
      <c r="CT78" s="8">
        <f t="shared" si="85"/>
        <v>-2.0791776478290559E-11</v>
      </c>
      <c r="CU78" s="8">
        <f t="shared" si="85"/>
        <v>-2.0791776478290559E-11</v>
      </c>
      <c r="CV78" s="8">
        <f t="shared" si="85"/>
        <v>-2.0791776478290559E-11</v>
      </c>
      <c r="CW78" s="8">
        <f t="shared" si="85"/>
        <v>-2.0791776478290559E-11</v>
      </c>
      <c r="CX78" s="8">
        <f t="shared" si="85"/>
        <v>-2.0791776478290559E-11</v>
      </c>
      <c r="CY78" s="8">
        <f t="shared" si="85"/>
        <v>-2.0791776478290559E-11</v>
      </c>
      <c r="CZ78" s="8">
        <f t="shared" si="85"/>
        <v>-2.0791776478290559E-11</v>
      </c>
      <c r="DA78" s="8">
        <f t="shared" si="85"/>
        <v>-2.0791776478290559E-11</v>
      </c>
    </row>
    <row r="81" spans="3:106" x14ac:dyDescent="0.4">
      <c r="C81" s="58" t="str">
        <f>C64</f>
        <v>Investment year in service</v>
      </c>
      <c r="E81" t="str">
        <f>IF(E82&lt;$C82,"",E82-$C82)</f>
        <v/>
      </c>
      <c r="F81" t="str">
        <f>IF(F82&lt;$C82,"",F82-$C82)</f>
        <v/>
      </c>
      <c r="G81" t="str">
        <f t="shared" ref="G81:BR81" si="86">IF(G82&lt;$C82,"",G82-$C82)</f>
        <v/>
      </c>
      <c r="H81" t="str">
        <f t="shared" si="86"/>
        <v/>
      </c>
      <c r="I81">
        <f t="shared" si="86"/>
        <v>0</v>
      </c>
      <c r="J81">
        <f t="shared" si="86"/>
        <v>1</v>
      </c>
      <c r="K81">
        <f t="shared" si="86"/>
        <v>2</v>
      </c>
      <c r="L81">
        <f t="shared" si="86"/>
        <v>3</v>
      </c>
      <c r="M81">
        <f t="shared" si="86"/>
        <v>4</v>
      </c>
      <c r="N81">
        <f t="shared" si="86"/>
        <v>5</v>
      </c>
      <c r="O81">
        <f t="shared" si="86"/>
        <v>6</v>
      </c>
      <c r="P81">
        <f t="shared" si="86"/>
        <v>7</v>
      </c>
      <c r="Q81">
        <f t="shared" si="86"/>
        <v>8</v>
      </c>
      <c r="R81">
        <f t="shared" si="86"/>
        <v>9</v>
      </c>
      <c r="S81">
        <f t="shared" si="86"/>
        <v>10</v>
      </c>
      <c r="T81">
        <f t="shared" si="86"/>
        <v>11</v>
      </c>
      <c r="U81">
        <f t="shared" si="86"/>
        <v>12</v>
      </c>
      <c r="V81">
        <f t="shared" si="86"/>
        <v>13</v>
      </c>
      <c r="W81">
        <f t="shared" si="86"/>
        <v>14</v>
      </c>
      <c r="X81">
        <f t="shared" si="86"/>
        <v>15</v>
      </c>
      <c r="Y81">
        <f t="shared" si="86"/>
        <v>16</v>
      </c>
      <c r="Z81">
        <f t="shared" si="86"/>
        <v>17</v>
      </c>
      <c r="AA81">
        <f t="shared" si="86"/>
        <v>18</v>
      </c>
      <c r="AB81">
        <f t="shared" si="86"/>
        <v>19</v>
      </c>
      <c r="AC81">
        <f t="shared" si="86"/>
        <v>20</v>
      </c>
      <c r="AD81">
        <f t="shared" si="86"/>
        <v>21</v>
      </c>
      <c r="AE81">
        <f t="shared" si="86"/>
        <v>22</v>
      </c>
      <c r="AF81">
        <f t="shared" si="86"/>
        <v>23</v>
      </c>
      <c r="AG81">
        <f t="shared" si="86"/>
        <v>24</v>
      </c>
      <c r="AH81">
        <f t="shared" si="86"/>
        <v>25</v>
      </c>
      <c r="AI81">
        <f t="shared" si="86"/>
        <v>26</v>
      </c>
      <c r="AJ81">
        <f t="shared" si="86"/>
        <v>27</v>
      </c>
      <c r="AK81">
        <f t="shared" si="86"/>
        <v>28</v>
      </c>
      <c r="AL81">
        <f t="shared" si="86"/>
        <v>29</v>
      </c>
      <c r="AM81">
        <f t="shared" si="86"/>
        <v>30</v>
      </c>
      <c r="AN81">
        <f t="shared" si="86"/>
        <v>31</v>
      </c>
      <c r="AO81">
        <f t="shared" si="86"/>
        <v>32</v>
      </c>
      <c r="AP81">
        <f t="shared" si="86"/>
        <v>33</v>
      </c>
      <c r="AQ81">
        <f t="shared" si="86"/>
        <v>34</v>
      </c>
      <c r="AR81">
        <f t="shared" si="86"/>
        <v>35</v>
      </c>
      <c r="AS81">
        <f t="shared" si="86"/>
        <v>36</v>
      </c>
      <c r="AT81">
        <f t="shared" si="86"/>
        <v>37</v>
      </c>
      <c r="AU81">
        <f t="shared" si="86"/>
        <v>38</v>
      </c>
      <c r="AV81">
        <f t="shared" si="86"/>
        <v>39</v>
      </c>
      <c r="AW81">
        <f t="shared" si="86"/>
        <v>40</v>
      </c>
      <c r="AX81">
        <f t="shared" si="86"/>
        <v>41</v>
      </c>
      <c r="AY81">
        <f t="shared" si="86"/>
        <v>42</v>
      </c>
      <c r="AZ81">
        <f t="shared" si="86"/>
        <v>43</v>
      </c>
      <c r="BA81">
        <f t="shared" si="86"/>
        <v>44</v>
      </c>
      <c r="BB81">
        <f t="shared" si="86"/>
        <v>45</v>
      </c>
      <c r="BC81">
        <f t="shared" si="86"/>
        <v>46</v>
      </c>
      <c r="BD81">
        <f t="shared" si="86"/>
        <v>47</v>
      </c>
      <c r="BE81">
        <f t="shared" si="86"/>
        <v>48</v>
      </c>
      <c r="BF81">
        <f t="shared" si="86"/>
        <v>49</v>
      </c>
      <c r="BG81">
        <f t="shared" si="86"/>
        <v>50</v>
      </c>
      <c r="BH81">
        <f t="shared" si="86"/>
        <v>51</v>
      </c>
      <c r="BI81">
        <f t="shared" si="86"/>
        <v>52</v>
      </c>
      <c r="BJ81">
        <f t="shared" si="86"/>
        <v>53</v>
      </c>
      <c r="BK81">
        <f t="shared" si="86"/>
        <v>54</v>
      </c>
      <c r="BL81">
        <f t="shared" si="86"/>
        <v>55</v>
      </c>
      <c r="BM81">
        <f t="shared" si="86"/>
        <v>56</v>
      </c>
      <c r="BN81">
        <f t="shared" si="86"/>
        <v>57</v>
      </c>
      <c r="BO81">
        <f t="shared" si="86"/>
        <v>58</v>
      </c>
      <c r="BP81">
        <f t="shared" si="86"/>
        <v>59</v>
      </c>
      <c r="BQ81">
        <f t="shared" si="86"/>
        <v>60</v>
      </c>
      <c r="BR81">
        <f t="shared" si="86"/>
        <v>61</v>
      </c>
      <c r="BS81">
        <f t="shared" ref="BS81:DA81" si="87">IF(BS82&lt;$C82,"",BS82-$C82)</f>
        <v>62</v>
      </c>
      <c r="BT81">
        <f t="shared" si="87"/>
        <v>63</v>
      </c>
      <c r="BU81">
        <f t="shared" si="87"/>
        <v>64</v>
      </c>
      <c r="BV81">
        <f t="shared" si="87"/>
        <v>65</v>
      </c>
      <c r="BW81">
        <f t="shared" si="87"/>
        <v>66</v>
      </c>
      <c r="BX81">
        <f t="shared" si="87"/>
        <v>67</v>
      </c>
      <c r="BY81">
        <f t="shared" si="87"/>
        <v>68</v>
      </c>
      <c r="BZ81">
        <f t="shared" si="87"/>
        <v>69</v>
      </c>
      <c r="CA81">
        <f t="shared" si="87"/>
        <v>70</v>
      </c>
      <c r="CB81">
        <f t="shared" si="87"/>
        <v>71</v>
      </c>
      <c r="CC81">
        <f t="shared" si="87"/>
        <v>72</v>
      </c>
      <c r="CD81">
        <f t="shared" si="87"/>
        <v>73</v>
      </c>
      <c r="CE81">
        <f t="shared" si="87"/>
        <v>74</v>
      </c>
      <c r="CF81">
        <f t="shared" si="87"/>
        <v>75</v>
      </c>
      <c r="CG81">
        <f t="shared" si="87"/>
        <v>76</v>
      </c>
      <c r="CH81">
        <f t="shared" si="87"/>
        <v>77</v>
      </c>
      <c r="CI81">
        <f t="shared" si="87"/>
        <v>78</v>
      </c>
      <c r="CJ81">
        <f t="shared" si="87"/>
        <v>79</v>
      </c>
      <c r="CK81">
        <f t="shared" si="87"/>
        <v>80</v>
      </c>
      <c r="CL81">
        <f t="shared" si="87"/>
        <v>81</v>
      </c>
      <c r="CM81">
        <f t="shared" si="87"/>
        <v>82</v>
      </c>
      <c r="CN81">
        <f t="shared" si="87"/>
        <v>83</v>
      </c>
      <c r="CO81">
        <f t="shared" si="87"/>
        <v>84</v>
      </c>
      <c r="CP81">
        <f t="shared" si="87"/>
        <v>85</v>
      </c>
      <c r="CQ81">
        <f t="shared" si="87"/>
        <v>86</v>
      </c>
      <c r="CR81">
        <f t="shared" si="87"/>
        <v>87</v>
      </c>
      <c r="CS81">
        <f t="shared" si="87"/>
        <v>88</v>
      </c>
      <c r="CT81">
        <f t="shared" si="87"/>
        <v>89</v>
      </c>
      <c r="CU81">
        <f t="shared" si="87"/>
        <v>90</v>
      </c>
      <c r="CV81">
        <f t="shared" si="87"/>
        <v>91</v>
      </c>
      <c r="CW81">
        <f t="shared" si="87"/>
        <v>92</v>
      </c>
      <c r="CX81">
        <f t="shared" si="87"/>
        <v>93</v>
      </c>
      <c r="CY81">
        <f t="shared" si="87"/>
        <v>94</v>
      </c>
      <c r="CZ81">
        <f t="shared" si="87"/>
        <v>95</v>
      </c>
      <c r="DA81">
        <f t="shared" si="87"/>
        <v>96</v>
      </c>
    </row>
    <row r="82" spans="3:106" x14ac:dyDescent="0.4">
      <c r="C82">
        <f>C65+1</f>
        <v>2031</v>
      </c>
      <c r="D82" s="5" t="s">
        <v>434</v>
      </c>
      <c r="E82" s="5">
        <v>2027</v>
      </c>
      <c r="F82" s="5">
        <v>2028</v>
      </c>
      <c r="G82" s="5">
        <v>2029</v>
      </c>
      <c r="H82" s="5">
        <v>2030</v>
      </c>
      <c r="I82" s="5">
        <v>2031</v>
      </c>
      <c r="J82" s="5">
        <v>2032</v>
      </c>
      <c r="K82" s="5">
        <v>2033</v>
      </c>
      <c r="L82" s="5">
        <v>2034</v>
      </c>
      <c r="M82" s="5">
        <v>2035</v>
      </c>
      <c r="N82" s="5">
        <v>2036</v>
      </c>
      <c r="O82" s="5">
        <v>2037</v>
      </c>
      <c r="P82" s="5">
        <v>2038</v>
      </c>
      <c r="Q82" s="5">
        <v>2039</v>
      </c>
      <c r="R82" s="5">
        <v>2040</v>
      </c>
      <c r="S82" s="5">
        <v>2041</v>
      </c>
      <c r="T82" s="5">
        <v>2042</v>
      </c>
      <c r="U82" s="5">
        <v>2043</v>
      </c>
      <c r="V82" s="5">
        <v>2044</v>
      </c>
      <c r="W82" s="5">
        <v>2045</v>
      </c>
      <c r="X82" s="5">
        <v>2046</v>
      </c>
      <c r="Y82" s="5">
        <v>2047</v>
      </c>
      <c r="Z82" s="5">
        <v>2048</v>
      </c>
      <c r="AA82" s="5">
        <v>2049</v>
      </c>
      <c r="AB82" s="5">
        <v>2050</v>
      </c>
      <c r="AC82" s="5">
        <v>2051</v>
      </c>
      <c r="AD82" s="5">
        <v>2052</v>
      </c>
      <c r="AE82" s="5">
        <v>2053</v>
      </c>
      <c r="AF82" s="5">
        <v>2054</v>
      </c>
      <c r="AG82" s="5">
        <v>2055</v>
      </c>
      <c r="AH82" s="5">
        <v>2056</v>
      </c>
      <c r="AI82" s="5">
        <v>2057</v>
      </c>
      <c r="AJ82" s="5">
        <v>2058</v>
      </c>
      <c r="AK82" s="5">
        <v>2059</v>
      </c>
      <c r="AL82" s="5">
        <v>2060</v>
      </c>
      <c r="AM82" s="5">
        <v>2061</v>
      </c>
      <c r="AN82" s="5">
        <v>2062</v>
      </c>
      <c r="AO82" s="5">
        <v>2063</v>
      </c>
      <c r="AP82" s="5">
        <v>2064</v>
      </c>
      <c r="AQ82" s="5">
        <v>2065</v>
      </c>
      <c r="AR82" s="5">
        <v>2066</v>
      </c>
      <c r="AS82" s="5">
        <v>2067</v>
      </c>
      <c r="AT82" s="5">
        <v>2068</v>
      </c>
      <c r="AU82" s="5">
        <v>2069</v>
      </c>
      <c r="AV82" s="5">
        <v>2070</v>
      </c>
      <c r="AW82" s="5">
        <v>2071</v>
      </c>
      <c r="AX82" s="5">
        <v>2072</v>
      </c>
      <c r="AY82" s="5">
        <v>2073</v>
      </c>
      <c r="AZ82" s="5">
        <v>2074</v>
      </c>
      <c r="BA82" s="5">
        <v>2075</v>
      </c>
      <c r="BB82" s="5">
        <v>2076</v>
      </c>
      <c r="BC82" s="5">
        <v>2077</v>
      </c>
      <c r="BD82" s="5">
        <v>2078</v>
      </c>
      <c r="BE82" s="5">
        <v>2079</v>
      </c>
      <c r="BF82" s="5">
        <v>2080</v>
      </c>
      <c r="BG82" s="5">
        <v>2081</v>
      </c>
      <c r="BH82" s="5">
        <v>2082</v>
      </c>
      <c r="BI82" s="5">
        <v>2083</v>
      </c>
      <c r="BJ82" s="5">
        <v>2084</v>
      </c>
      <c r="BK82" s="5">
        <v>2085</v>
      </c>
      <c r="BL82" s="5">
        <v>2086</v>
      </c>
      <c r="BM82" s="5">
        <v>2087</v>
      </c>
      <c r="BN82" s="5">
        <v>2088</v>
      </c>
      <c r="BO82" s="5">
        <v>2089</v>
      </c>
      <c r="BP82" s="5">
        <v>2090</v>
      </c>
      <c r="BQ82" s="5">
        <v>2091</v>
      </c>
      <c r="BR82" s="5">
        <v>2092</v>
      </c>
      <c r="BS82" s="5">
        <v>2093</v>
      </c>
      <c r="BT82" s="5">
        <v>2094</v>
      </c>
      <c r="BU82" s="5">
        <v>2095</v>
      </c>
      <c r="BV82" s="5">
        <v>2096</v>
      </c>
      <c r="BW82" s="5">
        <v>2097</v>
      </c>
      <c r="BX82" s="5">
        <v>2098</v>
      </c>
      <c r="BY82" s="5">
        <v>2099</v>
      </c>
      <c r="BZ82" s="5">
        <v>2100</v>
      </c>
      <c r="CA82" s="5">
        <v>2101</v>
      </c>
      <c r="CB82" s="5">
        <v>2102</v>
      </c>
      <c r="CC82" s="5">
        <v>2103</v>
      </c>
      <c r="CD82" s="5">
        <v>2104</v>
      </c>
      <c r="CE82" s="5">
        <v>2105</v>
      </c>
      <c r="CF82" s="5">
        <v>2106</v>
      </c>
      <c r="CG82" s="5">
        <v>2107</v>
      </c>
      <c r="CH82" s="5">
        <v>2108</v>
      </c>
      <c r="CI82" s="5">
        <v>2109</v>
      </c>
      <c r="CJ82" s="5">
        <v>2110</v>
      </c>
      <c r="CK82" s="5">
        <v>2111</v>
      </c>
      <c r="CL82" s="5">
        <v>2112</v>
      </c>
      <c r="CM82" s="5">
        <v>2113</v>
      </c>
      <c r="CN82" s="5">
        <v>2114</v>
      </c>
      <c r="CO82" s="5">
        <v>2115</v>
      </c>
      <c r="CP82" s="5">
        <v>2116</v>
      </c>
      <c r="CQ82" s="5">
        <v>2117</v>
      </c>
      <c r="CR82" s="5">
        <v>2118</v>
      </c>
      <c r="CS82" s="5">
        <v>2119</v>
      </c>
      <c r="CT82" s="5">
        <v>2120</v>
      </c>
      <c r="CU82" s="5">
        <v>2121</v>
      </c>
      <c r="CV82" s="5">
        <v>2122</v>
      </c>
      <c r="CW82" s="5">
        <v>2123</v>
      </c>
      <c r="CX82" s="5">
        <v>2124</v>
      </c>
      <c r="CY82" s="5">
        <v>2125</v>
      </c>
      <c r="CZ82" s="5">
        <v>2126</v>
      </c>
      <c r="DA82" s="5">
        <v>2127</v>
      </c>
    </row>
    <row r="83" spans="3:106" x14ac:dyDescent="0.4">
      <c r="D83" t="s">
        <v>207</v>
      </c>
      <c r="J83" s="8">
        <f>IF(J$13&lt;=$B$3,J84/$B$3,0)</f>
        <v>65113.951170591572</v>
      </c>
      <c r="K83" s="8">
        <f>IF(K81&lt;=$B$3,J83,0)</f>
        <v>65113.951170591572</v>
      </c>
      <c r="L83" s="8">
        <f t="shared" ref="L83:BW83" si="88">IF(L81&lt;=$B$3,K83,0)</f>
        <v>65113.951170591572</v>
      </c>
      <c r="M83" s="8">
        <f t="shared" si="88"/>
        <v>65113.951170591572</v>
      </c>
      <c r="N83" s="8">
        <f t="shared" si="88"/>
        <v>65113.951170591572</v>
      </c>
      <c r="O83" s="8">
        <f t="shared" si="88"/>
        <v>65113.951170591572</v>
      </c>
      <c r="P83" s="8">
        <f t="shared" si="88"/>
        <v>65113.951170591572</v>
      </c>
      <c r="Q83" s="8">
        <f t="shared" si="88"/>
        <v>65113.951170591572</v>
      </c>
      <c r="R83" s="8">
        <f t="shared" si="88"/>
        <v>65113.951170591572</v>
      </c>
      <c r="S83" s="8">
        <f t="shared" si="88"/>
        <v>65113.951170591572</v>
      </c>
      <c r="T83" s="8">
        <f t="shared" si="88"/>
        <v>65113.951170591572</v>
      </c>
      <c r="U83" s="8">
        <f t="shared" si="88"/>
        <v>65113.951170591572</v>
      </c>
      <c r="V83" s="8">
        <f t="shared" si="88"/>
        <v>65113.951170591572</v>
      </c>
      <c r="W83" s="8">
        <f t="shared" si="88"/>
        <v>65113.951170591572</v>
      </c>
      <c r="X83" s="8">
        <f t="shared" si="88"/>
        <v>65113.951170591572</v>
      </c>
      <c r="Y83" s="8">
        <f t="shared" si="88"/>
        <v>65113.951170591572</v>
      </c>
      <c r="Z83" s="8">
        <f t="shared" si="88"/>
        <v>65113.951170591572</v>
      </c>
      <c r="AA83" s="8">
        <f t="shared" si="88"/>
        <v>65113.951170591572</v>
      </c>
      <c r="AB83" s="8">
        <f t="shared" si="88"/>
        <v>65113.951170591572</v>
      </c>
      <c r="AC83" s="8">
        <f t="shared" si="88"/>
        <v>65113.951170591572</v>
      </c>
      <c r="AD83" s="8">
        <f t="shared" si="88"/>
        <v>65113.951170591572</v>
      </c>
      <c r="AE83" s="8">
        <f t="shared" si="88"/>
        <v>65113.951170591572</v>
      </c>
      <c r="AF83" s="8">
        <f t="shared" si="88"/>
        <v>65113.951170591572</v>
      </c>
      <c r="AG83" s="8">
        <f t="shared" si="88"/>
        <v>65113.951170591572</v>
      </c>
      <c r="AH83" s="8">
        <f t="shared" si="88"/>
        <v>65113.951170591572</v>
      </c>
      <c r="AI83" s="8">
        <f t="shared" si="88"/>
        <v>65113.951170591572</v>
      </c>
      <c r="AJ83" s="8">
        <f t="shared" si="88"/>
        <v>65113.951170591572</v>
      </c>
      <c r="AK83" s="8">
        <f t="shared" si="88"/>
        <v>65113.951170591572</v>
      </c>
      <c r="AL83" s="8">
        <f t="shared" si="88"/>
        <v>65113.951170591572</v>
      </c>
      <c r="AM83" s="8">
        <f t="shared" si="88"/>
        <v>65113.951170591572</v>
      </c>
      <c r="AN83" s="8">
        <f t="shared" si="88"/>
        <v>65113.951170591572</v>
      </c>
      <c r="AO83" s="8">
        <f t="shared" si="88"/>
        <v>65113.951170591572</v>
      </c>
      <c r="AP83" s="8">
        <f t="shared" si="88"/>
        <v>65113.951170591572</v>
      </c>
      <c r="AQ83" s="8">
        <f t="shared" si="88"/>
        <v>65113.951170591572</v>
      </c>
      <c r="AR83" s="8">
        <f t="shared" si="88"/>
        <v>65113.951170591572</v>
      </c>
      <c r="AS83" s="8">
        <f t="shared" si="88"/>
        <v>65113.951170591572</v>
      </c>
      <c r="AT83" s="8">
        <f t="shared" si="88"/>
        <v>65113.951170591572</v>
      </c>
      <c r="AU83" s="8">
        <f t="shared" si="88"/>
        <v>65113.951170591572</v>
      </c>
      <c r="AV83" s="8">
        <f t="shared" si="88"/>
        <v>65113.951170591572</v>
      </c>
      <c r="AW83" s="8">
        <f t="shared" si="88"/>
        <v>65113.951170591572</v>
      </c>
      <c r="AX83" s="8">
        <f t="shared" si="88"/>
        <v>65113.951170591572</v>
      </c>
      <c r="AY83" s="8">
        <f t="shared" si="88"/>
        <v>65113.951170591572</v>
      </c>
      <c r="AZ83" s="8">
        <f t="shared" si="88"/>
        <v>65113.951170591572</v>
      </c>
      <c r="BA83" s="8">
        <f t="shared" si="88"/>
        <v>65113.951170591572</v>
      </c>
      <c r="BB83" s="8">
        <f t="shared" si="88"/>
        <v>65113.951170591572</v>
      </c>
      <c r="BC83" s="8">
        <f t="shared" si="88"/>
        <v>65113.951170591572</v>
      </c>
      <c r="BD83" s="8">
        <f t="shared" si="88"/>
        <v>65113.951170591572</v>
      </c>
      <c r="BE83" s="8">
        <f t="shared" si="88"/>
        <v>65113.951170591572</v>
      </c>
      <c r="BF83" s="8">
        <f t="shared" si="88"/>
        <v>65113.951170591572</v>
      </c>
      <c r="BG83" s="8">
        <f t="shared" si="88"/>
        <v>65113.951170591572</v>
      </c>
      <c r="BH83" s="8">
        <f t="shared" si="88"/>
        <v>0</v>
      </c>
      <c r="BI83" s="8">
        <f t="shared" si="88"/>
        <v>0</v>
      </c>
      <c r="BJ83" s="8">
        <f t="shared" si="88"/>
        <v>0</v>
      </c>
      <c r="BK83" s="8">
        <f t="shared" si="88"/>
        <v>0</v>
      </c>
      <c r="BL83" s="8">
        <f t="shared" si="88"/>
        <v>0</v>
      </c>
      <c r="BM83" s="8">
        <f t="shared" si="88"/>
        <v>0</v>
      </c>
      <c r="BN83" s="8">
        <f t="shared" si="88"/>
        <v>0</v>
      </c>
      <c r="BO83" s="8">
        <f t="shared" si="88"/>
        <v>0</v>
      </c>
      <c r="BP83" s="8">
        <f t="shared" si="88"/>
        <v>0</v>
      </c>
      <c r="BQ83" s="8">
        <f t="shared" si="88"/>
        <v>0</v>
      </c>
      <c r="BR83" s="8">
        <f t="shared" si="88"/>
        <v>0</v>
      </c>
      <c r="BS83" s="8">
        <f t="shared" si="88"/>
        <v>0</v>
      </c>
      <c r="BT83" s="8">
        <f t="shared" si="88"/>
        <v>0</v>
      </c>
      <c r="BU83" s="8">
        <f t="shared" si="88"/>
        <v>0</v>
      </c>
      <c r="BV83" s="8">
        <f t="shared" si="88"/>
        <v>0</v>
      </c>
      <c r="BW83" s="8">
        <f t="shared" si="88"/>
        <v>0</v>
      </c>
      <c r="BX83" s="8">
        <f t="shared" ref="BX83:DA83" si="89">IF(BX81&lt;=$B$3,BW83,0)</f>
        <v>0</v>
      </c>
      <c r="BY83" s="8">
        <f t="shared" si="89"/>
        <v>0</v>
      </c>
      <c r="BZ83" s="8">
        <f t="shared" si="89"/>
        <v>0</v>
      </c>
      <c r="CA83" s="8">
        <f t="shared" si="89"/>
        <v>0</v>
      </c>
      <c r="CB83" s="8">
        <f t="shared" si="89"/>
        <v>0</v>
      </c>
      <c r="CC83" s="8">
        <f t="shared" si="89"/>
        <v>0</v>
      </c>
      <c r="CD83" s="8">
        <f t="shared" si="89"/>
        <v>0</v>
      </c>
      <c r="CE83" s="8">
        <f t="shared" si="89"/>
        <v>0</v>
      </c>
      <c r="CF83" s="8">
        <f t="shared" si="89"/>
        <v>0</v>
      </c>
      <c r="CG83" s="8">
        <f t="shared" si="89"/>
        <v>0</v>
      </c>
      <c r="CH83" s="8">
        <f t="shared" si="89"/>
        <v>0</v>
      </c>
      <c r="CI83" s="8">
        <f t="shared" si="89"/>
        <v>0</v>
      </c>
      <c r="CJ83" s="8">
        <f t="shared" si="89"/>
        <v>0</v>
      </c>
      <c r="CK83" s="8">
        <f t="shared" si="89"/>
        <v>0</v>
      </c>
      <c r="CL83" s="8">
        <f t="shared" si="89"/>
        <v>0</v>
      </c>
      <c r="CM83" s="8">
        <f t="shared" si="89"/>
        <v>0</v>
      </c>
      <c r="CN83" s="8">
        <f t="shared" si="89"/>
        <v>0</v>
      </c>
      <c r="CO83" s="8">
        <f t="shared" si="89"/>
        <v>0</v>
      </c>
      <c r="CP83" s="8">
        <f t="shared" si="89"/>
        <v>0</v>
      </c>
      <c r="CQ83" s="8">
        <f t="shared" si="89"/>
        <v>0</v>
      </c>
      <c r="CR83" s="8">
        <f t="shared" si="89"/>
        <v>0</v>
      </c>
      <c r="CS83" s="8">
        <f t="shared" si="89"/>
        <v>0</v>
      </c>
      <c r="CT83" s="8">
        <f t="shared" si="89"/>
        <v>0</v>
      </c>
      <c r="CU83" s="8">
        <f t="shared" si="89"/>
        <v>0</v>
      </c>
      <c r="CV83" s="8">
        <f t="shared" si="89"/>
        <v>0</v>
      </c>
      <c r="CW83" s="8">
        <f t="shared" si="89"/>
        <v>0</v>
      </c>
      <c r="CX83" s="8">
        <f t="shared" si="89"/>
        <v>0</v>
      </c>
      <c r="CY83" s="8">
        <f t="shared" si="89"/>
        <v>0</v>
      </c>
      <c r="CZ83" s="8">
        <f t="shared" si="89"/>
        <v>0</v>
      </c>
      <c r="DA83" s="8">
        <f t="shared" si="89"/>
        <v>0</v>
      </c>
      <c r="DB83" s="8"/>
    </row>
    <row r="84" spans="3:106" x14ac:dyDescent="0.4">
      <c r="D84" t="s">
        <v>154</v>
      </c>
      <c r="I84" s="8">
        <f>HLOOKUP(J82,$F$3:$O$10,7,0)</f>
        <v>3255697.5585295786</v>
      </c>
      <c r="J84" s="8">
        <f>IF(ROUND(I85,4)=-ROUND(I84,4),0,I84)</f>
        <v>3255697.5585295786</v>
      </c>
      <c r="K84" s="8">
        <f t="shared" ref="K84:BV84" si="90">IF(ROUND(J85,4)=-ROUND(J84,4),0,J84)</f>
        <v>3255697.5585295786</v>
      </c>
      <c r="L84" s="8">
        <f t="shared" si="90"/>
        <v>3255697.5585295786</v>
      </c>
      <c r="M84" s="8">
        <f t="shared" si="90"/>
        <v>3255697.5585295786</v>
      </c>
      <c r="N84" s="8">
        <f t="shared" si="90"/>
        <v>3255697.5585295786</v>
      </c>
      <c r="O84" s="8">
        <f t="shared" si="90"/>
        <v>3255697.5585295786</v>
      </c>
      <c r="P84" s="8">
        <f t="shared" si="90"/>
        <v>3255697.5585295786</v>
      </c>
      <c r="Q84" s="8">
        <f t="shared" si="90"/>
        <v>3255697.5585295786</v>
      </c>
      <c r="R84" s="8">
        <f t="shared" si="90"/>
        <v>3255697.5585295786</v>
      </c>
      <c r="S84" s="8">
        <f t="shared" si="90"/>
        <v>3255697.5585295786</v>
      </c>
      <c r="T84" s="8">
        <f t="shared" si="90"/>
        <v>3255697.5585295786</v>
      </c>
      <c r="U84" s="8">
        <f t="shared" si="90"/>
        <v>3255697.5585295786</v>
      </c>
      <c r="V84" s="8">
        <f t="shared" si="90"/>
        <v>3255697.5585295786</v>
      </c>
      <c r="W84" s="8">
        <f t="shared" si="90"/>
        <v>3255697.5585295786</v>
      </c>
      <c r="X84" s="8">
        <f t="shared" si="90"/>
        <v>3255697.5585295786</v>
      </c>
      <c r="Y84" s="8">
        <f t="shared" si="90"/>
        <v>3255697.5585295786</v>
      </c>
      <c r="Z84" s="8">
        <f t="shared" si="90"/>
        <v>3255697.5585295786</v>
      </c>
      <c r="AA84" s="8">
        <f t="shared" si="90"/>
        <v>3255697.5585295786</v>
      </c>
      <c r="AB84" s="8">
        <f t="shared" si="90"/>
        <v>3255697.5585295786</v>
      </c>
      <c r="AC84" s="8">
        <f t="shared" si="90"/>
        <v>3255697.5585295786</v>
      </c>
      <c r="AD84" s="8">
        <f t="shared" si="90"/>
        <v>3255697.5585295786</v>
      </c>
      <c r="AE84" s="8">
        <f t="shared" si="90"/>
        <v>3255697.5585295786</v>
      </c>
      <c r="AF84" s="8">
        <f t="shared" si="90"/>
        <v>3255697.5585295786</v>
      </c>
      <c r="AG84" s="8">
        <f t="shared" si="90"/>
        <v>3255697.5585295786</v>
      </c>
      <c r="AH84" s="8">
        <f t="shared" si="90"/>
        <v>3255697.5585295786</v>
      </c>
      <c r="AI84" s="8">
        <f t="shared" si="90"/>
        <v>3255697.5585295786</v>
      </c>
      <c r="AJ84" s="8">
        <f t="shared" si="90"/>
        <v>3255697.5585295786</v>
      </c>
      <c r="AK84" s="8">
        <f t="shared" si="90"/>
        <v>3255697.5585295786</v>
      </c>
      <c r="AL84" s="8">
        <f t="shared" si="90"/>
        <v>3255697.5585295786</v>
      </c>
      <c r="AM84" s="8">
        <f t="shared" si="90"/>
        <v>3255697.5585295786</v>
      </c>
      <c r="AN84" s="8">
        <f t="shared" si="90"/>
        <v>3255697.5585295786</v>
      </c>
      <c r="AO84" s="8">
        <f t="shared" si="90"/>
        <v>3255697.5585295786</v>
      </c>
      <c r="AP84" s="8">
        <f t="shared" si="90"/>
        <v>3255697.5585295786</v>
      </c>
      <c r="AQ84" s="8">
        <f t="shared" si="90"/>
        <v>3255697.5585295786</v>
      </c>
      <c r="AR84" s="8">
        <f t="shared" si="90"/>
        <v>3255697.5585295786</v>
      </c>
      <c r="AS84" s="8">
        <f t="shared" si="90"/>
        <v>3255697.5585295786</v>
      </c>
      <c r="AT84" s="8">
        <f t="shared" si="90"/>
        <v>3255697.5585295786</v>
      </c>
      <c r="AU84" s="8">
        <f t="shared" si="90"/>
        <v>3255697.5585295786</v>
      </c>
      <c r="AV84" s="8">
        <f t="shared" si="90"/>
        <v>3255697.5585295786</v>
      </c>
      <c r="AW84" s="8">
        <f t="shared" si="90"/>
        <v>3255697.5585295786</v>
      </c>
      <c r="AX84" s="8">
        <f t="shared" si="90"/>
        <v>3255697.5585295786</v>
      </c>
      <c r="AY84" s="8">
        <f t="shared" si="90"/>
        <v>3255697.5585295786</v>
      </c>
      <c r="AZ84" s="8">
        <f t="shared" si="90"/>
        <v>3255697.5585295786</v>
      </c>
      <c r="BA84" s="8">
        <f t="shared" si="90"/>
        <v>3255697.5585295786</v>
      </c>
      <c r="BB84" s="8">
        <f t="shared" si="90"/>
        <v>3255697.5585295786</v>
      </c>
      <c r="BC84" s="8">
        <f t="shared" si="90"/>
        <v>3255697.5585295786</v>
      </c>
      <c r="BD84" s="8">
        <f t="shared" si="90"/>
        <v>3255697.5585295786</v>
      </c>
      <c r="BE84" s="8">
        <f t="shared" si="90"/>
        <v>3255697.5585295786</v>
      </c>
      <c r="BF84" s="8">
        <f t="shared" si="90"/>
        <v>3255697.5585295786</v>
      </c>
      <c r="BG84" s="8">
        <f t="shared" si="90"/>
        <v>3255697.5585295786</v>
      </c>
      <c r="BH84" s="8">
        <f t="shared" si="90"/>
        <v>0</v>
      </c>
      <c r="BI84" s="8">
        <f t="shared" si="90"/>
        <v>0</v>
      </c>
      <c r="BJ84" s="8">
        <f t="shared" si="90"/>
        <v>0</v>
      </c>
      <c r="BK84" s="8">
        <f t="shared" si="90"/>
        <v>0</v>
      </c>
      <c r="BL84" s="8">
        <f t="shared" si="90"/>
        <v>0</v>
      </c>
      <c r="BM84" s="8">
        <f t="shared" si="90"/>
        <v>0</v>
      </c>
      <c r="BN84" s="8">
        <f t="shared" si="90"/>
        <v>0</v>
      </c>
      <c r="BO84" s="8">
        <f t="shared" si="90"/>
        <v>0</v>
      </c>
      <c r="BP84" s="8">
        <f t="shared" si="90"/>
        <v>0</v>
      </c>
      <c r="BQ84" s="8">
        <f t="shared" si="90"/>
        <v>0</v>
      </c>
      <c r="BR84" s="8">
        <f t="shared" si="90"/>
        <v>0</v>
      </c>
      <c r="BS84" s="8">
        <f t="shared" si="90"/>
        <v>0</v>
      </c>
      <c r="BT84" s="8">
        <f t="shared" si="90"/>
        <v>0</v>
      </c>
      <c r="BU84" s="8">
        <f t="shared" si="90"/>
        <v>0</v>
      </c>
      <c r="BV84" s="8">
        <f t="shared" si="90"/>
        <v>0</v>
      </c>
      <c r="BW84" s="8">
        <f t="shared" ref="BW84:DA84" si="91">IF(ROUND(BV85,4)=-ROUND(BV84,4),0,BV84)</f>
        <v>0</v>
      </c>
      <c r="BX84" s="8">
        <f t="shared" si="91"/>
        <v>0</v>
      </c>
      <c r="BY84" s="8">
        <f t="shared" si="91"/>
        <v>0</v>
      </c>
      <c r="BZ84" s="8">
        <f t="shared" si="91"/>
        <v>0</v>
      </c>
      <c r="CA84" s="8">
        <f t="shared" si="91"/>
        <v>0</v>
      </c>
      <c r="CB84" s="8">
        <f t="shared" si="91"/>
        <v>0</v>
      </c>
      <c r="CC84" s="8">
        <f t="shared" si="91"/>
        <v>0</v>
      </c>
      <c r="CD84" s="8">
        <f t="shared" si="91"/>
        <v>0</v>
      </c>
      <c r="CE84" s="8">
        <f t="shared" si="91"/>
        <v>0</v>
      </c>
      <c r="CF84" s="8">
        <f t="shared" si="91"/>
        <v>0</v>
      </c>
      <c r="CG84" s="8">
        <f t="shared" si="91"/>
        <v>0</v>
      </c>
      <c r="CH84" s="8">
        <f t="shared" si="91"/>
        <v>0</v>
      </c>
      <c r="CI84" s="8">
        <f t="shared" si="91"/>
        <v>0</v>
      </c>
      <c r="CJ84" s="8">
        <f t="shared" si="91"/>
        <v>0</v>
      </c>
      <c r="CK84" s="8">
        <f t="shared" si="91"/>
        <v>0</v>
      </c>
      <c r="CL84" s="8">
        <f t="shared" si="91"/>
        <v>0</v>
      </c>
      <c r="CM84" s="8">
        <f t="shared" si="91"/>
        <v>0</v>
      </c>
      <c r="CN84" s="8">
        <f t="shared" si="91"/>
        <v>0</v>
      </c>
      <c r="CO84" s="8">
        <f t="shared" si="91"/>
        <v>0</v>
      </c>
      <c r="CP84" s="8">
        <f t="shared" si="91"/>
        <v>0</v>
      </c>
      <c r="CQ84" s="8">
        <f t="shared" si="91"/>
        <v>0</v>
      </c>
      <c r="CR84" s="8">
        <f t="shared" si="91"/>
        <v>0</v>
      </c>
      <c r="CS84" s="8">
        <f t="shared" si="91"/>
        <v>0</v>
      </c>
      <c r="CT84" s="8">
        <f t="shared" si="91"/>
        <v>0</v>
      </c>
      <c r="CU84" s="8">
        <f t="shared" si="91"/>
        <v>0</v>
      </c>
      <c r="CV84" s="8">
        <f t="shared" si="91"/>
        <v>0</v>
      </c>
      <c r="CW84" s="8">
        <f t="shared" si="91"/>
        <v>0</v>
      </c>
      <c r="CX84" s="8">
        <f t="shared" si="91"/>
        <v>0</v>
      </c>
      <c r="CY84" s="8">
        <f t="shared" si="91"/>
        <v>0</v>
      </c>
      <c r="CZ84" s="8">
        <f t="shared" si="91"/>
        <v>0</v>
      </c>
      <c r="DA84" s="8">
        <f t="shared" si="91"/>
        <v>0</v>
      </c>
      <c r="DB84" s="8"/>
    </row>
    <row r="85" spans="3:106" x14ac:dyDescent="0.4">
      <c r="D85" t="s">
        <v>208</v>
      </c>
      <c r="I85" s="8"/>
      <c r="J85" s="8">
        <f>IF(J81&lt;=$B$3,-SUM($E83:J83),0)</f>
        <v>-65113.951170591572</v>
      </c>
      <c r="K85" s="8">
        <f>IF(K81&lt;=$B$3,-SUM($E83:K83),0)</f>
        <v>-130227.90234118314</v>
      </c>
      <c r="L85" s="8">
        <f>IF(L81&lt;=$B$3,-SUM($E83:L83),0)</f>
        <v>-195341.85351177471</v>
      </c>
      <c r="M85" s="8">
        <f>IF(M81&lt;=$B$3,-SUM($E83:M83),0)</f>
        <v>-260455.80468236629</v>
      </c>
      <c r="N85" s="8">
        <f>IF(N81&lt;=$B$3,-SUM($E83:N83),0)</f>
        <v>-325569.75585295784</v>
      </c>
      <c r="O85" s="8">
        <f>IF(O81&lt;=$B$3,-SUM($E83:O83),0)</f>
        <v>-390683.70702354942</v>
      </c>
      <c r="P85" s="8">
        <f>IF(P81&lt;=$B$3,-SUM($E83:P83),0)</f>
        <v>-455797.658194141</v>
      </c>
      <c r="Q85" s="8">
        <f>IF(Q81&lt;=$B$3,-SUM($E83:Q83),0)</f>
        <v>-520911.60936473258</v>
      </c>
      <c r="R85" s="8">
        <f>IF(R81&lt;=$B$3,-SUM($E83:R83),0)</f>
        <v>-586025.56053532416</v>
      </c>
      <c r="S85" s="8">
        <f>IF(S81&lt;=$B$3,-SUM($E83:S83),0)</f>
        <v>-651139.51170591568</v>
      </c>
      <c r="T85" s="8">
        <f>IF(T81&lt;=$B$3,-SUM($E83:T83),0)</f>
        <v>-716253.4628765072</v>
      </c>
      <c r="U85" s="8">
        <f>IF(U81&lt;=$B$3,-SUM($E83:U83),0)</f>
        <v>-781367.41404709872</v>
      </c>
      <c r="V85" s="8">
        <f>IF(V81&lt;=$B$3,-SUM($E83:V83),0)</f>
        <v>-846481.36521769024</v>
      </c>
      <c r="W85" s="8">
        <f>IF(W81&lt;=$B$3,-SUM($E83:W83),0)</f>
        <v>-911595.31638828176</v>
      </c>
      <c r="X85" s="8">
        <f>IF(X81&lt;=$B$3,-SUM($E83:X83),0)</f>
        <v>-976709.26755887328</v>
      </c>
      <c r="Y85" s="8">
        <f>IF(Y81&lt;=$B$3,-SUM($E83:Y83),0)</f>
        <v>-1041823.2187294648</v>
      </c>
      <c r="Z85" s="8">
        <f>IF(Z81&lt;=$B$3,-SUM($E83:Z83),0)</f>
        <v>-1106937.1699000564</v>
      </c>
      <c r="AA85" s="8">
        <f>IF(AA81&lt;=$B$3,-SUM($E83:AA83),0)</f>
        <v>-1172051.1210706481</v>
      </c>
      <c r="AB85" s="8">
        <f>IF(AB81&lt;=$B$3,-SUM($E83:AB83),0)</f>
        <v>-1237165.0722412397</v>
      </c>
      <c r="AC85" s="8">
        <f>IF(AC81&lt;=$B$3,-SUM($E83:AC83),0)</f>
        <v>-1302279.0234118314</v>
      </c>
      <c r="AD85" s="8">
        <f>IF(AD81&lt;=$B$3,-SUM($E83:AD83),0)</f>
        <v>-1367392.974582423</v>
      </c>
      <c r="AE85" s="8">
        <f>IF(AE81&lt;=$B$3,-SUM($E83:AE83),0)</f>
        <v>-1432506.9257530146</v>
      </c>
      <c r="AF85" s="8">
        <f>IF(AF81&lt;=$B$3,-SUM($E83:AF83),0)</f>
        <v>-1497620.8769236063</v>
      </c>
      <c r="AG85" s="8">
        <f>IF(AG81&lt;=$B$3,-SUM($E83:AG83),0)</f>
        <v>-1562734.8280941979</v>
      </c>
      <c r="AH85" s="8">
        <f>IF(AH81&lt;=$B$3,-SUM($E83:AH83),0)</f>
        <v>-1627848.7792647895</v>
      </c>
      <c r="AI85" s="8">
        <f>IF(AI81&lt;=$B$3,-SUM($E83:AI83),0)</f>
        <v>-1692962.7304353812</v>
      </c>
      <c r="AJ85" s="8">
        <f>IF(AJ81&lt;=$B$3,-SUM($E83:AJ83),0)</f>
        <v>-1758076.6816059728</v>
      </c>
      <c r="AK85" s="8">
        <f>IF(AK81&lt;=$B$3,-SUM($E83:AK83),0)</f>
        <v>-1823190.6327765645</v>
      </c>
      <c r="AL85" s="8">
        <f>IF(AL81&lt;=$B$3,-SUM($E83:AL83),0)</f>
        <v>-1888304.5839471561</v>
      </c>
      <c r="AM85" s="8">
        <f>IF(AM81&lt;=$B$3,-SUM($E83:AM83),0)</f>
        <v>-1953418.5351177477</v>
      </c>
      <c r="AN85" s="8">
        <f>IF(AN81&lt;=$B$3,-SUM($E83:AN83),0)</f>
        <v>-2018532.4862883394</v>
      </c>
      <c r="AO85" s="8">
        <f>IF(AO81&lt;=$B$3,-SUM($E83:AO83),0)</f>
        <v>-2083646.437458931</v>
      </c>
      <c r="AP85" s="8">
        <f>IF(AP81&lt;=$B$3,-SUM($E83:AP83),0)</f>
        <v>-2148760.3886295226</v>
      </c>
      <c r="AQ85" s="8">
        <f>IF(AQ81&lt;=$B$3,-SUM($E83:AQ83),0)</f>
        <v>-2213874.3398001143</v>
      </c>
      <c r="AR85" s="8">
        <f>IF(AR81&lt;=$B$3,-SUM($E83:AR83),0)</f>
        <v>-2278988.2909707059</v>
      </c>
      <c r="AS85" s="8">
        <f>IF(AS81&lt;=$B$3,-SUM($E83:AS83),0)</f>
        <v>-2344102.2421412976</v>
      </c>
      <c r="AT85" s="8">
        <f>IF(AT81&lt;=$B$3,-SUM($E83:AT83),0)</f>
        <v>-2409216.1933118892</v>
      </c>
      <c r="AU85" s="8">
        <f>IF(AU81&lt;=$B$3,-SUM($E83:AU83),0)</f>
        <v>-2474330.1444824808</v>
      </c>
      <c r="AV85" s="8">
        <f>IF(AV81&lt;=$B$3,-SUM($E83:AV83),0)</f>
        <v>-2539444.0956530725</v>
      </c>
      <c r="AW85" s="8">
        <f>IF(AW81&lt;=$B$3,-SUM($E83:AW83),0)</f>
        <v>-2604558.0468236641</v>
      </c>
      <c r="AX85" s="8">
        <f>IF(AX81&lt;=$B$3,-SUM($E83:AX83),0)</f>
        <v>-2669671.9979942557</v>
      </c>
      <c r="AY85" s="8">
        <f>IF(AY81&lt;=$B$3,-SUM($E83:AY83),0)</f>
        <v>-2734785.9491648474</v>
      </c>
      <c r="AZ85" s="8">
        <f>IF(AZ81&lt;=$B$3,-SUM($E83:AZ83),0)</f>
        <v>-2799899.900335439</v>
      </c>
      <c r="BA85" s="8">
        <f>IF(BA81&lt;=$B$3,-SUM($E83:BA83),0)</f>
        <v>-2865013.8515060307</v>
      </c>
      <c r="BB85" s="8">
        <f>IF(BB81&lt;=$B$3,-SUM($E83:BB83),0)</f>
        <v>-2930127.8026766223</v>
      </c>
      <c r="BC85" s="8">
        <f>IF(BC81&lt;=$B$3,-SUM($E83:BC83),0)</f>
        <v>-2995241.7538472139</v>
      </c>
      <c r="BD85" s="8">
        <f>IF(BD81&lt;=$B$3,-SUM($E83:BD83),0)</f>
        <v>-3060355.7050178056</v>
      </c>
      <c r="BE85" s="8">
        <f>IF(BE81&lt;=$B$3,-SUM($E83:BE83),0)</f>
        <v>-3125469.6561883972</v>
      </c>
      <c r="BF85" s="8">
        <f>IF(BF81&lt;=$B$3,-SUM($E83:BF83),0)</f>
        <v>-3190583.6073589888</v>
      </c>
      <c r="BG85" s="8">
        <f>IF(BG81&lt;=$B$3,-SUM($E83:BG83),0)</f>
        <v>-3255697.5585295805</v>
      </c>
      <c r="BH85" s="8">
        <f>IF(BH81&lt;=$B$3,-SUM($E83:BH83),0)</f>
        <v>0</v>
      </c>
      <c r="BI85" s="8">
        <f>IF(BI81&lt;=$B$3,-SUM($E83:BI83),0)</f>
        <v>0</v>
      </c>
      <c r="BJ85" s="8">
        <f>IF(BJ81&lt;=$B$3,-SUM($E83:BJ83),0)</f>
        <v>0</v>
      </c>
      <c r="BK85" s="8">
        <f>IF(BK81&lt;=$B$3,-SUM($E83:BK83),0)</f>
        <v>0</v>
      </c>
      <c r="BL85" s="8">
        <f>IF(BL81&lt;=$B$3,-SUM($E83:BL83),0)</f>
        <v>0</v>
      </c>
      <c r="BM85" s="8">
        <f>IF(BM81&lt;=$B$3,-SUM($E83:BM83),0)</f>
        <v>0</v>
      </c>
      <c r="BN85" s="8">
        <f>IF(BN81&lt;=$B$3,-SUM($E83:BN83),0)</f>
        <v>0</v>
      </c>
      <c r="BO85" s="8">
        <f>IF(BO81&lt;=$B$3,-SUM($E83:BO83),0)</f>
        <v>0</v>
      </c>
      <c r="BP85" s="8">
        <f>IF(BP81&lt;=$B$3,-SUM($E83:BP83),0)</f>
        <v>0</v>
      </c>
      <c r="BQ85" s="8">
        <f>IF(BQ81&lt;=$B$3,-SUM($E83:BQ83),0)</f>
        <v>0</v>
      </c>
      <c r="BR85" s="8">
        <f>IF(BR81&lt;=$B$3,-SUM($E83:BR83),0)</f>
        <v>0</v>
      </c>
      <c r="BS85" s="8">
        <f>IF(BS81&lt;=$B$3,-SUM($E83:BS83),0)</f>
        <v>0</v>
      </c>
      <c r="BT85" s="8">
        <f>IF(BT81&lt;=$B$3,-SUM($E83:BT83),0)</f>
        <v>0</v>
      </c>
      <c r="BU85" s="8">
        <f>IF(BU81&lt;=$B$3,-SUM($E83:BU83),0)</f>
        <v>0</v>
      </c>
      <c r="BV85" s="8">
        <f>IF(BV81&lt;=$B$3,-SUM($E83:BV83),0)</f>
        <v>0</v>
      </c>
      <c r="BW85" s="8">
        <f>IF(BW81&lt;=$B$3,-SUM($E83:BW83),0)</f>
        <v>0</v>
      </c>
      <c r="BX85" s="8">
        <f>IF(BX81&lt;=$B$3,-SUM($E83:BX83),0)</f>
        <v>0</v>
      </c>
      <c r="BY85" s="8">
        <f>IF(BY81&lt;=$B$3,-SUM($E83:BY83),0)</f>
        <v>0</v>
      </c>
      <c r="BZ85" s="8">
        <f>IF(BZ81&lt;=$B$3,-SUM($E83:BZ83),0)</f>
        <v>0</v>
      </c>
      <c r="CA85" s="8">
        <f>IF(CA81&lt;=$B$3,-SUM($E83:CA83),0)</f>
        <v>0</v>
      </c>
      <c r="CB85" s="8">
        <f>IF(CB81&lt;=$B$3,-SUM($E83:CB83),0)</f>
        <v>0</v>
      </c>
      <c r="CC85" s="8">
        <f>IF(CC81&lt;=$B$3,-SUM($E83:CC83),0)</f>
        <v>0</v>
      </c>
      <c r="CD85" s="8">
        <f>IF(CD81&lt;=$B$3,-SUM($E83:CD83),0)</f>
        <v>0</v>
      </c>
      <c r="CE85" s="8">
        <f>IF(CE81&lt;=$B$3,-SUM($E83:CE83),0)</f>
        <v>0</v>
      </c>
      <c r="CF85" s="8">
        <f>IF(CF81&lt;=$B$3,-SUM($E83:CF83),0)</f>
        <v>0</v>
      </c>
      <c r="CG85" s="8">
        <f>IF(CG81&lt;=$B$3,-SUM($E83:CG83),0)</f>
        <v>0</v>
      </c>
      <c r="CH85" s="8">
        <f>IF(CH81&lt;=$B$3,-SUM($E83:CH83),0)</f>
        <v>0</v>
      </c>
      <c r="CI85" s="8">
        <f>IF(CI81&lt;=$B$3,-SUM($E83:CI83),0)</f>
        <v>0</v>
      </c>
      <c r="CJ85" s="8">
        <f>IF(CJ81&lt;=$B$3,-SUM($E83:CJ83),0)</f>
        <v>0</v>
      </c>
      <c r="CK85" s="8">
        <f>IF(CK81&lt;=$B$3,-SUM($E83:CK83),0)</f>
        <v>0</v>
      </c>
      <c r="CL85" s="8">
        <f>IF(CL81&lt;=$B$3,-SUM($E83:CL83),0)</f>
        <v>0</v>
      </c>
      <c r="CM85" s="8">
        <f>IF(CM81&lt;=$B$3,-SUM($E83:CM83),0)</f>
        <v>0</v>
      </c>
      <c r="CN85" s="8">
        <f>IF(CN81&lt;=$B$3,-SUM($E83:CN83),0)</f>
        <v>0</v>
      </c>
      <c r="CO85" s="8">
        <f>IF(CO81&lt;=$B$3,-SUM($E83:CO83),0)</f>
        <v>0</v>
      </c>
      <c r="CP85" s="8">
        <f>IF(CP81&lt;=$B$3,-SUM($E83:CP83),0)</f>
        <v>0</v>
      </c>
      <c r="CQ85" s="8">
        <f>IF(CQ81&lt;=$B$3,-SUM($E83:CQ83),0)</f>
        <v>0</v>
      </c>
      <c r="CR85" s="8">
        <f>IF(CR81&lt;=$B$3,-SUM($E83:CR83),0)</f>
        <v>0</v>
      </c>
      <c r="CS85" s="8">
        <f>IF(CS81&lt;=$B$3,-SUM($E83:CS83),0)</f>
        <v>0</v>
      </c>
      <c r="CT85" s="8">
        <f>IF(CT81&lt;=$B$3,-SUM($E83:CT83),0)</f>
        <v>0</v>
      </c>
      <c r="CU85" s="8">
        <f>IF(CU81&lt;=$B$3,-SUM($E83:CU83),0)</f>
        <v>0</v>
      </c>
      <c r="CV85" s="8">
        <f>IF(CV81&lt;=$B$3,-SUM($E83:CV83),0)</f>
        <v>0</v>
      </c>
      <c r="CW85" s="8">
        <f>IF(CW81&lt;=$B$3,-SUM($E83:CW83),0)</f>
        <v>0</v>
      </c>
      <c r="CX85" s="8">
        <f>IF(CX81&lt;=$B$3,-SUM($E83:CX83),0)</f>
        <v>0</v>
      </c>
      <c r="CY85" s="8">
        <f>IF(CY81&lt;=$B$3,-SUM($E83:CY83),0)</f>
        <v>0</v>
      </c>
      <c r="CZ85" s="8">
        <f>IF(CZ81&lt;=$B$3,-SUM($E83:CZ83),0)</f>
        <v>0</v>
      </c>
      <c r="DA85" s="8">
        <f>IF(DA81&lt;=$B$3,-SUM($E83:DA83),0)</f>
        <v>0</v>
      </c>
      <c r="DB85" s="8"/>
    </row>
    <row r="86" spans="3:106" x14ac:dyDescent="0.4">
      <c r="D86" t="s">
        <v>167</v>
      </c>
      <c r="I86" s="8"/>
      <c r="J86" s="8">
        <f>I87</f>
        <v>3255697.5585295786</v>
      </c>
      <c r="K86" s="8">
        <f t="shared" ref="K86:BV86" si="92">J87</f>
        <v>3190583.607358987</v>
      </c>
      <c r="L86" s="8">
        <f t="shared" si="92"/>
        <v>3125469.6561883953</v>
      </c>
      <c r="M86" s="8">
        <f t="shared" si="92"/>
        <v>3060355.7050178037</v>
      </c>
      <c r="N86" s="8">
        <f t="shared" si="92"/>
        <v>2995241.7538472125</v>
      </c>
      <c r="O86" s="8">
        <f t="shared" si="92"/>
        <v>2930127.8026766209</v>
      </c>
      <c r="P86" s="8">
        <f t="shared" si="92"/>
        <v>2865013.8515060293</v>
      </c>
      <c r="Q86" s="8">
        <f t="shared" si="92"/>
        <v>2799899.9003354376</v>
      </c>
      <c r="R86" s="8">
        <f t="shared" si="92"/>
        <v>2734785.949164846</v>
      </c>
      <c r="S86" s="8">
        <f t="shared" si="92"/>
        <v>2669671.9979942543</v>
      </c>
      <c r="T86" s="8">
        <f t="shared" si="92"/>
        <v>2604558.0468236627</v>
      </c>
      <c r="U86" s="8">
        <f t="shared" si="92"/>
        <v>2539444.0956530715</v>
      </c>
      <c r="V86" s="8">
        <f t="shared" si="92"/>
        <v>2474330.1444824799</v>
      </c>
      <c r="W86" s="8">
        <f t="shared" si="92"/>
        <v>2409216.1933118883</v>
      </c>
      <c r="X86" s="8">
        <f t="shared" si="92"/>
        <v>2344102.2421412971</v>
      </c>
      <c r="Y86" s="8">
        <f t="shared" si="92"/>
        <v>2278988.2909707054</v>
      </c>
      <c r="Z86" s="8">
        <f t="shared" si="92"/>
        <v>2213874.3398001138</v>
      </c>
      <c r="AA86" s="8">
        <f t="shared" si="92"/>
        <v>2148760.3886295222</v>
      </c>
      <c r="AB86" s="8">
        <f t="shared" si="92"/>
        <v>2083646.4374589305</v>
      </c>
      <c r="AC86" s="8">
        <f t="shared" si="92"/>
        <v>2018532.4862883389</v>
      </c>
      <c r="AD86" s="8">
        <f t="shared" si="92"/>
        <v>1953418.5351177473</v>
      </c>
      <c r="AE86" s="8">
        <f t="shared" si="92"/>
        <v>1888304.5839471556</v>
      </c>
      <c r="AF86" s="8">
        <f t="shared" si="92"/>
        <v>1823190.632776564</v>
      </c>
      <c r="AG86" s="8">
        <f t="shared" si="92"/>
        <v>1758076.6816059723</v>
      </c>
      <c r="AH86" s="8">
        <f t="shared" si="92"/>
        <v>1692962.7304353807</v>
      </c>
      <c r="AI86" s="8">
        <f t="shared" si="92"/>
        <v>1627848.7792647891</v>
      </c>
      <c r="AJ86" s="8">
        <f t="shared" si="92"/>
        <v>1562734.8280941974</v>
      </c>
      <c r="AK86" s="8">
        <f t="shared" si="92"/>
        <v>1497620.8769236058</v>
      </c>
      <c r="AL86" s="8">
        <f t="shared" si="92"/>
        <v>1432506.9257530142</v>
      </c>
      <c r="AM86" s="8">
        <f t="shared" si="92"/>
        <v>1367392.9745824225</v>
      </c>
      <c r="AN86" s="8">
        <f t="shared" si="92"/>
        <v>1302279.0234118309</v>
      </c>
      <c r="AO86" s="8">
        <f t="shared" si="92"/>
        <v>1237165.0722412392</v>
      </c>
      <c r="AP86" s="8">
        <f t="shared" si="92"/>
        <v>1172051.1210706476</v>
      </c>
      <c r="AQ86" s="8">
        <f t="shared" si="92"/>
        <v>1106937.169900056</v>
      </c>
      <c r="AR86" s="8">
        <f t="shared" si="92"/>
        <v>1041823.2187294643</v>
      </c>
      <c r="AS86" s="8">
        <f t="shared" si="92"/>
        <v>976709.2675588727</v>
      </c>
      <c r="AT86" s="8">
        <f t="shared" si="92"/>
        <v>911595.31638828106</v>
      </c>
      <c r="AU86" s="8">
        <f t="shared" si="92"/>
        <v>846481.36521768942</v>
      </c>
      <c r="AV86" s="8">
        <f t="shared" si="92"/>
        <v>781367.41404709779</v>
      </c>
      <c r="AW86" s="8">
        <f t="shared" si="92"/>
        <v>716253.46287650615</v>
      </c>
      <c r="AX86" s="8">
        <f t="shared" si="92"/>
        <v>651139.51170591451</v>
      </c>
      <c r="AY86" s="8">
        <f t="shared" si="92"/>
        <v>586025.56053532287</v>
      </c>
      <c r="AZ86" s="8">
        <f t="shared" si="92"/>
        <v>520911.60936473124</v>
      </c>
      <c r="BA86" s="8">
        <f t="shared" si="92"/>
        <v>455797.6581941396</v>
      </c>
      <c r="BB86" s="8">
        <f t="shared" si="92"/>
        <v>390683.70702354796</v>
      </c>
      <c r="BC86" s="8">
        <f t="shared" si="92"/>
        <v>325569.75585295632</v>
      </c>
      <c r="BD86" s="8">
        <f t="shared" si="92"/>
        <v>260455.80468236469</v>
      </c>
      <c r="BE86" s="8">
        <f t="shared" si="92"/>
        <v>195341.85351177305</v>
      </c>
      <c r="BF86" s="8">
        <f t="shared" si="92"/>
        <v>130227.90234118141</v>
      </c>
      <c r="BG86" s="8">
        <f t="shared" si="92"/>
        <v>65113.951170589775</v>
      </c>
      <c r="BH86" s="8">
        <f t="shared" si="92"/>
        <v>0</v>
      </c>
      <c r="BI86" s="8">
        <f t="shared" si="92"/>
        <v>0</v>
      </c>
      <c r="BJ86" s="8">
        <f t="shared" si="92"/>
        <v>0</v>
      </c>
      <c r="BK86" s="8">
        <f t="shared" si="92"/>
        <v>0</v>
      </c>
      <c r="BL86" s="8">
        <f t="shared" si="92"/>
        <v>0</v>
      </c>
      <c r="BM86" s="8">
        <f t="shared" si="92"/>
        <v>0</v>
      </c>
      <c r="BN86" s="8">
        <f t="shared" si="92"/>
        <v>0</v>
      </c>
      <c r="BO86" s="8">
        <f t="shared" si="92"/>
        <v>0</v>
      </c>
      <c r="BP86" s="8">
        <f t="shared" si="92"/>
        <v>0</v>
      </c>
      <c r="BQ86" s="8">
        <f t="shared" si="92"/>
        <v>0</v>
      </c>
      <c r="BR86" s="8">
        <f t="shared" si="92"/>
        <v>0</v>
      </c>
      <c r="BS86" s="8">
        <f t="shared" si="92"/>
        <v>0</v>
      </c>
      <c r="BT86" s="8">
        <f t="shared" si="92"/>
        <v>0</v>
      </c>
      <c r="BU86" s="8">
        <f t="shared" si="92"/>
        <v>0</v>
      </c>
      <c r="BV86" s="8">
        <f t="shared" si="92"/>
        <v>0</v>
      </c>
      <c r="BW86" s="8">
        <f t="shared" ref="BW86:DA86" si="93">BV87</f>
        <v>0</v>
      </c>
      <c r="BX86" s="8">
        <f t="shared" si="93"/>
        <v>0</v>
      </c>
      <c r="BY86" s="8">
        <f t="shared" si="93"/>
        <v>0</v>
      </c>
      <c r="BZ86" s="8">
        <f t="shared" si="93"/>
        <v>0</v>
      </c>
      <c r="CA86" s="8">
        <f t="shared" si="93"/>
        <v>0</v>
      </c>
      <c r="CB86" s="8">
        <f t="shared" si="93"/>
        <v>0</v>
      </c>
      <c r="CC86" s="8">
        <f t="shared" si="93"/>
        <v>0</v>
      </c>
      <c r="CD86" s="8">
        <f t="shared" si="93"/>
        <v>0</v>
      </c>
      <c r="CE86" s="8">
        <f t="shared" si="93"/>
        <v>0</v>
      </c>
      <c r="CF86" s="8">
        <f t="shared" si="93"/>
        <v>0</v>
      </c>
      <c r="CG86" s="8">
        <f t="shared" si="93"/>
        <v>0</v>
      </c>
      <c r="CH86" s="8">
        <f t="shared" si="93"/>
        <v>0</v>
      </c>
      <c r="CI86" s="8">
        <f t="shared" si="93"/>
        <v>0</v>
      </c>
      <c r="CJ86" s="8">
        <f t="shared" si="93"/>
        <v>0</v>
      </c>
      <c r="CK86" s="8">
        <f t="shared" si="93"/>
        <v>0</v>
      </c>
      <c r="CL86" s="8">
        <f t="shared" si="93"/>
        <v>0</v>
      </c>
      <c r="CM86" s="8">
        <f t="shared" si="93"/>
        <v>0</v>
      </c>
      <c r="CN86" s="8">
        <f t="shared" si="93"/>
        <v>0</v>
      </c>
      <c r="CO86" s="8">
        <f t="shared" si="93"/>
        <v>0</v>
      </c>
      <c r="CP86" s="8">
        <f t="shared" si="93"/>
        <v>0</v>
      </c>
      <c r="CQ86" s="8">
        <f t="shared" si="93"/>
        <v>0</v>
      </c>
      <c r="CR86" s="8">
        <f t="shared" si="93"/>
        <v>0</v>
      </c>
      <c r="CS86" s="8">
        <f t="shared" si="93"/>
        <v>0</v>
      </c>
      <c r="CT86" s="8">
        <f t="shared" si="93"/>
        <v>0</v>
      </c>
      <c r="CU86" s="8">
        <f t="shared" si="93"/>
        <v>0</v>
      </c>
      <c r="CV86" s="8">
        <f t="shared" si="93"/>
        <v>0</v>
      </c>
      <c r="CW86" s="8">
        <f t="shared" si="93"/>
        <v>0</v>
      </c>
      <c r="CX86" s="8">
        <f t="shared" si="93"/>
        <v>0</v>
      </c>
      <c r="CY86" s="8">
        <f t="shared" si="93"/>
        <v>0</v>
      </c>
      <c r="CZ86" s="8">
        <f t="shared" si="93"/>
        <v>0</v>
      </c>
      <c r="DA86" s="8">
        <f t="shared" si="93"/>
        <v>0</v>
      </c>
      <c r="DB86" s="8"/>
    </row>
    <row r="87" spans="3:106" x14ac:dyDescent="0.4">
      <c r="D87" t="s">
        <v>168</v>
      </c>
      <c r="I87" s="8">
        <f>I84+I85</f>
        <v>3255697.5585295786</v>
      </c>
      <c r="J87" s="8">
        <f>J84+J85</f>
        <v>3190583.607358987</v>
      </c>
      <c r="K87" s="8">
        <f t="shared" ref="K87:BV87" si="94">K84+K85</f>
        <v>3125469.6561883953</v>
      </c>
      <c r="L87" s="8">
        <f t="shared" si="94"/>
        <v>3060355.7050178037</v>
      </c>
      <c r="M87" s="8">
        <f t="shared" si="94"/>
        <v>2995241.7538472125</v>
      </c>
      <c r="N87" s="8">
        <f t="shared" si="94"/>
        <v>2930127.8026766209</v>
      </c>
      <c r="O87" s="8">
        <f t="shared" si="94"/>
        <v>2865013.8515060293</v>
      </c>
      <c r="P87" s="8">
        <f t="shared" si="94"/>
        <v>2799899.9003354376</v>
      </c>
      <c r="Q87" s="8">
        <f t="shared" si="94"/>
        <v>2734785.949164846</v>
      </c>
      <c r="R87" s="8">
        <f t="shared" si="94"/>
        <v>2669671.9979942543</v>
      </c>
      <c r="S87" s="8">
        <f t="shared" si="94"/>
        <v>2604558.0468236627</v>
      </c>
      <c r="T87" s="8">
        <f t="shared" si="94"/>
        <v>2539444.0956530715</v>
      </c>
      <c r="U87" s="8">
        <f t="shared" si="94"/>
        <v>2474330.1444824799</v>
      </c>
      <c r="V87" s="8">
        <f t="shared" si="94"/>
        <v>2409216.1933118883</v>
      </c>
      <c r="W87" s="8">
        <f t="shared" si="94"/>
        <v>2344102.2421412971</v>
      </c>
      <c r="X87" s="8">
        <f t="shared" si="94"/>
        <v>2278988.2909707054</v>
      </c>
      <c r="Y87" s="8">
        <f t="shared" si="94"/>
        <v>2213874.3398001138</v>
      </c>
      <c r="Z87" s="8">
        <f t="shared" si="94"/>
        <v>2148760.3886295222</v>
      </c>
      <c r="AA87" s="8">
        <f t="shared" si="94"/>
        <v>2083646.4374589305</v>
      </c>
      <c r="AB87" s="8">
        <f t="shared" si="94"/>
        <v>2018532.4862883389</v>
      </c>
      <c r="AC87" s="8">
        <f t="shared" si="94"/>
        <v>1953418.5351177473</v>
      </c>
      <c r="AD87" s="8">
        <f t="shared" si="94"/>
        <v>1888304.5839471556</v>
      </c>
      <c r="AE87" s="8">
        <f t="shared" si="94"/>
        <v>1823190.632776564</v>
      </c>
      <c r="AF87" s="8">
        <f t="shared" si="94"/>
        <v>1758076.6816059723</v>
      </c>
      <c r="AG87" s="8">
        <f t="shared" si="94"/>
        <v>1692962.7304353807</v>
      </c>
      <c r="AH87" s="8">
        <f t="shared" si="94"/>
        <v>1627848.7792647891</v>
      </c>
      <c r="AI87" s="8">
        <f t="shared" si="94"/>
        <v>1562734.8280941974</v>
      </c>
      <c r="AJ87" s="8">
        <f t="shared" si="94"/>
        <v>1497620.8769236058</v>
      </c>
      <c r="AK87" s="8">
        <f t="shared" si="94"/>
        <v>1432506.9257530142</v>
      </c>
      <c r="AL87" s="8">
        <f t="shared" si="94"/>
        <v>1367392.9745824225</v>
      </c>
      <c r="AM87" s="8">
        <f t="shared" si="94"/>
        <v>1302279.0234118309</v>
      </c>
      <c r="AN87" s="8">
        <f t="shared" si="94"/>
        <v>1237165.0722412392</v>
      </c>
      <c r="AO87" s="8">
        <f t="shared" si="94"/>
        <v>1172051.1210706476</v>
      </c>
      <c r="AP87" s="8">
        <f t="shared" si="94"/>
        <v>1106937.169900056</v>
      </c>
      <c r="AQ87" s="8">
        <f t="shared" si="94"/>
        <v>1041823.2187294643</v>
      </c>
      <c r="AR87" s="8">
        <f t="shared" si="94"/>
        <v>976709.2675588727</v>
      </c>
      <c r="AS87" s="8">
        <f t="shared" si="94"/>
        <v>911595.31638828106</v>
      </c>
      <c r="AT87" s="8">
        <f t="shared" si="94"/>
        <v>846481.36521768942</v>
      </c>
      <c r="AU87" s="8">
        <f t="shared" si="94"/>
        <v>781367.41404709779</v>
      </c>
      <c r="AV87" s="8">
        <f t="shared" si="94"/>
        <v>716253.46287650615</v>
      </c>
      <c r="AW87" s="8">
        <f t="shared" si="94"/>
        <v>651139.51170591451</v>
      </c>
      <c r="AX87" s="8">
        <f t="shared" si="94"/>
        <v>586025.56053532287</v>
      </c>
      <c r="AY87" s="8">
        <f t="shared" si="94"/>
        <v>520911.60936473124</v>
      </c>
      <c r="AZ87" s="8">
        <f t="shared" si="94"/>
        <v>455797.6581941396</v>
      </c>
      <c r="BA87" s="8">
        <f t="shared" si="94"/>
        <v>390683.70702354796</v>
      </c>
      <c r="BB87" s="8">
        <f t="shared" si="94"/>
        <v>325569.75585295632</v>
      </c>
      <c r="BC87" s="8">
        <f t="shared" si="94"/>
        <v>260455.80468236469</v>
      </c>
      <c r="BD87" s="8">
        <f t="shared" si="94"/>
        <v>195341.85351177305</v>
      </c>
      <c r="BE87" s="8">
        <f t="shared" si="94"/>
        <v>130227.90234118141</v>
      </c>
      <c r="BF87" s="8">
        <f t="shared" si="94"/>
        <v>65113.951170589775</v>
      </c>
      <c r="BG87" s="8">
        <f t="shared" si="94"/>
        <v>0</v>
      </c>
      <c r="BH87" s="8">
        <f t="shared" si="94"/>
        <v>0</v>
      </c>
      <c r="BI87" s="8">
        <f t="shared" si="94"/>
        <v>0</v>
      </c>
      <c r="BJ87" s="8">
        <f t="shared" si="94"/>
        <v>0</v>
      </c>
      <c r="BK87" s="8">
        <f t="shared" si="94"/>
        <v>0</v>
      </c>
      <c r="BL87" s="8">
        <f t="shared" si="94"/>
        <v>0</v>
      </c>
      <c r="BM87" s="8">
        <f t="shared" si="94"/>
        <v>0</v>
      </c>
      <c r="BN87" s="8">
        <f t="shared" si="94"/>
        <v>0</v>
      </c>
      <c r="BO87" s="8">
        <f t="shared" si="94"/>
        <v>0</v>
      </c>
      <c r="BP87" s="8">
        <f t="shared" si="94"/>
        <v>0</v>
      </c>
      <c r="BQ87" s="8">
        <f t="shared" si="94"/>
        <v>0</v>
      </c>
      <c r="BR87" s="8">
        <f t="shared" si="94"/>
        <v>0</v>
      </c>
      <c r="BS87" s="8">
        <f t="shared" si="94"/>
        <v>0</v>
      </c>
      <c r="BT87" s="8">
        <f t="shared" si="94"/>
        <v>0</v>
      </c>
      <c r="BU87" s="8">
        <f t="shared" si="94"/>
        <v>0</v>
      </c>
      <c r="BV87" s="8">
        <f t="shared" si="94"/>
        <v>0</v>
      </c>
      <c r="BW87" s="8">
        <f t="shared" ref="BW87:DA87" si="95">BW84+BW85</f>
        <v>0</v>
      </c>
      <c r="BX87" s="8">
        <f t="shared" si="95"/>
        <v>0</v>
      </c>
      <c r="BY87" s="8">
        <f t="shared" si="95"/>
        <v>0</v>
      </c>
      <c r="BZ87" s="8">
        <f t="shared" si="95"/>
        <v>0</v>
      </c>
      <c r="CA87" s="8">
        <f t="shared" si="95"/>
        <v>0</v>
      </c>
      <c r="CB87" s="8">
        <f t="shared" si="95"/>
        <v>0</v>
      </c>
      <c r="CC87" s="8">
        <f t="shared" si="95"/>
        <v>0</v>
      </c>
      <c r="CD87" s="8">
        <f t="shared" si="95"/>
        <v>0</v>
      </c>
      <c r="CE87" s="8">
        <f t="shared" si="95"/>
        <v>0</v>
      </c>
      <c r="CF87" s="8">
        <f t="shared" si="95"/>
        <v>0</v>
      </c>
      <c r="CG87" s="8">
        <f t="shared" si="95"/>
        <v>0</v>
      </c>
      <c r="CH87" s="8">
        <f t="shared" si="95"/>
        <v>0</v>
      </c>
      <c r="CI87" s="8">
        <f t="shared" si="95"/>
        <v>0</v>
      </c>
      <c r="CJ87" s="8">
        <f t="shared" si="95"/>
        <v>0</v>
      </c>
      <c r="CK87" s="8">
        <f t="shared" si="95"/>
        <v>0</v>
      </c>
      <c r="CL87" s="8">
        <f t="shared" si="95"/>
        <v>0</v>
      </c>
      <c r="CM87" s="8">
        <f t="shared" si="95"/>
        <v>0</v>
      </c>
      <c r="CN87" s="8">
        <f t="shared" si="95"/>
        <v>0</v>
      </c>
      <c r="CO87" s="8">
        <f t="shared" si="95"/>
        <v>0</v>
      </c>
      <c r="CP87" s="8">
        <f t="shared" si="95"/>
        <v>0</v>
      </c>
      <c r="CQ87" s="8">
        <f t="shared" si="95"/>
        <v>0</v>
      </c>
      <c r="CR87" s="8">
        <f t="shared" si="95"/>
        <v>0</v>
      </c>
      <c r="CS87" s="8">
        <f t="shared" si="95"/>
        <v>0</v>
      </c>
      <c r="CT87" s="8">
        <f t="shared" si="95"/>
        <v>0</v>
      </c>
      <c r="CU87" s="8">
        <f t="shared" si="95"/>
        <v>0</v>
      </c>
      <c r="CV87" s="8">
        <f t="shared" si="95"/>
        <v>0</v>
      </c>
      <c r="CW87" s="8">
        <f t="shared" si="95"/>
        <v>0</v>
      </c>
      <c r="CX87" s="8">
        <f t="shared" si="95"/>
        <v>0</v>
      </c>
      <c r="CY87" s="8">
        <f t="shared" si="95"/>
        <v>0</v>
      </c>
      <c r="CZ87" s="8">
        <f t="shared" si="95"/>
        <v>0</v>
      </c>
      <c r="DA87" s="8">
        <f t="shared" si="95"/>
        <v>0</v>
      </c>
      <c r="DB87" s="8"/>
    </row>
    <row r="88" spans="3:106" x14ac:dyDescent="0.4"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</row>
    <row r="89" spans="3:106" x14ac:dyDescent="0.4">
      <c r="D89" t="s">
        <v>169</v>
      </c>
      <c r="I89" s="8"/>
      <c r="J89" s="8">
        <f>IF(J81&lt;=$B$4+1,J84*VLOOKUP(J81,Assumptions!$A$70:$B$90,2,0),0)</f>
        <v>122088.65844485919</v>
      </c>
      <c r="K89" s="8">
        <f>IF(K81&lt;=$B$4+1,K84*VLOOKUP(K81,Assumptions!$A$70:$B$90,2,0),0)</f>
        <v>235028.80675025028</v>
      </c>
      <c r="L89" s="8">
        <f>IF(L81&lt;=$B$4+1,L84*VLOOKUP(L81,Assumptions!$A$70:$B$90,2,0),0)</f>
        <v>217382.92598301996</v>
      </c>
      <c r="M89" s="8">
        <f>IF(M81&lt;=$B$4+1,M84*VLOOKUP(M81,Assumptions!$A$70:$B$90,2,0),0)</f>
        <v>201104.43819037208</v>
      </c>
      <c r="N89" s="8">
        <f>IF(N81&lt;=$B$4+1,N84*VLOOKUP(N81,Assumptions!$A$70:$B$90,2,0),0)</f>
        <v>185998.00151879483</v>
      </c>
      <c r="O89" s="8">
        <f>IF(O81&lt;=$B$4+1,O84*VLOOKUP(O81,Assumptions!$A$70:$B$90,2,0),0)</f>
        <v>172063.61596828824</v>
      </c>
      <c r="P89" s="8">
        <f>IF(P81&lt;=$B$4+1,P84*VLOOKUP(P81,Assumptions!$A$70:$B$90,2,0),0)</f>
        <v>159138.4966609258</v>
      </c>
      <c r="Q89" s="8">
        <f>IF(Q81&lt;=$B$4+1,Q84*VLOOKUP(Q81,Assumptions!$A$70:$B$90,2,0),0)</f>
        <v>147222.64359670755</v>
      </c>
      <c r="R89" s="8">
        <f>IF(R81&lt;=$B$4+1,R84*VLOOKUP(R81,Assumptions!$A$70:$B$90,2,0),0)</f>
        <v>145269.22506158979</v>
      </c>
      <c r="S89" s="8">
        <f>IF(S81&lt;=$B$4+1,S84*VLOOKUP(S81,Assumptions!$A$70:$B$90,2,0),0)</f>
        <v>145236.6680860045</v>
      </c>
      <c r="T89" s="8">
        <f>IF(T81&lt;=$B$4+1,T84*VLOOKUP(T81,Assumptions!$A$70:$B$90,2,0),0)</f>
        <v>145269.22506158979</v>
      </c>
      <c r="U89" s="8">
        <f>IF(U81&lt;=$B$4+1,U84*VLOOKUP(U81,Assumptions!$A$70:$B$90,2,0),0)</f>
        <v>145236.6680860045</v>
      </c>
      <c r="V89" s="8">
        <f>IF(V81&lt;=$B$4+1,V84*VLOOKUP(V81,Assumptions!$A$70:$B$90,2,0),0)</f>
        <v>145269.22506158979</v>
      </c>
      <c r="W89" s="8">
        <f>IF(W81&lt;=$B$4+1,W84*VLOOKUP(W81,Assumptions!$A$70:$B$90,2,0),0)</f>
        <v>145236.6680860045</v>
      </c>
      <c r="X89" s="8">
        <f>IF(X81&lt;=$B$4+1,X84*VLOOKUP(X81,Assumptions!$A$70:$B$90,2,0),0)</f>
        <v>145269.22506158979</v>
      </c>
      <c r="Y89" s="8">
        <f>IF(Y81&lt;=$B$4+1,Y84*VLOOKUP(Y81,Assumptions!$A$70:$B$90,2,0),0)</f>
        <v>145236.6680860045</v>
      </c>
      <c r="Z89" s="8">
        <f>IF(Z81&lt;=$B$4+1,Z84*VLOOKUP(Z81,Assumptions!$A$70:$B$90,2,0),0)</f>
        <v>145269.22506158979</v>
      </c>
      <c r="AA89" s="8">
        <f>IF(AA81&lt;=$B$4+1,AA84*VLOOKUP(AA81,Assumptions!$A$70:$B$90,2,0),0)</f>
        <v>145236.6680860045</v>
      </c>
      <c r="AB89" s="8">
        <f>IF(AB81&lt;=$B$4+1,AB84*VLOOKUP(AB81,Assumptions!$A$70:$B$90,2,0),0)</f>
        <v>145269.22506158979</v>
      </c>
      <c r="AC89" s="8">
        <f>IF(AC81&lt;=$B$4+1,AC84*VLOOKUP(AC81,Assumptions!$A$70:$B$90,2,0),0)</f>
        <v>145236.6680860045</v>
      </c>
      <c r="AD89" s="8">
        <f>IF(AD81&lt;=$B$4+1,AD84*VLOOKUP(AD81,Assumptions!$A$70:$B$90,2,0),0)</f>
        <v>72634.612530794897</v>
      </c>
      <c r="AE89" s="8">
        <f>IF(AE81&lt;=$B$4+1,AE84*VLOOKUP(AE81,Assumptions!$A$70:$B$90,2,0),0)</f>
        <v>0</v>
      </c>
      <c r="AF89" s="8">
        <f>IF(AF81&lt;=$B$4+1,AF84*VLOOKUP(AF81,Assumptions!$A$70:$B$90,2,0),0)</f>
        <v>0</v>
      </c>
      <c r="AG89" s="8">
        <f>IF(AG81&lt;=$B$4+1,AG84*VLOOKUP(AG81,Assumptions!$A$70:$B$90,2,0),0)</f>
        <v>0</v>
      </c>
      <c r="AH89" s="8">
        <f>IF(AH81&lt;=$B$4+1,AH84*VLOOKUP(AH81,Assumptions!$A$70:$B$90,2,0),0)</f>
        <v>0</v>
      </c>
      <c r="AI89" s="8">
        <f>IF(AI81&lt;=$B$4+1,AI84*VLOOKUP(AI81,Assumptions!$A$70:$B$90,2,0),0)</f>
        <v>0</v>
      </c>
      <c r="AJ89" s="8">
        <f>IF(AJ81&lt;=$B$4+1,AJ84*VLOOKUP(AJ81,Assumptions!$A$70:$B$90,2,0),0)</f>
        <v>0</v>
      </c>
      <c r="AK89" s="8">
        <f>IF(AK81&lt;=$B$4+1,AK84*VLOOKUP(AK81,Assumptions!$A$70:$B$90,2,0),0)</f>
        <v>0</v>
      </c>
      <c r="AL89" s="8">
        <f>IF(AL81&lt;=$B$4+1,AL84*VLOOKUP(AL81,Assumptions!$A$70:$B$90,2,0),0)</f>
        <v>0</v>
      </c>
      <c r="AM89" s="8">
        <f>IF(AM81&lt;=$B$4+1,AM84*VLOOKUP(AM81,Assumptions!$A$70:$B$90,2,0),0)</f>
        <v>0</v>
      </c>
      <c r="AN89" s="8">
        <f>IF(AN81&lt;=$B$4+1,AN84*VLOOKUP(AN81,Assumptions!$A$70:$B$90,2,0),0)</f>
        <v>0</v>
      </c>
      <c r="AO89" s="8">
        <f>IF(AO81&lt;=$B$4+1,AO84*VLOOKUP(AO81,Assumptions!$A$70:$B$90,2,0),0)</f>
        <v>0</v>
      </c>
      <c r="AP89" s="8">
        <f>IF(AP81&lt;=$B$4+1,AP84*VLOOKUP(AP81,Assumptions!$A$70:$B$90,2,0),0)</f>
        <v>0</v>
      </c>
      <c r="AQ89" s="8">
        <f>IF(AQ81&lt;=$B$4+1,AQ84*VLOOKUP(AQ81,Assumptions!$A$70:$B$90,2,0),0)</f>
        <v>0</v>
      </c>
      <c r="AR89" s="8">
        <f>IF(AR81&lt;=$B$4+1,AR84*VLOOKUP(AR81,Assumptions!$A$70:$B$90,2,0),0)</f>
        <v>0</v>
      </c>
      <c r="AS89" s="8">
        <f>IF(AS81&lt;=$B$4+1,AS84*VLOOKUP(AS81,Assumptions!$A$70:$B$90,2,0),0)</f>
        <v>0</v>
      </c>
      <c r="AT89" s="8">
        <f>IF(AT81&lt;=$B$4+1,AT84*VLOOKUP(AT81,Assumptions!$A$70:$B$90,2,0),0)</f>
        <v>0</v>
      </c>
      <c r="AU89" s="8">
        <f>IF(AU81&lt;=$B$4+1,AU84*VLOOKUP(AU81,Assumptions!$A$70:$B$90,2,0),0)</f>
        <v>0</v>
      </c>
      <c r="AV89" s="8">
        <f>IF(AV81&lt;=$B$4+1,AV84*VLOOKUP(AV81,Assumptions!$A$70:$B$90,2,0),0)</f>
        <v>0</v>
      </c>
      <c r="AW89" s="8">
        <f>IF(AW81&lt;=$B$4+1,AW84*VLOOKUP(AW81,Assumptions!$A$70:$B$90,2,0),0)</f>
        <v>0</v>
      </c>
      <c r="AX89" s="8">
        <f>IF(AX81&lt;=$B$4+1,AX84*VLOOKUP(AX81,Assumptions!$A$70:$B$90,2,0),0)</f>
        <v>0</v>
      </c>
      <c r="AY89" s="8">
        <f>IF(AY81&lt;=$B$4+1,AY84*VLOOKUP(AY81,Assumptions!$A$70:$B$90,2,0),0)</f>
        <v>0</v>
      </c>
      <c r="AZ89" s="8">
        <f>IF(AZ81&lt;=$B$4+1,AZ84*VLOOKUP(AZ81,Assumptions!$A$70:$B$90,2,0),0)</f>
        <v>0</v>
      </c>
      <c r="BA89" s="8">
        <f>IF(BA81&lt;=$B$4+1,BA84*VLOOKUP(BA81,Assumptions!$A$70:$B$90,2,0),0)</f>
        <v>0</v>
      </c>
      <c r="BB89" s="8">
        <f>IF(BB81&lt;=$B$4+1,BB84*VLOOKUP(BB81,Assumptions!$A$70:$B$90,2,0),0)</f>
        <v>0</v>
      </c>
      <c r="BC89" s="8">
        <f>IF(BC81&lt;=$B$4+1,BC84*VLOOKUP(BC81,Assumptions!$A$70:$B$90,2,0),0)</f>
        <v>0</v>
      </c>
      <c r="BD89" s="8">
        <f>IF(BD81&lt;=$B$4+1,BD84*VLOOKUP(BD81,Assumptions!$A$70:$B$90,2,0),0)</f>
        <v>0</v>
      </c>
      <c r="BE89" s="8">
        <f>IF(BE81&lt;=$B$4+1,BE84*VLOOKUP(BE81,Assumptions!$A$70:$B$90,2,0),0)</f>
        <v>0</v>
      </c>
      <c r="BF89" s="8">
        <f>IF(BF81&lt;=$B$4+1,BF84*VLOOKUP(BF81,Assumptions!$A$70:$B$90,2,0),0)</f>
        <v>0</v>
      </c>
      <c r="BG89" s="8">
        <f>IF(BG81&lt;=$B$4+1,BG84*VLOOKUP(BG81,Assumptions!$A$70:$B$90,2,0),0)</f>
        <v>0</v>
      </c>
      <c r="BH89" s="8">
        <f>IF(BH81&lt;=$B$4+1,BH84*VLOOKUP(BH81,Assumptions!$A$70:$B$90,2,0),0)</f>
        <v>0</v>
      </c>
      <c r="BI89" s="8">
        <f>IF(BI81&lt;=$B$4+1,BI84*VLOOKUP(BI81,Assumptions!$A$70:$B$90,2,0),0)</f>
        <v>0</v>
      </c>
      <c r="BJ89" s="8">
        <f>IF(BJ81&lt;=$B$4+1,BJ84*VLOOKUP(BJ81,Assumptions!$A$70:$B$90,2,0),0)</f>
        <v>0</v>
      </c>
      <c r="BK89" s="8">
        <f>IF(BK81&lt;=$B$4+1,BK84*VLOOKUP(BK81,Assumptions!$A$70:$B$90,2,0),0)</f>
        <v>0</v>
      </c>
      <c r="BL89" s="8">
        <f>IF(BL81&lt;=$B$4+1,BL84*VLOOKUP(BL81,Assumptions!$A$70:$B$90,2,0),0)</f>
        <v>0</v>
      </c>
      <c r="BM89" s="8">
        <f>IF(BM81&lt;=$B$4+1,BM84*VLOOKUP(BM81,Assumptions!$A$70:$B$90,2,0),0)</f>
        <v>0</v>
      </c>
      <c r="BN89" s="8">
        <f>IF(BN81&lt;=$B$4+1,BN84*VLOOKUP(BN81,Assumptions!$A$70:$B$90,2,0),0)</f>
        <v>0</v>
      </c>
      <c r="BO89" s="8">
        <f>IF(BO81&lt;=$B$4+1,BO84*VLOOKUP(BO81,Assumptions!$A$70:$B$90,2,0),0)</f>
        <v>0</v>
      </c>
      <c r="BP89" s="8">
        <f>IF(BP81&lt;=$B$4+1,BP84*VLOOKUP(BP81,Assumptions!$A$70:$B$90,2,0),0)</f>
        <v>0</v>
      </c>
      <c r="BQ89" s="8">
        <f>IF(BQ81&lt;=$B$4+1,BQ84*VLOOKUP(BQ81,Assumptions!$A$70:$B$90,2,0),0)</f>
        <v>0</v>
      </c>
      <c r="BR89" s="8">
        <f>IF(BR81&lt;=$B$4+1,BR84*VLOOKUP(BR81,Assumptions!$A$70:$B$90,2,0),0)</f>
        <v>0</v>
      </c>
      <c r="BS89" s="8">
        <f>IF(BS81&lt;=$B$4+1,BS84*VLOOKUP(BS81,Assumptions!$A$70:$B$90,2,0),0)</f>
        <v>0</v>
      </c>
      <c r="BT89" s="8">
        <f>IF(BT81&lt;=$B$4+1,BT84*VLOOKUP(BT81,Assumptions!$A$70:$B$90,2,0),0)</f>
        <v>0</v>
      </c>
      <c r="BU89" s="8">
        <f>IF(BU81&lt;=$B$4+1,BU84*VLOOKUP(BU81,Assumptions!$A$70:$B$90,2,0),0)</f>
        <v>0</v>
      </c>
      <c r="BV89" s="8">
        <f>IF(BV81&lt;=$B$4+1,BV84*VLOOKUP(BV81,Assumptions!$A$70:$B$90,2,0),0)</f>
        <v>0</v>
      </c>
      <c r="BW89" s="8">
        <f>IF(BW81&lt;=$B$4+1,BW84*VLOOKUP(BW81,Assumptions!$A$70:$B$90,2,0),0)</f>
        <v>0</v>
      </c>
      <c r="BX89" s="8">
        <f>IF(BX81&lt;=$B$4+1,BX84*VLOOKUP(BX81,Assumptions!$A$70:$B$90,2,0),0)</f>
        <v>0</v>
      </c>
      <c r="BY89" s="8">
        <f>IF(BY81&lt;=$B$4+1,BY84*VLOOKUP(BY81,Assumptions!$A$70:$B$90,2,0),0)</f>
        <v>0</v>
      </c>
      <c r="BZ89" s="8">
        <f>IF(BZ81&lt;=$B$4+1,BZ84*VLOOKUP(BZ81,Assumptions!$A$70:$B$90,2,0),0)</f>
        <v>0</v>
      </c>
      <c r="CA89" s="8">
        <f>IF(CA81&lt;=$B$4+1,CA84*VLOOKUP(CA81,Assumptions!$A$70:$B$90,2,0),0)</f>
        <v>0</v>
      </c>
      <c r="CB89" s="8">
        <f>IF(CB81&lt;=$B$4+1,CB84*VLOOKUP(CB81,Assumptions!$A$70:$B$90,2,0),0)</f>
        <v>0</v>
      </c>
      <c r="CC89" s="8">
        <f>IF(CC81&lt;=$B$4+1,CC84*VLOOKUP(CC81,Assumptions!$A$70:$B$90,2,0),0)</f>
        <v>0</v>
      </c>
      <c r="CD89" s="8">
        <f>IF(CD81&lt;=$B$4+1,CD84*VLOOKUP(CD81,Assumptions!$A$70:$B$90,2,0),0)</f>
        <v>0</v>
      </c>
      <c r="CE89" s="8">
        <f>IF(CE81&lt;=$B$4+1,CE84*VLOOKUP(CE81,Assumptions!$A$70:$B$90,2,0),0)</f>
        <v>0</v>
      </c>
      <c r="CF89" s="8">
        <f>IF(CF81&lt;=$B$4+1,CF84*VLOOKUP(CF81,Assumptions!$A$70:$B$90,2,0),0)</f>
        <v>0</v>
      </c>
      <c r="CG89" s="8">
        <f>IF(CG81&lt;=$B$4+1,CG84*VLOOKUP(CG81,Assumptions!$A$70:$B$90,2,0),0)</f>
        <v>0</v>
      </c>
      <c r="CH89" s="8">
        <f>IF(CH81&lt;=$B$4+1,CH84*VLOOKUP(CH81,Assumptions!$A$70:$B$90,2,0),0)</f>
        <v>0</v>
      </c>
      <c r="CI89" s="8">
        <f>IF(CI81&lt;=$B$4+1,CI84*VLOOKUP(CI81,Assumptions!$A$70:$B$90,2,0),0)</f>
        <v>0</v>
      </c>
      <c r="CJ89" s="8">
        <f>IF(CJ81&lt;=$B$4+1,CJ84*VLOOKUP(CJ81,Assumptions!$A$70:$B$90,2,0),0)</f>
        <v>0</v>
      </c>
      <c r="CK89" s="8">
        <f>IF(CK81&lt;=$B$4+1,CK84*VLOOKUP(CK81,Assumptions!$A$70:$B$90,2,0),0)</f>
        <v>0</v>
      </c>
      <c r="CL89" s="8">
        <f>IF(CL81&lt;=$B$4+1,CL84*VLOOKUP(CL81,Assumptions!$A$70:$B$90,2,0),0)</f>
        <v>0</v>
      </c>
      <c r="CM89" s="8">
        <f>IF(CM81&lt;=$B$4+1,CM84*VLOOKUP(CM81,Assumptions!$A$70:$B$90,2,0),0)</f>
        <v>0</v>
      </c>
      <c r="CN89" s="8">
        <f>IF(CN81&lt;=$B$4+1,CN84*VLOOKUP(CN81,Assumptions!$A$70:$B$90,2,0),0)</f>
        <v>0</v>
      </c>
      <c r="CO89" s="8">
        <f>IF(CO81&lt;=$B$4+1,CO84*VLOOKUP(CO81,Assumptions!$A$70:$B$90,2,0),0)</f>
        <v>0</v>
      </c>
      <c r="CP89" s="8">
        <f>IF(CP81&lt;=$B$4+1,CP84*VLOOKUP(CP81,Assumptions!$A$70:$B$90,2,0),0)</f>
        <v>0</v>
      </c>
      <c r="CQ89" s="8">
        <f>IF(CQ81&lt;=$B$4+1,CQ84*VLOOKUP(CQ81,Assumptions!$A$70:$B$90,2,0),0)</f>
        <v>0</v>
      </c>
      <c r="CR89" s="8">
        <f>IF(CR81&lt;=$B$4+1,CR84*VLOOKUP(CR81,Assumptions!$A$70:$B$90,2,0),0)</f>
        <v>0</v>
      </c>
      <c r="CS89" s="8">
        <f>IF(CS81&lt;=$B$4+1,CS84*VLOOKUP(CS81,Assumptions!$A$70:$B$90,2,0),0)</f>
        <v>0</v>
      </c>
      <c r="CT89" s="8">
        <f>IF(CT81&lt;=$B$4+1,CT84*VLOOKUP(CT81,Assumptions!$A$70:$B$90,2,0),0)</f>
        <v>0</v>
      </c>
      <c r="CU89" s="8">
        <f>IF(CU81&lt;=$B$4+1,CU84*VLOOKUP(CU81,Assumptions!$A$70:$B$90,2,0),0)</f>
        <v>0</v>
      </c>
      <c r="CV89" s="8">
        <f>IF(CV81&lt;=$B$4+1,CV84*VLOOKUP(CV81,Assumptions!$A$70:$B$90,2,0),0)</f>
        <v>0</v>
      </c>
      <c r="CW89" s="8">
        <f>IF(CW81&lt;=$B$4+1,CW84*VLOOKUP(CW81,Assumptions!$A$70:$B$90,2,0),0)</f>
        <v>0</v>
      </c>
      <c r="CX89" s="8">
        <f>IF(CX81&lt;=$B$4+1,CX84*VLOOKUP(CX81,Assumptions!$A$70:$B$90,2,0),0)</f>
        <v>0</v>
      </c>
      <c r="CY89" s="8">
        <f>IF(CY81&lt;=$B$4+1,CY84*VLOOKUP(CY81,Assumptions!$A$70:$B$90,2,0),0)</f>
        <v>0</v>
      </c>
      <c r="CZ89" s="8">
        <f>IF(CZ81&lt;=$B$4+1,CZ84*VLOOKUP(CZ81,Assumptions!$A$70:$B$90,2,0),0)</f>
        <v>0</v>
      </c>
      <c r="DA89" s="8">
        <f>IF(DA81&lt;=$B$4+1,DA84*VLOOKUP(DA81,Assumptions!$A$70:$B$90,2,0),0)</f>
        <v>0</v>
      </c>
      <c r="DB89" s="8"/>
    </row>
    <row r="90" spans="3:106" x14ac:dyDescent="0.4">
      <c r="D90" t="s">
        <v>170</v>
      </c>
      <c r="I90" s="8"/>
      <c r="J90" s="8">
        <f>I91</f>
        <v>0</v>
      </c>
      <c r="K90" s="8">
        <f t="shared" ref="K90:BV90" si="96">J91</f>
        <v>-15790.54012106327</v>
      </c>
      <c r="L90" s="8">
        <f t="shared" si="96"/>
        <v>-62882.442344965682</v>
      </c>
      <c r="M90" s="8">
        <f t="shared" si="96"/>
        <v>-105083.78871423021</v>
      </c>
      <c r="N90" s="8">
        <f t="shared" si="96"/>
        <v>-142773.55219176237</v>
      </c>
      <c r="O90" s="8">
        <f t="shared" si="96"/>
        <v>-176276.5667457669</v>
      </c>
      <c r="P90" s="8">
        <f t="shared" si="96"/>
        <v>-205917.66634444855</v>
      </c>
      <c r="Q90" s="8">
        <f t="shared" si="96"/>
        <v>-231976.56912709467</v>
      </c>
      <c r="R90" s="8">
        <f t="shared" si="96"/>
        <v>-254732.99323299271</v>
      </c>
      <c r="S90" s="8">
        <f t="shared" si="96"/>
        <v>-276948.02739188285</v>
      </c>
      <c r="T90" s="8">
        <f t="shared" si="96"/>
        <v>-299154.03838498954</v>
      </c>
      <c r="U90" s="8">
        <f t="shared" si="96"/>
        <v>-321369.07254387968</v>
      </c>
      <c r="V90" s="8">
        <f t="shared" si="96"/>
        <v>-343575.08353698638</v>
      </c>
      <c r="W90" s="8">
        <f t="shared" si="96"/>
        <v>-365790.11769587651</v>
      </c>
      <c r="X90" s="8">
        <f t="shared" si="96"/>
        <v>-387996.12868898321</v>
      </c>
      <c r="Y90" s="8">
        <f t="shared" si="96"/>
        <v>-410211.16284787335</v>
      </c>
      <c r="Z90" s="8">
        <f t="shared" si="96"/>
        <v>-432417.17384098005</v>
      </c>
      <c r="AA90" s="8">
        <f t="shared" si="96"/>
        <v>-454632.20799987018</v>
      </c>
      <c r="AB90" s="8">
        <f t="shared" si="96"/>
        <v>-476838.21899297688</v>
      </c>
      <c r="AC90" s="8">
        <f t="shared" si="96"/>
        <v>-499053.25315186701</v>
      </c>
      <c r="AD90" s="8">
        <f t="shared" si="96"/>
        <v>-521259.26414497371</v>
      </c>
      <c r="AE90" s="8">
        <f t="shared" si="96"/>
        <v>-523343.61544095405</v>
      </c>
      <c r="AF90" s="8">
        <f t="shared" si="96"/>
        <v>-505297.28387402458</v>
      </c>
      <c r="AG90" s="8">
        <f t="shared" si="96"/>
        <v>-487250.95230709511</v>
      </c>
      <c r="AH90" s="8">
        <f t="shared" si="96"/>
        <v>-469204.62074016564</v>
      </c>
      <c r="AI90" s="8">
        <f t="shared" si="96"/>
        <v>-451158.28917323617</v>
      </c>
      <c r="AJ90" s="8">
        <f t="shared" si="96"/>
        <v>-433111.95760630671</v>
      </c>
      <c r="AK90" s="8">
        <f t="shared" si="96"/>
        <v>-415065.62603937724</v>
      </c>
      <c r="AL90" s="8">
        <f t="shared" si="96"/>
        <v>-397019.29447244777</v>
      </c>
      <c r="AM90" s="8">
        <f t="shared" si="96"/>
        <v>-378972.9629055183</v>
      </c>
      <c r="AN90" s="8">
        <f t="shared" si="96"/>
        <v>-360926.63133858884</v>
      </c>
      <c r="AO90" s="8">
        <f t="shared" si="96"/>
        <v>-342880.29977165937</v>
      </c>
      <c r="AP90" s="8">
        <f t="shared" si="96"/>
        <v>-324833.9682047299</v>
      </c>
      <c r="AQ90" s="8">
        <f t="shared" si="96"/>
        <v>-306787.63663780043</v>
      </c>
      <c r="AR90" s="8">
        <f t="shared" si="96"/>
        <v>-288741.30507087096</v>
      </c>
      <c r="AS90" s="8">
        <f t="shared" si="96"/>
        <v>-270694.9735039415</v>
      </c>
      <c r="AT90" s="8">
        <f t="shared" si="96"/>
        <v>-252648.64193701203</v>
      </c>
      <c r="AU90" s="8">
        <f t="shared" si="96"/>
        <v>-234602.31037008256</v>
      </c>
      <c r="AV90" s="8">
        <f t="shared" si="96"/>
        <v>-216555.97880315309</v>
      </c>
      <c r="AW90" s="8">
        <f t="shared" si="96"/>
        <v>-198509.64723622362</v>
      </c>
      <c r="AX90" s="8">
        <f t="shared" si="96"/>
        <v>-180463.31566929416</v>
      </c>
      <c r="AY90" s="8">
        <f t="shared" si="96"/>
        <v>-162416.98410236469</v>
      </c>
      <c r="AZ90" s="8">
        <f t="shared" si="96"/>
        <v>-144370.65253543522</v>
      </c>
      <c r="BA90" s="8">
        <f t="shared" si="96"/>
        <v>-126324.32096850577</v>
      </c>
      <c r="BB90" s="8">
        <f t="shared" si="96"/>
        <v>-108277.98940157631</v>
      </c>
      <c r="BC90" s="8">
        <f t="shared" si="96"/>
        <v>-90231.65783464686</v>
      </c>
      <c r="BD90" s="8">
        <f t="shared" si="96"/>
        <v>-72185.326267717406</v>
      </c>
      <c r="BE90" s="8">
        <f t="shared" si="96"/>
        <v>-54138.994700787953</v>
      </c>
      <c r="BF90" s="8">
        <f t="shared" si="96"/>
        <v>-36092.663133858499</v>
      </c>
      <c r="BG90" s="8">
        <f t="shared" si="96"/>
        <v>-18046.331566929046</v>
      </c>
      <c r="BH90" s="8">
        <f t="shared" si="96"/>
        <v>4.0745362639427185E-10</v>
      </c>
      <c r="BI90" s="8">
        <f t="shared" si="96"/>
        <v>4.0745362639427185E-10</v>
      </c>
      <c r="BJ90" s="8">
        <f t="shared" si="96"/>
        <v>4.0745362639427185E-10</v>
      </c>
      <c r="BK90" s="8">
        <f t="shared" si="96"/>
        <v>4.0745362639427185E-10</v>
      </c>
      <c r="BL90" s="8">
        <f t="shared" si="96"/>
        <v>4.0745362639427185E-10</v>
      </c>
      <c r="BM90" s="8">
        <f t="shared" si="96"/>
        <v>4.0745362639427185E-10</v>
      </c>
      <c r="BN90" s="8">
        <f t="shared" si="96"/>
        <v>4.0745362639427185E-10</v>
      </c>
      <c r="BO90" s="8">
        <f t="shared" si="96"/>
        <v>4.0745362639427185E-10</v>
      </c>
      <c r="BP90" s="8">
        <f t="shared" si="96"/>
        <v>4.0745362639427185E-10</v>
      </c>
      <c r="BQ90" s="8">
        <f t="shared" si="96"/>
        <v>4.0745362639427185E-10</v>
      </c>
      <c r="BR90" s="8">
        <f t="shared" si="96"/>
        <v>4.0745362639427185E-10</v>
      </c>
      <c r="BS90" s="8">
        <f t="shared" si="96"/>
        <v>4.0745362639427185E-10</v>
      </c>
      <c r="BT90" s="8">
        <f t="shared" si="96"/>
        <v>4.0745362639427185E-10</v>
      </c>
      <c r="BU90" s="8">
        <f t="shared" si="96"/>
        <v>4.0745362639427185E-10</v>
      </c>
      <c r="BV90" s="8">
        <f t="shared" si="96"/>
        <v>4.0745362639427185E-10</v>
      </c>
      <c r="BW90" s="8">
        <f t="shared" ref="BW90:DA90" si="97">BV91</f>
        <v>4.0745362639427185E-10</v>
      </c>
      <c r="BX90" s="8">
        <f t="shared" si="97"/>
        <v>4.0745362639427185E-10</v>
      </c>
      <c r="BY90" s="8">
        <f t="shared" si="97"/>
        <v>4.0745362639427185E-10</v>
      </c>
      <c r="BZ90" s="8">
        <f t="shared" si="97"/>
        <v>4.0745362639427185E-10</v>
      </c>
      <c r="CA90" s="8">
        <f t="shared" si="97"/>
        <v>4.0745362639427185E-10</v>
      </c>
      <c r="CB90" s="8">
        <f t="shared" si="97"/>
        <v>4.0745362639427185E-10</v>
      </c>
      <c r="CC90" s="8">
        <f t="shared" si="97"/>
        <v>4.0745362639427185E-10</v>
      </c>
      <c r="CD90" s="8">
        <f t="shared" si="97"/>
        <v>4.0745362639427185E-10</v>
      </c>
      <c r="CE90" s="8">
        <f t="shared" si="97"/>
        <v>4.0745362639427185E-10</v>
      </c>
      <c r="CF90" s="8">
        <f t="shared" si="97"/>
        <v>4.0745362639427185E-10</v>
      </c>
      <c r="CG90" s="8">
        <f t="shared" si="97"/>
        <v>4.0745362639427185E-10</v>
      </c>
      <c r="CH90" s="8">
        <f t="shared" si="97"/>
        <v>4.0745362639427185E-10</v>
      </c>
      <c r="CI90" s="8">
        <f t="shared" si="97"/>
        <v>4.0745362639427185E-10</v>
      </c>
      <c r="CJ90" s="8">
        <f t="shared" si="97"/>
        <v>4.0745362639427185E-10</v>
      </c>
      <c r="CK90" s="8">
        <f t="shared" si="97"/>
        <v>4.0745362639427185E-10</v>
      </c>
      <c r="CL90" s="8">
        <f t="shared" si="97"/>
        <v>4.0745362639427185E-10</v>
      </c>
      <c r="CM90" s="8">
        <f t="shared" si="97"/>
        <v>4.0745362639427185E-10</v>
      </c>
      <c r="CN90" s="8">
        <f t="shared" si="97"/>
        <v>4.0745362639427185E-10</v>
      </c>
      <c r="CO90" s="8">
        <f t="shared" si="97"/>
        <v>4.0745362639427185E-10</v>
      </c>
      <c r="CP90" s="8">
        <f t="shared" si="97"/>
        <v>4.0745362639427185E-10</v>
      </c>
      <c r="CQ90" s="8">
        <f t="shared" si="97"/>
        <v>4.0745362639427185E-10</v>
      </c>
      <c r="CR90" s="8">
        <f t="shared" si="97"/>
        <v>4.0745362639427185E-10</v>
      </c>
      <c r="CS90" s="8">
        <f t="shared" si="97"/>
        <v>4.0745362639427185E-10</v>
      </c>
      <c r="CT90" s="8">
        <f t="shared" si="97"/>
        <v>4.0745362639427185E-10</v>
      </c>
      <c r="CU90" s="8">
        <f t="shared" si="97"/>
        <v>4.0745362639427185E-10</v>
      </c>
      <c r="CV90" s="8">
        <f t="shared" si="97"/>
        <v>4.0745362639427185E-10</v>
      </c>
      <c r="CW90" s="8">
        <f t="shared" si="97"/>
        <v>4.0745362639427185E-10</v>
      </c>
      <c r="CX90" s="8">
        <f t="shared" si="97"/>
        <v>4.0745362639427185E-10</v>
      </c>
      <c r="CY90" s="8">
        <f t="shared" si="97"/>
        <v>4.0745362639427185E-10</v>
      </c>
      <c r="CZ90" s="8">
        <f t="shared" si="97"/>
        <v>4.0745362639427185E-10</v>
      </c>
      <c r="DA90" s="8">
        <f t="shared" si="97"/>
        <v>4.0745362639427185E-10</v>
      </c>
      <c r="DB90" s="8"/>
    </row>
    <row r="91" spans="3:106" x14ac:dyDescent="0.4">
      <c r="D91" t="s">
        <v>171</v>
      </c>
      <c r="I91" s="8"/>
      <c r="J91" s="8">
        <f t="shared" ref="J91:AO91" si="98">I91+((J83-J89)*INC_TAX_RATE)</f>
        <v>-15790.54012106327</v>
      </c>
      <c r="K91" s="8">
        <f t="shared" si="98"/>
        <v>-62882.442344965682</v>
      </c>
      <c r="L91" s="8">
        <f t="shared" si="98"/>
        <v>-105083.78871423021</v>
      </c>
      <c r="M91" s="8">
        <f t="shared" si="98"/>
        <v>-142773.55219176237</v>
      </c>
      <c r="N91" s="8">
        <f t="shared" si="98"/>
        <v>-176276.5667457669</v>
      </c>
      <c r="O91" s="8">
        <f t="shared" si="98"/>
        <v>-205917.66634444855</v>
      </c>
      <c r="P91" s="8">
        <f t="shared" si="98"/>
        <v>-231976.56912709467</v>
      </c>
      <c r="Q91" s="8">
        <f t="shared" si="98"/>
        <v>-254732.99323299271</v>
      </c>
      <c r="R91" s="8">
        <f t="shared" si="98"/>
        <v>-276948.02739188285</v>
      </c>
      <c r="S91" s="8">
        <f t="shared" si="98"/>
        <v>-299154.03838498954</v>
      </c>
      <c r="T91" s="8">
        <f t="shared" si="98"/>
        <v>-321369.07254387968</v>
      </c>
      <c r="U91" s="8">
        <f t="shared" si="98"/>
        <v>-343575.08353698638</v>
      </c>
      <c r="V91" s="8">
        <f t="shared" si="98"/>
        <v>-365790.11769587651</v>
      </c>
      <c r="W91" s="8">
        <f t="shared" si="98"/>
        <v>-387996.12868898321</v>
      </c>
      <c r="X91" s="8">
        <f t="shared" si="98"/>
        <v>-410211.16284787335</v>
      </c>
      <c r="Y91" s="8">
        <f t="shared" si="98"/>
        <v>-432417.17384098005</v>
      </c>
      <c r="Z91" s="8">
        <f t="shared" si="98"/>
        <v>-454632.20799987018</v>
      </c>
      <c r="AA91" s="8">
        <f t="shared" si="98"/>
        <v>-476838.21899297688</v>
      </c>
      <c r="AB91" s="8">
        <f t="shared" si="98"/>
        <v>-499053.25315186701</v>
      </c>
      <c r="AC91" s="8">
        <f t="shared" si="98"/>
        <v>-521259.26414497371</v>
      </c>
      <c r="AD91" s="8">
        <f t="shared" si="98"/>
        <v>-523343.61544095405</v>
      </c>
      <c r="AE91" s="8">
        <f t="shared" si="98"/>
        <v>-505297.28387402458</v>
      </c>
      <c r="AF91" s="8">
        <f t="shared" si="98"/>
        <v>-487250.95230709511</v>
      </c>
      <c r="AG91" s="8">
        <f t="shared" si="98"/>
        <v>-469204.62074016564</v>
      </c>
      <c r="AH91" s="8">
        <f t="shared" si="98"/>
        <v>-451158.28917323617</v>
      </c>
      <c r="AI91" s="8">
        <f t="shared" si="98"/>
        <v>-433111.95760630671</v>
      </c>
      <c r="AJ91" s="8">
        <f t="shared" si="98"/>
        <v>-415065.62603937724</v>
      </c>
      <c r="AK91" s="8">
        <f t="shared" si="98"/>
        <v>-397019.29447244777</v>
      </c>
      <c r="AL91" s="8">
        <f t="shared" si="98"/>
        <v>-378972.9629055183</v>
      </c>
      <c r="AM91" s="8">
        <f t="shared" si="98"/>
        <v>-360926.63133858884</v>
      </c>
      <c r="AN91" s="8">
        <f t="shared" si="98"/>
        <v>-342880.29977165937</v>
      </c>
      <c r="AO91" s="8">
        <f t="shared" si="98"/>
        <v>-324833.9682047299</v>
      </c>
      <c r="AP91" s="8">
        <f t="shared" ref="AP91:BU91" si="99">AO91+((AP83-AP89)*INC_TAX_RATE)</f>
        <v>-306787.63663780043</v>
      </c>
      <c r="AQ91" s="8">
        <f t="shared" si="99"/>
        <v>-288741.30507087096</v>
      </c>
      <c r="AR91" s="8">
        <f t="shared" si="99"/>
        <v>-270694.9735039415</v>
      </c>
      <c r="AS91" s="8">
        <f t="shared" si="99"/>
        <v>-252648.64193701203</v>
      </c>
      <c r="AT91" s="8">
        <f t="shared" si="99"/>
        <v>-234602.31037008256</v>
      </c>
      <c r="AU91" s="8">
        <f t="shared" si="99"/>
        <v>-216555.97880315309</v>
      </c>
      <c r="AV91" s="8">
        <f t="shared" si="99"/>
        <v>-198509.64723622362</v>
      </c>
      <c r="AW91" s="8">
        <f t="shared" si="99"/>
        <v>-180463.31566929416</v>
      </c>
      <c r="AX91" s="8">
        <f t="shared" si="99"/>
        <v>-162416.98410236469</v>
      </c>
      <c r="AY91" s="8">
        <f t="shared" si="99"/>
        <v>-144370.65253543522</v>
      </c>
      <c r="AZ91" s="8">
        <f t="shared" si="99"/>
        <v>-126324.32096850577</v>
      </c>
      <c r="BA91" s="8">
        <f t="shared" si="99"/>
        <v>-108277.98940157631</v>
      </c>
      <c r="BB91" s="8">
        <f t="shared" si="99"/>
        <v>-90231.65783464686</v>
      </c>
      <c r="BC91" s="8">
        <f t="shared" si="99"/>
        <v>-72185.326267717406</v>
      </c>
      <c r="BD91" s="8">
        <f t="shared" si="99"/>
        <v>-54138.994700787953</v>
      </c>
      <c r="BE91" s="8">
        <f t="shared" si="99"/>
        <v>-36092.663133858499</v>
      </c>
      <c r="BF91" s="8">
        <f t="shared" si="99"/>
        <v>-18046.331566929046</v>
      </c>
      <c r="BG91" s="8">
        <f t="shared" si="99"/>
        <v>4.0745362639427185E-10</v>
      </c>
      <c r="BH91" s="8">
        <f t="shared" si="99"/>
        <v>4.0745362639427185E-10</v>
      </c>
      <c r="BI91" s="8">
        <f t="shared" si="99"/>
        <v>4.0745362639427185E-10</v>
      </c>
      <c r="BJ91" s="8">
        <f t="shared" si="99"/>
        <v>4.0745362639427185E-10</v>
      </c>
      <c r="BK91" s="8">
        <f t="shared" si="99"/>
        <v>4.0745362639427185E-10</v>
      </c>
      <c r="BL91" s="8">
        <f t="shared" si="99"/>
        <v>4.0745362639427185E-10</v>
      </c>
      <c r="BM91" s="8">
        <f t="shared" si="99"/>
        <v>4.0745362639427185E-10</v>
      </c>
      <c r="BN91" s="8">
        <f t="shared" si="99"/>
        <v>4.0745362639427185E-10</v>
      </c>
      <c r="BO91" s="8">
        <f t="shared" si="99"/>
        <v>4.0745362639427185E-10</v>
      </c>
      <c r="BP91" s="8">
        <f t="shared" si="99"/>
        <v>4.0745362639427185E-10</v>
      </c>
      <c r="BQ91" s="8">
        <f t="shared" si="99"/>
        <v>4.0745362639427185E-10</v>
      </c>
      <c r="BR91" s="8">
        <f t="shared" si="99"/>
        <v>4.0745362639427185E-10</v>
      </c>
      <c r="BS91" s="8">
        <f t="shared" si="99"/>
        <v>4.0745362639427185E-10</v>
      </c>
      <c r="BT91" s="8">
        <f t="shared" si="99"/>
        <v>4.0745362639427185E-10</v>
      </c>
      <c r="BU91" s="8">
        <f t="shared" si="99"/>
        <v>4.0745362639427185E-10</v>
      </c>
      <c r="BV91" s="8">
        <f t="shared" ref="BV91:DA91" si="100">BU91+((BV83-BV89)*INC_TAX_RATE)</f>
        <v>4.0745362639427185E-10</v>
      </c>
      <c r="BW91" s="8">
        <f t="shared" si="100"/>
        <v>4.0745362639427185E-10</v>
      </c>
      <c r="BX91" s="8">
        <f t="shared" si="100"/>
        <v>4.0745362639427185E-10</v>
      </c>
      <c r="BY91" s="8">
        <f t="shared" si="100"/>
        <v>4.0745362639427185E-10</v>
      </c>
      <c r="BZ91" s="8">
        <f t="shared" si="100"/>
        <v>4.0745362639427185E-10</v>
      </c>
      <c r="CA91" s="8">
        <f t="shared" si="100"/>
        <v>4.0745362639427185E-10</v>
      </c>
      <c r="CB91" s="8">
        <f t="shared" si="100"/>
        <v>4.0745362639427185E-10</v>
      </c>
      <c r="CC91" s="8">
        <f t="shared" si="100"/>
        <v>4.0745362639427185E-10</v>
      </c>
      <c r="CD91" s="8">
        <f t="shared" si="100"/>
        <v>4.0745362639427185E-10</v>
      </c>
      <c r="CE91" s="8">
        <f t="shared" si="100"/>
        <v>4.0745362639427185E-10</v>
      </c>
      <c r="CF91" s="8">
        <f t="shared" si="100"/>
        <v>4.0745362639427185E-10</v>
      </c>
      <c r="CG91" s="8">
        <f t="shared" si="100"/>
        <v>4.0745362639427185E-10</v>
      </c>
      <c r="CH91" s="8">
        <f t="shared" si="100"/>
        <v>4.0745362639427185E-10</v>
      </c>
      <c r="CI91" s="8">
        <f t="shared" si="100"/>
        <v>4.0745362639427185E-10</v>
      </c>
      <c r="CJ91" s="8">
        <f t="shared" si="100"/>
        <v>4.0745362639427185E-10</v>
      </c>
      <c r="CK91" s="8">
        <f t="shared" si="100"/>
        <v>4.0745362639427185E-10</v>
      </c>
      <c r="CL91" s="8">
        <f t="shared" si="100"/>
        <v>4.0745362639427185E-10</v>
      </c>
      <c r="CM91" s="8">
        <f t="shared" si="100"/>
        <v>4.0745362639427185E-10</v>
      </c>
      <c r="CN91" s="8">
        <f t="shared" si="100"/>
        <v>4.0745362639427185E-10</v>
      </c>
      <c r="CO91" s="8">
        <f t="shared" si="100"/>
        <v>4.0745362639427185E-10</v>
      </c>
      <c r="CP91" s="8">
        <f t="shared" si="100"/>
        <v>4.0745362639427185E-10</v>
      </c>
      <c r="CQ91" s="8">
        <f t="shared" si="100"/>
        <v>4.0745362639427185E-10</v>
      </c>
      <c r="CR91" s="8">
        <f t="shared" si="100"/>
        <v>4.0745362639427185E-10</v>
      </c>
      <c r="CS91" s="8">
        <f t="shared" si="100"/>
        <v>4.0745362639427185E-10</v>
      </c>
      <c r="CT91" s="8">
        <f t="shared" si="100"/>
        <v>4.0745362639427185E-10</v>
      </c>
      <c r="CU91" s="8">
        <f t="shared" si="100"/>
        <v>4.0745362639427185E-10</v>
      </c>
      <c r="CV91" s="8">
        <f t="shared" si="100"/>
        <v>4.0745362639427185E-10</v>
      </c>
      <c r="CW91" s="8">
        <f t="shared" si="100"/>
        <v>4.0745362639427185E-10</v>
      </c>
      <c r="CX91" s="8">
        <f t="shared" si="100"/>
        <v>4.0745362639427185E-10</v>
      </c>
      <c r="CY91" s="8">
        <f t="shared" si="100"/>
        <v>4.0745362639427185E-10</v>
      </c>
      <c r="CZ91" s="8">
        <f t="shared" si="100"/>
        <v>4.0745362639427185E-10</v>
      </c>
      <c r="DA91" s="8">
        <f t="shared" si="100"/>
        <v>4.0745362639427185E-10</v>
      </c>
      <c r="DB91" s="8"/>
    </row>
    <row r="92" spans="3:106" x14ac:dyDescent="0.4"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</row>
    <row r="93" spans="3:106" x14ac:dyDescent="0.4">
      <c r="D93" t="s">
        <v>158</v>
      </c>
      <c r="I93" s="8"/>
      <c r="J93" s="8">
        <f>AVERAGE(J86:J87)+AVERAGE(J90:J91)</f>
        <v>3215245.312883751</v>
      </c>
      <c r="K93" s="8">
        <f t="shared" ref="K93:BV93" si="101">AVERAGE(K86:K87)+AVERAGE(K90:K91)</f>
        <v>3118690.1405406767</v>
      </c>
      <c r="L93" s="8">
        <f t="shared" si="101"/>
        <v>3008929.5650735018</v>
      </c>
      <c r="M93" s="8">
        <f t="shared" si="101"/>
        <v>2903870.0589795122</v>
      </c>
      <c r="N93" s="8">
        <f t="shared" si="101"/>
        <v>2803159.7187931519</v>
      </c>
      <c r="O93" s="8">
        <f t="shared" si="101"/>
        <v>2706473.7105462174</v>
      </c>
      <c r="P93" s="8">
        <f t="shared" si="101"/>
        <v>2613509.758184962</v>
      </c>
      <c r="Q93" s="8">
        <f t="shared" si="101"/>
        <v>2523988.1435700981</v>
      </c>
      <c r="R93" s="8">
        <f t="shared" si="101"/>
        <v>2436388.4632671122</v>
      </c>
      <c r="S93" s="8">
        <f t="shared" si="101"/>
        <v>2349063.9895205223</v>
      </c>
      <c r="T93" s="8">
        <f t="shared" si="101"/>
        <v>2261739.5157739324</v>
      </c>
      <c r="U93" s="8">
        <f t="shared" si="101"/>
        <v>2174415.0420273426</v>
      </c>
      <c r="V93" s="8">
        <f t="shared" si="101"/>
        <v>2087090.5682807527</v>
      </c>
      <c r="W93" s="8">
        <f t="shared" si="101"/>
        <v>1999766.0945341629</v>
      </c>
      <c r="X93" s="8">
        <f t="shared" si="101"/>
        <v>1912441.620787573</v>
      </c>
      <c r="Y93" s="8">
        <f t="shared" si="101"/>
        <v>1825117.147040983</v>
      </c>
      <c r="Z93" s="8">
        <f t="shared" si="101"/>
        <v>1737792.6732943929</v>
      </c>
      <c r="AA93" s="8">
        <f t="shared" si="101"/>
        <v>1650468.1995478028</v>
      </c>
      <c r="AB93" s="8">
        <f t="shared" si="101"/>
        <v>1563143.7258012127</v>
      </c>
      <c r="AC93" s="8">
        <f t="shared" si="101"/>
        <v>1475819.2520546229</v>
      </c>
      <c r="AD93" s="8">
        <f t="shared" si="101"/>
        <v>1398560.1197394875</v>
      </c>
      <c r="AE93" s="8">
        <f t="shared" si="101"/>
        <v>1341427.1587043705</v>
      </c>
      <c r="AF93" s="8">
        <f t="shared" si="101"/>
        <v>1294359.5391007084</v>
      </c>
      <c r="AG93" s="8">
        <f t="shared" si="101"/>
        <v>1247291.9194970462</v>
      </c>
      <c r="AH93" s="8">
        <f t="shared" si="101"/>
        <v>1200224.2998933839</v>
      </c>
      <c r="AI93" s="8">
        <f t="shared" si="101"/>
        <v>1153156.6802897218</v>
      </c>
      <c r="AJ93" s="8">
        <f t="shared" si="101"/>
        <v>1106089.0606860598</v>
      </c>
      <c r="AK93" s="8">
        <f t="shared" si="101"/>
        <v>1059021.4410823975</v>
      </c>
      <c r="AL93" s="8">
        <f t="shared" si="101"/>
        <v>1011953.8214787353</v>
      </c>
      <c r="AM93" s="8">
        <f t="shared" si="101"/>
        <v>964886.20187507314</v>
      </c>
      <c r="AN93" s="8">
        <f t="shared" si="101"/>
        <v>917818.58227141097</v>
      </c>
      <c r="AO93" s="8">
        <f t="shared" si="101"/>
        <v>870750.9626677488</v>
      </c>
      <c r="AP93" s="8">
        <f t="shared" si="101"/>
        <v>823683.34306408663</v>
      </c>
      <c r="AQ93" s="8">
        <f t="shared" si="101"/>
        <v>776615.72346042446</v>
      </c>
      <c r="AR93" s="8">
        <f t="shared" si="101"/>
        <v>729548.10385676229</v>
      </c>
      <c r="AS93" s="8">
        <f t="shared" si="101"/>
        <v>682480.48425310012</v>
      </c>
      <c r="AT93" s="8">
        <f t="shared" si="101"/>
        <v>635412.86464943795</v>
      </c>
      <c r="AU93" s="8">
        <f t="shared" si="101"/>
        <v>588345.24504577578</v>
      </c>
      <c r="AV93" s="8">
        <f t="shared" si="101"/>
        <v>541277.62544211361</v>
      </c>
      <c r="AW93" s="8">
        <f t="shared" si="101"/>
        <v>494210.00583845144</v>
      </c>
      <c r="AX93" s="8">
        <f t="shared" si="101"/>
        <v>447142.38623478927</v>
      </c>
      <c r="AY93" s="8">
        <f t="shared" si="101"/>
        <v>400074.7666311271</v>
      </c>
      <c r="AZ93" s="8">
        <f t="shared" si="101"/>
        <v>353007.14702746493</v>
      </c>
      <c r="BA93" s="8">
        <f t="shared" si="101"/>
        <v>305939.52742380276</v>
      </c>
      <c r="BB93" s="8">
        <f t="shared" si="101"/>
        <v>258871.90782014056</v>
      </c>
      <c r="BC93" s="8">
        <f t="shared" si="101"/>
        <v>211804.28821647837</v>
      </c>
      <c r="BD93" s="8">
        <f t="shared" si="101"/>
        <v>164736.6686128162</v>
      </c>
      <c r="BE93" s="8">
        <f t="shared" si="101"/>
        <v>117669.049009154</v>
      </c>
      <c r="BF93" s="8">
        <f t="shared" si="101"/>
        <v>70601.429405491828</v>
      </c>
      <c r="BG93" s="8">
        <f t="shared" si="101"/>
        <v>23533.809801830568</v>
      </c>
      <c r="BH93" s="8">
        <f t="shared" si="101"/>
        <v>4.0745362639427185E-10</v>
      </c>
      <c r="BI93" s="8">
        <f t="shared" si="101"/>
        <v>4.0745362639427185E-10</v>
      </c>
      <c r="BJ93" s="8">
        <f t="shared" si="101"/>
        <v>4.0745362639427185E-10</v>
      </c>
      <c r="BK93" s="8">
        <f t="shared" si="101"/>
        <v>4.0745362639427185E-10</v>
      </c>
      <c r="BL93" s="8">
        <f t="shared" si="101"/>
        <v>4.0745362639427185E-10</v>
      </c>
      <c r="BM93" s="8">
        <f t="shared" si="101"/>
        <v>4.0745362639427185E-10</v>
      </c>
      <c r="BN93" s="8">
        <f t="shared" si="101"/>
        <v>4.0745362639427185E-10</v>
      </c>
      <c r="BO93" s="8">
        <f t="shared" si="101"/>
        <v>4.0745362639427185E-10</v>
      </c>
      <c r="BP93" s="8">
        <f t="shared" si="101"/>
        <v>4.0745362639427185E-10</v>
      </c>
      <c r="BQ93" s="8">
        <f t="shared" si="101"/>
        <v>4.0745362639427185E-10</v>
      </c>
      <c r="BR93" s="8">
        <f t="shared" si="101"/>
        <v>4.0745362639427185E-10</v>
      </c>
      <c r="BS93" s="8">
        <f t="shared" si="101"/>
        <v>4.0745362639427185E-10</v>
      </c>
      <c r="BT93" s="8">
        <f t="shared" si="101"/>
        <v>4.0745362639427185E-10</v>
      </c>
      <c r="BU93" s="8">
        <f t="shared" si="101"/>
        <v>4.0745362639427185E-10</v>
      </c>
      <c r="BV93" s="8">
        <f t="shared" si="101"/>
        <v>4.0745362639427185E-10</v>
      </c>
      <c r="BW93" s="8">
        <f t="shared" ref="BW93:DA93" si="102">AVERAGE(BW86:BW87)+AVERAGE(BW90:BW91)</f>
        <v>4.0745362639427185E-10</v>
      </c>
      <c r="BX93" s="8">
        <f t="shared" si="102"/>
        <v>4.0745362639427185E-10</v>
      </c>
      <c r="BY93" s="8">
        <f t="shared" si="102"/>
        <v>4.0745362639427185E-10</v>
      </c>
      <c r="BZ93" s="8">
        <f t="shared" si="102"/>
        <v>4.0745362639427185E-10</v>
      </c>
      <c r="CA93" s="8">
        <f t="shared" si="102"/>
        <v>4.0745362639427185E-10</v>
      </c>
      <c r="CB93" s="8">
        <f t="shared" si="102"/>
        <v>4.0745362639427185E-10</v>
      </c>
      <c r="CC93" s="8">
        <f t="shared" si="102"/>
        <v>4.0745362639427185E-10</v>
      </c>
      <c r="CD93" s="8">
        <f t="shared" si="102"/>
        <v>4.0745362639427185E-10</v>
      </c>
      <c r="CE93" s="8">
        <f t="shared" si="102"/>
        <v>4.0745362639427185E-10</v>
      </c>
      <c r="CF93" s="8">
        <f t="shared" si="102"/>
        <v>4.0745362639427185E-10</v>
      </c>
      <c r="CG93" s="8">
        <f t="shared" si="102"/>
        <v>4.0745362639427185E-10</v>
      </c>
      <c r="CH93" s="8">
        <f t="shared" si="102"/>
        <v>4.0745362639427185E-10</v>
      </c>
      <c r="CI93" s="8">
        <f t="shared" si="102"/>
        <v>4.0745362639427185E-10</v>
      </c>
      <c r="CJ93" s="8">
        <f t="shared" si="102"/>
        <v>4.0745362639427185E-10</v>
      </c>
      <c r="CK93" s="8">
        <f t="shared" si="102"/>
        <v>4.0745362639427185E-10</v>
      </c>
      <c r="CL93" s="8">
        <f t="shared" si="102"/>
        <v>4.0745362639427185E-10</v>
      </c>
      <c r="CM93" s="8">
        <f t="shared" si="102"/>
        <v>4.0745362639427185E-10</v>
      </c>
      <c r="CN93" s="8">
        <f t="shared" si="102"/>
        <v>4.0745362639427185E-10</v>
      </c>
      <c r="CO93" s="8">
        <f t="shared" si="102"/>
        <v>4.0745362639427185E-10</v>
      </c>
      <c r="CP93" s="8">
        <f t="shared" si="102"/>
        <v>4.0745362639427185E-10</v>
      </c>
      <c r="CQ93" s="8">
        <f t="shared" si="102"/>
        <v>4.0745362639427185E-10</v>
      </c>
      <c r="CR93" s="8">
        <f t="shared" si="102"/>
        <v>4.0745362639427185E-10</v>
      </c>
      <c r="CS93" s="8">
        <f t="shared" si="102"/>
        <v>4.0745362639427185E-10</v>
      </c>
      <c r="CT93" s="8">
        <f t="shared" si="102"/>
        <v>4.0745362639427185E-10</v>
      </c>
      <c r="CU93" s="8">
        <f t="shared" si="102"/>
        <v>4.0745362639427185E-10</v>
      </c>
      <c r="CV93" s="8">
        <f t="shared" si="102"/>
        <v>4.0745362639427185E-10</v>
      </c>
      <c r="CW93" s="8">
        <f t="shared" si="102"/>
        <v>4.0745362639427185E-10</v>
      </c>
      <c r="CX93" s="8">
        <f t="shared" si="102"/>
        <v>4.0745362639427185E-10</v>
      </c>
      <c r="CY93" s="8">
        <f t="shared" si="102"/>
        <v>4.0745362639427185E-10</v>
      </c>
      <c r="CZ93" s="8">
        <f t="shared" si="102"/>
        <v>4.0745362639427185E-10</v>
      </c>
      <c r="DA93" s="8">
        <f t="shared" si="102"/>
        <v>4.0745362639427185E-10</v>
      </c>
      <c r="DB93" s="8"/>
    </row>
    <row r="94" spans="3:106" x14ac:dyDescent="0.4"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</row>
    <row r="95" spans="3:106" x14ac:dyDescent="0.4">
      <c r="D95" t="s">
        <v>209</v>
      </c>
      <c r="I95" s="8"/>
      <c r="J95" s="8">
        <f t="shared" ref="J95:AO95" si="103">J93*AVG_PRE_TAX_RATE</f>
        <v>287121.40644051897</v>
      </c>
      <c r="K95" s="8">
        <f t="shared" si="103"/>
        <v>278499.02955028246</v>
      </c>
      <c r="L95" s="8">
        <f t="shared" si="103"/>
        <v>268697.41016106372</v>
      </c>
      <c r="M95" s="8">
        <f t="shared" si="103"/>
        <v>259315.59626687045</v>
      </c>
      <c r="N95" s="8">
        <f t="shared" si="103"/>
        <v>250322.16288822849</v>
      </c>
      <c r="O95" s="8">
        <f t="shared" si="103"/>
        <v>241688.10235177723</v>
      </c>
      <c r="P95" s="8">
        <f t="shared" si="103"/>
        <v>233386.42140591712</v>
      </c>
      <c r="Q95" s="8">
        <f t="shared" si="103"/>
        <v>225392.14122080978</v>
      </c>
      <c r="R95" s="8">
        <f t="shared" si="103"/>
        <v>217569.48976975313</v>
      </c>
      <c r="S95" s="8">
        <f t="shared" si="103"/>
        <v>209771.41426418265</v>
      </c>
      <c r="T95" s="8">
        <f t="shared" si="103"/>
        <v>201973.33875861217</v>
      </c>
      <c r="U95" s="8">
        <f t="shared" si="103"/>
        <v>194175.26325304172</v>
      </c>
      <c r="V95" s="8">
        <f t="shared" si="103"/>
        <v>186377.18774747124</v>
      </c>
      <c r="W95" s="8">
        <f t="shared" si="103"/>
        <v>178579.11224190076</v>
      </c>
      <c r="X95" s="8">
        <f t="shared" si="103"/>
        <v>170781.03673633028</v>
      </c>
      <c r="Y95" s="8">
        <f t="shared" si="103"/>
        <v>162982.9612307598</v>
      </c>
      <c r="Z95" s="8">
        <f t="shared" si="103"/>
        <v>155184.88572518929</v>
      </c>
      <c r="AA95" s="8">
        <f t="shared" si="103"/>
        <v>147386.81021961878</v>
      </c>
      <c r="AB95" s="8">
        <f t="shared" si="103"/>
        <v>139588.7347140483</v>
      </c>
      <c r="AC95" s="8">
        <f t="shared" si="103"/>
        <v>131790.65920847782</v>
      </c>
      <c r="AD95" s="8">
        <f t="shared" si="103"/>
        <v>124891.41869273625</v>
      </c>
      <c r="AE95" s="8">
        <f t="shared" si="103"/>
        <v>119789.44527230029</v>
      </c>
      <c r="AF95" s="8">
        <f t="shared" si="103"/>
        <v>115586.30684169327</v>
      </c>
      <c r="AG95" s="8">
        <f t="shared" si="103"/>
        <v>111383.16841108623</v>
      </c>
      <c r="AH95" s="8">
        <f t="shared" si="103"/>
        <v>107180.02998047919</v>
      </c>
      <c r="AI95" s="8">
        <f t="shared" si="103"/>
        <v>102976.89154987216</v>
      </c>
      <c r="AJ95" s="8">
        <f t="shared" si="103"/>
        <v>98773.753119265137</v>
      </c>
      <c r="AK95" s="8">
        <f t="shared" si="103"/>
        <v>94570.614688658097</v>
      </c>
      <c r="AL95" s="8">
        <f t="shared" si="103"/>
        <v>90367.476258051072</v>
      </c>
      <c r="AM95" s="8">
        <f t="shared" si="103"/>
        <v>86164.337827444033</v>
      </c>
      <c r="AN95" s="8">
        <f t="shared" si="103"/>
        <v>81961.199396837008</v>
      </c>
      <c r="AO95" s="8">
        <f t="shared" si="103"/>
        <v>77758.060966229968</v>
      </c>
      <c r="AP95" s="8">
        <f t="shared" ref="AP95:BU95" si="104">AP93*AVG_PRE_TAX_RATE</f>
        <v>73554.922535622944</v>
      </c>
      <c r="AQ95" s="8">
        <f t="shared" si="104"/>
        <v>69351.784105015904</v>
      </c>
      <c r="AR95" s="8">
        <f t="shared" si="104"/>
        <v>65148.645674408879</v>
      </c>
      <c r="AS95" s="8">
        <f t="shared" si="104"/>
        <v>60945.507243801847</v>
      </c>
      <c r="AT95" s="8">
        <f t="shared" si="104"/>
        <v>56742.368813194815</v>
      </c>
      <c r="AU95" s="8">
        <f t="shared" si="104"/>
        <v>52539.230382587783</v>
      </c>
      <c r="AV95" s="8">
        <f t="shared" si="104"/>
        <v>48336.09195198075</v>
      </c>
      <c r="AW95" s="8">
        <f t="shared" si="104"/>
        <v>44132.953521373718</v>
      </c>
      <c r="AX95" s="8">
        <f t="shared" si="104"/>
        <v>39929.815090766686</v>
      </c>
      <c r="AY95" s="8">
        <f t="shared" si="104"/>
        <v>35726.676660159654</v>
      </c>
      <c r="AZ95" s="8">
        <f t="shared" si="104"/>
        <v>31523.538229552621</v>
      </c>
      <c r="BA95" s="8">
        <f t="shared" si="104"/>
        <v>27320.399798945589</v>
      </c>
      <c r="BB95" s="8">
        <f t="shared" si="104"/>
        <v>23117.261368338553</v>
      </c>
      <c r="BC95" s="8">
        <f t="shared" si="104"/>
        <v>18914.122937731518</v>
      </c>
      <c r="BD95" s="8">
        <f t="shared" si="104"/>
        <v>14710.984507124487</v>
      </c>
      <c r="BE95" s="8">
        <f t="shared" si="104"/>
        <v>10507.846076517453</v>
      </c>
      <c r="BF95" s="8">
        <f t="shared" si="104"/>
        <v>6304.707645910421</v>
      </c>
      <c r="BG95" s="8">
        <f t="shared" si="104"/>
        <v>2101.5692153034697</v>
      </c>
      <c r="BH95" s="8">
        <f t="shared" si="104"/>
        <v>3.6385608837008476E-11</v>
      </c>
      <c r="BI95" s="8">
        <f t="shared" si="104"/>
        <v>3.6385608837008476E-11</v>
      </c>
      <c r="BJ95" s="8">
        <f t="shared" si="104"/>
        <v>3.6385608837008476E-11</v>
      </c>
      <c r="BK95" s="8">
        <f t="shared" si="104"/>
        <v>3.6385608837008476E-11</v>
      </c>
      <c r="BL95" s="8">
        <f t="shared" si="104"/>
        <v>3.6385608837008476E-11</v>
      </c>
      <c r="BM95" s="8">
        <f t="shared" si="104"/>
        <v>3.6385608837008476E-11</v>
      </c>
      <c r="BN95" s="8">
        <f t="shared" si="104"/>
        <v>3.6385608837008476E-11</v>
      </c>
      <c r="BO95" s="8">
        <f t="shared" si="104"/>
        <v>3.6385608837008476E-11</v>
      </c>
      <c r="BP95" s="8">
        <f t="shared" si="104"/>
        <v>3.6385608837008476E-11</v>
      </c>
      <c r="BQ95" s="8">
        <f t="shared" si="104"/>
        <v>3.6385608837008476E-11</v>
      </c>
      <c r="BR95" s="8">
        <f t="shared" si="104"/>
        <v>3.6385608837008476E-11</v>
      </c>
      <c r="BS95" s="8">
        <f t="shared" si="104"/>
        <v>3.6385608837008476E-11</v>
      </c>
      <c r="BT95" s="8">
        <f t="shared" si="104"/>
        <v>3.6385608837008476E-11</v>
      </c>
      <c r="BU95" s="8">
        <f t="shared" si="104"/>
        <v>3.6385608837008476E-11</v>
      </c>
      <c r="BV95" s="8">
        <f t="shared" ref="BV95:DA95" si="105">BV93*AVG_PRE_TAX_RATE</f>
        <v>3.6385608837008476E-11</v>
      </c>
      <c r="BW95" s="8">
        <f t="shared" si="105"/>
        <v>3.6385608837008476E-11</v>
      </c>
      <c r="BX95" s="8">
        <f t="shared" si="105"/>
        <v>3.6385608837008476E-11</v>
      </c>
      <c r="BY95" s="8">
        <f t="shared" si="105"/>
        <v>3.6385608837008476E-11</v>
      </c>
      <c r="BZ95" s="8">
        <f t="shared" si="105"/>
        <v>3.6385608837008476E-11</v>
      </c>
      <c r="CA95" s="8">
        <f t="shared" si="105"/>
        <v>3.6385608837008476E-11</v>
      </c>
      <c r="CB95" s="8">
        <f t="shared" si="105"/>
        <v>3.6385608837008476E-11</v>
      </c>
      <c r="CC95" s="8">
        <f t="shared" si="105"/>
        <v>3.6385608837008476E-11</v>
      </c>
      <c r="CD95" s="8">
        <f t="shared" si="105"/>
        <v>3.6385608837008476E-11</v>
      </c>
      <c r="CE95" s="8">
        <f t="shared" si="105"/>
        <v>3.6385608837008476E-11</v>
      </c>
      <c r="CF95" s="8">
        <f t="shared" si="105"/>
        <v>3.6385608837008476E-11</v>
      </c>
      <c r="CG95" s="8">
        <f t="shared" si="105"/>
        <v>3.6385608837008476E-11</v>
      </c>
      <c r="CH95" s="8">
        <f t="shared" si="105"/>
        <v>3.6385608837008476E-11</v>
      </c>
      <c r="CI95" s="8">
        <f t="shared" si="105"/>
        <v>3.6385608837008476E-11</v>
      </c>
      <c r="CJ95" s="8">
        <f t="shared" si="105"/>
        <v>3.6385608837008476E-11</v>
      </c>
      <c r="CK95" s="8">
        <f t="shared" si="105"/>
        <v>3.6385608837008476E-11</v>
      </c>
      <c r="CL95" s="8">
        <f t="shared" si="105"/>
        <v>3.6385608837008476E-11</v>
      </c>
      <c r="CM95" s="8">
        <f t="shared" si="105"/>
        <v>3.6385608837008476E-11</v>
      </c>
      <c r="CN95" s="8">
        <f t="shared" si="105"/>
        <v>3.6385608837008476E-11</v>
      </c>
      <c r="CO95" s="8">
        <f t="shared" si="105"/>
        <v>3.6385608837008476E-11</v>
      </c>
      <c r="CP95" s="8">
        <f t="shared" si="105"/>
        <v>3.6385608837008476E-11</v>
      </c>
      <c r="CQ95" s="8">
        <f t="shared" si="105"/>
        <v>3.6385608837008476E-11</v>
      </c>
      <c r="CR95" s="8">
        <f t="shared" si="105"/>
        <v>3.6385608837008476E-11</v>
      </c>
      <c r="CS95" s="8">
        <f t="shared" si="105"/>
        <v>3.6385608837008476E-11</v>
      </c>
      <c r="CT95" s="8">
        <f t="shared" si="105"/>
        <v>3.6385608837008476E-11</v>
      </c>
      <c r="CU95" s="8">
        <f t="shared" si="105"/>
        <v>3.6385608837008476E-11</v>
      </c>
      <c r="CV95" s="8">
        <f t="shared" si="105"/>
        <v>3.6385608837008476E-11</v>
      </c>
      <c r="CW95" s="8">
        <f t="shared" si="105"/>
        <v>3.6385608837008476E-11</v>
      </c>
      <c r="CX95" s="8">
        <f t="shared" si="105"/>
        <v>3.6385608837008476E-11</v>
      </c>
      <c r="CY95" s="8">
        <f t="shared" si="105"/>
        <v>3.6385608837008476E-11</v>
      </c>
      <c r="CZ95" s="8">
        <f t="shared" si="105"/>
        <v>3.6385608837008476E-11</v>
      </c>
      <c r="DA95" s="8">
        <f t="shared" si="105"/>
        <v>3.6385608837008476E-11</v>
      </c>
      <c r="DB95" s="8"/>
    </row>
    <row r="98" spans="3:107" x14ac:dyDescent="0.4">
      <c r="C98" s="58" t="str">
        <f>C81</f>
        <v>Investment year in service</v>
      </c>
      <c r="E98" t="str">
        <f>IF(E99&lt;$C99,"",E99-$C99)</f>
        <v/>
      </c>
      <c r="F98" t="str">
        <f>IF(F99&lt;$C99,"",F99-$C99)</f>
        <v/>
      </c>
      <c r="G98" t="str">
        <f t="shared" ref="G98:BR98" si="106">IF(G99&lt;$C99,"",G99-$C99)</f>
        <v/>
      </c>
      <c r="H98" t="str">
        <f t="shared" si="106"/>
        <v/>
      </c>
      <c r="I98" t="str">
        <f t="shared" si="106"/>
        <v/>
      </c>
      <c r="J98">
        <f t="shared" si="106"/>
        <v>0</v>
      </c>
      <c r="K98">
        <f t="shared" si="106"/>
        <v>1</v>
      </c>
      <c r="L98">
        <f t="shared" si="106"/>
        <v>2</v>
      </c>
      <c r="M98">
        <f t="shared" si="106"/>
        <v>3</v>
      </c>
      <c r="N98">
        <f t="shared" si="106"/>
        <v>4</v>
      </c>
      <c r="O98">
        <f t="shared" si="106"/>
        <v>5</v>
      </c>
      <c r="P98">
        <f t="shared" si="106"/>
        <v>6</v>
      </c>
      <c r="Q98">
        <f t="shared" si="106"/>
        <v>7</v>
      </c>
      <c r="R98">
        <f t="shared" si="106"/>
        <v>8</v>
      </c>
      <c r="S98">
        <f t="shared" si="106"/>
        <v>9</v>
      </c>
      <c r="T98">
        <f t="shared" si="106"/>
        <v>10</v>
      </c>
      <c r="U98">
        <f t="shared" si="106"/>
        <v>11</v>
      </c>
      <c r="V98">
        <f t="shared" si="106"/>
        <v>12</v>
      </c>
      <c r="W98">
        <f t="shared" si="106"/>
        <v>13</v>
      </c>
      <c r="X98">
        <f t="shared" si="106"/>
        <v>14</v>
      </c>
      <c r="Y98">
        <f t="shared" si="106"/>
        <v>15</v>
      </c>
      <c r="Z98">
        <f t="shared" si="106"/>
        <v>16</v>
      </c>
      <c r="AA98">
        <f t="shared" si="106"/>
        <v>17</v>
      </c>
      <c r="AB98">
        <f t="shared" si="106"/>
        <v>18</v>
      </c>
      <c r="AC98">
        <f t="shared" si="106"/>
        <v>19</v>
      </c>
      <c r="AD98">
        <f t="shared" si="106"/>
        <v>20</v>
      </c>
      <c r="AE98">
        <f t="shared" si="106"/>
        <v>21</v>
      </c>
      <c r="AF98">
        <f t="shared" si="106"/>
        <v>22</v>
      </c>
      <c r="AG98">
        <f t="shared" si="106"/>
        <v>23</v>
      </c>
      <c r="AH98">
        <f t="shared" si="106"/>
        <v>24</v>
      </c>
      <c r="AI98">
        <f t="shared" si="106"/>
        <v>25</v>
      </c>
      <c r="AJ98">
        <f t="shared" si="106"/>
        <v>26</v>
      </c>
      <c r="AK98">
        <f t="shared" si="106"/>
        <v>27</v>
      </c>
      <c r="AL98">
        <f t="shared" si="106"/>
        <v>28</v>
      </c>
      <c r="AM98">
        <f t="shared" si="106"/>
        <v>29</v>
      </c>
      <c r="AN98">
        <f t="shared" si="106"/>
        <v>30</v>
      </c>
      <c r="AO98">
        <f t="shared" si="106"/>
        <v>31</v>
      </c>
      <c r="AP98">
        <f t="shared" si="106"/>
        <v>32</v>
      </c>
      <c r="AQ98">
        <f t="shared" si="106"/>
        <v>33</v>
      </c>
      <c r="AR98">
        <f t="shared" si="106"/>
        <v>34</v>
      </c>
      <c r="AS98">
        <f t="shared" si="106"/>
        <v>35</v>
      </c>
      <c r="AT98">
        <f t="shared" si="106"/>
        <v>36</v>
      </c>
      <c r="AU98">
        <f t="shared" si="106"/>
        <v>37</v>
      </c>
      <c r="AV98">
        <f t="shared" si="106"/>
        <v>38</v>
      </c>
      <c r="AW98">
        <f t="shared" si="106"/>
        <v>39</v>
      </c>
      <c r="AX98">
        <f t="shared" si="106"/>
        <v>40</v>
      </c>
      <c r="AY98">
        <f t="shared" si="106"/>
        <v>41</v>
      </c>
      <c r="AZ98">
        <f t="shared" si="106"/>
        <v>42</v>
      </c>
      <c r="BA98">
        <f t="shared" si="106"/>
        <v>43</v>
      </c>
      <c r="BB98">
        <f t="shared" si="106"/>
        <v>44</v>
      </c>
      <c r="BC98">
        <f t="shared" si="106"/>
        <v>45</v>
      </c>
      <c r="BD98">
        <f t="shared" si="106"/>
        <v>46</v>
      </c>
      <c r="BE98">
        <f t="shared" si="106"/>
        <v>47</v>
      </c>
      <c r="BF98">
        <f t="shared" si="106"/>
        <v>48</v>
      </c>
      <c r="BG98">
        <f t="shared" si="106"/>
        <v>49</v>
      </c>
      <c r="BH98">
        <f t="shared" si="106"/>
        <v>50</v>
      </c>
      <c r="BI98">
        <f t="shared" si="106"/>
        <v>51</v>
      </c>
      <c r="BJ98">
        <f t="shared" si="106"/>
        <v>52</v>
      </c>
      <c r="BK98">
        <f t="shared" si="106"/>
        <v>53</v>
      </c>
      <c r="BL98">
        <f t="shared" si="106"/>
        <v>54</v>
      </c>
      <c r="BM98">
        <f t="shared" si="106"/>
        <v>55</v>
      </c>
      <c r="BN98">
        <f t="shared" si="106"/>
        <v>56</v>
      </c>
      <c r="BO98">
        <f t="shared" si="106"/>
        <v>57</v>
      </c>
      <c r="BP98">
        <f t="shared" si="106"/>
        <v>58</v>
      </c>
      <c r="BQ98">
        <f t="shared" si="106"/>
        <v>59</v>
      </c>
      <c r="BR98">
        <f t="shared" si="106"/>
        <v>60</v>
      </c>
      <c r="BS98">
        <f t="shared" ref="BS98:DA98" si="107">IF(BS99&lt;$C99,"",BS99-$C99)</f>
        <v>61</v>
      </c>
      <c r="BT98">
        <f t="shared" si="107"/>
        <v>62</v>
      </c>
      <c r="BU98">
        <f t="shared" si="107"/>
        <v>63</v>
      </c>
      <c r="BV98">
        <f t="shared" si="107"/>
        <v>64</v>
      </c>
      <c r="BW98">
        <f t="shared" si="107"/>
        <v>65</v>
      </c>
      <c r="BX98">
        <f t="shared" si="107"/>
        <v>66</v>
      </c>
      <c r="BY98">
        <f t="shared" si="107"/>
        <v>67</v>
      </c>
      <c r="BZ98">
        <f t="shared" si="107"/>
        <v>68</v>
      </c>
      <c r="CA98">
        <f t="shared" si="107"/>
        <v>69</v>
      </c>
      <c r="CB98">
        <f t="shared" si="107"/>
        <v>70</v>
      </c>
      <c r="CC98">
        <f t="shared" si="107"/>
        <v>71</v>
      </c>
      <c r="CD98">
        <f t="shared" si="107"/>
        <v>72</v>
      </c>
      <c r="CE98">
        <f t="shared" si="107"/>
        <v>73</v>
      </c>
      <c r="CF98">
        <f t="shared" si="107"/>
        <v>74</v>
      </c>
      <c r="CG98">
        <f t="shared" si="107"/>
        <v>75</v>
      </c>
      <c r="CH98">
        <f t="shared" si="107"/>
        <v>76</v>
      </c>
      <c r="CI98">
        <f t="shared" si="107"/>
        <v>77</v>
      </c>
      <c r="CJ98">
        <f t="shared" si="107"/>
        <v>78</v>
      </c>
      <c r="CK98">
        <f t="shared" si="107"/>
        <v>79</v>
      </c>
      <c r="CL98">
        <f t="shared" si="107"/>
        <v>80</v>
      </c>
      <c r="CM98">
        <f t="shared" si="107"/>
        <v>81</v>
      </c>
      <c r="CN98">
        <f t="shared" si="107"/>
        <v>82</v>
      </c>
      <c r="CO98">
        <f t="shared" si="107"/>
        <v>83</v>
      </c>
      <c r="CP98">
        <f t="shared" si="107"/>
        <v>84</v>
      </c>
      <c r="CQ98">
        <f t="shared" si="107"/>
        <v>85</v>
      </c>
      <c r="CR98">
        <f t="shared" si="107"/>
        <v>86</v>
      </c>
      <c r="CS98">
        <f t="shared" si="107"/>
        <v>87</v>
      </c>
      <c r="CT98">
        <f t="shared" si="107"/>
        <v>88</v>
      </c>
      <c r="CU98">
        <f t="shared" si="107"/>
        <v>89</v>
      </c>
      <c r="CV98">
        <f t="shared" si="107"/>
        <v>90</v>
      </c>
      <c r="CW98">
        <f t="shared" si="107"/>
        <v>91</v>
      </c>
      <c r="CX98">
        <f t="shared" si="107"/>
        <v>92</v>
      </c>
      <c r="CY98">
        <f t="shared" si="107"/>
        <v>93</v>
      </c>
      <c r="CZ98">
        <f t="shared" si="107"/>
        <v>94</v>
      </c>
      <c r="DA98">
        <f t="shared" si="107"/>
        <v>95</v>
      </c>
    </row>
    <row r="99" spans="3:107" x14ac:dyDescent="0.4">
      <c r="C99">
        <f>C82+1</f>
        <v>2032</v>
      </c>
      <c r="D99" s="5" t="s">
        <v>434</v>
      </c>
      <c r="E99" s="5">
        <v>2027</v>
      </c>
      <c r="F99" s="5">
        <v>2028</v>
      </c>
      <c r="G99" s="5">
        <v>2029</v>
      </c>
      <c r="H99" s="5">
        <v>2030</v>
      </c>
      <c r="I99" s="5">
        <v>2031</v>
      </c>
      <c r="J99" s="5">
        <v>2032</v>
      </c>
      <c r="K99" s="5">
        <v>2033</v>
      </c>
      <c r="L99" s="5">
        <v>2034</v>
      </c>
      <c r="M99" s="5">
        <v>2035</v>
      </c>
      <c r="N99" s="5">
        <v>2036</v>
      </c>
      <c r="O99" s="5">
        <v>2037</v>
      </c>
      <c r="P99" s="5">
        <v>2038</v>
      </c>
      <c r="Q99" s="5">
        <v>2039</v>
      </c>
      <c r="R99" s="5">
        <v>2040</v>
      </c>
      <c r="S99" s="5">
        <v>2041</v>
      </c>
      <c r="T99" s="5">
        <v>2042</v>
      </c>
      <c r="U99" s="5">
        <v>2043</v>
      </c>
      <c r="V99" s="5">
        <v>2044</v>
      </c>
      <c r="W99" s="5">
        <v>2045</v>
      </c>
      <c r="X99" s="5">
        <v>2046</v>
      </c>
      <c r="Y99" s="5">
        <v>2047</v>
      </c>
      <c r="Z99" s="5">
        <v>2048</v>
      </c>
      <c r="AA99" s="5">
        <v>2049</v>
      </c>
      <c r="AB99" s="5">
        <v>2050</v>
      </c>
      <c r="AC99" s="5">
        <v>2051</v>
      </c>
      <c r="AD99" s="5">
        <v>2052</v>
      </c>
      <c r="AE99" s="5">
        <v>2053</v>
      </c>
      <c r="AF99" s="5">
        <v>2054</v>
      </c>
      <c r="AG99" s="5">
        <v>2055</v>
      </c>
      <c r="AH99" s="5">
        <v>2056</v>
      </c>
      <c r="AI99" s="5">
        <v>2057</v>
      </c>
      <c r="AJ99" s="5">
        <v>2058</v>
      </c>
      <c r="AK99" s="5">
        <v>2059</v>
      </c>
      <c r="AL99" s="5">
        <v>2060</v>
      </c>
      <c r="AM99" s="5">
        <v>2061</v>
      </c>
      <c r="AN99" s="5">
        <v>2062</v>
      </c>
      <c r="AO99" s="5">
        <v>2063</v>
      </c>
      <c r="AP99" s="5">
        <v>2064</v>
      </c>
      <c r="AQ99" s="5">
        <v>2065</v>
      </c>
      <c r="AR99" s="5">
        <v>2066</v>
      </c>
      <c r="AS99" s="5">
        <v>2067</v>
      </c>
      <c r="AT99" s="5">
        <v>2068</v>
      </c>
      <c r="AU99" s="5">
        <v>2069</v>
      </c>
      <c r="AV99" s="5">
        <v>2070</v>
      </c>
      <c r="AW99" s="5">
        <v>2071</v>
      </c>
      <c r="AX99" s="5">
        <v>2072</v>
      </c>
      <c r="AY99" s="5">
        <v>2073</v>
      </c>
      <c r="AZ99" s="5">
        <v>2074</v>
      </c>
      <c r="BA99" s="5">
        <v>2075</v>
      </c>
      <c r="BB99" s="5">
        <v>2076</v>
      </c>
      <c r="BC99" s="5">
        <v>2077</v>
      </c>
      <c r="BD99" s="5">
        <v>2078</v>
      </c>
      <c r="BE99" s="5">
        <v>2079</v>
      </c>
      <c r="BF99" s="5">
        <v>2080</v>
      </c>
      <c r="BG99" s="5">
        <v>2081</v>
      </c>
      <c r="BH99" s="5">
        <v>2082</v>
      </c>
      <c r="BI99" s="5">
        <v>2083</v>
      </c>
      <c r="BJ99" s="5">
        <v>2084</v>
      </c>
      <c r="BK99" s="5">
        <v>2085</v>
      </c>
      <c r="BL99" s="5">
        <v>2086</v>
      </c>
      <c r="BM99" s="5">
        <v>2087</v>
      </c>
      <c r="BN99" s="5">
        <v>2088</v>
      </c>
      <c r="BO99" s="5">
        <v>2089</v>
      </c>
      <c r="BP99" s="5">
        <v>2090</v>
      </c>
      <c r="BQ99" s="5">
        <v>2091</v>
      </c>
      <c r="BR99" s="5">
        <v>2092</v>
      </c>
      <c r="BS99" s="5">
        <v>2093</v>
      </c>
      <c r="BT99" s="5">
        <v>2094</v>
      </c>
      <c r="BU99" s="5">
        <v>2095</v>
      </c>
      <c r="BV99" s="5">
        <v>2096</v>
      </c>
      <c r="BW99" s="5">
        <v>2097</v>
      </c>
      <c r="BX99" s="5">
        <v>2098</v>
      </c>
      <c r="BY99" s="5">
        <v>2099</v>
      </c>
      <c r="BZ99" s="5">
        <v>2100</v>
      </c>
      <c r="CA99" s="5">
        <v>2101</v>
      </c>
      <c r="CB99" s="5">
        <v>2102</v>
      </c>
      <c r="CC99" s="5">
        <v>2103</v>
      </c>
      <c r="CD99" s="5">
        <v>2104</v>
      </c>
      <c r="CE99" s="5">
        <v>2105</v>
      </c>
      <c r="CF99" s="5">
        <v>2106</v>
      </c>
      <c r="CG99" s="5">
        <v>2107</v>
      </c>
      <c r="CH99" s="5">
        <v>2108</v>
      </c>
      <c r="CI99" s="5">
        <v>2109</v>
      </c>
      <c r="CJ99" s="5">
        <v>2110</v>
      </c>
      <c r="CK99" s="5">
        <v>2111</v>
      </c>
      <c r="CL99" s="5">
        <v>2112</v>
      </c>
      <c r="CM99" s="5">
        <v>2113</v>
      </c>
      <c r="CN99" s="5">
        <v>2114</v>
      </c>
      <c r="CO99" s="5">
        <v>2115</v>
      </c>
      <c r="CP99" s="5">
        <v>2116</v>
      </c>
      <c r="CQ99" s="5">
        <v>2117</v>
      </c>
      <c r="CR99" s="5">
        <v>2118</v>
      </c>
      <c r="CS99" s="5">
        <v>2119</v>
      </c>
      <c r="CT99" s="5">
        <v>2120</v>
      </c>
      <c r="CU99" s="5">
        <v>2121</v>
      </c>
      <c r="CV99" s="5">
        <v>2122</v>
      </c>
      <c r="CW99" s="5">
        <v>2123</v>
      </c>
      <c r="CX99" s="5">
        <v>2124</v>
      </c>
      <c r="CY99" s="5">
        <v>2125</v>
      </c>
      <c r="CZ99" s="5">
        <v>2126</v>
      </c>
      <c r="DA99" s="5">
        <v>2127</v>
      </c>
    </row>
    <row r="100" spans="3:107" x14ac:dyDescent="0.4">
      <c r="D100" t="s">
        <v>207</v>
      </c>
      <c r="K100" s="8">
        <f>IF(K$13&lt;=$B$3,K101/$B$3,0)</f>
        <v>66546.458096344591</v>
      </c>
      <c r="L100" s="8">
        <f>IF(L98&lt;=$B$3,K100,0)</f>
        <v>66546.458096344591</v>
      </c>
      <c r="M100" s="8">
        <f t="shared" ref="M100:BX100" si="108">IF(M98&lt;=$B$3,L100,0)</f>
        <v>66546.458096344591</v>
      </c>
      <c r="N100" s="8">
        <f t="shared" si="108"/>
        <v>66546.458096344591</v>
      </c>
      <c r="O100" s="8">
        <f t="shared" si="108"/>
        <v>66546.458096344591</v>
      </c>
      <c r="P100" s="8">
        <f t="shared" si="108"/>
        <v>66546.458096344591</v>
      </c>
      <c r="Q100" s="8">
        <f t="shared" si="108"/>
        <v>66546.458096344591</v>
      </c>
      <c r="R100" s="8">
        <f t="shared" si="108"/>
        <v>66546.458096344591</v>
      </c>
      <c r="S100" s="8">
        <f t="shared" si="108"/>
        <v>66546.458096344591</v>
      </c>
      <c r="T100" s="8">
        <f t="shared" si="108"/>
        <v>66546.458096344591</v>
      </c>
      <c r="U100" s="8">
        <f t="shared" si="108"/>
        <v>66546.458096344591</v>
      </c>
      <c r="V100" s="8">
        <f t="shared" si="108"/>
        <v>66546.458096344591</v>
      </c>
      <c r="W100" s="8">
        <f t="shared" si="108"/>
        <v>66546.458096344591</v>
      </c>
      <c r="X100" s="8">
        <f t="shared" si="108"/>
        <v>66546.458096344591</v>
      </c>
      <c r="Y100" s="8">
        <f t="shared" si="108"/>
        <v>66546.458096344591</v>
      </c>
      <c r="Z100" s="8">
        <f t="shared" si="108"/>
        <v>66546.458096344591</v>
      </c>
      <c r="AA100" s="8">
        <f t="shared" si="108"/>
        <v>66546.458096344591</v>
      </c>
      <c r="AB100" s="8">
        <f t="shared" si="108"/>
        <v>66546.458096344591</v>
      </c>
      <c r="AC100" s="8">
        <f t="shared" si="108"/>
        <v>66546.458096344591</v>
      </c>
      <c r="AD100" s="8">
        <f t="shared" si="108"/>
        <v>66546.458096344591</v>
      </c>
      <c r="AE100" s="8">
        <f t="shared" si="108"/>
        <v>66546.458096344591</v>
      </c>
      <c r="AF100" s="8">
        <f t="shared" si="108"/>
        <v>66546.458096344591</v>
      </c>
      <c r="AG100" s="8">
        <f t="shared" si="108"/>
        <v>66546.458096344591</v>
      </c>
      <c r="AH100" s="8">
        <f t="shared" si="108"/>
        <v>66546.458096344591</v>
      </c>
      <c r="AI100" s="8">
        <f t="shared" si="108"/>
        <v>66546.458096344591</v>
      </c>
      <c r="AJ100" s="8">
        <f t="shared" si="108"/>
        <v>66546.458096344591</v>
      </c>
      <c r="AK100" s="8">
        <f t="shared" si="108"/>
        <v>66546.458096344591</v>
      </c>
      <c r="AL100" s="8">
        <f t="shared" si="108"/>
        <v>66546.458096344591</v>
      </c>
      <c r="AM100" s="8">
        <f t="shared" si="108"/>
        <v>66546.458096344591</v>
      </c>
      <c r="AN100" s="8">
        <f t="shared" si="108"/>
        <v>66546.458096344591</v>
      </c>
      <c r="AO100" s="8">
        <f t="shared" si="108"/>
        <v>66546.458096344591</v>
      </c>
      <c r="AP100" s="8">
        <f t="shared" si="108"/>
        <v>66546.458096344591</v>
      </c>
      <c r="AQ100" s="8">
        <f t="shared" si="108"/>
        <v>66546.458096344591</v>
      </c>
      <c r="AR100" s="8">
        <f t="shared" si="108"/>
        <v>66546.458096344591</v>
      </c>
      <c r="AS100" s="8">
        <f t="shared" si="108"/>
        <v>66546.458096344591</v>
      </c>
      <c r="AT100" s="8">
        <f t="shared" si="108"/>
        <v>66546.458096344591</v>
      </c>
      <c r="AU100" s="8">
        <f t="shared" si="108"/>
        <v>66546.458096344591</v>
      </c>
      <c r="AV100" s="8">
        <f t="shared" si="108"/>
        <v>66546.458096344591</v>
      </c>
      <c r="AW100" s="8">
        <f t="shared" si="108"/>
        <v>66546.458096344591</v>
      </c>
      <c r="AX100" s="8">
        <f t="shared" si="108"/>
        <v>66546.458096344591</v>
      </c>
      <c r="AY100" s="8">
        <f t="shared" si="108"/>
        <v>66546.458096344591</v>
      </c>
      <c r="AZ100" s="8">
        <f t="shared" si="108"/>
        <v>66546.458096344591</v>
      </c>
      <c r="BA100" s="8">
        <f t="shared" si="108"/>
        <v>66546.458096344591</v>
      </c>
      <c r="BB100" s="8">
        <f t="shared" si="108"/>
        <v>66546.458096344591</v>
      </c>
      <c r="BC100" s="8">
        <f t="shared" si="108"/>
        <v>66546.458096344591</v>
      </c>
      <c r="BD100" s="8">
        <f t="shared" si="108"/>
        <v>66546.458096344591</v>
      </c>
      <c r="BE100" s="8">
        <f t="shared" si="108"/>
        <v>66546.458096344591</v>
      </c>
      <c r="BF100" s="8">
        <f t="shared" si="108"/>
        <v>66546.458096344591</v>
      </c>
      <c r="BG100" s="8">
        <f t="shared" si="108"/>
        <v>66546.458096344591</v>
      </c>
      <c r="BH100" s="8">
        <f t="shared" si="108"/>
        <v>66546.458096344591</v>
      </c>
      <c r="BI100" s="8">
        <f t="shared" si="108"/>
        <v>0</v>
      </c>
      <c r="BJ100" s="8">
        <f t="shared" si="108"/>
        <v>0</v>
      </c>
      <c r="BK100" s="8">
        <f t="shared" si="108"/>
        <v>0</v>
      </c>
      <c r="BL100" s="8">
        <f t="shared" si="108"/>
        <v>0</v>
      </c>
      <c r="BM100" s="8">
        <f t="shared" si="108"/>
        <v>0</v>
      </c>
      <c r="BN100" s="8">
        <f t="shared" si="108"/>
        <v>0</v>
      </c>
      <c r="BO100" s="8">
        <f t="shared" si="108"/>
        <v>0</v>
      </c>
      <c r="BP100" s="8">
        <f t="shared" si="108"/>
        <v>0</v>
      </c>
      <c r="BQ100" s="8">
        <f t="shared" si="108"/>
        <v>0</v>
      </c>
      <c r="BR100" s="8">
        <f t="shared" si="108"/>
        <v>0</v>
      </c>
      <c r="BS100" s="8">
        <f t="shared" si="108"/>
        <v>0</v>
      </c>
      <c r="BT100" s="8">
        <f t="shared" si="108"/>
        <v>0</v>
      </c>
      <c r="BU100" s="8">
        <f t="shared" si="108"/>
        <v>0</v>
      </c>
      <c r="BV100" s="8">
        <f t="shared" si="108"/>
        <v>0</v>
      </c>
      <c r="BW100" s="8">
        <f t="shared" si="108"/>
        <v>0</v>
      </c>
      <c r="BX100" s="8">
        <f t="shared" si="108"/>
        <v>0</v>
      </c>
      <c r="BY100" s="8">
        <f t="shared" ref="BY100:DA100" si="109">IF(BY98&lt;=$B$3,BX100,0)</f>
        <v>0</v>
      </c>
      <c r="BZ100" s="8">
        <f t="shared" si="109"/>
        <v>0</v>
      </c>
      <c r="CA100" s="8">
        <f t="shared" si="109"/>
        <v>0</v>
      </c>
      <c r="CB100" s="8">
        <f t="shared" si="109"/>
        <v>0</v>
      </c>
      <c r="CC100" s="8">
        <f t="shared" si="109"/>
        <v>0</v>
      </c>
      <c r="CD100" s="8">
        <f t="shared" si="109"/>
        <v>0</v>
      </c>
      <c r="CE100" s="8">
        <f t="shared" si="109"/>
        <v>0</v>
      </c>
      <c r="CF100" s="8">
        <f t="shared" si="109"/>
        <v>0</v>
      </c>
      <c r="CG100" s="8">
        <f t="shared" si="109"/>
        <v>0</v>
      </c>
      <c r="CH100" s="8">
        <f t="shared" si="109"/>
        <v>0</v>
      </c>
      <c r="CI100" s="8">
        <f t="shared" si="109"/>
        <v>0</v>
      </c>
      <c r="CJ100" s="8">
        <f t="shared" si="109"/>
        <v>0</v>
      </c>
      <c r="CK100" s="8">
        <f t="shared" si="109"/>
        <v>0</v>
      </c>
      <c r="CL100" s="8">
        <f t="shared" si="109"/>
        <v>0</v>
      </c>
      <c r="CM100" s="8">
        <f t="shared" si="109"/>
        <v>0</v>
      </c>
      <c r="CN100" s="8">
        <f t="shared" si="109"/>
        <v>0</v>
      </c>
      <c r="CO100" s="8">
        <f t="shared" si="109"/>
        <v>0</v>
      </c>
      <c r="CP100" s="8">
        <f t="shared" si="109"/>
        <v>0</v>
      </c>
      <c r="CQ100" s="8">
        <f t="shared" si="109"/>
        <v>0</v>
      </c>
      <c r="CR100" s="8">
        <f t="shared" si="109"/>
        <v>0</v>
      </c>
      <c r="CS100" s="8">
        <f t="shared" si="109"/>
        <v>0</v>
      </c>
      <c r="CT100" s="8">
        <f t="shared" si="109"/>
        <v>0</v>
      </c>
      <c r="CU100" s="8">
        <f t="shared" si="109"/>
        <v>0</v>
      </c>
      <c r="CV100" s="8">
        <f t="shared" si="109"/>
        <v>0</v>
      </c>
      <c r="CW100" s="8">
        <f t="shared" si="109"/>
        <v>0</v>
      </c>
      <c r="CX100" s="8">
        <f t="shared" si="109"/>
        <v>0</v>
      </c>
      <c r="CY100" s="8">
        <f t="shared" si="109"/>
        <v>0</v>
      </c>
      <c r="CZ100" s="8">
        <f t="shared" si="109"/>
        <v>0</v>
      </c>
      <c r="DA100" s="8">
        <f t="shared" si="109"/>
        <v>0</v>
      </c>
      <c r="DB100" s="8"/>
      <c r="DC100" s="8"/>
    </row>
    <row r="101" spans="3:107" x14ac:dyDescent="0.4">
      <c r="D101" t="s">
        <v>154</v>
      </c>
      <c r="J101" s="8">
        <f>HLOOKUP(K99,$F$3:$O$10,7,0)</f>
        <v>3327322.9048172296</v>
      </c>
      <c r="K101" s="8">
        <f>IF(ROUND(J102,4)=-ROUND(J101,4),0,J101)</f>
        <v>3327322.9048172296</v>
      </c>
      <c r="L101" s="8">
        <f t="shared" ref="L101:BW101" si="110">IF(ROUND(K102,4)=-ROUND(K101,4),0,K101)</f>
        <v>3327322.9048172296</v>
      </c>
      <c r="M101" s="8">
        <f t="shared" si="110"/>
        <v>3327322.9048172296</v>
      </c>
      <c r="N101" s="8">
        <f t="shared" si="110"/>
        <v>3327322.9048172296</v>
      </c>
      <c r="O101" s="8">
        <f t="shared" si="110"/>
        <v>3327322.9048172296</v>
      </c>
      <c r="P101" s="8">
        <f t="shared" si="110"/>
        <v>3327322.9048172296</v>
      </c>
      <c r="Q101" s="8">
        <f t="shared" si="110"/>
        <v>3327322.9048172296</v>
      </c>
      <c r="R101" s="8">
        <f t="shared" si="110"/>
        <v>3327322.9048172296</v>
      </c>
      <c r="S101" s="8">
        <f t="shared" si="110"/>
        <v>3327322.9048172296</v>
      </c>
      <c r="T101" s="8">
        <f t="shared" si="110"/>
        <v>3327322.9048172296</v>
      </c>
      <c r="U101" s="8">
        <f t="shared" si="110"/>
        <v>3327322.9048172296</v>
      </c>
      <c r="V101" s="8">
        <f t="shared" si="110"/>
        <v>3327322.9048172296</v>
      </c>
      <c r="W101" s="8">
        <f t="shared" si="110"/>
        <v>3327322.9048172296</v>
      </c>
      <c r="X101" s="8">
        <f t="shared" si="110"/>
        <v>3327322.9048172296</v>
      </c>
      <c r="Y101" s="8">
        <f t="shared" si="110"/>
        <v>3327322.9048172296</v>
      </c>
      <c r="Z101" s="8">
        <f t="shared" si="110"/>
        <v>3327322.9048172296</v>
      </c>
      <c r="AA101" s="8">
        <f t="shared" si="110"/>
        <v>3327322.9048172296</v>
      </c>
      <c r="AB101" s="8">
        <f t="shared" si="110"/>
        <v>3327322.9048172296</v>
      </c>
      <c r="AC101" s="8">
        <f t="shared" si="110"/>
        <v>3327322.9048172296</v>
      </c>
      <c r="AD101" s="8">
        <f t="shared" si="110"/>
        <v>3327322.9048172296</v>
      </c>
      <c r="AE101" s="8">
        <f t="shared" si="110"/>
        <v>3327322.9048172296</v>
      </c>
      <c r="AF101" s="8">
        <f t="shared" si="110"/>
        <v>3327322.9048172296</v>
      </c>
      <c r="AG101" s="8">
        <f t="shared" si="110"/>
        <v>3327322.9048172296</v>
      </c>
      <c r="AH101" s="8">
        <f t="shared" si="110"/>
        <v>3327322.9048172296</v>
      </c>
      <c r="AI101" s="8">
        <f t="shared" si="110"/>
        <v>3327322.9048172296</v>
      </c>
      <c r="AJ101" s="8">
        <f t="shared" si="110"/>
        <v>3327322.9048172296</v>
      </c>
      <c r="AK101" s="8">
        <f t="shared" si="110"/>
        <v>3327322.9048172296</v>
      </c>
      <c r="AL101" s="8">
        <f t="shared" si="110"/>
        <v>3327322.9048172296</v>
      </c>
      <c r="AM101" s="8">
        <f t="shared" si="110"/>
        <v>3327322.9048172296</v>
      </c>
      <c r="AN101" s="8">
        <f t="shared" si="110"/>
        <v>3327322.9048172296</v>
      </c>
      <c r="AO101" s="8">
        <f t="shared" si="110"/>
        <v>3327322.9048172296</v>
      </c>
      <c r="AP101" s="8">
        <f t="shared" si="110"/>
        <v>3327322.9048172296</v>
      </c>
      <c r="AQ101" s="8">
        <f t="shared" si="110"/>
        <v>3327322.9048172296</v>
      </c>
      <c r="AR101" s="8">
        <f t="shared" si="110"/>
        <v>3327322.9048172296</v>
      </c>
      <c r="AS101" s="8">
        <f t="shared" si="110"/>
        <v>3327322.9048172296</v>
      </c>
      <c r="AT101" s="8">
        <f t="shared" si="110"/>
        <v>3327322.9048172296</v>
      </c>
      <c r="AU101" s="8">
        <f t="shared" si="110"/>
        <v>3327322.9048172296</v>
      </c>
      <c r="AV101" s="8">
        <f t="shared" si="110"/>
        <v>3327322.9048172296</v>
      </c>
      <c r="AW101" s="8">
        <f t="shared" si="110"/>
        <v>3327322.9048172296</v>
      </c>
      <c r="AX101" s="8">
        <f t="shared" si="110"/>
        <v>3327322.9048172296</v>
      </c>
      <c r="AY101" s="8">
        <f t="shared" si="110"/>
        <v>3327322.9048172296</v>
      </c>
      <c r="AZ101" s="8">
        <f t="shared" si="110"/>
        <v>3327322.9048172296</v>
      </c>
      <c r="BA101" s="8">
        <f t="shared" si="110"/>
        <v>3327322.9048172296</v>
      </c>
      <c r="BB101" s="8">
        <f t="shared" si="110"/>
        <v>3327322.9048172296</v>
      </c>
      <c r="BC101" s="8">
        <f t="shared" si="110"/>
        <v>3327322.9048172296</v>
      </c>
      <c r="BD101" s="8">
        <f t="shared" si="110"/>
        <v>3327322.9048172296</v>
      </c>
      <c r="BE101" s="8">
        <f t="shared" si="110"/>
        <v>3327322.9048172296</v>
      </c>
      <c r="BF101" s="8">
        <f t="shared" si="110"/>
        <v>3327322.9048172296</v>
      </c>
      <c r="BG101" s="8">
        <f t="shared" si="110"/>
        <v>3327322.9048172296</v>
      </c>
      <c r="BH101" s="8">
        <f t="shared" si="110"/>
        <v>3327322.9048172296</v>
      </c>
      <c r="BI101" s="8">
        <f t="shared" si="110"/>
        <v>0</v>
      </c>
      <c r="BJ101" s="8">
        <f t="shared" si="110"/>
        <v>0</v>
      </c>
      <c r="BK101" s="8">
        <f t="shared" si="110"/>
        <v>0</v>
      </c>
      <c r="BL101" s="8">
        <f t="shared" si="110"/>
        <v>0</v>
      </c>
      <c r="BM101" s="8">
        <f t="shared" si="110"/>
        <v>0</v>
      </c>
      <c r="BN101" s="8">
        <f t="shared" si="110"/>
        <v>0</v>
      </c>
      <c r="BO101" s="8">
        <f t="shared" si="110"/>
        <v>0</v>
      </c>
      <c r="BP101" s="8">
        <f t="shared" si="110"/>
        <v>0</v>
      </c>
      <c r="BQ101" s="8">
        <f t="shared" si="110"/>
        <v>0</v>
      </c>
      <c r="BR101" s="8">
        <f t="shared" si="110"/>
        <v>0</v>
      </c>
      <c r="BS101" s="8">
        <f t="shared" si="110"/>
        <v>0</v>
      </c>
      <c r="BT101" s="8">
        <f t="shared" si="110"/>
        <v>0</v>
      </c>
      <c r="BU101" s="8">
        <f t="shared" si="110"/>
        <v>0</v>
      </c>
      <c r="BV101" s="8">
        <f t="shared" si="110"/>
        <v>0</v>
      </c>
      <c r="BW101" s="8">
        <f t="shared" si="110"/>
        <v>0</v>
      </c>
      <c r="BX101" s="8">
        <f t="shared" ref="BX101:DA101" si="111">IF(ROUND(BW102,4)=-ROUND(BW101,4),0,BW101)</f>
        <v>0</v>
      </c>
      <c r="BY101" s="8">
        <f t="shared" si="111"/>
        <v>0</v>
      </c>
      <c r="BZ101" s="8">
        <f t="shared" si="111"/>
        <v>0</v>
      </c>
      <c r="CA101" s="8">
        <f t="shared" si="111"/>
        <v>0</v>
      </c>
      <c r="CB101" s="8">
        <f t="shared" si="111"/>
        <v>0</v>
      </c>
      <c r="CC101" s="8">
        <f t="shared" si="111"/>
        <v>0</v>
      </c>
      <c r="CD101" s="8">
        <f t="shared" si="111"/>
        <v>0</v>
      </c>
      <c r="CE101" s="8">
        <f t="shared" si="111"/>
        <v>0</v>
      </c>
      <c r="CF101" s="8">
        <f t="shared" si="111"/>
        <v>0</v>
      </c>
      <c r="CG101" s="8">
        <f t="shared" si="111"/>
        <v>0</v>
      </c>
      <c r="CH101" s="8">
        <f t="shared" si="111"/>
        <v>0</v>
      </c>
      <c r="CI101" s="8">
        <f t="shared" si="111"/>
        <v>0</v>
      </c>
      <c r="CJ101" s="8">
        <f t="shared" si="111"/>
        <v>0</v>
      </c>
      <c r="CK101" s="8">
        <f t="shared" si="111"/>
        <v>0</v>
      </c>
      <c r="CL101" s="8">
        <f t="shared" si="111"/>
        <v>0</v>
      </c>
      <c r="CM101" s="8">
        <f t="shared" si="111"/>
        <v>0</v>
      </c>
      <c r="CN101" s="8">
        <f t="shared" si="111"/>
        <v>0</v>
      </c>
      <c r="CO101" s="8">
        <f t="shared" si="111"/>
        <v>0</v>
      </c>
      <c r="CP101" s="8">
        <f t="shared" si="111"/>
        <v>0</v>
      </c>
      <c r="CQ101" s="8">
        <f t="shared" si="111"/>
        <v>0</v>
      </c>
      <c r="CR101" s="8">
        <f t="shared" si="111"/>
        <v>0</v>
      </c>
      <c r="CS101" s="8">
        <f t="shared" si="111"/>
        <v>0</v>
      </c>
      <c r="CT101" s="8">
        <f t="shared" si="111"/>
        <v>0</v>
      </c>
      <c r="CU101" s="8">
        <f t="shared" si="111"/>
        <v>0</v>
      </c>
      <c r="CV101" s="8">
        <f t="shared" si="111"/>
        <v>0</v>
      </c>
      <c r="CW101" s="8">
        <f t="shared" si="111"/>
        <v>0</v>
      </c>
      <c r="CX101" s="8">
        <f t="shared" si="111"/>
        <v>0</v>
      </c>
      <c r="CY101" s="8">
        <f t="shared" si="111"/>
        <v>0</v>
      </c>
      <c r="CZ101" s="8">
        <f t="shared" si="111"/>
        <v>0</v>
      </c>
      <c r="DA101" s="8">
        <f t="shared" si="111"/>
        <v>0</v>
      </c>
      <c r="DB101" s="8"/>
      <c r="DC101" s="8"/>
    </row>
    <row r="102" spans="3:107" x14ac:dyDescent="0.4">
      <c r="D102" t="s">
        <v>208</v>
      </c>
      <c r="J102" s="8"/>
      <c r="K102" s="8">
        <f>IF(K98&lt;=$B$3,-SUM($E100:K100),0)</f>
        <v>-66546.458096344591</v>
      </c>
      <c r="L102" s="8">
        <f>IF(L98&lt;=$B$3,-SUM($E100:L100),0)</f>
        <v>-133092.91619268918</v>
      </c>
      <c r="M102" s="8">
        <f>IF(M98&lt;=$B$3,-SUM($E100:M100),0)</f>
        <v>-199639.37428903376</v>
      </c>
      <c r="N102" s="8">
        <f>IF(N98&lt;=$B$3,-SUM($E100:N100),0)</f>
        <v>-266185.83238537837</v>
      </c>
      <c r="O102" s="8">
        <f>IF(O98&lt;=$B$3,-SUM($E100:O100),0)</f>
        <v>-332732.29048172297</v>
      </c>
      <c r="P102" s="8">
        <f>IF(P98&lt;=$B$3,-SUM($E100:P100),0)</f>
        <v>-399278.74857806758</v>
      </c>
      <c r="Q102" s="8">
        <f>IF(Q98&lt;=$B$3,-SUM($E100:Q100),0)</f>
        <v>-465825.20667441218</v>
      </c>
      <c r="R102" s="8">
        <f>IF(R98&lt;=$B$3,-SUM($E100:R100),0)</f>
        <v>-532371.66477075673</v>
      </c>
      <c r="S102" s="8">
        <f>IF(S98&lt;=$B$3,-SUM($E100:S100),0)</f>
        <v>-598918.12286710134</v>
      </c>
      <c r="T102" s="8">
        <f>IF(T98&lt;=$B$3,-SUM($E100:T100),0)</f>
        <v>-665464.58096344594</v>
      </c>
      <c r="U102" s="8">
        <f>IF(U98&lt;=$B$3,-SUM($E100:U100),0)</f>
        <v>-732011.03905979055</v>
      </c>
      <c r="V102" s="8">
        <f>IF(V98&lt;=$B$3,-SUM($E100:V100),0)</f>
        <v>-798557.49715613516</v>
      </c>
      <c r="W102" s="8">
        <f>IF(W98&lt;=$B$3,-SUM($E100:W100),0)</f>
        <v>-865103.95525247976</v>
      </c>
      <c r="X102" s="8">
        <f>IF(X98&lt;=$B$3,-SUM($E100:X100),0)</f>
        <v>-931650.41334882437</v>
      </c>
      <c r="Y102" s="8">
        <f>IF(Y98&lt;=$B$3,-SUM($E100:Y100),0)</f>
        <v>-998196.87144516897</v>
      </c>
      <c r="Z102" s="8">
        <f>IF(Z98&lt;=$B$3,-SUM($E100:Z100),0)</f>
        <v>-1064743.3295415135</v>
      </c>
      <c r="AA102" s="8">
        <f>IF(AA98&lt;=$B$3,-SUM($E100:AA100),0)</f>
        <v>-1131289.787637858</v>
      </c>
      <c r="AB102" s="8">
        <f>IF(AB98&lt;=$B$3,-SUM($E100:AB100),0)</f>
        <v>-1197836.2457342024</v>
      </c>
      <c r="AC102" s="8">
        <f>IF(AC98&lt;=$B$3,-SUM($E100:AC100),0)</f>
        <v>-1264382.7038305469</v>
      </c>
      <c r="AD102" s="8">
        <f>IF(AD98&lt;=$B$3,-SUM($E100:AD100),0)</f>
        <v>-1330929.1619268914</v>
      </c>
      <c r="AE102" s="8">
        <f>IF(AE98&lt;=$B$3,-SUM($E100:AE100),0)</f>
        <v>-1397475.6200232359</v>
      </c>
      <c r="AF102" s="8">
        <f>IF(AF98&lt;=$B$3,-SUM($E100:AF100),0)</f>
        <v>-1464022.0781195804</v>
      </c>
      <c r="AG102" s="8">
        <f>IF(AG98&lt;=$B$3,-SUM($E100:AG100),0)</f>
        <v>-1530568.5362159249</v>
      </c>
      <c r="AH102" s="8">
        <f>IF(AH98&lt;=$B$3,-SUM($E100:AH100),0)</f>
        <v>-1597114.9943122694</v>
      </c>
      <c r="AI102" s="8">
        <f>IF(AI98&lt;=$B$3,-SUM($E100:AI100),0)</f>
        <v>-1663661.4524086139</v>
      </c>
      <c r="AJ102" s="8">
        <f>IF(AJ98&lt;=$B$3,-SUM($E100:AJ100),0)</f>
        <v>-1730207.9105049584</v>
      </c>
      <c r="AK102" s="8">
        <f>IF(AK98&lt;=$B$3,-SUM($E100:AK100),0)</f>
        <v>-1796754.3686013028</v>
      </c>
      <c r="AL102" s="8">
        <f>IF(AL98&lt;=$B$3,-SUM($E100:AL100),0)</f>
        <v>-1863300.8266976473</v>
      </c>
      <c r="AM102" s="8">
        <f>IF(AM98&lt;=$B$3,-SUM($E100:AM100),0)</f>
        <v>-1929847.2847939918</v>
      </c>
      <c r="AN102" s="8">
        <f>IF(AN98&lt;=$B$3,-SUM($E100:AN100),0)</f>
        <v>-1996393.7428903363</v>
      </c>
      <c r="AO102" s="8">
        <f>IF(AO98&lt;=$B$3,-SUM($E100:AO100),0)</f>
        <v>-2062940.2009866808</v>
      </c>
      <c r="AP102" s="8">
        <f>IF(AP98&lt;=$B$3,-SUM($E100:AP100),0)</f>
        <v>-2129486.6590830255</v>
      </c>
      <c r="AQ102" s="8">
        <f>IF(AQ98&lt;=$B$3,-SUM($E100:AQ100),0)</f>
        <v>-2196033.11717937</v>
      </c>
      <c r="AR102" s="8">
        <f>IF(AR98&lt;=$B$3,-SUM($E100:AR100),0)</f>
        <v>-2262579.5752757145</v>
      </c>
      <c r="AS102" s="8">
        <f>IF(AS98&lt;=$B$3,-SUM($E100:AS100),0)</f>
        <v>-2329126.033372059</v>
      </c>
      <c r="AT102" s="8">
        <f>IF(AT98&lt;=$B$3,-SUM($E100:AT100),0)</f>
        <v>-2395672.4914684035</v>
      </c>
      <c r="AU102" s="8">
        <f>IF(AU98&lt;=$B$3,-SUM($E100:AU100),0)</f>
        <v>-2462218.949564748</v>
      </c>
      <c r="AV102" s="8">
        <f>IF(AV98&lt;=$B$3,-SUM($E100:AV100),0)</f>
        <v>-2528765.4076610925</v>
      </c>
      <c r="AW102" s="8">
        <f>IF(AW98&lt;=$B$3,-SUM($E100:AW100),0)</f>
        <v>-2595311.865757437</v>
      </c>
      <c r="AX102" s="8">
        <f>IF(AX98&lt;=$B$3,-SUM($E100:AX100),0)</f>
        <v>-2661858.3238537814</v>
      </c>
      <c r="AY102" s="8">
        <f>IF(AY98&lt;=$B$3,-SUM($E100:AY100),0)</f>
        <v>-2728404.7819501259</v>
      </c>
      <c r="AZ102" s="8">
        <f>IF(AZ98&lt;=$B$3,-SUM($E100:AZ100),0)</f>
        <v>-2794951.2400464704</v>
      </c>
      <c r="BA102" s="8">
        <f>IF(BA98&lt;=$B$3,-SUM($E100:BA100),0)</f>
        <v>-2861497.6981428149</v>
      </c>
      <c r="BB102" s="8">
        <f>IF(BB98&lt;=$B$3,-SUM($E100:BB100),0)</f>
        <v>-2928044.1562391594</v>
      </c>
      <c r="BC102" s="8">
        <f>IF(BC98&lt;=$B$3,-SUM($E100:BC100),0)</f>
        <v>-2994590.6143355039</v>
      </c>
      <c r="BD102" s="8">
        <f>IF(BD98&lt;=$B$3,-SUM($E100:BD100),0)</f>
        <v>-3061137.0724318484</v>
      </c>
      <c r="BE102" s="8">
        <f>IF(BE98&lt;=$B$3,-SUM($E100:BE100),0)</f>
        <v>-3127683.5305281929</v>
      </c>
      <c r="BF102" s="8">
        <f>IF(BF98&lt;=$B$3,-SUM($E100:BF100),0)</f>
        <v>-3194229.9886245374</v>
      </c>
      <c r="BG102" s="8">
        <f>IF(BG98&lt;=$B$3,-SUM($E100:BG100),0)</f>
        <v>-3260776.4467208819</v>
      </c>
      <c r="BH102" s="8">
        <f>IF(BH98&lt;=$B$3,-SUM($E100:BH100),0)</f>
        <v>-3327322.9048172263</v>
      </c>
      <c r="BI102" s="8">
        <f>IF(BI98&lt;=$B$3,-SUM($E100:BI100),0)</f>
        <v>0</v>
      </c>
      <c r="BJ102" s="8">
        <f>IF(BJ98&lt;=$B$3,-SUM($E100:BJ100),0)</f>
        <v>0</v>
      </c>
      <c r="BK102" s="8">
        <f>IF(BK98&lt;=$B$3,-SUM($E100:BK100),0)</f>
        <v>0</v>
      </c>
      <c r="BL102" s="8">
        <f>IF(BL98&lt;=$B$3,-SUM($E100:BL100),0)</f>
        <v>0</v>
      </c>
      <c r="BM102" s="8">
        <f>IF(BM98&lt;=$B$3,-SUM($E100:BM100),0)</f>
        <v>0</v>
      </c>
      <c r="BN102" s="8">
        <f>IF(BN98&lt;=$B$3,-SUM($E100:BN100),0)</f>
        <v>0</v>
      </c>
      <c r="BO102" s="8">
        <f>IF(BO98&lt;=$B$3,-SUM($E100:BO100),0)</f>
        <v>0</v>
      </c>
      <c r="BP102" s="8">
        <f>IF(BP98&lt;=$B$3,-SUM($E100:BP100),0)</f>
        <v>0</v>
      </c>
      <c r="BQ102" s="8">
        <f>IF(BQ98&lt;=$B$3,-SUM($E100:BQ100),0)</f>
        <v>0</v>
      </c>
      <c r="BR102" s="8">
        <f>IF(BR98&lt;=$B$3,-SUM($E100:BR100),0)</f>
        <v>0</v>
      </c>
      <c r="BS102" s="8">
        <f>IF(BS98&lt;=$B$3,-SUM($E100:BS100),0)</f>
        <v>0</v>
      </c>
      <c r="BT102" s="8">
        <f>IF(BT98&lt;=$B$3,-SUM($E100:BT100),0)</f>
        <v>0</v>
      </c>
      <c r="BU102" s="8">
        <f>IF(BU98&lt;=$B$3,-SUM($E100:BU100),0)</f>
        <v>0</v>
      </c>
      <c r="BV102" s="8">
        <f>IF(BV98&lt;=$B$3,-SUM($E100:BV100),0)</f>
        <v>0</v>
      </c>
      <c r="BW102" s="8">
        <f>IF(BW98&lt;=$B$3,-SUM($E100:BW100),0)</f>
        <v>0</v>
      </c>
      <c r="BX102" s="8">
        <f>IF(BX98&lt;=$B$3,-SUM($E100:BX100),0)</f>
        <v>0</v>
      </c>
      <c r="BY102" s="8">
        <f>IF(BY98&lt;=$B$3,-SUM($E100:BY100),0)</f>
        <v>0</v>
      </c>
      <c r="BZ102" s="8">
        <f>IF(BZ98&lt;=$B$3,-SUM($E100:BZ100),0)</f>
        <v>0</v>
      </c>
      <c r="CA102" s="8">
        <f>IF(CA98&lt;=$B$3,-SUM($E100:CA100),0)</f>
        <v>0</v>
      </c>
      <c r="CB102" s="8">
        <f>IF(CB98&lt;=$B$3,-SUM($E100:CB100),0)</f>
        <v>0</v>
      </c>
      <c r="CC102" s="8">
        <f>IF(CC98&lt;=$B$3,-SUM($E100:CC100),0)</f>
        <v>0</v>
      </c>
      <c r="CD102" s="8">
        <f>IF(CD98&lt;=$B$3,-SUM($E100:CD100),0)</f>
        <v>0</v>
      </c>
      <c r="CE102" s="8">
        <f>IF(CE98&lt;=$B$3,-SUM($E100:CE100),0)</f>
        <v>0</v>
      </c>
      <c r="CF102" s="8">
        <f>IF(CF98&lt;=$B$3,-SUM($E100:CF100),0)</f>
        <v>0</v>
      </c>
      <c r="CG102" s="8">
        <f>IF(CG98&lt;=$B$3,-SUM($E100:CG100),0)</f>
        <v>0</v>
      </c>
      <c r="CH102" s="8">
        <f>IF(CH98&lt;=$B$3,-SUM($E100:CH100),0)</f>
        <v>0</v>
      </c>
      <c r="CI102" s="8">
        <f>IF(CI98&lt;=$B$3,-SUM($E100:CI100),0)</f>
        <v>0</v>
      </c>
      <c r="CJ102" s="8">
        <f>IF(CJ98&lt;=$B$3,-SUM($E100:CJ100),0)</f>
        <v>0</v>
      </c>
      <c r="CK102" s="8">
        <f>IF(CK98&lt;=$B$3,-SUM($E100:CK100),0)</f>
        <v>0</v>
      </c>
      <c r="CL102" s="8">
        <f>IF(CL98&lt;=$B$3,-SUM($E100:CL100),0)</f>
        <v>0</v>
      </c>
      <c r="CM102" s="8">
        <f>IF(CM98&lt;=$B$3,-SUM($E100:CM100),0)</f>
        <v>0</v>
      </c>
      <c r="CN102" s="8">
        <f>IF(CN98&lt;=$B$3,-SUM($E100:CN100),0)</f>
        <v>0</v>
      </c>
      <c r="CO102" s="8">
        <f>IF(CO98&lt;=$B$3,-SUM($E100:CO100),0)</f>
        <v>0</v>
      </c>
      <c r="CP102" s="8">
        <f>IF(CP98&lt;=$B$3,-SUM($E100:CP100),0)</f>
        <v>0</v>
      </c>
      <c r="CQ102" s="8">
        <f>IF(CQ98&lt;=$B$3,-SUM($E100:CQ100),0)</f>
        <v>0</v>
      </c>
      <c r="CR102" s="8">
        <f>IF(CR98&lt;=$B$3,-SUM($E100:CR100),0)</f>
        <v>0</v>
      </c>
      <c r="CS102" s="8">
        <f>IF(CS98&lt;=$B$3,-SUM($E100:CS100),0)</f>
        <v>0</v>
      </c>
      <c r="CT102" s="8">
        <f>IF(CT98&lt;=$B$3,-SUM($E100:CT100),0)</f>
        <v>0</v>
      </c>
      <c r="CU102" s="8">
        <f>IF(CU98&lt;=$B$3,-SUM($E100:CU100),0)</f>
        <v>0</v>
      </c>
      <c r="CV102" s="8">
        <f>IF(CV98&lt;=$B$3,-SUM($E100:CV100),0)</f>
        <v>0</v>
      </c>
      <c r="CW102" s="8">
        <f>IF(CW98&lt;=$B$3,-SUM($E100:CW100),0)</f>
        <v>0</v>
      </c>
      <c r="CX102" s="8">
        <f>IF(CX98&lt;=$B$3,-SUM($E100:CX100),0)</f>
        <v>0</v>
      </c>
      <c r="CY102" s="8">
        <f>IF(CY98&lt;=$B$3,-SUM($E100:CY100),0)</f>
        <v>0</v>
      </c>
      <c r="CZ102" s="8">
        <f>IF(CZ98&lt;=$B$3,-SUM($E100:CZ100),0)</f>
        <v>0</v>
      </c>
      <c r="DA102" s="8">
        <f>IF(DA98&lt;=$B$3,-SUM($E100:DA100),0)</f>
        <v>0</v>
      </c>
      <c r="DB102" s="8"/>
      <c r="DC102" s="8"/>
    </row>
    <row r="103" spans="3:107" x14ac:dyDescent="0.4">
      <c r="D103" t="s">
        <v>167</v>
      </c>
      <c r="J103" s="8"/>
      <c r="K103" s="8">
        <f>J104</f>
        <v>3327322.9048172296</v>
      </c>
      <c r="L103" s="8">
        <f t="shared" ref="L103:BW103" si="112">K104</f>
        <v>3260776.4467208851</v>
      </c>
      <c r="M103" s="8">
        <f t="shared" si="112"/>
        <v>3194229.9886245406</v>
      </c>
      <c r="N103" s="8">
        <f t="shared" si="112"/>
        <v>3127683.5305281957</v>
      </c>
      <c r="O103" s="8">
        <f t="shared" si="112"/>
        <v>3061137.0724318512</v>
      </c>
      <c r="P103" s="8">
        <f t="shared" si="112"/>
        <v>2994590.6143355067</v>
      </c>
      <c r="Q103" s="8">
        <f t="shared" si="112"/>
        <v>2928044.1562391622</v>
      </c>
      <c r="R103" s="8">
        <f t="shared" si="112"/>
        <v>2861497.6981428172</v>
      </c>
      <c r="S103" s="8">
        <f t="shared" si="112"/>
        <v>2794951.2400464728</v>
      </c>
      <c r="T103" s="8">
        <f t="shared" si="112"/>
        <v>2728404.7819501283</v>
      </c>
      <c r="U103" s="8">
        <f t="shared" si="112"/>
        <v>2661858.3238537838</v>
      </c>
      <c r="V103" s="8">
        <f t="shared" si="112"/>
        <v>2595311.8657574393</v>
      </c>
      <c r="W103" s="8">
        <f t="shared" si="112"/>
        <v>2528765.4076610943</v>
      </c>
      <c r="X103" s="8">
        <f t="shared" si="112"/>
        <v>2462218.9495647498</v>
      </c>
      <c r="Y103" s="8">
        <f t="shared" si="112"/>
        <v>2395672.4914684054</v>
      </c>
      <c r="Z103" s="8">
        <f t="shared" si="112"/>
        <v>2329126.0333720604</v>
      </c>
      <c r="AA103" s="8">
        <f t="shared" si="112"/>
        <v>2262579.5752757164</v>
      </c>
      <c r="AB103" s="8">
        <f t="shared" si="112"/>
        <v>2196033.1171793714</v>
      </c>
      <c r="AC103" s="8">
        <f t="shared" si="112"/>
        <v>2129486.6590830274</v>
      </c>
      <c r="AD103" s="8">
        <f t="shared" si="112"/>
        <v>2062940.2009866827</v>
      </c>
      <c r="AE103" s="8">
        <f t="shared" si="112"/>
        <v>1996393.7428903382</v>
      </c>
      <c r="AF103" s="8">
        <f t="shared" si="112"/>
        <v>1929847.2847939937</v>
      </c>
      <c r="AG103" s="8">
        <f t="shared" si="112"/>
        <v>1863300.8266976492</v>
      </c>
      <c r="AH103" s="8">
        <f t="shared" si="112"/>
        <v>1796754.3686013047</v>
      </c>
      <c r="AI103" s="8">
        <f t="shared" si="112"/>
        <v>1730207.9105049602</v>
      </c>
      <c r="AJ103" s="8">
        <f t="shared" si="112"/>
        <v>1663661.4524086157</v>
      </c>
      <c r="AK103" s="8">
        <f t="shared" si="112"/>
        <v>1597114.9943122712</v>
      </c>
      <c r="AL103" s="8">
        <f t="shared" si="112"/>
        <v>1530568.5362159268</v>
      </c>
      <c r="AM103" s="8">
        <f t="shared" si="112"/>
        <v>1464022.0781195823</v>
      </c>
      <c r="AN103" s="8">
        <f t="shared" si="112"/>
        <v>1397475.6200232378</v>
      </c>
      <c r="AO103" s="8">
        <f t="shared" si="112"/>
        <v>1330929.1619268933</v>
      </c>
      <c r="AP103" s="8">
        <f t="shared" si="112"/>
        <v>1264382.7038305488</v>
      </c>
      <c r="AQ103" s="8">
        <f t="shared" si="112"/>
        <v>1197836.2457342041</v>
      </c>
      <c r="AR103" s="8">
        <f t="shared" si="112"/>
        <v>1131289.7876378596</v>
      </c>
      <c r="AS103" s="8">
        <f t="shared" si="112"/>
        <v>1064743.3295415151</v>
      </c>
      <c r="AT103" s="8">
        <f t="shared" si="112"/>
        <v>998196.8714451706</v>
      </c>
      <c r="AU103" s="8">
        <f t="shared" si="112"/>
        <v>931650.41334882611</v>
      </c>
      <c r="AV103" s="8">
        <f t="shared" si="112"/>
        <v>865103.95525248162</v>
      </c>
      <c r="AW103" s="8">
        <f t="shared" si="112"/>
        <v>798557.49715613713</v>
      </c>
      <c r="AX103" s="8">
        <f t="shared" si="112"/>
        <v>732011.03905979265</v>
      </c>
      <c r="AY103" s="8">
        <f t="shared" si="112"/>
        <v>665464.58096344816</v>
      </c>
      <c r="AZ103" s="8">
        <f t="shared" si="112"/>
        <v>598918.12286710367</v>
      </c>
      <c r="BA103" s="8">
        <f t="shared" si="112"/>
        <v>532371.66477075918</v>
      </c>
      <c r="BB103" s="8">
        <f t="shared" si="112"/>
        <v>465825.20667441469</v>
      </c>
      <c r="BC103" s="8">
        <f t="shared" si="112"/>
        <v>399278.7485780702</v>
      </c>
      <c r="BD103" s="8">
        <f t="shared" si="112"/>
        <v>332732.29048172571</v>
      </c>
      <c r="BE103" s="8">
        <f t="shared" si="112"/>
        <v>266185.83238538122</v>
      </c>
      <c r="BF103" s="8">
        <f t="shared" si="112"/>
        <v>199639.37428903673</v>
      </c>
      <c r="BG103" s="8">
        <f t="shared" si="112"/>
        <v>133092.91619269224</v>
      </c>
      <c r="BH103" s="8">
        <f t="shared" si="112"/>
        <v>66546.458096347749</v>
      </c>
      <c r="BI103" s="8">
        <f t="shared" si="112"/>
        <v>0</v>
      </c>
      <c r="BJ103" s="8">
        <f t="shared" si="112"/>
        <v>0</v>
      </c>
      <c r="BK103" s="8">
        <f t="shared" si="112"/>
        <v>0</v>
      </c>
      <c r="BL103" s="8">
        <f t="shared" si="112"/>
        <v>0</v>
      </c>
      <c r="BM103" s="8">
        <f t="shared" si="112"/>
        <v>0</v>
      </c>
      <c r="BN103" s="8">
        <f t="shared" si="112"/>
        <v>0</v>
      </c>
      <c r="BO103" s="8">
        <f t="shared" si="112"/>
        <v>0</v>
      </c>
      <c r="BP103" s="8">
        <f t="shared" si="112"/>
        <v>0</v>
      </c>
      <c r="BQ103" s="8">
        <f t="shared" si="112"/>
        <v>0</v>
      </c>
      <c r="BR103" s="8">
        <f t="shared" si="112"/>
        <v>0</v>
      </c>
      <c r="BS103" s="8">
        <f t="shared" si="112"/>
        <v>0</v>
      </c>
      <c r="BT103" s="8">
        <f t="shared" si="112"/>
        <v>0</v>
      </c>
      <c r="BU103" s="8">
        <f t="shared" si="112"/>
        <v>0</v>
      </c>
      <c r="BV103" s="8">
        <f t="shared" si="112"/>
        <v>0</v>
      </c>
      <c r="BW103" s="8">
        <f t="shared" si="112"/>
        <v>0</v>
      </c>
      <c r="BX103" s="8">
        <f t="shared" ref="BX103:DA103" si="113">BW104</f>
        <v>0</v>
      </c>
      <c r="BY103" s="8">
        <f t="shared" si="113"/>
        <v>0</v>
      </c>
      <c r="BZ103" s="8">
        <f t="shared" si="113"/>
        <v>0</v>
      </c>
      <c r="CA103" s="8">
        <f t="shared" si="113"/>
        <v>0</v>
      </c>
      <c r="CB103" s="8">
        <f t="shared" si="113"/>
        <v>0</v>
      </c>
      <c r="CC103" s="8">
        <f t="shared" si="113"/>
        <v>0</v>
      </c>
      <c r="CD103" s="8">
        <f t="shared" si="113"/>
        <v>0</v>
      </c>
      <c r="CE103" s="8">
        <f t="shared" si="113"/>
        <v>0</v>
      </c>
      <c r="CF103" s="8">
        <f t="shared" si="113"/>
        <v>0</v>
      </c>
      <c r="CG103" s="8">
        <f t="shared" si="113"/>
        <v>0</v>
      </c>
      <c r="CH103" s="8">
        <f t="shared" si="113"/>
        <v>0</v>
      </c>
      <c r="CI103" s="8">
        <f t="shared" si="113"/>
        <v>0</v>
      </c>
      <c r="CJ103" s="8">
        <f t="shared" si="113"/>
        <v>0</v>
      </c>
      <c r="CK103" s="8">
        <f t="shared" si="113"/>
        <v>0</v>
      </c>
      <c r="CL103" s="8">
        <f t="shared" si="113"/>
        <v>0</v>
      </c>
      <c r="CM103" s="8">
        <f t="shared" si="113"/>
        <v>0</v>
      </c>
      <c r="CN103" s="8">
        <f t="shared" si="113"/>
        <v>0</v>
      </c>
      <c r="CO103" s="8">
        <f t="shared" si="113"/>
        <v>0</v>
      </c>
      <c r="CP103" s="8">
        <f t="shared" si="113"/>
        <v>0</v>
      </c>
      <c r="CQ103" s="8">
        <f t="shared" si="113"/>
        <v>0</v>
      </c>
      <c r="CR103" s="8">
        <f t="shared" si="113"/>
        <v>0</v>
      </c>
      <c r="CS103" s="8">
        <f t="shared" si="113"/>
        <v>0</v>
      </c>
      <c r="CT103" s="8">
        <f t="shared" si="113"/>
        <v>0</v>
      </c>
      <c r="CU103" s="8">
        <f t="shared" si="113"/>
        <v>0</v>
      </c>
      <c r="CV103" s="8">
        <f t="shared" si="113"/>
        <v>0</v>
      </c>
      <c r="CW103" s="8">
        <f t="shared" si="113"/>
        <v>0</v>
      </c>
      <c r="CX103" s="8">
        <f t="shared" si="113"/>
        <v>0</v>
      </c>
      <c r="CY103" s="8">
        <f t="shared" si="113"/>
        <v>0</v>
      </c>
      <c r="CZ103" s="8">
        <f t="shared" si="113"/>
        <v>0</v>
      </c>
      <c r="DA103" s="8">
        <f t="shared" si="113"/>
        <v>0</v>
      </c>
      <c r="DB103" s="8"/>
      <c r="DC103" s="8"/>
    </row>
    <row r="104" spans="3:107" x14ac:dyDescent="0.4">
      <c r="D104" t="s">
        <v>168</v>
      </c>
      <c r="J104" s="8">
        <f>J101+J102</f>
        <v>3327322.9048172296</v>
      </c>
      <c r="K104" s="8">
        <f>K101+K102</f>
        <v>3260776.4467208851</v>
      </c>
      <c r="L104" s="8">
        <f t="shared" ref="L104:BW104" si="114">L101+L102</f>
        <v>3194229.9886245406</v>
      </c>
      <c r="M104" s="8">
        <f t="shared" si="114"/>
        <v>3127683.5305281957</v>
      </c>
      <c r="N104" s="8">
        <f t="shared" si="114"/>
        <v>3061137.0724318512</v>
      </c>
      <c r="O104" s="8">
        <f t="shared" si="114"/>
        <v>2994590.6143355067</v>
      </c>
      <c r="P104" s="8">
        <f t="shared" si="114"/>
        <v>2928044.1562391622</v>
      </c>
      <c r="Q104" s="8">
        <f t="shared" si="114"/>
        <v>2861497.6981428172</v>
      </c>
      <c r="R104" s="8">
        <f t="shared" si="114"/>
        <v>2794951.2400464728</v>
      </c>
      <c r="S104" s="8">
        <f t="shared" si="114"/>
        <v>2728404.7819501283</v>
      </c>
      <c r="T104" s="8">
        <f t="shared" si="114"/>
        <v>2661858.3238537838</v>
      </c>
      <c r="U104" s="8">
        <f t="shared" si="114"/>
        <v>2595311.8657574393</v>
      </c>
      <c r="V104" s="8">
        <f t="shared" si="114"/>
        <v>2528765.4076610943</v>
      </c>
      <c r="W104" s="8">
        <f t="shared" si="114"/>
        <v>2462218.9495647498</v>
      </c>
      <c r="X104" s="8">
        <f t="shared" si="114"/>
        <v>2395672.4914684054</v>
      </c>
      <c r="Y104" s="8">
        <f t="shared" si="114"/>
        <v>2329126.0333720604</v>
      </c>
      <c r="Z104" s="8">
        <f t="shared" si="114"/>
        <v>2262579.5752757164</v>
      </c>
      <c r="AA104" s="8">
        <f t="shared" si="114"/>
        <v>2196033.1171793714</v>
      </c>
      <c r="AB104" s="8">
        <f t="shared" si="114"/>
        <v>2129486.6590830274</v>
      </c>
      <c r="AC104" s="8">
        <f t="shared" si="114"/>
        <v>2062940.2009866827</v>
      </c>
      <c r="AD104" s="8">
        <f t="shared" si="114"/>
        <v>1996393.7428903382</v>
      </c>
      <c r="AE104" s="8">
        <f t="shared" si="114"/>
        <v>1929847.2847939937</v>
      </c>
      <c r="AF104" s="8">
        <f t="shared" si="114"/>
        <v>1863300.8266976492</v>
      </c>
      <c r="AG104" s="8">
        <f t="shared" si="114"/>
        <v>1796754.3686013047</v>
      </c>
      <c r="AH104" s="8">
        <f t="shared" si="114"/>
        <v>1730207.9105049602</v>
      </c>
      <c r="AI104" s="8">
        <f t="shared" si="114"/>
        <v>1663661.4524086157</v>
      </c>
      <c r="AJ104" s="8">
        <f t="shared" si="114"/>
        <v>1597114.9943122712</v>
      </c>
      <c r="AK104" s="8">
        <f t="shared" si="114"/>
        <v>1530568.5362159268</v>
      </c>
      <c r="AL104" s="8">
        <f t="shared" si="114"/>
        <v>1464022.0781195823</v>
      </c>
      <c r="AM104" s="8">
        <f t="shared" si="114"/>
        <v>1397475.6200232378</v>
      </c>
      <c r="AN104" s="8">
        <f t="shared" si="114"/>
        <v>1330929.1619268933</v>
      </c>
      <c r="AO104" s="8">
        <f t="shared" si="114"/>
        <v>1264382.7038305488</v>
      </c>
      <c r="AP104" s="8">
        <f t="shared" si="114"/>
        <v>1197836.2457342041</v>
      </c>
      <c r="AQ104" s="8">
        <f t="shared" si="114"/>
        <v>1131289.7876378596</v>
      </c>
      <c r="AR104" s="8">
        <f t="shared" si="114"/>
        <v>1064743.3295415151</v>
      </c>
      <c r="AS104" s="8">
        <f t="shared" si="114"/>
        <v>998196.8714451706</v>
      </c>
      <c r="AT104" s="8">
        <f t="shared" si="114"/>
        <v>931650.41334882611</v>
      </c>
      <c r="AU104" s="8">
        <f t="shared" si="114"/>
        <v>865103.95525248162</v>
      </c>
      <c r="AV104" s="8">
        <f t="shared" si="114"/>
        <v>798557.49715613713</v>
      </c>
      <c r="AW104" s="8">
        <f t="shared" si="114"/>
        <v>732011.03905979265</v>
      </c>
      <c r="AX104" s="8">
        <f t="shared" si="114"/>
        <v>665464.58096344816</v>
      </c>
      <c r="AY104" s="8">
        <f t="shared" si="114"/>
        <v>598918.12286710367</v>
      </c>
      <c r="AZ104" s="8">
        <f t="shared" si="114"/>
        <v>532371.66477075918</v>
      </c>
      <c r="BA104" s="8">
        <f t="shared" si="114"/>
        <v>465825.20667441469</v>
      </c>
      <c r="BB104" s="8">
        <f t="shared" si="114"/>
        <v>399278.7485780702</v>
      </c>
      <c r="BC104" s="8">
        <f t="shared" si="114"/>
        <v>332732.29048172571</v>
      </c>
      <c r="BD104" s="8">
        <f t="shared" si="114"/>
        <v>266185.83238538122</v>
      </c>
      <c r="BE104" s="8">
        <f t="shared" si="114"/>
        <v>199639.37428903673</v>
      </c>
      <c r="BF104" s="8">
        <f t="shared" si="114"/>
        <v>133092.91619269224</v>
      </c>
      <c r="BG104" s="8">
        <f t="shared" si="114"/>
        <v>66546.458096347749</v>
      </c>
      <c r="BH104" s="8">
        <f t="shared" si="114"/>
        <v>0</v>
      </c>
      <c r="BI104" s="8">
        <f t="shared" si="114"/>
        <v>0</v>
      </c>
      <c r="BJ104" s="8">
        <f t="shared" si="114"/>
        <v>0</v>
      </c>
      <c r="BK104" s="8">
        <f t="shared" si="114"/>
        <v>0</v>
      </c>
      <c r="BL104" s="8">
        <f t="shared" si="114"/>
        <v>0</v>
      </c>
      <c r="BM104" s="8">
        <f t="shared" si="114"/>
        <v>0</v>
      </c>
      <c r="BN104" s="8">
        <f t="shared" si="114"/>
        <v>0</v>
      </c>
      <c r="BO104" s="8">
        <f t="shared" si="114"/>
        <v>0</v>
      </c>
      <c r="BP104" s="8">
        <f t="shared" si="114"/>
        <v>0</v>
      </c>
      <c r="BQ104" s="8">
        <f t="shared" si="114"/>
        <v>0</v>
      </c>
      <c r="BR104" s="8">
        <f t="shared" si="114"/>
        <v>0</v>
      </c>
      <c r="BS104" s="8">
        <f t="shared" si="114"/>
        <v>0</v>
      </c>
      <c r="BT104" s="8">
        <f t="shared" si="114"/>
        <v>0</v>
      </c>
      <c r="BU104" s="8">
        <f t="shared" si="114"/>
        <v>0</v>
      </c>
      <c r="BV104" s="8">
        <f t="shared" si="114"/>
        <v>0</v>
      </c>
      <c r="BW104" s="8">
        <f t="shared" si="114"/>
        <v>0</v>
      </c>
      <c r="BX104" s="8">
        <f t="shared" ref="BX104:DA104" si="115">BX101+BX102</f>
        <v>0</v>
      </c>
      <c r="BY104" s="8">
        <f t="shared" si="115"/>
        <v>0</v>
      </c>
      <c r="BZ104" s="8">
        <f t="shared" si="115"/>
        <v>0</v>
      </c>
      <c r="CA104" s="8">
        <f t="shared" si="115"/>
        <v>0</v>
      </c>
      <c r="CB104" s="8">
        <f t="shared" si="115"/>
        <v>0</v>
      </c>
      <c r="CC104" s="8">
        <f t="shared" si="115"/>
        <v>0</v>
      </c>
      <c r="CD104" s="8">
        <f t="shared" si="115"/>
        <v>0</v>
      </c>
      <c r="CE104" s="8">
        <f t="shared" si="115"/>
        <v>0</v>
      </c>
      <c r="CF104" s="8">
        <f t="shared" si="115"/>
        <v>0</v>
      </c>
      <c r="CG104" s="8">
        <f t="shared" si="115"/>
        <v>0</v>
      </c>
      <c r="CH104" s="8">
        <f t="shared" si="115"/>
        <v>0</v>
      </c>
      <c r="CI104" s="8">
        <f t="shared" si="115"/>
        <v>0</v>
      </c>
      <c r="CJ104" s="8">
        <f t="shared" si="115"/>
        <v>0</v>
      </c>
      <c r="CK104" s="8">
        <f t="shared" si="115"/>
        <v>0</v>
      </c>
      <c r="CL104" s="8">
        <f t="shared" si="115"/>
        <v>0</v>
      </c>
      <c r="CM104" s="8">
        <f t="shared" si="115"/>
        <v>0</v>
      </c>
      <c r="CN104" s="8">
        <f t="shared" si="115"/>
        <v>0</v>
      </c>
      <c r="CO104" s="8">
        <f t="shared" si="115"/>
        <v>0</v>
      </c>
      <c r="CP104" s="8">
        <f t="shared" si="115"/>
        <v>0</v>
      </c>
      <c r="CQ104" s="8">
        <f t="shared" si="115"/>
        <v>0</v>
      </c>
      <c r="CR104" s="8">
        <f t="shared" si="115"/>
        <v>0</v>
      </c>
      <c r="CS104" s="8">
        <f t="shared" si="115"/>
        <v>0</v>
      </c>
      <c r="CT104" s="8">
        <f t="shared" si="115"/>
        <v>0</v>
      </c>
      <c r="CU104" s="8">
        <f t="shared" si="115"/>
        <v>0</v>
      </c>
      <c r="CV104" s="8">
        <f t="shared" si="115"/>
        <v>0</v>
      </c>
      <c r="CW104" s="8">
        <f t="shared" si="115"/>
        <v>0</v>
      </c>
      <c r="CX104" s="8">
        <f t="shared" si="115"/>
        <v>0</v>
      </c>
      <c r="CY104" s="8">
        <f t="shared" si="115"/>
        <v>0</v>
      </c>
      <c r="CZ104" s="8">
        <f t="shared" si="115"/>
        <v>0</v>
      </c>
      <c r="DA104" s="8">
        <f t="shared" si="115"/>
        <v>0</v>
      </c>
      <c r="DB104" s="8"/>
      <c r="DC104" s="8"/>
    </row>
    <row r="105" spans="3:107" x14ac:dyDescent="0.4"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</row>
    <row r="106" spans="3:107" x14ac:dyDescent="0.4">
      <c r="D106" t="s">
        <v>169</v>
      </c>
      <c r="J106" s="8"/>
      <c r="K106" s="8">
        <f>IF(K98&lt;=$B$4+1,K101*VLOOKUP(K98,Assumptions!$A$70:$B$90,2,0),0)</f>
        <v>124774.60893064611</v>
      </c>
      <c r="L106" s="8">
        <f>IF(L98&lt;=$B$4+1,L101*VLOOKUP(L98,Assumptions!$A$70:$B$90,2,0),0)</f>
        <v>240199.44049875581</v>
      </c>
      <c r="M106" s="8">
        <f>IF(M98&lt;=$B$4+1,M101*VLOOKUP(M98,Assumptions!$A$70:$B$90,2,0),0)</f>
        <v>222165.35035464642</v>
      </c>
      <c r="N106" s="8">
        <f>IF(N98&lt;=$B$4+1,N101*VLOOKUP(N98,Assumptions!$A$70:$B$90,2,0),0)</f>
        <v>205528.73583056027</v>
      </c>
      <c r="O106" s="8">
        <f>IF(O98&lt;=$B$4+1,O101*VLOOKUP(O98,Assumptions!$A$70:$B$90,2,0),0)</f>
        <v>190089.95755220833</v>
      </c>
      <c r="P106" s="8">
        <f>IF(P98&lt;=$B$4+1,P101*VLOOKUP(P98,Assumptions!$A$70:$B$90,2,0),0)</f>
        <v>175849.01551959058</v>
      </c>
      <c r="Q106" s="8">
        <f>IF(Q98&lt;=$B$4+1,Q101*VLOOKUP(Q98,Assumptions!$A$70:$B$90,2,0),0)</f>
        <v>162639.54358746618</v>
      </c>
      <c r="R106" s="8">
        <f>IF(R98&lt;=$B$4+1,R101*VLOOKUP(R98,Assumptions!$A$70:$B$90,2,0),0)</f>
        <v>150461.54175583515</v>
      </c>
      <c r="S106" s="8">
        <f>IF(S98&lt;=$B$4+1,S101*VLOOKUP(S98,Assumptions!$A$70:$B$90,2,0),0)</f>
        <v>148465.14801294479</v>
      </c>
      <c r="T106" s="8">
        <f>IF(T98&lt;=$B$4+1,T101*VLOOKUP(T98,Assumptions!$A$70:$B$90,2,0),0)</f>
        <v>148431.87478389661</v>
      </c>
      <c r="U106" s="8">
        <f>IF(U98&lt;=$B$4+1,U101*VLOOKUP(U98,Assumptions!$A$70:$B$90,2,0),0)</f>
        <v>148465.14801294479</v>
      </c>
      <c r="V106" s="8">
        <f>IF(V98&lt;=$B$4+1,V101*VLOOKUP(V98,Assumptions!$A$70:$B$90,2,0),0)</f>
        <v>148431.87478389661</v>
      </c>
      <c r="W106" s="8">
        <f>IF(W98&lt;=$B$4+1,W101*VLOOKUP(W98,Assumptions!$A$70:$B$90,2,0),0)</f>
        <v>148465.14801294479</v>
      </c>
      <c r="X106" s="8">
        <f>IF(X98&lt;=$B$4+1,X101*VLOOKUP(X98,Assumptions!$A$70:$B$90,2,0),0)</f>
        <v>148431.87478389661</v>
      </c>
      <c r="Y106" s="8">
        <f>IF(Y98&lt;=$B$4+1,Y101*VLOOKUP(Y98,Assumptions!$A$70:$B$90,2,0),0)</f>
        <v>148465.14801294479</v>
      </c>
      <c r="Z106" s="8">
        <f>IF(Z98&lt;=$B$4+1,Z101*VLOOKUP(Z98,Assumptions!$A$70:$B$90,2,0),0)</f>
        <v>148431.87478389661</v>
      </c>
      <c r="AA106" s="8">
        <f>IF(AA98&lt;=$B$4+1,AA101*VLOOKUP(AA98,Assumptions!$A$70:$B$90,2,0),0)</f>
        <v>148465.14801294479</v>
      </c>
      <c r="AB106" s="8">
        <f>IF(AB98&lt;=$B$4+1,AB101*VLOOKUP(AB98,Assumptions!$A$70:$B$90,2,0),0)</f>
        <v>148431.87478389661</v>
      </c>
      <c r="AC106" s="8">
        <f>IF(AC98&lt;=$B$4+1,AC101*VLOOKUP(AC98,Assumptions!$A$70:$B$90,2,0),0)</f>
        <v>148465.14801294479</v>
      </c>
      <c r="AD106" s="8">
        <f>IF(AD98&lt;=$B$4+1,AD101*VLOOKUP(AD98,Assumptions!$A$70:$B$90,2,0),0)</f>
        <v>148431.87478389661</v>
      </c>
      <c r="AE106" s="8">
        <f>IF(AE98&lt;=$B$4+1,AE101*VLOOKUP(AE98,Assumptions!$A$70:$B$90,2,0),0)</f>
        <v>74232.574006472394</v>
      </c>
      <c r="AF106" s="8">
        <f>IF(AF98&lt;=$B$4+1,AF101*VLOOKUP(AF98,Assumptions!$A$70:$B$90,2,0),0)</f>
        <v>0</v>
      </c>
      <c r="AG106" s="8">
        <f>IF(AG98&lt;=$B$4+1,AG101*VLOOKUP(AG98,Assumptions!$A$70:$B$90,2,0),0)</f>
        <v>0</v>
      </c>
      <c r="AH106" s="8">
        <f>IF(AH98&lt;=$B$4+1,AH101*VLOOKUP(AH98,Assumptions!$A$70:$B$90,2,0),0)</f>
        <v>0</v>
      </c>
      <c r="AI106" s="8">
        <f>IF(AI98&lt;=$B$4+1,AI101*VLOOKUP(AI98,Assumptions!$A$70:$B$90,2,0),0)</f>
        <v>0</v>
      </c>
      <c r="AJ106" s="8">
        <f>IF(AJ98&lt;=$B$4+1,AJ101*VLOOKUP(AJ98,Assumptions!$A$70:$B$90,2,0),0)</f>
        <v>0</v>
      </c>
      <c r="AK106" s="8">
        <f>IF(AK98&lt;=$B$4+1,AK101*VLOOKUP(AK98,Assumptions!$A$70:$B$90,2,0),0)</f>
        <v>0</v>
      </c>
      <c r="AL106" s="8">
        <f>IF(AL98&lt;=$B$4+1,AL101*VLOOKUP(AL98,Assumptions!$A$70:$B$90,2,0),0)</f>
        <v>0</v>
      </c>
      <c r="AM106" s="8">
        <f>IF(AM98&lt;=$B$4+1,AM101*VLOOKUP(AM98,Assumptions!$A$70:$B$90,2,0),0)</f>
        <v>0</v>
      </c>
      <c r="AN106" s="8">
        <f>IF(AN98&lt;=$B$4+1,AN101*VLOOKUP(AN98,Assumptions!$A$70:$B$90,2,0),0)</f>
        <v>0</v>
      </c>
      <c r="AO106" s="8">
        <f>IF(AO98&lt;=$B$4+1,AO101*VLOOKUP(AO98,Assumptions!$A$70:$B$90,2,0),0)</f>
        <v>0</v>
      </c>
      <c r="AP106" s="8">
        <f>IF(AP98&lt;=$B$4+1,AP101*VLOOKUP(AP98,Assumptions!$A$70:$B$90,2,0),0)</f>
        <v>0</v>
      </c>
      <c r="AQ106" s="8">
        <f>IF(AQ98&lt;=$B$4+1,AQ101*VLOOKUP(AQ98,Assumptions!$A$70:$B$90,2,0),0)</f>
        <v>0</v>
      </c>
      <c r="AR106" s="8">
        <f>IF(AR98&lt;=$B$4+1,AR101*VLOOKUP(AR98,Assumptions!$A$70:$B$90,2,0),0)</f>
        <v>0</v>
      </c>
      <c r="AS106" s="8">
        <f>IF(AS98&lt;=$B$4+1,AS101*VLOOKUP(AS98,Assumptions!$A$70:$B$90,2,0),0)</f>
        <v>0</v>
      </c>
      <c r="AT106" s="8">
        <f>IF(AT98&lt;=$B$4+1,AT101*VLOOKUP(AT98,Assumptions!$A$70:$B$90,2,0),0)</f>
        <v>0</v>
      </c>
      <c r="AU106" s="8">
        <f>IF(AU98&lt;=$B$4+1,AU101*VLOOKUP(AU98,Assumptions!$A$70:$B$90,2,0),0)</f>
        <v>0</v>
      </c>
      <c r="AV106" s="8">
        <f>IF(AV98&lt;=$B$4+1,AV101*VLOOKUP(AV98,Assumptions!$A$70:$B$90,2,0),0)</f>
        <v>0</v>
      </c>
      <c r="AW106" s="8">
        <f>IF(AW98&lt;=$B$4+1,AW101*VLOOKUP(AW98,Assumptions!$A$70:$B$90,2,0),0)</f>
        <v>0</v>
      </c>
      <c r="AX106" s="8">
        <f>IF(AX98&lt;=$B$4+1,AX101*VLOOKUP(AX98,Assumptions!$A$70:$B$90,2,0),0)</f>
        <v>0</v>
      </c>
      <c r="AY106" s="8">
        <f>IF(AY98&lt;=$B$4+1,AY101*VLOOKUP(AY98,Assumptions!$A$70:$B$90,2,0),0)</f>
        <v>0</v>
      </c>
      <c r="AZ106" s="8">
        <f>IF(AZ98&lt;=$B$4+1,AZ101*VLOOKUP(AZ98,Assumptions!$A$70:$B$90,2,0),0)</f>
        <v>0</v>
      </c>
      <c r="BA106" s="8">
        <f>IF(BA98&lt;=$B$4+1,BA101*VLOOKUP(BA98,Assumptions!$A$70:$B$90,2,0),0)</f>
        <v>0</v>
      </c>
      <c r="BB106" s="8">
        <f>IF(BB98&lt;=$B$4+1,BB101*VLOOKUP(BB98,Assumptions!$A$70:$B$90,2,0),0)</f>
        <v>0</v>
      </c>
      <c r="BC106" s="8">
        <f>IF(BC98&lt;=$B$4+1,BC101*VLOOKUP(BC98,Assumptions!$A$70:$B$90,2,0),0)</f>
        <v>0</v>
      </c>
      <c r="BD106" s="8">
        <f>IF(BD98&lt;=$B$4+1,BD101*VLOOKUP(BD98,Assumptions!$A$70:$B$90,2,0),0)</f>
        <v>0</v>
      </c>
      <c r="BE106" s="8">
        <f>IF(BE98&lt;=$B$4+1,BE101*VLOOKUP(BE98,Assumptions!$A$70:$B$90,2,0),0)</f>
        <v>0</v>
      </c>
      <c r="BF106" s="8">
        <f>IF(BF98&lt;=$B$4+1,BF101*VLOOKUP(BF98,Assumptions!$A$70:$B$90,2,0),0)</f>
        <v>0</v>
      </c>
      <c r="BG106" s="8">
        <f>IF(BG98&lt;=$B$4+1,BG101*VLOOKUP(BG98,Assumptions!$A$70:$B$90,2,0),0)</f>
        <v>0</v>
      </c>
      <c r="BH106" s="8">
        <f>IF(BH98&lt;=$B$4+1,BH101*VLOOKUP(BH98,Assumptions!$A$70:$B$90,2,0),0)</f>
        <v>0</v>
      </c>
      <c r="BI106" s="8">
        <f>IF(BI98&lt;=$B$4+1,BI101*VLOOKUP(BI98,Assumptions!$A$70:$B$90,2,0),0)</f>
        <v>0</v>
      </c>
      <c r="BJ106" s="8">
        <f>IF(BJ98&lt;=$B$4+1,BJ101*VLOOKUP(BJ98,Assumptions!$A$70:$B$90,2,0),0)</f>
        <v>0</v>
      </c>
      <c r="BK106" s="8">
        <f>IF(BK98&lt;=$B$4+1,BK101*VLOOKUP(BK98,Assumptions!$A$70:$B$90,2,0),0)</f>
        <v>0</v>
      </c>
      <c r="BL106" s="8">
        <f>IF(BL98&lt;=$B$4+1,BL101*VLOOKUP(BL98,Assumptions!$A$70:$B$90,2,0),0)</f>
        <v>0</v>
      </c>
      <c r="BM106" s="8">
        <f>IF(BM98&lt;=$B$4+1,BM101*VLOOKUP(BM98,Assumptions!$A$70:$B$90,2,0),0)</f>
        <v>0</v>
      </c>
      <c r="BN106" s="8">
        <f>IF(BN98&lt;=$B$4+1,BN101*VLOOKUP(BN98,Assumptions!$A$70:$B$90,2,0),0)</f>
        <v>0</v>
      </c>
      <c r="BO106" s="8">
        <f>IF(BO98&lt;=$B$4+1,BO101*VLOOKUP(BO98,Assumptions!$A$70:$B$90,2,0),0)</f>
        <v>0</v>
      </c>
      <c r="BP106" s="8">
        <f>IF(BP98&lt;=$B$4+1,BP101*VLOOKUP(BP98,Assumptions!$A$70:$B$90,2,0),0)</f>
        <v>0</v>
      </c>
      <c r="BQ106" s="8">
        <f>IF(BQ98&lt;=$B$4+1,BQ101*VLOOKUP(BQ98,Assumptions!$A$70:$B$90,2,0),0)</f>
        <v>0</v>
      </c>
      <c r="BR106" s="8">
        <f>IF(BR98&lt;=$B$4+1,BR101*VLOOKUP(BR98,Assumptions!$A$70:$B$90,2,0),0)</f>
        <v>0</v>
      </c>
      <c r="BS106" s="8">
        <f>IF(BS98&lt;=$B$4+1,BS101*VLOOKUP(BS98,Assumptions!$A$70:$B$90,2,0),0)</f>
        <v>0</v>
      </c>
      <c r="BT106" s="8">
        <f>IF(BT98&lt;=$B$4+1,BT101*VLOOKUP(BT98,Assumptions!$A$70:$B$90,2,0),0)</f>
        <v>0</v>
      </c>
      <c r="BU106" s="8">
        <f>IF(BU98&lt;=$B$4+1,BU101*VLOOKUP(BU98,Assumptions!$A$70:$B$90,2,0),0)</f>
        <v>0</v>
      </c>
      <c r="BV106" s="8">
        <f>IF(BV98&lt;=$B$4+1,BV101*VLOOKUP(BV98,Assumptions!$A$70:$B$90,2,0),0)</f>
        <v>0</v>
      </c>
      <c r="BW106" s="8">
        <f>IF(BW98&lt;=$B$4+1,BW101*VLOOKUP(BW98,Assumptions!$A$70:$B$90,2,0),0)</f>
        <v>0</v>
      </c>
      <c r="BX106" s="8">
        <f>IF(BX98&lt;=$B$4+1,BX101*VLOOKUP(BX98,Assumptions!$A$70:$B$90,2,0),0)</f>
        <v>0</v>
      </c>
      <c r="BY106" s="8">
        <f>IF(BY98&lt;=$B$4+1,BY101*VLOOKUP(BY98,Assumptions!$A$70:$B$90,2,0),0)</f>
        <v>0</v>
      </c>
      <c r="BZ106" s="8">
        <f>IF(BZ98&lt;=$B$4+1,BZ101*VLOOKUP(BZ98,Assumptions!$A$70:$B$90,2,0),0)</f>
        <v>0</v>
      </c>
      <c r="CA106" s="8">
        <f>IF(CA98&lt;=$B$4+1,CA101*VLOOKUP(CA98,Assumptions!$A$70:$B$90,2,0),0)</f>
        <v>0</v>
      </c>
      <c r="CB106" s="8">
        <f>IF(CB98&lt;=$B$4+1,CB101*VLOOKUP(CB98,Assumptions!$A$70:$B$90,2,0),0)</f>
        <v>0</v>
      </c>
      <c r="CC106" s="8">
        <f>IF(CC98&lt;=$B$4+1,CC101*VLOOKUP(CC98,Assumptions!$A$70:$B$90,2,0),0)</f>
        <v>0</v>
      </c>
      <c r="CD106" s="8">
        <f>IF(CD98&lt;=$B$4+1,CD101*VLOOKUP(CD98,Assumptions!$A$70:$B$90,2,0),0)</f>
        <v>0</v>
      </c>
      <c r="CE106" s="8">
        <f>IF(CE98&lt;=$B$4+1,CE101*VLOOKUP(CE98,Assumptions!$A$70:$B$90,2,0),0)</f>
        <v>0</v>
      </c>
      <c r="CF106" s="8">
        <f>IF(CF98&lt;=$B$4+1,CF101*VLOOKUP(CF98,Assumptions!$A$70:$B$90,2,0),0)</f>
        <v>0</v>
      </c>
      <c r="CG106" s="8">
        <f>IF(CG98&lt;=$B$4+1,CG101*VLOOKUP(CG98,Assumptions!$A$70:$B$90,2,0),0)</f>
        <v>0</v>
      </c>
      <c r="CH106" s="8">
        <f>IF(CH98&lt;=$B$4+1,CH101*VLOOKUP(CH98,Assumptions!$A$70:$B$90,2,0),0)</f>
        <v>0</v>
      </c>
      <c r="CI106" s="8">
        <f>IF(CI98&lt;=$B$4+1,CI101*VLOOKUP(CI98,Assumptions!$A$70:$B$90,2,0),0)</f>
        <v>0</v>
      </c>
      <c r="CJ106" s="8">
        <f>IF(CJ98&lt;=$B$4+1,CJ101*VLOOKUP(CJ98,Assumptions!$A$70:$B$90,2,0),0)</f>
        <v>0</v>
      </c>
      <c r="CK106" s="8">
        <f>IF(CK98&lt;=$B$4+1,CK101*VLOOKUP(CK98,Assumptions!$A$70:$B$90,2,0),0)</f>
        <v>0</v>
      </c>
      <c r="CL106" s="8">
        <f>IF(CL98&lt;=$B$4+1,CL101*VLOOKUP(CL98,Assumptions!$A$70:$B$90,2,0),0)</f>
        <v>0</v>
      </c>
      <c r="CM106" s="8">
        <f>IF(CM98&lt;=$B$4+1,CM101*VLOOKUP(CM98,Assumptions!$A$70:$B$90,2,0),0)</f>
        <v>0</v>
      </c>
      <c r="CN106" s="8">
        <f>IF(CN98&lt;=$B$4+1,CN101*VLOOKUP(CN98,Assumptions!$A$70:$B$90,2,0),0)</f>
        <v>0</v>
      </c>
      <c r="CO106" s="8">
        <f>IF(CO98&lt;=$B$4+1,CO101*VLOOKUP(CO98,Assumptions!$A$70:$B$90,2,0),0)</f>
        <v>0</v>
      </c>
      <c r="CP106" s="8">
        <f>IF(CP98&lt;=$B$4+1,CP101*VLOOKUP(CP98,Assumptions!$A$70:$B$90,2,0),0)</f>
        <v>0</v>
      </c>
      <c r="CQ106" s="8">
        <f>IF(CQ98&lt;=$B$4+1,CQ101*VLOOKUP(CQ98,Assumptions!$A$70:$B$90,2,0),0)</f>
        <v>0</v>
      </c>
      <c r="CR106" s="8">
        <f>IF(CR98&lt;=$B$4+1,CR101*VLOOKUP(CR98,Assumptions!$A$70:$B$90,2,0),0)</f>
        <v>0</v>
      </c>
      <c r="CS106" s="8">
        <f>IF(CS98&lt;=$B$4+1,CS101*VLOOKUP(CS98,Assumptions!$A$70:$B$90,2,0),0)</f>
        <v>0</v>
      </c>
      <c r="CT106" s="8">
        <f>IF(CT98&lt;=$B$4+1,CT101*VLOOKUP(CT98,Assumptions!$A$70:$B$90,2,0),0)</f>
        <v>0</v>
      </c>
      <c r="CU106" s="8">
        <f>IF(CU98&lt;=$B$4+1,CU101*VLOOKUP(CU98,Assumptions!$A$70:$B$90,2,0),0)</f>
        <v>0</v>
      </c>
      <c r="CV106" s="8">
        <f>IF(CV98&lt;=$B$4+1,CV101*VLOOKUP(CV98,Assumptions!$A$70:$B$90,2,0),0)</f>
        <v>0</v>
      </c>
      <c r="CW106" s="8">
        <f>IF(CW98&lt;=$B$4+1,CW101*VLOOKUP(CW98,Assumptions!$A$70:$B$90,2,0),0)</f>
        <v>0</v>
      </c>
      <c r="CX106" s="8">
        <f>IF(CX98&lt;=$B$4+1,CX101*VLOOKUP(CX98,Assumptions!$A$70:$B$90,2,0),0)</f>
        <v>0</v>
      </c>
      <c r="CY106" s="8">
        <f>IF(CY98&lt;=$B$4+1,CY101*VLOOKUP(CY98,Assumptions!$A$70:$B$90,2,0),0)</f>
        <v>0</v>
      </c>
      <c r="CZ106" s="8">
        <f>IF(CZ98&lt;=$B$4+1,CZ101*VLOOKUP(CZ98,Assumptions!$A$70:$B$90,2,0),0)</f>
        <v>0</v>
      </c>
      <c r="DA106" s="8">
        <f>IF(DA98&lt;=$B$4+1,DA101*VLOOKUP(DA98,Assumptions!$A$70:$B$90,2,0),0)</f>
        <v>0</v>
      </c>
      <c r="DB106" s="8"/>
      <c r="DC106" s="8"/>
    </row>
    <row r="107" spans="3:107" x14ac:dyDescent="0.4">
      <c r="D107" t="s">
        <v>170</v>
      </c>
      <c r="J107" s="8"/>
      <c r="K107" s="8">
        <f>J108</f>
        <v>0</v>
      </c>
      <c r="L107" s="8">
        <f t="shared" ref="L107:BW107" si="116">K108</f>
        <v>-16137.932003726666</v>
      </c>
      <c r="M107" s="8">
        <f t="shared" si="116"/>
        <v>-64265.856076554941</v>
      </c>
      <c r="N107" s="8">
        <f t="shared" si="116"/>
        <v>-107395.6320659433</v>
      </c>
      <c r="O107" s="8">
        <f t="shared" si="116"/>
        <v>-145914.57033998118</v>
      </c>
      <c r="P107" s="8">
        <f t="shared" si="116"/>
        <v>-180154.65121417382</v>
      </c>
      <c r="Q107" s="8">
        <f t="shared" si="116"/>
        <v>-210447.85500402644</v>
      </c>
      <c r="R107" s="8">
        <f t="shared" si="116"/>
        <v>-237080.05364789077</v>
      </c>
      <c r="S107" s="8">
        <f t="shared" si="116"/>
        <v>-260337.11908411857</v>
      </c>
      <c r="T107" s="8">
        <f t="shared" si="116"/>
        <v>-283040.88399450434</v>
      </c>
      <c r="U107" s="8">
        <f t="shared" si="116"/>
        <v>-305735.4272294594</v>
      </c>
      <c r="V107" s="8">
        <f t="shared" si="116"/>
        <v>-328439.19213984517</v>
      </c>
      <c r="W107" s="8">
        <f t="shared" si="116"/>
        <v>-351133.73537480022</v>
      </c>
      <c r="X107" s="8">
        <f t="shared" si="116"/>
        <v>-373837.50028518599</v>
      </c>
      <c r="Y107" s="8">
        <f t="shared" si="116"/>
        <v>-396532.04352014104</v>
      </c>
      <c r="Z107" s="8">
        <f t="shared" si="116"/>
        <v>-419235.80843052681</v>
      </c>
      <c r="AA107" s="8">
        <f t="shared" si="116"/>
        <v>-441930.35166548187</v>
      </c>
      <c r="AB107" s="8">
        <f t="shared" si="116"/>
        <v>-464634.11657586764</v>
      </c>
      <c r="AC107" s="8">
        <f t="shared" si="116"/>
        <v>-487328.65981082269</v>
      </c>
      <c r="AD107" s="8">
        <f t="shared" si="116"/>
        <v>-510032.42472120846</v>
      </c>
      <c r="AE107" s="8">
        <f t="shared" si="116"/>
        <v>-532726.96795616345</v>
      </c>
      <c r="AF107" s="8">
        <f t="shared" si="116"/>
        <v>-534857.17498065543</v>
      </c>
      <c r="AG107" s="8">
        <f t="shared" si="116"/>
        <v>-516413.82411925355</v>
      </c>
      <c r="AH107" s="8">
        <f t="shared" si="116"/>
        <v>-497970.47325785167</v>
      </c>
      <c r="AI107" s="8">
        <f t="shared" si="116"/>
        <v>-479527.12239644979</v>
      </c>
      <c r="AJ107" s="8">
        <f t="shared" si="116"/>
        <v>-461083.77153504791</v>
      </c>
      <c r="AK107" s="8">
        <f t="shared" si="116"/>
        <v>-442640.42067364603</v>
      </c>
      <c r="AL107" s="8">
        <f t="shared" si="116"/>
        <v>-424197.06981224415</v>
      </c>
      <c r="AM107" s="8">
        <f t="shared" si="116"/>
        <v>-405753.71895084227</v>
      </c>
      <c r="AN107" s="8">
        <f t="shared" si="116"/>
        <v>-387310.3680894404</v>
      </c>
      <c r="AO107" s="8">
        <f t="shared" si="116"/>
        <v>-368867.01722803852</v>
      </c>
      <c r="AP107" s="8">
        <f t="shared" si="116"/>
        <v>-350423.66636663664</v>
      </c>
      <c r="AQ107" s="8">
        <f t="shared" si="116"/>
        <v>-331980.31550523476</v>
      </c>
      <c r="AR107" s="8">
        <f t="shared" si="116"/>
        <v>-313536.96464383288</v>
      </c>
      <c r="AS107" s="8">
        <f t="shared" si="116"/>
        <v>-295093.613782431</v>
      </c>
      <c r="AT107" s="8">
        <f t="shared" si="116"/>
        <v>-276650.26292102912</v>
      </c>
      <c r="AU107" s="8">
        <f t="shared" si="116"/>
        <v>-258206.91205962721</v>
      </c>
      <c r="AV107" s="8">
        <f t="shared" si="116"/>
        <v>-239763.5611982253</v>
      </c>
      <c r="AW107" s="8">
        <f t="shared" si="116"/>
        <v>-221320.21033682339</v>
      </c>
      <c r="AX107" s="8">
        <f t="shared" si="116"/>
        <v>-202876.85947542149</v>
      </c>
      <c r="AY107" s="8">
        <f t="shared" si="116"/>
        <v>-184433.50861401958</v>
      </c>
      <c r="AZ107" s="8">
        <f t="shared" si="116"/>
        <v>-165990.15775261767</v>
      </c>
      <c r="BA107" s="8">
        <f t="shared" si="116"/>
        <v>-147546.80689121576</v>
      </c>
      <c r="BB107" s="8">
        <f t="shared" si="116"/>
        <v>-129103.45602981385</v>
      </c>
      <c r="BC107" s="8">
        <f t="shared" si="116"/>
        <v>-110660.10516841194</v>
      </c>
      <c r="BD107" s="8">
        <f t="shared" si="116"/>
        <v>-92216.754307010036</v>
      </c>
      <c r="BE107" s="8">
        <f t="shared" si="116"/>
        <v>-73773.403445608128</v>
      </c>
      <c r="BF107" s="8">
        <f t="shared" si="116"/>
        <v>-55330.05258420622</v>
      </c>
      <c r="BG107" s="8">
        <f t="shared" si="116"/>
        <v>-36886.701722804311</v>
      </c>
      <c r="BH107" s="8">
        <f t="shared" si="116"/>
        <v>-18443.350861402407</v>
      </c>
      <c r="BI107" s="8">
        <f t="shared" si="116"/>
        <v>-5.0204107537865639E-10</v>
      </c>
      <c r="BJ107" s="8">
        <f t="shared" si="116"/>
        <v>-5.0204107537865639E-10</v>
      </c>
      <c r="BK107" s="8">
        <f t="shared" si="116"/>
        <v>-5.0204107537865639E-10</v>
      </c>
      <c r="BL107" s="8">
        <f t="shared" si="116"/>
        <v>-5.0204107537865639E-10</v>
      </c>
      <c r="BM107" s="8">
        <f t="shared" si="116"/>
        <v>-5.0204107537865639E-10</v>
      </c>
      <c r="BN107" s="8">
        <f t="shared" si="116"/>
        <v>-5.0204107537865639E-10</v>
      </c>
      <c r="BO107" s="8">
        <f t="shared" si="116"/>
        <v>-5.0204107537865639E-10</v>
      </c>
      <c r="BP107" s="8">
        <f t="shared" si="116"/>
        <v>-5.0204107537865639E-10</v>
      </c>
      <c r="BQ107" s="8">
        <f t="shared" si="116"/>
        <v>-5.0204107537865639E-10</v>
      </c>
      <c r="BR107" s="8">
        <f t="shared" si="116"/>
        <v>-5.0204107537865639E-10</v>
      </c>
      <c r="BS107" s="8">
        <f t="shared" si="116"/>
        <v>-5.0204107537865639E-10</v>
      </c>
      <c r="BT107" s="8">
        <f t="shared" si="116"/>
        <v>-5.0204107537865639E-10</v>
      </c>
      <c r="BU107" s="8">
        <f t="shared" si="116"/>
        <v>-5.0204107537865639E-10</v>
      </c>
      <c r="BV107" s="8">
        <f t="shared" si="116"/>
        <v>-5.0204107537865639E-10</v>
      </c>
      <c r="BW107" s="8">
        <f t="shared" si="116"/>
        <v>-5.0204107537865639E-10</v>
      </c>
      <c r="BX107" s="8">
        <f t="shared" ref="BX107:DA107" si="117">BW108</f>
        <v>-5.0204107537865639E-10</v>
      </c>
      <c r="BY107" s="8">
        <f t="shared" si="117"/>
        <v>-5.0204107537865639E-10</v>
      </c>
      <c r="BZ107" s="8">
        <f t="shared" si="117"/>
        <v>-5.0204107537865639E-10</v>
      </c>
      <c r="CA107" s="8">
        <f t="shared" si="117"/>
        <v>-5.0204107537865639E-10</v>
      </c>
      <c r="CB107" s="8">
        <f t="shared" si="117"/>
        <v>-5.0204107537865639E-10</v>
      </c>
      <c r="CC107" s="8">
        <f t="shared" si="117"/>
        <v>-5.0204107537865639E-10</v>
      </c>
      <c r="CD107" s="8">
        <f t="shared" si="117"/>
        <v>-5.0204107537865639E-10</v>
      </c>
      <c r="CE107" s="8">
        <f t="shared" si="117"/>
        <v>-5.0204107537865639E-10</v>
      </c>
      <c r="CF107" s="8">
        <f t="shared" si="117"/>
        <v>-5.0204107537865639E-10</v>
      </c>
      <c r="CG107" s="8">
        <f t="shared" si="117"/>
        <v>-5.0204107537865639E-10</v>
      </c>
      <c r="CH107" s="8">
        <f t="shared" si="117"/>
        <v>-5.0204107537865639E-10</v>
      </c>
      <c r="CI107" s="8">
        <f t="shared" si="117"/>
        <v>-5.0204107537865639E-10</v>
      </c>
      <c r="CJ107" s="8">
        <f t="shared" si="117"/>
        <v>-5.0204107537865639E-10</v>
      </c>
      <c r="CK107" s="8">
        <f t="shared" si="117"/>
        <v>-5.0204107537865639E-10</v>
      </c>
      <c r="CL107" s="8">
        <f t="shared" si="117"/>
        <v>-5.0204107537865639E-10</v>
      </c>
      <c r="CM107" s="8">
        <f t="shared" si="117"/>
        <v>-5.0204107537865639E-10</v>
      </c>
      <c r="CN107" s="8">
        <f t="shared" si="117"/>
        <v>-5.0204107537865639E-10</v>
      </c>
      <c r="CO107" s="8">
        <f t="shared" si="117"/>
        <v>-5.0204107537865639E-10</v>
      </c>
      <c r="CP107" s="8">
        <f t="shared" si="117"/>
        <v>-5.0204107537865639E-10</v>
      </c>
      <c r="CQ107" s="8">
        <f t="shared" si="117"/>
        <v>-5.0204107537865639E-10</v>
      </c>
      <c r="CR107" s="8">
        <f t="shared" si="117"/>
        <v>-5.0204107537865639E-10</v>
      </c>
      <c r="CS107" s="8">
        <f t="shared" si="117"/>
        <v>-5.0204107537865639E-10</v>
      </c>
      <c r="CT107" s="8">
        <f t="shared" si="117"/>
        <v>-5.0204107537865639E-10</v>
      </c>
      <c r="CU107" s="8">
        <f t="shared" si="117"/>
        <v>-5.0204107537865639E-10</v>
      </c>
      <c r="CV107" s="8">
        <f t="shared" si="117"/>
        <v>-5.0204107537865639E-10</v>
      </c>
      <c r="CW107" s="8">
        <f t="shared" si="117"/>
        <v>-5.0204107537865639E-10</v>
      </c>
      <c r="CX107" s="8">
        <f t="shared" si="117"/>
        <v>-5.0204107537865639E-10</v>
      </c>
      <c r="CY107" s="8">
        <f t="shared" si="117"/>
        <v>-5.0204107537865639E-10</v>
      </c>
      <c r="CZ107" s="8">
        <f t="shared" si="117"/>
        <v>-5.0204107537865639E-10</v>
      </c>
      <c r="DA107" s="8">
        <f t="shared" si="117"/>
        <v>-5.0204107537865639E-10</v>
      </c>
      <c r="DB107" s="8"/>
      <c r="DC107" s="8"/>
    </row>
    <row r="108" spans="3:107" x14ac:dyDescent="0.4">
      <c r="D108" t="s">
        <v>171</v>
      </c>
      <c r="J108" s="8"/>
      <c r="K108" s="8">
        <f t="shared" ref="K108:AP108" si="118">J108+((K100-K106)*INC_TAX_RATE)</f>
        <v>-16137.932003726666</v>
      </c>
      <c r="L108" s="8">
        <f t="shared" si="118"/>
        <v>-64265.856076554941</v>
      </c>
      <c r="M108" s="8">
        <f t="shared" si="118"/>
        <v>-107395.6320659433</v>
      </c>
      <c r="N108" s="8">
        <f t="shared" si="118"/>
        <v>-145914.57033998118</v>
      </c>
      <c r="O108" s="8">
        <f t="shared" si="118"/>
        <v>-180154.65121417382</v>
      </c>
      <c r="P108" s="8">
        <f t="shared" si="118"/>
        <v>-210447.85500402644</v>
      </c>
      <c r="Q108" s="8">
        <f t="shared" si="118"/>
        <v>-237080.05364789077</v>
      </c>
      <c r="R108" s="8">
        <f t="shared" si="118"/>
        <v>-260337.11908411857</v>
      </c>
      <c r="S108" s="8">
        <f t="shared" si="118"/>
        <v>-283040.88399450434</v>
      </c>
      <c r="T108" s="8">
        <f t="shared" si="118"/>
        <v>-305735.4272294594</v>
      </c>
      <c r="U108" s="8">
        <f t="shared" si="118"/>
        <v>-328439.19213984517</v>
      </c>
      <c r="V108" s="8">
        <f t="shared" si="118"/>
        <v>-351133.73537480022</v>
      </c>
      <c r="W108" s="8">
        <f t="shared" si="118"/>
        <v>-373837.50028518599</v>
      </c>
      <c r="X108" s="8">
        <f t="shared" si="118"/>
        <v>-396532.04352014104</v>
      </c>
      <c r="Y108" s="8">
        <f t="shared" si="118"/>
        <v>-419235.80843052681</v>
      </c>
      <c r="Z108" s="8">
        <f t="shared" si="118"/>
        <v>-441930.35166548187</v>
      </c>
      <c r="AA108" s="8">
        <f t="shared" si="118"/>
        <v>-464634.11657586764</v>
      </c>
      <c r="AB108" s="8">
        <f t="shared" si="118"/>
        <v>-487328.65981082269</v>
      </c>
      <c r="AC108" s="8">
        <f t="shared" si="118"/>
        <v>-510032.42472120846</v>
      </c>
      <c r="AD108" s="8">
        <f t="shared" si="118"/>
        <v>-532726.96795616345</v>
      </c>
      <c r="AE108" s="8">
        <f t="shared" si="118"/>
        <v>-534857.17498065543</v>
      </c>
      <c r="AF108" s="8">
        <f t="shared" si="118"/>
        <v>-516413.82411925355</v>
      </c>
      <c r="AG108" s="8">
        <f t="shared" si="118"/>
        <v>-497970.47325785167</v>
      </c>
      <c r="AH108" s="8">
        <f t="shared" si="118"/>
        <v>-479527.12239644979</v>
      </c>
      <c r="AI108" s="8">
        <f t="shared" si="118"/>
        <v>-461083.77153504791</v>
      </c>
      <c r="AJ108" s="8">
        <f t="shared" si="118"/>
        <v>-442640.42067364603</v>
      </c>
      <c r="AK108" s="8">
        <f t="shared" si="118"/>
        <v>-424197.06981224415</v>
      </c>
      <c r="AL108" s="8">
        <f t="shared" si="118"/>
        <v>-405753.71895084227</v>
      </c>
      <c r="AM108" s="8">
        <f t="shared" si="118"/>
        <v>-387310.3680894404</v>
      </c>
      <c r="AN108" s="8">
        <f t="shared" si="118"/>
        <v>-368867.01722803852</v>
      </c>
      <c r="AO108" s="8">
        <f t="shared" si="118"/>
        <v>-350423.66636663664</v>
      </c>
      <c r="AP108" s="8">
        <f t="shared" si="118"/>
        <v>-331980.31550523476</v>
      </c>
      <c r="AQ108" s="8">
        <f t="shared" ref="AQ108:BV108" si="119">AP108+((AQ100-AQ106)*INC_TAX_RATE)</f>
        <v>-313536.96464383288</v>
      </c>
      <c r="AR108" s="8">
        <f t="shared" si="119"/>
        <v>-295093.613782431</v>
      </c>
      <c r="AS108" s="8">
        <f t="shared" si="119"/>
        <v>-276650.26292102912</v>
      </c>
      <c r="AT108" s="8">
        <f t="shared" si="119"/>
        <v>-258206.91205962721</v>
      </c>
      <c r="AU108" s="8">
        <f t="shared" si="119"/>
        <v>-239763.5611982253</v>
      </c>
      <c r="AV108" s="8">
        <f t="shared" si="119"/>
        <v>-221320.21033682339</v>
      </c>
      <c r="AW108" s="8">
        <f t="shared" si="119"/>
        <v>-202876.85947542149</v>
      </c>
      <c r="AX108" s="8">
        <f t="shared" si="119"/>
        <v>-184433.50861401958</v>
      </c>
      <c r="AY108" s="8">
        <f t="shared" si="119"/>
        <v>-165990.15775261767</v>
      </c>
      <c r="AZ108" s="8">
        <f t="shared" si="119"/>
        <v>-147546.80689121576</v>
      </c>
      <c r="BA108" s="8">
        <f t="shared" si="119"/>
        <v>-129103.45602981385</v>
      </c>
      <c r="BB108" s="8">
        <f t="shared" si="119"/>
        <v>-110660.10516841194</v>
      </c>
      <c r="BC108" s="8">
        <f t="shared" si="119"/>
        <v>-92216.754307010036</v>
      </c>
      <c r="BD108" s="8">
        <f t="shared" si="119"/>
        <v>-73773.403445608128</v>
      </c>
      <c r="BE108" s="8">
        <f t="shared" si="119"/>
        <v>-55330.05258420622</v>
      </c>
      <c r="BF108" s="8">
        <f t="shared" si="119"/>
        <v>-36886.701722804311</v>
      </c>
      <c r="BG108" s="8">
        <f t="shared" si="119"/>
        <v>-18443.350861402407</v>
      </c>
      <c r="BH108" s="8">
        <f t="shared" si="119"/>
        <v>-5.0204107537865639E-10</v>
      </c>
      <c r="BI108" s="8">
        <f t="shared" si="119"/>
        <v>-5.0204107537865639E-10</v>
      </c>
      <c r="BJ108" s="8">
        <f t="shared" si="119"/>
        <v>-5.0204107537865639E-10</v>
      </c>
      <c r="BK108" s="8">
        <f t="shared" si="119"/>
        <v>-5.0204107537865639E-10</v>
      </c>
      <c r="BL108" s="8">
        <f t="shared" si="119"/>
        <v>-5.0204107537865639E-10</v>
      </c>
      <c r="BM108" s="8">
        <f t="shared" si="119"/>
        <v>-5.0204107537865639E-10</v>
      </c>
      <c r="BN108" s="8">
        <f t="shared" si="119"/>
        <v>-5.0204107537865639E-10</v>
      </c>
      <c r="BO108" s="8">
        <f t="shared" si="119"/>
        <v>-5.0204107537865639E-10</v>
      </c>
      <c r="BP108" s="8">
        <f t="shared" si="119"/>
        <v>-5.0204107537865639E-10</v>
      </c>
      <c r="BQ108" s="8">
        <f t="shared" si="119"/>
        <v>-5.0204107537865639E-10</v>
      </c>
      <c r="BR108" s="8">
        <f t="shared" si="119"/>
        <v>-5.0204107537865639E-10</v>
      </c>
      <c r="BS108" s="8">
        <f t="shared" si="119"/>
        <v>-5.0204107537865639E-10</v>
      </c>
      <c r="BT108" s="8">
        <f t="shared" si="119"/>
        <v>-5.0204107537865639E-10</v>
      </c>
      <c r="BU108" s="8">
        <f t="shared" si="119"/>
        <v>-5.0204107537865639E-10</v>
      </c>
      <c r="BV108" s="8">
        <f t="shared" si="119"/>
        <v>-5.0204107537865639E-10</v>
      </c>
      <c r="BW108" s="8">
        <f t="shared" ref="BW108:DA108" si="120">BV108+((BW100-BW106)*INC_TAX_RATE)</f>
        <v>-5.0204107537865639E-10</v>
      </c>
      <c r="BX108" s="8">
        <f t="shared" si="120"/>
        <v>-5.0204107537865639E-10</v>
      </c>
      <c r="BY108" s="8">
        <f t="shared" si="120"/>
        <v>-5.0204107537865639E-10</v>
      </c>
      <c r="BZ108" s="8">
        <f t="shared" si="120"/>
        <v>-5.0204107537865639E-10</v>
      </c>
      <c r="CA108" s="8">
        <f t="shared" si="120"/>
        <v>-5.0204107537865639E-10</v>
      </c>
      <c r="CB108" s="8">
        <f t="shared" si="120"/>
        <v>-5.0204107537865639E-10</v>
      </c>
      <c r="CC108" s="8">
        <f t="shared" si="120"/>
        <v>-5.0204107537865639E-10</v>
      </c>
      <c r="CD108" s="8">
        <f t="shared" si="120"/>
        <v>-5.0204107537865639E-10</v>
      </c>
      <c r="CE108" s="8">
        <f t="shared" si="120"/>
        <v>-5.0204107537865639E-10</v>
      </c>
      <c r="CF108" s="8">
        <f t="shared" si="120"/>
        <v>-5.0204107537865639E-10</v>
      </c>
      <c r="CG108" s="8">
        <f t="shared" si="120"/>
        <v>-5.0204107537865639E-10</v>
      </c>
      <c r="CH108" s="8">
        <f t="shared" si="120"/>
        <v>-5.0204107537865639E-10</v>
      </c>
      <c r="CI108" s="8">
        <f t="shared" si="120"/>
        <v>-5.0204107537865639E-10</v>
      </c>
      <c r="CJ108" s="8">
        <f t="shared" si="120"/>
        <v>-5.0204107537865639E-10</v>
      </c>
      <c r="CK108" s="8">
        <f t="shared" si="120"/>
        <v>-5.0204107537865639E-10</v>
      </c>
      <c r="CL108" s="8">
        <f t="shared" si="120"/>
        <v>-5.0204107537865639E-10</v>
      </c>
      <c r="CM108" s="8">
        <f t="shared" si="120"/>
        <v>-5.0204107537865639E-10</v>
      </c>
      <c r="CN108" s="8">
        <f t="shared" si="120"/>
        <v>-5.0204107537865639E-10</v>
      </c>
      <c r="CO108" s="8">
        <f t="shared" si="120"/>
        <v>-5.0204107537865639E-10</v>
      </c>
      <c r="CP108" s="8">
        <f t="shared" si="120"/>
        <v>-5.0204107537865639E-10</v>
      </c>
      <c r="CQ108" s="8">
        <f t="shared" si="120"/>
        <v>-5.0204107537865639E-10</v>
      </c>
      <c r="CR108" s="8">
        <f t="shared" si="120"/>
        <v>-5.0204107537865639E-10</v>
      </c>
      <c r="CS108" s="8">
        <f t="shared" si="120"/>
        <v>-5.0204107537865639E-10</v>
      </c>
      <c r="CT108" s="8">
        <f t="shared" si="120"/>
        <v>-5.0204107537865639E-10</v>
      </c>
      <c r="CU108" s="8">
        <f t="shared" si="120"/>
        <v>-5.0204107537865639E-10</v>
      </c>
      <c r="CV108" s="8">
        <f t="shared" si="120"/>
        <v>-5.0204107537865639E-10</v>
      </c>
      <c r="CW108" s="8">
        <f t="shared" si="120"/>
        <v>-5.0204107537865639E-10</v>
      </c>
      <c r="CX108" s="8">
        <f t="shared" si="120"/>
        <v>-5.0204107537865639E-10</v>
      </c>
      <c r="CY108" s="8">
        <f t="shared" si="120"/>
        <v>-5.0204107537865639E-10</v>
      </c>
      <c r="CZ108" s="8">
        <f t="shared" si="120"/>
        <v>-5.0204107537865639E-10</v>
      </c>
      <c r="DA108" s="8">
        <f t="shared" si="120"/>
        <v>-5.0204107537865639E-10</v>
      </c>
      <c r="DB108" s="8"/>
      <c r="DC108" s="8"/>
    </row>
    <row r="109" spans="3:107" x14ac:dyDescent="0.4"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</row>
    <row r="110" spans="3:107" x14ac:dyDescent="0.4">
      <c r="D110" t="s">
        <v>158</v>
      </c>
      <c r="J110" s="8"/>
      <c r="K110" s="8">
        <f>AVERAGE(K103:K104)+AVERAGE(K107:K108)</f>
        <v>3285980.709767194</v>
      </c>
      <c r="L110" s="8">
        <f t="shared" ref="L110:BW110" si="121">AVERAGE(L103:L104)+AVERAGE(L107:L108)</f>
        <v>3187301.3236325723</v>
      </c>
      <c r="M110" s="8">
        <f t="shared" si="121"/>
        <v>3075126.0155051192</v>
      </c>
      <c r="N110" s="8">
        <f t="shared" si="121"/>
        <v>2967755.2002770607</v>
      </c>
      <c r="O110" s="8">
        <f t="shared" si="121"/>
        <v>2864829.2326066019</v>
      </c>
      <c r="P110" s="8">
        <f t="shared" si="121"/>
        <v>2766016.1321782339</v>
      </c>
      <c r="Q110" s="8">
        <f t="shared" si="121"/>
        <v>2671006.9728650311</v>
      </c>
      <c r="R110" s="8">
        <f t="shared" si="121"/>
        <v>2579515.8827286405</v>
      </c>
      <c r="S110" s="8">
        <f t="shared" si="121"/>
        <v>2489989.0094589889</v>
      </c>
      <c r="T110" s="8">
        <f t="shared" si="121"/>
        <v>2400743.3972899746</v>
      </c>
      <c r="U110" s="8">
        <f t="shared" si="121"/>
        <v>2311497.7851209589</v>
      </c>
      <c r="V110" s="8">
        <f t="shared" si="121"/>
        <v>2222252.1729519442</v>
      </c>
      <c r="W110" s="8">
        <f t="shared" si="121"/>
        <v>2133006.560782929</v>
      </c>
      <c r="X110" s="8">
        <f t="shared" si="121"/>
        <v>2043760.9486139137</v>
      </c>
      <c r="Y110" s="8">
        <f t="shared" si="121"/>
        <v>1954515.336444899</v>
      </c>
      <c r="Z110" s="8">
        <f t="shared" si="121"/>
        <v>1865269.724275884</v>
      </c>
      <c r="AA110" s="8">
        <f t="shared" si="121"/>
        <v>1776024.112106869</v>
      </c>
      <c r="AB110" s="8">
        <f t="shared" si="121"/>
        <v>1686778.4999378542</v>
      </c>
      <c r="AC110" s="8">
        <f t="shared" si="121"/>
        <v>1597532.8877688395</v>
      </c>
      <c r="AD110" s="8">
        <f t="shared" si="121"/>
        <v>1508287.2755998245</v>
      </c>
      <c r="AE110" s="8">
        <f t="shared" si="121"/>
        <v>1429328.4423737566</v>
      </c>
      <c r="AF110" s="8">
        <f t="shared" si="121"/>
        <v>1370938.556195867</v>
      </c>
      <c r="AG110" s="8">
        <f t="shared" si="121"/>
        <v>1322835.4489609243</v>
      </c>
      <c r="AH110" s="8">
        <f t="shared" si="121"/>
        <v>1274732.3417259818</v>
      </c>
      <c r="AI110" s="8">
        <f t="shared" si="121"/>
        <v>1226629.2344910391</v>
      </c>
      <c r="AJ110" s="8">
        <f t="shared" si="121"/>
        <v>1178526.1272560966</v>
      </c>
      <c r="AK110" s="8">
        <f t="shared" si="121"/>
        <v>1130423.0200211538</v>
      </c>
      <c r="AL110" s="8">
        <f t="shared" si="121"/>
        <v>1082319.9127862114</v>
      </c>
      <c r="AM110" s="8">
        <f t="shared" si="121"/>
        <v>1034216.8055512686</v>
      </c>
      <c r="AN110" s="8">
        <f t="shared" si="121"/>
        <v>986113.69831632613</v>
      </c>
      <c r="AO110" s="8">
        <f t="shared" si="121"/>
        <v>938010.59108138341</v>
      </c>
      <c r="AP110" s="8">
        <f t="shared" si="121"/>
        <v>889907.48384644091</v>
      </c>
      <c r="AQ110" s="8">
        <f t="shared" si="121"/>
        <v>841804.37661149795</v>
      </c>
      <c r="AR110" s="8">
        <f t="shared" si="121"/>
        <v>793701.26937655546</v>
      </c>
      <c r="AS110" s="8">
        <f t="shared" si="121"/>
        <v>745598.16214161273</v>
      </c>
      <c r="AT110" s="8">
        <f t="shared" si="121"/>
        <v>697495.05490667024</v>
      </c>
      <c r="AU110" s="8">
        <f t="shared" si="121"/>
        <v>649391.94767172763</v>
      </c>
      <c r="AV110" s="8">
        <f t="shared" si="121"/>
        <v>601288.84043678502</v>
      </c>
      <c r="AW110" s="8">
        <f t="shared" si="121"/>
        <v>553185.73320184252</v>
      </c>
      <c r="AX110" s="8">
        <f t="shared" si="121"/>
        <v>505082.62596689985</v>
      </c>
      <c r="AY110" s="8">
        <f t="shared" si="121"/>
        <v>456979.5187319573</v>
      </c>
      <c r="AZ110" s="8">
        <f t="shared" si="121"/>
        <v>408876.41149701469</v>
      </c>
      <c r="BA110" s="8">
        <f t="shared" si="121"/>
        <v>360773.30426207214</v>
      </c>
      <c r="BB110" s="8">
        <f t="shared" si="121"/>
        <v>312670.19702712953</v>
      </c>
      <c r="BC110" s="8">
        <f t="shared" si="121"/>
        <v>264567.08979218698</v>
      </c>
      <c r="BD110" s="8">
        <f t="shared" si="121"/>
        <v>216463.98255724437</v>
      </c>
      <c r="BE110" s="8">
        <f t="shared" si="121"/>
        <v>168360.87532230181</v>
      </c>
      <c r="BF110" s="8">
        <f t="shared" si="121"/>
        <v>120257.76808735922</v>
      </c>
      <c r="BG110" s="8">
        <f t="shared" si="121"/>
        <v>72154.660852416637</v>
      </c>
      <c r="BH110" s="8">
        <f t="shared" si="121"/>
        <v>24051.553617472418</v>
      </c>
      <c r="BI110" s="8">
        <f t="shared" si="121"/>
        <v>-5.0204107537865639E-10</v>
      </c>
      <c r="BJ110" s="8">
        <f t="shared" si="121"/>
        <v>-5.0204107537865639E-10</v>
      </c>
      <c r="BK110" s="8">
        <f t="shared" si="121"/>
        <v>-5.0204107537865639E-10</v>
      </c>
      <c r="BL110" s="8">
        <f t="shared" si="121"/>
        <v>-5.0204107537865639E-10</v>
      </c>
      <c r="BM110" s="8">
        <f t="shared" si="121"/>
        <v>-5.0204107537865639E-10</v>
      </c>
      <c r="BN110" s="8">
        <f t="shared" si="121"/>
        <v>-5.0204107537865639E-10</v>
      </c>
      <c r="BO110" s="8">
        <f t="shared" si="121"/>
        <v>-5.0204107537865639E-10</v>
      </c>
      <c r="BP110" s="8">
        <f t="shared" si="121"/>
        <v>-5.0204107537865639E-10</v>
      </c>
      <c r="BQ110" s="8">
        <f t="shared" si="121"/>
        <v>-5.0204107537865639E-10</v>
      </c>
      <c r="BR110" s="8">
        <f t="shared" si="121"/>
        <v>-5.0204107537865639E-10</v>
      </c>
      <c r="BS110" s="8">
        <f t="shared" si="121"/>
        <v>-5.0204107537865639E-10</v>
      </c>
      <c r="BT110" s="8">
        <f t="shared" si="121"/>
        <v>-5.0204107537865639E-10</v>
      </c>
      <c r="BU110" s="8">
        <f t="shared" si="121"/>
        <v>-5.0204107537865639E-10</v>
      </c>
      <c r="BV110" s="8">
        <f t="shared" si="121"/>
        <v>-5.0204107537865639E-10</v>
      </c>
      <c r="BW110" s="8">
        <f t="shared" si="121"/>
        <v>-5.0204107537865639E-10</v>
      </c>
      <c r="BX110" s="8">
        <f t="shared" ref="BX110:DA110" si="122">AVERAGE(BX103:BX104)+AVERAGE(BX107:BX108)</f>
        <v>-5.0204107537865639E-10</v>
      </c>
      <c r="BY110" s="8">
        <f t="shared" si="122"/>
        <v>-5.0204107537865639E-10</v>
      </c>
      <c r="BZ110" s="8">
        <f t="shared" si="122"/>
        <v>-5.0204107537865639E-10</v>
      </c>
      <c r="CA110" s="8">
        <f t="shared" si="122"/>
        <v>-5.0204107537865639E-10</v>
      </c>
      <c r="CB110" s="8">
        <f t="shared" si="122"/>
        <v>-5.0204107537865639E-10</v>
      </c>
      <c r="CC110" s="8">
        <f t="shared" si="122"/>
        <v>-5.0204107537865639E-10</v>
      </c>
      <c r="CD110" s="8">
        <f t="shared" si="122"/>
        <v>-5.0204107537865639E-10</v>
      </c>
      <c r="CE110" s="8">
        <f t="shared" si="122"/>
        <v>-5.0204107537865639E-10</v>
      </c>
      <c r="CF110" s="8">
        <f t="shared" si="122"/>
        <v>-5.0204107537865639E-10</v>
      </c>
      <c r="CG110" s="8">
        <f t="shared" si="122"/>
        <v>-5.0204107537865639E-10</v>
      </c>
      <c r="CH110" s="8">
        <f t="shared" si="122"/>
        <v>-5.0204107537865639E-10</v>
      </c>
      <c r="CI110" s="8">
        <f t="shared" si="122"/>
        <v>-5.0204107537865639E-10</v>
      </c>
      <c r="CJ110" s="8">
        <f t="shared" si="122"/>
        <v>-5.0204107537865639E-10</v>
      </c>
      <c r="CK110" s="8">
        <f t="shared" si="122"/>
        <v>-5.0204107537865639E-10</v>
      </c>
      <c r="CL110" s="8">
        <f t="shared" si="122"/>
        <v>-5.0204107537865639E-10</v>
      </c>
      <c r="CM110" s="8">
        <f t="shared" si="122"/>
        <v>-5.0204107537865639E-10</v>
      </c>
      <c r="CN110" s="8">
        <f t="shared" si="122"/>
        <v>-5.0204107537865639E-10</v>
      </c>
      <c r="CO110" s="8">
        <f t="shared" si="122"/>
        <v>-5.0204107537865639E-10</v>
      </c>
      <c r="CP110" s="8">
        <f t="shared" si="122"/>
        <v>-5.0204107537865639E-10</v>
      </c>
      <c r="CQ110" s="8">
        <f t="shared" si="122"/>
        <v>-5.0204107537865639E-10</v>
      </c>
      <c r="CR110" s="8">
        <f t="shared" si="122"/>
        <v>-5.0204107537865639E-10</v>
      </c>
      <c r="CS110" s="8">
        <f t="shared" si="122"/>
        <v>-5.0204107537865639E-10</v>
      </c>
      <c r="CT110" s="8">
        <f t="shared" si="122"/>
        <v>-5.0204107537865639E-10</v>
      </c>
      <c r="CU110" s="8">
        <f t="shared" si="122"/>
        <v>-5.0204107537865639E-10</v>
      </c>
      <c r="CV110" s="8">
        <f t="shared" si="122"/>
        <v>-5.0204107537865639E-10</v>
      </c>
      <c r="CW110" s="8">
        <f t="shared" si="122"/>
        <v>-5.0204107537865639E-10</v>
      </c>
      <c r="CX110" s="8">
        <f t="shared" si="122"/>
        <v>-5.0204107537865639E-10</v>
      </c>
      <c r="CY110" s="8">
        <f t="shared" si="122"/>
        <v>-5.0204107537865639E-10</v>
      </c>
      <c r="CZ110" s="8">
        <f t="shared" si="122"/>
        <v>-5.0204107537865639E-10</v>
      </c>
      <c r="DA110" s="8">
        <f t="shared" si="122"/>
        <v>-5.0204107537865639E-10</v>
      </c>
      <c r="DB110" s="8"/>
      <c r="DC110" s="8"/>
    </row>
    <row r="111" spans="3:107" x14ac:dyDescent="0.4"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</row>
    <row r="112" spans="3:107" x14ac:dyDescent="0.4">
      <c r="D112" t="s">
        <v>209</v>
      </c>
      <c r="J112" s="8"/>
      <c r="K112" s="8">
        <f t="shared" ref="K112:AP112" si="123">K110*AVG_PRE_TAX_RATE</f>
        <v>293438.07738221047</v>
      </c>
      <c r="L112" s="8">
        <f t="shared" si="123"/>
        <v>284626.00820038869</v>
      </c>
      <c r="M112" s="8">
        <f t="shared" si="123"/>
        <v>274608.75318460714</v>
      </c>
      <c r="N112" s="8">
        <f t="shared" si="123"/>
        <v>265020.53938474151</v>
      </c>
      <c r="O112" s="8">
        <f t="shared" si="123"/>
        <v>255829.25047176957</v>
      </c>
      <c r="P112" s="8">
        <f t="shared" si="123"/>
        <v>247005.24060351631</v>
      </c>
      <c r="Q112" s="8">
        <f t="shared" si="123"/>
        <v>238520.92267684729</v>
      </c>
      <c r="R112" s="8">
        <f t="shared" si="123"/>
        <v>230350.76832766761</v>
      </c>
      <c r="S112" s="8">
        <f t="shared" si="123"/>
        <v>222356.01854468771</v>
      </c>
      <c r="T112" s="8">
        <f t="shared" si="123"/>
        <v>214386.38537799474</v>
      </c>
      <c r="U112" s="8">
        <f t="shared" si="123"/>
        <v>206416.75221130165</v>
      </c>
      <c r="V112" s="8">
        <f t="shared" si="123"/>
        <v>198447.11904460861</v>
      </c>
      <c r="W112" s="8">
        <f t="shared" si="123"/>
        <v>190477.48587791558</v>
      </c>
      <c r="X112" s="8">
        <f t="shared" si="123"/>
        <v>182507.85271122251</v>
      </c>
      <c r="Y112" s="8">
        <f t="shared" si="123"/>
        <v>174538.21954452948</v>
      </c>
      <c r="Z112" s="8">
        <f t="shared" si="123"/>
        <v>166568.58637783644</v>
      </c>
      <c r="AA112" s="8">
        <f t="shared" si="123"/>
        <v>158598.95321114341</v>
      </c>
      <c r="AB112" s="8">
        <f t="shared" si="123"/>
        <v>150629.3200444504</v>
      </c>
      <c r="AC112" s="8">
        <f t="shared" si="123"/>
        <v>142659.68687775737</v>
      </c>
      <c r="AD112" s="8">
        <f t="shared" si="123"/>
        <v>134690.05371106433</v>
      </c>
      <c r="AE112" s="8">
        <f t="shared" si="123"/>
        <v>127639.02990397646</v>
      </c>
      <c r="AF112" s="8">
        <f t="shared" si="123"/>
        <v>122424.81306829093</v>
      </c>
      <c r="AG112" s="8">
        <f t="shared" si="123"/>
        <v>118129.20559221055</v>
      </c>
      <c r="AH112" s="8">
        <f t="shared" si="123"/>
        <v>113833.59811613018</v>
      </c>
      <c r="AI112" s="8">
        <f t="shared" si="123"/>
        <v>109537.9906400498</v>
      </c>
      <c r="AJ112" s="8">
        <f t="shared" si="123"/>
        <v>105242.38316396943</v>
      </c>
      <c r="AK112" s="8">
        <f t="shared" si="123"/>
        <v>100946.77568788905</v>
      </c>
      <c r="AL112" s="8">
        <f t="shared" si="123"/>
        <v>96651.168211808676</v>
      </c>
      <c r="AM112" s="8">
        <f t="shared" si="123"/>
        <v>92355.560735728286</v>
      </c>
      <c r="AN112" s="8">
        <f t="shared" si="123"/>
        <v>88059.953259647926</v>
      </c>
      <c r="AO112" s="8">
        <f t="shared" si="123"/>
        <v>83764.345783567536</v>
      </c>
      <c r="AP112" s="8">
        <f t="shared" si="123"/>
        <v>79468.738307487176</v>
      </c>
      <c r="AQ112" s="8">
        <f t="shared" ref="AQ112:BV112" si="124">AQ110*AVG_PRE_TAX_RATE</f>
        <v>75173.130831406772</v>
      </c>
      <c r="AR112" s="8">
        <f t="shared" si="124"/>
        <v>70877.523355326412</v>
      </c>
      <c r="AS112" s="8">
        <f t="shared" si="124"/>
        <v>66581.915879246022</v>
      </c>
      <c r="AT112" s="8">
        <f t="shared" si="124"/>
        <v>62286.308403165654</v>
      </c>
      <c r="AU112" s="8">
        <f t="shared" si="124"/>
        <v>57990.70092708528</v>
      </c>
      <c r="AV112" s="8">
        <f t="shared" si="124"/>
        <v>53695.093451004905</v>
      </c>
      <c r="AW112" s="8">
        <f t="shared" si="124"/>
        <v>49399.485974924537</v>
      </c>
      <c r="AX112" s="8">
        <f t="shared" si="124"/>
        <v>45103.878498844162</v>
      </c>
      <c r="AY112" s="8">
        <f t="shared" si="124"/>
        <v>40808.271022763787</v>
      </c>
      <c r="AZ112" s="8">
        <f t="shared" si="124"/>
        <v>36512.663546683412</v>
      </c>
      <c r="BA112" s="8">
        <f t="shared" si="124"/>
        <v>32217.056070603045</v>
      </c>
      <c r="BB112" s="8">
        <f t="shared" si="124"/>
        <v>27921.44859452267</v>
      </c>
      <c r="BC112" s="8">
        <f t="shared" si="124"/>
        <v>23625.841118442298</v>
      </c>
      <c r="BD112" s="8">
        <f t="shared" si="124"/>
        <v>19330.233642361924</v>
      </c>
      <c r="BE112" s="8">
        <f t="shared" si="124"/>
        <v>15034.626166281552</v>
      </c>
      <c r="BF112" s="8">
        <f t="shared" si="124"/>
        <v>10739.018690201179</v>
      </c>
      <c r="BG112" s="8">
        <f t="shared" si="124"/>
        <v>6443.4112141208061</v>
      </c>
      <c r="BH112" s="8">
        <f t="shared" si="124"/>
        <v>2147.803738040287</v>
      </c>
      <c r="BI112" s="8">
        <f t="shared" si="124"/>
        <v>-4.483226803131402E-11</v>
      </c>
      <c r="BJ112" s="8">
        <f t="shared" si="124"/>
        <v>-4.483226803131402E-11</v>
      </c>
      <c r="BK112" s="8">
        <f t="shared" si="124"/>
        <v>-4.483226803131402E-11</v>
      </c>
      <c r="BL112" s="8">
        <f t="shared" si="124"/>
        <v>-4.483226803131402E-11</v>
      </c>
      <c r="BM112" s="8">
        <f t="shared" si="124"/>
        <v>-4.483226803131402E-11</v>
      </c>
      <c r="BN112" s="8">
        <f t="shared" si="124"/>
        <v>-4.483226803131402E-11</v>
      </c>
      <c r="BO112" s="8">
        <f t="shared" si="124"/>
        <v>-4.483226803131402E-11</v>
      </c>
      <c r="BP112" s="8">
        <f t="shared" si="124"/>
        <v>-4.483226803131402E-11</v>
      </c>
      <c r="BQ112" s="8">
        <f t="shared" si="124"/>
        <v>-4.483226803131402E-11</v>
      </c>
      <c r="BR112" s="8">
        <f t="shared" si="124"/>
        <v>-4.483226803131402E-11</v>
      </c>
      <c r="BS112" s="8">
        <f t="shared" si="124"/>
        <v>-4.483226803131402E-11</v>
      </c>
      <c r="BT112" s="8">
        <f t="shared" si="124"/>
        <v>-4.483226803131402E-11</v>
      </c>
      <c r="BU112" s="8">
        <f t="shared" si="124"/>
        <v>-4.483226803131402E-11</v>
      </c>
      <c r="BV112" s="8">
        <f t="shared" si="124"/>
        <v>-4.483226803131402E-11</v>
      </c>
      <c r="BW112" s="8">
        <f t="shared" ref="BW112:DA112" si="125">BW110*AVG_PRE_TAX_RATE</f>
        <v>-4.483226803131402E-11</v>
      </c>
      <c r="BX112" s="8">
        <f t="shared" si="125"/>
        <v>-4.483226803131402E-11</v>
      </c>
      <c r="BY112" s="8">
        <f t="shared" si="125"/>
        <v>-4.483226803131402E-11</v>
      </c>
      <c r="BZ112" s="8">
        <f t="shared" si="125"/>
        <v>-4.483226803131402E-11</v>
      </c>
      <c r="CA112" s="8">
        <f t="shared" si="125"/>
        <v>-4.483226803131402E-11</v>
      </c>
      <c r="CB112" s="8">
        <f t="shared" si="125"/>
        <v>-4.483226803131402E-11</v>
      </c>
      <c r="CC112" s="8">
        <f t="shared" si="125"/>
        <v>-4.483226803131402E-11</v>
      </c>
      <c r="CD112" s="8">
        <f t="shared" si="125"/>
        <v>-4.483226803131402E-11</v>
      </c>
      <c r="CE112" s="8">
        <f t="shared" si="125"/>
        <v>-4.483226803131402E-11</v>
      </c>
      <c r="CF112" s="8">
        <f t="shared" si="125"/>
        <v>-4.483226803131402E-11</v>
      </c>
      <c r="CG112" s="8">
        <f t="shared" si="125"/>
        <v>-4.483226803131402E-11</v>
      </c>
      <c r="CH112" s="8">
        <f t="shared" si="125"/>
        <v>-4.483226803131402E-11</v>
      </c>
      <c r="CI112" s="8">
        <f t="shared" si="125"/>
        <v>-4.483226803131402E-11</v>
      </c>
      <c r="CJ112" s="8">
        <f t="shared" si="125"/>
        <v>-4.483226803131402E-11</v>
      </c>
      <c r="CK112" s="8">
        <f t="shared" si="125"/>
        <v>-4.483226803131402E-11</v>
      </c>
      <c r="CL112" s="8">
        <f t="shared" si="125"/>
        <v>-4.483226803131402E-11</v>
      </c>
      <c r="CM112" s="8">
        <f t="shared" si="125"/>
        <v>-4.483226803131402E-11</v>
      </c>
      <c r="CN112" s="8">
        <f t="shared" si="125"/>
        <v>-4.483226803131402E-11</v>
      </c>
      <c r="CO112" s="8">
        <f t="shared" si="125"/>
        <v>-4.483226803131402E-11</v>
      </c>
      <c r="CP112" s="8">
        <f t="shared" si="125"/>
        <v>-4.483226803131402E-11</v>
      </c>
      <c r="CQ112" s="8">
        <f t="shared" si="125"/>
        <v>-4.483226803131402E-11</v>
      </c>
      <c r="CR112" s="8">
        <f t="shared" si="125"/>
        <v>-4.483226803131402E-11</v>
      </c>
      <c r="CS112" s="8">
        <f t="shared" si="125"/>
        <v>-4.483226803131402E-11</v>
      </c>
      <c r="CT112" s="8">
        <f t="shared" si="125"/>
        <v>-4.483226803131402E-11</v>
      </c>
      <c r="CU112" s="8">
        <f t="shared" si="125"/>
        <v>-4.483226803131402E-11</v>
      </c>
      <c r="CV112" s="8">
        <f t="shared" si="125"/>
        <v>-4.483226803131402E-11</v>
      </c>
      <c r="CW112" s="8">
        <f t="shared" si="125"/>
        <v>-4.483226803131402E-11</v>
      </c>
      <c r="CX112" s="8">
        <f t="shared" si="125"/>
        <v>-4.483226803131402E-11</v>
      </c>
      <c r="CY112" s="8">
        <f t="shared" si="125"/>
        <v>-4.483226803131402E-11</v>
      </c>
      <c r="CZ112" s="8">
        <f t="shared" si="125"/>
        <v>-4.483226803131402E-11</v>
      </c>
      <c r="DA112" s="8">
        <f t="shared" si="125"/>
        <v>-4.483226803131402E-11</v>
      </c>
      <c r="DB112" s="8"/>
      <c r="DC112" s="8"/>
    </row>
    <row r="115" spans="3:108" x14ac:dyDescent="0.4">
      <c r="C115" s="58" t="str">
        <f>C98</f>
        <v>Investment year in service</v>
      </c>
      <c r="E115" t="str">
        <f>IF(E116&lt;$C116,"",E116-$C116)</f>
        <v/>
      </c>
      <c r="F115" t="str">
        <f>IF(F116&lt;$C116,"",F116-$C116)</f>
        <v/>
      </c>
      <c r="G115" t="str">
        <f t="shared" ref="G115:BR115" si="126">IF(G116&lt;$C116,"",G116-$C116)</f>
        <v/>
      </c>
      <c r="H115" t="str">
        <f t="shared" si="126"/>
        <v/>
      </c>
      <c r="I115" t="str">
        <f t="shared" si="126"/>
        <v/>
      </c>
      <c r="J115" t="str">
        <f t="shared" si="126"/>
        <v/>
      </c>
      <c r="K115">
        <f t="shared" si="126"/>
        <v>0</v>
      </c>
      <c r="L115">
        <f t="shared" si="126"/>
        <v>1</v>
      </c>
      <c r="M115">
        <f t="shared" si="126"/>
        <v>2</v>
      </c>
      <c r="N115">
        <f t="shared" si="126"/>
        <v>3</v>
      </c>
      <c r="O115">
        <f t="shared" si="126"/>
        <v>4</v>
      </c>
      <c r="P115">
        <f t="shared" si="126"/>
        <v>5</v>
      </c>
      <c r="Q115">
        <f t="shared" si="126"/>
        <v>6</v>
      </c>
      <c r="R115">
        <f t="shared" si="126"/>
        <v>7</v>
      </c>
      <c r="S115">
        <f t="shared" si="126"/>
        <v>8</v>
      </c>
      <c r="T115">
        <f t="shared" si="126"/>
        <v>9</v>
      </c>
      <c r="U115">
        <f t="shared" si="126"/>
        <v>10</v>
      </c>
      <c r="V115">
        <f t="shared" si="126"/>
        <v>11</v>
      </c>
      <c r="W115">
        <f t="shared" si="126"/>
        <v>12</v>
      </c>
      <c r="X115">
        <f t="shared" si="126"/>
        <v>13</v>
      </c>
      <c r="Y115">
        <f t="shared" si="126"/>
        <v>14</v>
      </c>
      <c r="Z115">
        <f t="shared" si="126"/>
        <v>15</v>
      </c>
      <c r="AA115">
        <f t="shared" si="126"/>
        <v>16</v>
      </c>
      <c r="AB115">
        <f t="shared" si="126"/>
        <v>17</v>
      </c>
      <c r="AC115">
        <f t="shared" si="126"/>
        <v>18</v>
      </c>
      <c r="AD115">
        <f t="shared" si="126"/>
        <v>19</v>
      </c>
      <c r="AE115">
        <f t="shared" si="126"/>
        <v>20</v>
      </c>
      <c r="AF115">
        <f t="shared" si="126"/>
        <v>21</v>
      </c>
      <c r="AG115">
        <f t="shared" si="126"/>
        <v>22</v>
      </c>
      <c r="AH115">
        <f t="shared" si="126"/>
        <v>23</v>
      </c>
      <c r="AI115">
        <f t="shared" si="126"/>
        <v>24</v>
      </c>
      <c r="AJ115">
        <f t="shared" si="126"/>
        <v>25</v>
      </c>
      <c r="AK115">
        <f t="shared" si="126"/>
        <v>26</v>
      </c>
      <c r="AL115">
        <f t="shared" si="126"/>
        <v>27</v>
      </c>
      <c r="AM115">
        <f t="shared" si="126"/>
        <v>28</v>
      </c>
      <c r="AN115">
        <f t="shared" si="126"/>
        <v>29</v>
      </c>
      <c r="AO115">
        <f t="shared" si="126"/>
        <v>30</v>
      </c>
      <c r="AP115">
        <f t="shared" si="126"/>
        <v>31</v>
      </c>
      <c r="AQ115">
        <f t="shared" si="126"/>
        <v>32</v>
      </c>
      <c r="AR115">
        <f t="shared" si="126"/>
        <v>33</v>
      </c>
      <c r="AS115">
        <f t="shared" si="126"/>
        <v>34</v>
      </c>
      <c r="AT115">
        <f t="shared" si="126"/>
        <v>35</v>
      </c>
      <c r="AU115">
        <f t="shared" si="126"/>
        <v>36</v>
      </c>
      <c r="AV115">
        <f t="shared" si="126"/>
        <v>37</v>
      </c>
      <c r="AW115">
        <f t="shared" si="126"/>
        <v>38</v>
      </c>
      <c r="AX115">
        <f t="shared" si="126"/>
        <v>39</v>
      </c>
      <c r="AY115">
        <f t="shared" si="126"/>
        <v>40</v>
      </c>
      <c r="AZ115">
        <f t="shared" si="126"/>
        <v>41</v>
      </c>
      <c r="BA115">
        <f t="shared" si="126"/>
        <v>42</v>
      </c>
      <c r="BB115">
        <f t="shared" si="126"/>
        <v>43</v>
      </c>
      <c r="BC115">
        <f t="shared" si="126"/>
        <v>44</v>
      </c>
      <c r="BD115">
        <f t="shared" si="126"/>
        <v>45</v>
      </c>
      <c r="BE115">
        <f t="shared" si="126"/>
        <v>46</v>
      </c>
      <c r="BF115">
        <f t="shared" si="126"/>
        <v>47</v>
      </c>
      <c r="BG115">
        <f t="shared" si="126"/>
        <v>48</v>
      </c>
      <c r="BH115">
        <f t="shared" si="126"/>
        <v>49</v>
      </c>
      <c r="BI115">
        <f t="shared" si="126"/>
        <v>50</v>
      </c>
      <c r="BJ115">
        <f t="shared" si="126"/>
        <v>51</v>
      </c>
      <c r="BK115">
        <f t="shared" si="126"/>
        <v>52</v>
      </c>
      <c r="BL115">
        <f t="shared" si="126"/>
        <v>53</v>
      </c>
      <c r="BM115">
        <f t="shared" si="126"/>
        <v>54</v>
      </c>
      <c r="BN115">
        <f t="shared" si="126"/>
        <v>55</v>
      </c>
      <c r="BO115">
        <f t="shared" si="126"/>
        <v>56</v>
      </c>
      <c r="BP115">
        <f t="shared" si="126"/>
        <v>57</v>
      </c>
      <c r="BQ115">
        <f t="shared" si="126"/>
        <v>58</v>
      </c>
      <c r="BR115">
        <f t="shared" si="126"/>
        <v>59</v>
      </c>
      <c r="BS115">
        <f t="shared" ref="BS115:DA115" si="127">IF(BS116&lt;$C116,"",BS116-$C116)</f>
        <v>60</v>
      </c>
      <c r="BT115">
        <f t="shared" si="127"/>
        <v>61</v>
      </c>
      <c r="BU115">
        <f t="shared" si="127"/>
        <v>62</v>
      </c>
      <c r="BV115">
        <f t="shared" si="127"/>
        <v>63</v>
      </c>
      <c r="BW115">
        <f t="shared" si="127"/>
        <v>64</v>
      </c>
      <c r="BX115">
        <f t="shared" si="127"/>
        <v>65</v>
      </c>
      <c r="BY115">
        <f t="shared" si="127"/>
        <v>66</v>
      </c>
      <c r="BZ115">
        <f t="shared" si="127"/>
        <v>67</v>
      </c>
      <c r="CA115">
        <f t="shared" si="127"/>
        <v>68</v>
      </c>
      <c r="CB115">
        <f t="shared" si="127"/>
        <v>69</v>
      </c>
      <c r="CC115">
        <f t="shared" si="127"/>
        <v>70</v>
      </c>
      <c r="CD115">
        <f t="shared" si="127"/>
        <v>71</v>
      </c>
      <c r="CE115">
        <f t="shared" si="127"/>
        <v>72</v>
      </c>
      <c r="CF115">
        <f t="shared" si="127"/>
        <v>73</v>
      </c>
      <c r="CG115">
        <f t="shared" si="127"/>
        <v>74</v>
      </c>
      <c r="CH115">
        <f t="shared" si="127"/>
        <v>75</v>
      </c>
      <c r="CI115">
        <f t="shared" si="127"/>
        <v>76</v>
      </c>
      <c r="CJ115">
        <f t="shared" si="127"/>
        <v>77</v>
      </c>
      <c r="CK115">
        <f t="shared" si="127"/>
        <v>78</v>
      </c>
      <c r="CL115">
        <f t="shared" si="127"/>
        <v>79</v>
      </c>
      <c r="CM115">
        <f t="shared" si="127"/>
        <v>80</v>
      </c>
      <c r="CN115">
        <f t="shared" si="127"/>
        <v>81</v>
      </c>
      <c r="CO115">
        <f t="shared" si="127"/>
        <v>82</v>
      </c>
      <c r="CP115">
        <f t="shared" si="127"/>
        <v>83</v>
      </c>
      <c r="CQ115">
        <f t="shared" si="127"/>
        <v>84</v>
      </c>
      <c r="CR115">
        <f t="shared" si="127"/>
        <v>85</v>
      </c>
      <c r="CS115">
        <f t="shared" si="127"/>
        <v>86</v>
      </c>
      <c r="CT115">
        <f t="shared" si="127"/>
        <v>87</v>
      </c>
      <c r="CU115">
        <f t="shared" si="127"/>
        <v>88</v>
      </c>
      <c r="CV115">
        <f t="shared" si="127"/>
        <v>89</v>
      </c>
      <c r="CW115">
        <f t="shared" si="127"/>
        <v>90</v>
      </c>
      <c r="CX115">
        <f t="shared" si="127"/>
        <v>91</v>
      </c>
      <c r="CY115">
        <f t="shared" si="127"/>
        <v>92</v>
      </c>
      <c r="CZ115">
        <f t="shared" si="127"/>
        <v>93</v>
      </c>
      <c r="DA115">
        <f t="shared" si="127"/>
        <v>94</v>
      </c>
    </row>
    <row r="116" spans="3:108" x14ac:dyDescent="0.4">
      <c r="C116">
        <f>C99+1</f>
        <v>2033</v>
      </c>
      <c r="D116" s="5" t="s">
        <v>434</v>
      </c>
      <c r="E116" s="5">
        <v>2027</v>
      </c>
      <c r="F116" s="5">
        <v>2028</v>
      </c>
      <c r="G116" s="5">
        <v>2029</v>
      </c>
      <c r="H116" s="5">
        <v>2030</v>
      </c>
      <c r="I116" s="5">
        <v>2031</v>
      </c>
      <c r="J116" s="5">
        <v>2032</v>
      </c>
      <c r="K116" s="5">
        <v>2033</v>
      </c>
      <c r="L116" s="5">
        <v>2034</v>
      </c>
      <c r="M116" s="5">
        <v>2035</v>
      </c>
      <c r="N116" s="5">
        <v>2036</v>
      </c>
      <c r="O116" s="5">
        <v>2037</v>
      </c>
      <c r="P116" s="5">
        <v>2038</v>
      </c>
      <c r="Q116" s="5">
        <v>2039</v>
      </c>
      <c r="R116" s="5">
        <v>2040</v>
      </c>
      <c r="S116" s="5">
        <v>2041</v>
      </c>
      <c r="T116" s="5">
        <v>2042</v>
      </c>
      <c r="U116" s="5">
        <v>2043</v>
      </c>
      <c r="V116" s="5">
        <v>2044</v>
      </c>
      <c r="W116" s="5">
        <v>2045</v>
      </c>
      <c r="X116" s="5">
        <v>2046</v>
      </c>
      <c r="Y116" s="5">
        <v>2047</v>
      </c>
      <c r="Z116" s="5">
        <v>2048</v>
      </c>
      <c r="AA116" s="5">
        <v>2049</v>
      </c>
      <c r="AB116" s="5">
        <v>2050</v>
      </c>
      <c r="AC116" s="5">
        <v>2051</v>
      </c>
      <c r="AD116" s="5">
        <v>2052</v>
      </c>
      <c r="AE116" s="5">
        <v>2053</v>
      </c>
      <c r="AF116" s="5">
        <v>2054</v>
      </c>
      <c r="AG116" s="5">
        <v>2055</v>
      </c>
      <c r="AH116" s="5">
        <v>2056</v>
      </c>
      <c r="AI116" s="5">
        <v>2057</v>
      </c>
      <c r="AJ116" s="5">
        <v>2058</v>
      </c>
      <c r="AK116" s="5">
        <v>2059</v>
      </c>
      <c r="AL116" s="5">
        <v>2060</v>
      </c>
      <c r="AM116" s="5">
        <v>2061</v>
      </c>
      <c r="AN116" s="5">
        <v>2062</v>
      </c>
      <c r="AO116" s="5">
        <v>2063</v>
      </c>
      <c r="AP116" s="5">
        <v>2064</v>
      </c>
      <c r="AQ116" s="5">
        <v>2065</v>
      </c>
      <c r="AR116" s="5">
        <v>2066</v>
      </c>
      <c r="AS116" s="5">
        <v>2067</v>
      </c>
      <c r="AT116" s="5">
        <v>2068</v>
      </c>
      <c r="AU116" s="5">
        <v>2069</v>
      </c>
      <c r="AV116" s="5">
        <v>2070</v>
      </c>
      <c r="AW116" s="5">
        <v>2071</v>
      </c>
      <c r="AX116" s="5">
        <v>2072</v>
      </c>
      <c r="AY116" s="5">
        <v>2073</v>
      </c>
      <c r="AZ116" s="5">
        <v>2074</v>
      </c>
      <c r="BA116" s="5">
        <v>2075</v>
      </c>
      <c r="BB116" s="5">
        <v>2076</v>
      </c>
      <c r="BC116" s="5">
        <v>2077</v>
      </c>
      <c r="BD116" s="5">
        <v>2078</v>
      </c>
      <c r="BE116" s="5">
        <v>2079</v>
      </c>
      <c r="BF116" s="5">
        <v>2080</v>
      </c>
      <c r="BG116" s="5">
        <v>2081</v>
      </c>
      <c r="BH116" s="5">
        <v>2082</v>
      </c>
      <c r="BI116" s="5">
        <v>2083</v>
      </c>
      <c r="BJ116" s="5">
        <v>2084</v>
      </c>
      <c r="BK116" s="5">
        <v>2085</v>
      </c>
      <c r="BL116" s="5">
        <v>2086</v>
      </c>
      <c r="BM116" s="5">
        <v>2087</v>
      </c>
      <c r="BN116" s="5">
        <v>2088</v>
      </c>
      <c r="BO116" s="5">
        <v>2089</v>
      </c>
      <c r="BP116" s="5">
        <v>2090</v>
      </c>
      <c r="BQ116" s="5">
        <v>2091</v>
      </c>
      <c r="BR116" s="5">
        <v>2092</v>
      </c>
      <c r="BS116" s="5">
        <v>2093</v>
      </c>
      <c r="BT116" s="5">
        <v>2094</v>
      </c>
      <c r="BU116" s="5">
        <v>2095</v>
      </c>
      <c r="BV116" s="5">
        <v>2096</v>
      </c>
      <c r="BW116" s="5">
        <v>2097</v>
      </c>
      <c r="BX116" s="5">
        <v>2098</v>
      </c>
      <c r="BY116" s="5">
        <v>2099</v>
      </c>
      <c r="BZ116" s="5">
        <v>2100</v>
      </c>
      <c r="CA116" s="5">
        <v>2101</v>
      </c>
      <c r="CB116" s="5">
        <v>2102</v>
      </c>
      <c r="CC116" s="5">
        <v>2103</v>
      </c>
      <c r="CD116" s="5">
        <v>2104</v>
      </c>
      <c r="CE116" s="5">
        <v>2105</v>
      </c>
      <c r="CF116" s="5">
        <v>2106</v>
      </c>
      <c r="CG116" s="5">
        <v>2107</v>
      </c>
      <c r="CH116" s="5">
        <v>2108</v>
      </c>
      <c r="CI116" s="5">
        <v>2109</v>
      </c>
      <c r="CJ116" s="5">
        <v>2110</v>
      </c>
      <c r="CK116" s="5">
        <v>2111</v>
      </c>
      <c r="CL116" s="5">
        <v>2112</v>
      </c>
      <c r="CM116" s="5">
        <v>2113</v>
      </c>
      <c r="CN116" s="5">
        <v>2114</v>
      </c>
      <c r="CO116" s="5">
        <v>2115</v>
      </c>
      <c r="CP116" s="5">
        <v>2116</v>
      </c>
      <c r="CQ116" s="5">
        <v>2117</v>
      </c>
      <c r="CR116" s="5">
        <v>2118</v>
      </c>
      <c r="CS116" s="5">
        <v>2119</v>
      </c>
      <c r="CT116" s="5">
        <v>2120</v>
      </c>
      <c r="CU116" s="5">
        <v>2121</v>
      </c>
      <c r="CV116" s="5">
        <v>2122</v>
      </c>
      <c r="CW116" s="5">
        <v>2123</v>
      </c>
      <c r="CX116" s="5">
        <v>2124</v>
      </c>
      <c r="CY116" s="5">
        <v>2125</v>
      </c>
      <c r="CZ116" s="5">
        <v>2126</v>
      </c>
      <c r="DA116" s="5">
        <v>2127</v>
      </c>
    </row>
    <row r="117" spans="3:108" x14ac:dyDescent="0.4">
      <c r="D117" t="s">
        <v>207</v>
      </c>
      <c r="L117" s="8">
        <f>IF(L$13&lt;=$B$3,L118/$B$3,0)</f>
        <v>68010.480174464174</v>
      </c>
      <c r="M117" s="8">
        <f>IF(M115&lt;=$B$3,L117,0)</f>
        <v>68010.480174464174</v>
      </c>
      <c r="N117" s="8">
        <f t="shared" ref="N117:BY117" si="128">IF(N115&lt;=$B$3,M117,0)</f>
        <v>68010.480174464174</v>
      </c>
      <c r="O117" s="8">
        <f t="shared" si="128"/>
        <v>68010.480174464174</v>
      </c>
      <c r="P117" s="8">
        <f t="shared" si="128"/>
        <v>68010.480174464174</v>
      </c>
      <c r="Q117" s="8">
        <f t="shared" si="128"/>
        <v>68010.480174464174</v>
      </c>
      <c r="R117" s="8">
        <f t="shared" si="128"/>
        <v>68010.480174464174</v>
      </c>
      <c r="S117" s="8">
        <f t="shared" si="128"/>
        <v>68010.480174464174</v>
      </c>
      <c r="T117" s="8">
        <f t="shared" si="128"/>
        <v>68010.480174464174</v>
      </c>
      <c r="U117" s="8">
        <f t="shared" si="128"/>
        <v>68010.480174464174</v>
      </c>
      <c r="V117" s="8">
        <f t="shared" si="128"/>
        <v>68010.480174464174</v>
      </c>
      <c r="W117" s="8">
        <f t="shared" si="128"/>
        <v>68010.480174464174</v>
      </c>
      <c r="X117" s="8">
        <f t="shared" si="128"/>
        <v>68010.480174464174</v>
      </c>
      <c r="Y117" s="8">
        <f t="shared" si="128"/>
        <v>68010.480174464174</v>
      </c>
      <c r="Z117" s="8">
        <f t="shared" si="128"/>
        <v>68010.480174464174</v>
      </c>
      <c r="AA117" s="8">
        <f t="shared" si="128"/>
        <v>68010.480174464174</v>
      </c>
      <c r="AB117" s="8">
        <f t="shared" si="128"/>
        <v>68010.480174464174</v>
      </c>
      <c r="AC117" s="8">
        <f t="shared" si="128"/>
        <v>68010.480174464174</v>
      </c>
      <c r="AD117" s="8">
        <f t="shared" si="128"/>
        <v>68010.480174464174</v>
      </c>
      <c r="AE117" s="8">
        <f t="shared" si="128"/>
        <v>68010.480174464174</v>
      </c>
      <c r="AF117" s="8">
        <f t="shared" si="128"/>
        <v>68010.480174464174</v>
      </c>
      <c r="AG117" s="8">
        <f t="shared" si="128"/>
        <v>68010.480174464174</v>
      </c>
      <c r="AH117" s="8">
        <f t="shared" si="128"/>
        <v>68010.480174464174</v>
      </c>
      <c r="AI117" s="8">
        <f t="shared" si="128"/>
        <v>68010.480174464174</v>
      </c>
      <c r="AJ117" s="8">
        <f t="shared" si="128"/>
        <v>68010.480174464174</v>
      </c>
      <c r="AK117" s="8">
        <f t="shared" si="128"/>
        <v>68010.480174464174</v>
      </c>
      <c r="AL117" s="8">
        <f t="shared" si="128"/>
        <v>68010.480174464174</v>
      </c>
      <c r="AM117" s="8">
        <f t="shared" si="128"/>
        <v>68010.480174464174</v>
      </c>
      <c r="AN117" s="8">
        <f t="shared" si="128"/>
        <v>68010.480174464174</v>
      </c>
      <c r="AO117" s="8">
        <f t="shared" si="128"/>
        <v>68010.480174464174</v>
      </c>
      <c r="AP117" s="8">
        <f t="shared" si="128"/>
        <v>68010.480174464174</v>
      </c>
      <c r="AQ117" s="8">
        <f t="shared" si="128"/>
        <v>68010.480174464174</v>
      </c>
      <c r="AR117" s="8">
        <f t="shared" si="128"/>
        <v>68010.480174464174</v>
      </c>
      <c r="AS117" s="8">
        <f t="shared" si="128"/>
        <v>68010.480174464174</v>
      </c>
      <c r="AT117" s="8">
        <f t="shared" si="128"/>
        <v>68010.480174464174</v>
      </c>
      <c r="AU117" s="8">
        <f t="shared" si="128"/>
        <v>68010.480174464174</v>
      </c>
      <c r="AV117" s="8">
        <f t="shared" si="128"/>
        <v>68010.480174464174</v>
      </c>
      <c r="AW117" s="8">
        <f t="shared" si="128"/>
        <v>68010.480174464174</v>
      </c>
      <c r="AX117" s="8">
        <f t="shared" si="128"/>
        <v>68010.480174464174</v>
      </c>
      <c r="AY117" s="8">
        <f t="shared" si="128"/>
        <v>68010.480174464174</v>
      </c>
      <c r="AZ117" s="8">
        <f t="shared" si="128"/>
        <v>68010.480174464174</v>
      </c>
      <c r="BA117" s="8">
        <f t="shared" si="128"/>
        <v>68010.480174464174</v>
      </c>
      <c r="BB117" s="8">
        <f t="shared" si="128"/>
        <v>68010.480174464174</v>
      </c>
      <c r="BC117" s="8">
        <f t="shared" si="128"/>
        <v>68010.480174464174</v>
      </c>
      <c r="BD117" s="8">
        <f t="shared" si="128"/>
        <v>68010.480174464174</v>
      </c>
      <c r="BE117" s="8">
        <f t="shared" si="128"/>
        <v>68010.480174464174</v>
      </c>
      <c r="BF117" s="8">
        <f t="shared" si="128"/>
        <v>68010.480174464174</v>
      </c>
      <c r="BG117" s="8">
        <f t="shared" si="128"/>
        <v>68010.480174464174</v>
      </c>
      <c r="BH117" s="8">
        <f t="shared" si="128"/>
        <v>68010.480174464174</v>
      </c>
      <c r="BI117" s="8">
        <f t="shared" si="128"/>
        <v>68010.480174464174</v>
      </c>
      <c r="BJ117" s="8">
        <f t="shared" si="128"/>
        <v>0</v>
      </c>
      <c r="BK117" s="8">
        <f t="shared" si="128"/>
        <v>0</v>
      </c>
      <c r="BL117" s="8">
        <f t="shared" si="128"/>
        <v>0</v>
      </c>
      <c r="BM117" s="8">
        <f t="shared" si="128"/>
        <v>0</v>
      </c>
      <c r="BN117" s="8">
        <f t="shared" si="128"/>
        <v>0</v>
      </c>
      <c r="BO117" s="8">
        <f t="shared" si="128"/>
        <v>0</v>
      </c>
      <c r="BP117" s="8">
        <f t="shared" si="128"/>
        <v>0</v>
      </c>
      <c r="BQ117" s="8">
        <f t="shared" si="128"/>
        <v>0</v>
      </c>
      <c r="BR117" s="8">
        <f t="shared" si="128"/>
        <v>0</v>
      </c>
      <c r="BS117" s="8">
        <f t="shared" si="128"/>
        <v>0</v>
      </c>
      <c r="BT117" s="8">
        <f t="shared" si="128"/>
        <v>0</v>
      </c>
      <c r="BU117" s="8">
        <f t="shared" si="128"/>
        <v>0</v>
      </c>
      <c r="BV117" s="8">
        <f t="shared" si="128"/>
        <v>0</v>
      </c>
      <c r="BW117" s="8">
        <f t="shared" si="128"/>
        <v>0</v>
      </c>
      <c r="BX117" s="8">
        <f t="shared" si="128"/>
        <v>0</v>
      </c>
      <c r="BY117" s="8">
        <f t="shared" si="128"/>
        <v>0</v>
      </c>
      <c r="BZ117" s="8">
        <f t="shared" ref="BZ117:DA117" si="129">IF(BZ115&lt;=$B$3,BY117,0)</f>
        <v>0</v>
      </c>
      <c r="CA117" s="8">
        <f t="shared" si="129"/>
        <v>0</v>
      </c>
      <c r="CB117" s="8">
        <f t="shared" si="129"/>
        <v>0</v>
      </c>
      <c r="CC117" s="8">
        <f t="shared" si="129"/>
        <v>0</v>
      </c>
      <c r="CD117" s="8">
        <f t="shared" si="129"/>
        <v>0</v>
      </c>
      <c r="CE117" s="8">
        <f t="shared" si="129"/>
        <v>0</v>
      </c>
      <c r="CF117" s="8">
        <f t="shared" si="129"/>
        <v>0</v>
      </c>
      <c r="CG117" s="8">
        <f t="shared" si="129"/>
        <v>0</v>
      </c>
      <c r="CH117" s="8">
        <f t="shared" si="129"/>
        <v>0</v>
      </c>
      <c r="CI117" s="8">
        <f t="shared" si="129"/>
        <v>0</v>
      </c>
      <c r="CJ117" s="8">
        <f t="shared" si="129"/>
        <v>0</v>
      </c>
      <c r="CK117" s="8">
        <f t="shared" si="129"/>
        <v>0</v>
      </c>
      <c r="CL117" s="8">
        <f t="shared" si="129"/>
        <v>0</v>
      </c>
      <c r="CM117" s="8">
        <f t="shared" si="129"/>
        <v>0</v>
      </c>
      <c r="CN117" s="8">
        <f t="shared" si="129"/>
        <v>0</v>
      </c>
      <c r="CO117" s="8">
        <f t="shared" si="129"/>
        <v>0</v>
      </c>
      <c r="CP117" s="8">
        <f t="shared" si="129"/>
        <v>0</v>
      </c>
      <c r="CQ117" s="8">
        <f t="shared" si="129"/>
        <v>0</v>
      </c>
      <c r="CR117" s="8">
        <f t="shared" si="129"/>
        <v>0</v>
      </c>
      <c r="CS117" s="8">
        <f t="shared" si="129"/>
        <v>0</v>
      </c>
      <c r="CT117" s="8">
        <f t="shared" si="129"/>
        <v>0</v>
      </c>
      <c r="CU117" s="8">
        <f t="shared" si="129"/>
        <v>0</v>
      </c>
      <c r="CV117" s="8">
        <f t="shared" si="129"/>
        <v>0</v>
      </c>
      <c r="CW117" s="8">
        <f t="shared" si="129"/>
        <v>0</v>
      </c>
      <c r="CX117" s="8">
        <f t="shared" si="129"/>
        <v>0</v>
      </c>
      <c r="CY117" s="8">
        <f t="shared" si="129"/>
        <v>0</v>
      </c>
      <c r="CZ117" s="8">
        <f t="shared" si="129"/>
        <v>0</v>
      </c>
      <c r="DA117" s="8">
        <f t="shared" si="129"/>
        <v>0</v>
      </c>
      <c r="DB117" s="8"/>
      <c r="DC117" s="8"/>
      <c r="DD117" s="8"/>
    </row>
    <row r="118" spans="3:108" x14ac:dyDescent="0.4">
      <c r="D118" t="s">
        <v>154</v>
      </c>
      <c r="K118" s="8">
        <f>HLOOKUP(L116,$F$3:$O$10,7,0)</f>
        <v>3400524.0087232087</v>
      </c>
      <c r="L118" s="8">
        <f>IF(ROUND(K119,4)=-ROUND(K118,4),0,K118)</f>
        <v>3400524.0087232087</v>
      </c>
      <c r="M118" s="8">
        <f t="shared" ref="M118:BX118" si="130">IF(ROUND(L119,4)=-ROUND(L118,4),0,L118)</f>
        <v>3400524.0087232087</v>
      </c>
      <c r="N118" s="8">
        <f t="shared" si="130"/>
        <v>3400524.0087232087</v>
      </c>
      <c r="O118" s="8">
        <f t="shared" si="130"/>
        <v>3400524.0087232087</v>
      </c>
      <c r="P118" s="8">
        <f t="shared" si="130"/>
        <v>3400524.0087232087</v>
      </c>
      <c r="Q118" s="8">
        <f t="shared" si="130"/>
        <v>3400524.0087232087</v>
      </c>
      <c r="R118" s="8">
        <f t="shared" si="130"/>
        <v>3400524.0087232087</v>
      </c>
      <c r="S118" s="8">
        <f t="shared" si="130"/>
        <v>3400524.0087232087</v>
      </c>
      <c r="T118" s="8">
        <f t="shared" si="130"/>
        <v>3400524.0087232087</v>
      </c>
      <c r="U118" s="8">
        <f t="shared" si="130"/>
        <v>3400524.0087232087</v>
      </c>
      <c r="V118" s="8">
        <f t="shared" si="130"/>
        <v>3400524.0087232087</v>
      </c>
      <c r="W118" s="8">
        <f t="shared" si="130"/>
        <v>3400524.0087232087</v>
      </c>
      <c r="X118" s="8">
        <f t="shared" si="130"/>
        <v>3400524.0087232087</v>
      </c>
      <c r="Y118" s="8">
        <f t="shared" si="130"/>
        <v>3400524.0087232087</v>
      </c>
      <c r="Z118" s="8">
        <f t="shared" si="130"/>
        <v>3400524.0087232087</v>
      </c>
      <c r="AA118" s="8">
        <f t="shared" si="130"/>
        <v>3400524.0087232087</v>
      </c>
      <c r="AB118" s="8">
        <f t="shared" si="130"/>
        <v>3400524.0087232087</v>
      </c>
      <c r="AC118" s="8">
        <f t="shared" si="130"/>
        <v>3400524.0087232087</v>
      </c>
      <c r="AD118" s="8">
        <f t="shared" si="130"/>
        <v>3400524.0087232087</v>
      </c>
      <c r="AE118" s="8">
        <f t="shared" si="130"/>
        <v>3400524.0087232087</v>
      </c>
      <c r="AF118" s="8">
        <f t="shared" si="130"/>
        <v>3400524.0087232087</v>
      </c>
      <c r="AG118" s="8">
        <f t="shared" si="130"/>
        <v>3400524.0087232087</v>
      </c>
      <c r="AH118" s="8">
        <f t="shared" si="130"/>
        <v>3400524.0087232087</v>
      </c>
      <c r="AI118" s="8">
        <f t="shared" si="130"/>
        <v>3400524.0087232087</v>
      </c>
      <c r="AJ118" s="8">
        <f t="shared" si="130"/>
        <v>3400524.0087232087</v>
      </c>
      <c r="AK118" s="8">
        <f t="shared" si="130"/>
        <v>3400524.0087232087</v>
      </c>
      <c r="AL118" s="8">
        <f t="shared" si="130"/>
        <v>3400524.0087232087</v>
      </c>
      <c r="AM118" s="8">
        <f t="shared" si="130"/>
        <v>3400524.0087232087</v>
      </c>
      <c r="AN118" s="8">
        <f t="shared" si="130"/>
        <v>3400524.0087232087</v>
      </c>
      <c r="AO118" s="8">
        <f t="shared" si="130"/>
        <v>3400524.0087232087</v>
      </c>
      <c r="AP118" s="8">
        <f t="shared" si="130"/>
        <v>3400524.0087232087</v>
      </c>
      <c r="AQ118" s="8">
        <f t="shared" si="130"/>
        <v>3400524.0087232087</v>
      </c>
      <c r="AR118" s="8">
        <f t="shared" si="130"/>
        <v>3400524.0087232087</v>
      </c>
      <c r="AS118" s="8">
        <f t="shared" si="130"/>
        <v>3400524.0087232087</v>
      </c>
      <c r="AT118" s="8">
        <f t="shared" si="130"/>
        <v>3400524.0087232087</v>
      </c>
      <c r="AU118" s="8">
        <f t="shared" si="130"/>
        <v>3400524.0087232087</v>
      </c>
      <c r="AV118" s="8">
        <f t="shared" si="130"/>
        <v>3400524.0087232087</v>
      </c>
      <c r="AW118" s="8">
        <f t="shared" si="130"/>
        <v>3400524.0087232087</v>
      </c>
      <c r="AX118" s="8">
        <f t="shared" si="130"/>
        <v>3400524.0087232087</v>
      </c>
      <c r="AY118" s="8">
        <f t="shared" si="130"/>
        <v>3400524.0087232087</v>
      </c>
      <c r="AZ118" s="8">
        <f t="shared" si="130"/>
        <v>3400524.0087232087</v>
      </c>
      <c r="BA118" s="8">
        <f t="shared" si="130"/>
        <v>3400524.0087232087</v>
      </c>
      <c r="BB118" s="8">
        <f t="shared" si="130"/>
        <v>3400524.0087232087</v>
      </c>
      <c r="BC118" s="8">
        <f t="shared" si="130"/>
        <v>3400524.0087232087</v>
      </c>
      <c r="BD118" s="8">
        <f t="shared" si="130"/>
        <v>3400524.0087232087</v>
      </c>
      <c r="BE118" s="8">
        <f t="shared" si="130"/>
        <v>3400524.0087232087</v>
      </c>
      <c r="BF118" s="8">
        <f t="shared" si="130"/>
        <v>3400524.0087232087</v>
      </c>
      <c r="BG118" s="8">
        <f t="shared" si="130"/>
        <v>3400524.0087232087</v>
      </c>
      <c r="BH118" s="8">
        <f t="shared" si="130"/>
        <v>3400524.0087232087</v>
      </c>
      <c r="BI118" s="8">
        <f t="shared" si="130"/>
        <v>3400524.0087232087</v>
      </c>
      <c r="BJ118" s="8">
        <f t="shared" si="130"/>
        <v>0</v>
      </c>
      <c r="BK118" s="8">
        <f t="shared" si="130"/>
        <v>0</v>
      </c>
      <c r="BL118" s="8">
        <f t="shared" si="130"/>
        <v>0</v>
      </c>
      <c r="BM118" s="8">
        <f t="shared" si="130"/>
        <v>0</v>
      </c>
      <c r="BN118" s="8">
        <f t="shared" si="130"/>
        <v>0</v>
      </c>
      <c r="BO118" s="8">
        <f t="shared" si="130"/>
        <v>0</v>
      </c>
      <c r="BP118" s="8">
        <f t="shared" si="130"/>
        <v>0</v>
      </c>
      <c r="BQ118" s="8">
        <f t="shared" si="130"/>
        <v>0</v>
      </c>
      <c r="BR118" s="8">
        <f t="shared" si="130"/>
        <v>0</v>
      </c>
      <c r="BS118" s="8">
        <f t="shared" si="130"/>
        <v>0</v>
      </c>
      <c r="BT118" s="8">
        <f t="shared" si="130"/>
        <v>0</v>
      </c>
      <c r="BU118" s="8">
        <f t="shared" si="130"/>
        <v>0</v>
      </c>
      <c r="BV118" s="8">
        <f t="shared" si="130"/>
        <v>0</v>
      </c>
      <c r="BW118" s="8">
        <f t="shared" si="130"/>
        <v>0</v>
      </c>
      <c r="BX118" s="8">
        <f t="shared" si="130"/>
        <v>0</v>
      </c>
      <c r="BY118" s="8">
        <f t="shared" ref="BY118:DA118" si="131">IF(ROUND(BX119,4)=-ROUND(BX118,4),0,BX118)</f>
        <v>0</v>
      </c>
      <c r="BZ118" s="8">
        <f t="shared" si="131"/>
        <v>0</v>
      </c>
      <c r="CA118" s="8">
        <f t="shared" si="131"/>
        <v>0</v>
      </c>
      <c r="CB118" s="8">
        <f t="shared" si="131"/>
        <v>0</v>
      </c>
      <c r="CC118" s="8">
        <f t="shared" si="131"/>
        <v>0</v>
      </c>
      <c r="CD118" s="8">
        <f t="shared" si="131"/>
        <v>0</v>
      </c>
      <c r="CE118" s="8">
        <f t="shared" si="131"/>
        <v>0</v>
      </c>
      <c r="CF118" s="8">
        <f t="shared" si="131"/>
        <v>0</v>
      </c>
      <c r="CG118" s="8">
        <f t="shared" si="131"/>
        <v>0</v>
      </c>
      <c r="CH118" s="8">
        <f t="shared" si="131"/>
        <v>0</v>
      </c>
      <c r="CI118" s="8">
        <f t="shared" si="131"/>
        <v>0</v>
      </c>
      <c r="CJ118" s="8">
        <f t="shared" si="131"/>
        <v>0</v>
      </c>
      <c r="CK118" s="8">
        <f t="shared" si="131"/>
        <v>0</v>
      </c>
      <c r="CL118" s="8">
        <f t="shared" si="131"/>
        <v>0</v>
      </c>
      <c r="CM118" s="8">
        <f t="shared" si="131"/>
        <v>0</v>
      </c>
      <c r="CN118" s="8">
        <f t="shared" si="131"/>
        <v>0</v>
      </c>
      <c r="CO118" s="8">
        <f t="shared" si="131"/>
        <v>0</v>
      </c>
      <c r="CP118" s="8">
        <f t="shared" si="131"/>
        <v>0</v>
      </c>
      <c r="CQ118" s="8">
        <f t="shared" si="131"/>
        <v>0</v>
      </c>
      <c r="CR118" s="8">
        <f t="shared" si="131"/>
        <v>0</v>
      </c>
      <c r="CS118" s="8">
        <f t="shared" si="131"/>
        <v>0</v>
      </c>
      <c r="CT118" s="8">
        <f t="shared" si="131"/>
        <v>0</v>
      </c>
      <c r="CU118" s="8">
        <f t="shared" si="131"/>
        <v>0</v>
      </c>
      <c r="CV118" s="8">
        <f t="shared" si="131"/>
        <v>0</v>
      </c>
      <c r="CW118" s="8">
        <f t="shared" si="131"/>
        <v>0</v>
      </c>
      <c r="CX118" s="8">
        <f t="shared" si="131"/>
        <v>0</v>
      </c>
      <c r="CY118" s="8">
        <f t="shared" si="131"/>
        <v>0</v>
      </c>
      <c r="CZ118" s="8">
        <f t="shared" si="131"/>
        <v>0</v>
      </c>
      <c r="DA118" s="8">
        <f t="shared" si="131"/>
        <v>0</v>
      </c>
      <c r="DB118" s="8"/>
      <c r="DC118" s="8"/>
      <c r="DD118" s="8"/>
    </row>
    <row r="119" spans="3:108" x14ac:dyDescent="0.4">
      <c r="D119" t="s">
        <v>208</v>
      </c>
      <c r="K119" s="8"/>
      <c r="L119" s="8">
        <f>IF(L115&lt;=$B$3,-SUM($E117:L117),0)</f>
        <v>-68010.480174464174</v>
      </c>
      <c r="M119" s="8">
        <f>IF(M115&lt;=$B$3,-SUM($E117:M117),0)</f>
        <v>-136020.96034892835</v>
      </c>
      <c r="N119" s="8">
        <f>IF(N115&lt;=$B$3,-SUM($E117:N117),0)</f>
        <v>-204031.44052339252</v>
      </c>
      <c r="O119" s="8">
        <f>IF(O115&lt;=$B$3,-SUM($E117:O117),0)</f>
        <v>-272041.92069785669</v>
      </c>
      <c r="P119" s="8">
        <f>IF(P115&lt;=$B$3,-SUM($E117:P117),0)</f>
        <v>-340052.40087232087</v>
      </c>
      <c r="Q119" s="8">
        <f>IF(Q115&lt;=$B$3,-SUM($E117:Q117),0)</f>
        <v>-408062.88104678504</v>
      </c>
      <c r="R119" s="8">
        <f>IF(R115&lt;=$B$3,-SUM($E117:R117),0)</f>
        <v>-476073.36122124922</v>
      </c>
      <c r="S119" s="8">
        <f>IF(S115&lt;=$B$3,-SUM($E117:S117),0)</f>
        <v>-544083.84139571339</v>
      </c>
      <c r="T119" s="8">
        <f>IF(T115&lt;=$B$3,-SUM($E117:T117),0)</f>
        <v>-612094.32157017756</v>
      </c>
      <c r="U119" s="8">
        <f>IF(U115&lt;=$B$3,-SUM($E117:U117),0)</f>
        <v>-680104.80174464174</v>
      </c>
      <c r="V119" s="8">
        <f>IF(V115&lt;=$B$3,-SUM($E117:V117),0)</f>
        <v>-748115.28191910591</v>
      </c>
      <c r="W119" s="8">
        <f>IF(W115&lt;=$B$3,-SUM($E117:W117),0)</f>
        <v>-816125.76209357008</v>
      </c>
      <c r="X119" s="8">
        <f>IF(X115&lt;=$B$3,-SUM($E117:X117),0)</f>
        <v>-884136.24226803426</v>
      </c>
      <c r="Y119" s="8">
        <f>IF(Y115&lt;=$B$3,-SUM($E117:Y117),0)</f>
        <v>-952146.72244249843</v>
      </c>
      <c r="Z119" s="8">
        <f>IF(Z115&lt;=$B$3,-SUM($E117:Z117),0)</f>
        <v>-1020157.2026169626</v>
      </c>
      <c r="AA119" s="8">
        <f>IF(AA115&lt;=$B$3,-SUM($E117:AA117),0)</f>
        <v>-1088167.6827914268</v>
      </c>
      <c r="AB119" s="8">
        <f>IF(AB115&lt;=$B$3,-SUM($E117:AB117),0)</f>
        <v>-1156178.162965891</v>
      </c>
      <c r="AC119" s="8">
        <f>IF(AC115&lt;=$B$3,-SUM($E117:AC117),0)</f>
        <v>-1224188.6431403551</v>
      </c>
      <c r="AD119" s="8">
        <f>IF(AD115&lt;=$B$3,-SUM($E117:AD117),0)</f>
        <v>-1292199.1233148193</v>
      </c>
      <c r="AE119" s="8">
        <f>IF(AE115&lt;=$B$3,-SUM($E117:AE117),0)</f>
        <v>-1360209.6034892835</v>
      </c>
      <c r="AF119" s="8">
        <f>IF(AF115&lt;=$B$3,-SUM($E117:AF117),0)</f>
        <v>-1428220.0836637476</v>
      </c>
      <c r="AG119" s="8">
        <f>IF(AG115&lt;=$B$3,-SUM($E117:AG117),0)</f>
        <v>-1496230.5638382118</v>
      </c>
      <c r="AH119" s="8">
        <f>IF(AH115&lt;=$B$3,-SUM($E117:AH117),0)</f>
        <v>-1564241.044012676</v>
      </c>
      <c r="AI119" s="8">
        <f>IF(AI115&lt;=$B$3,-SUM($E117:AI117),0)</f>
        <v>-1632251.5241871402</v>
      </c>
      <c r="AJ119" s="8">
        <f>IF(AJ115&lt;=$B$3,-SUM($E117:AJ117),0)</f>
        <v>-1700262.0043616043</v>
      </c>
      <c r="AK119" s="8">
        <f>IF(AK115&lt;=$B$3,-SUM($E117:AK117),0)</f>
        <v>-1768272.4845360685</v>
      </c>
      <c r="AL119" s="8">
        <f>IF(AL115&lt;=$B$3,-SUM($E117:AL117),0)</f>
        <v>-1836282.9647105327</v>
      </c>
      <c r="AM119" s="8">
        <f>IF(AM115&lt;=$B$3,-SUM($E117:AM117),0)</f>
        <v>-1904293.4448849969</v>
      </c>
      <c r="AN119" s="8">
        <f>IF(AN115&lt;=$B$3,-SUM($E117:AN117),0)</f>
        <v>-1972303.925059461</v>
      </c>
      <c r="AO119" s="8">
        <f>IF(AO115&lt;=$B$3,-SUM($E117:AO117),0)</f>
        <v>-2040314.4052339252</v>
      </c>
      <c r="AP119" s="8">
        <f>IF(AP115&lt;=$B$3,-SUM($E117:AP117),0)</f>
        <v>-2108324.8854083894</v>
      </c>
      <c r="AQ119" s="8">
        <f>IF(AQ115&lt;=$B$3,-SUM($E117:AQ117),0)</f>
        <v>-2176335.3655828536</v>
      </c>
      <c r="AR119" s="8">
        <f>IF(AR115&lt;=$B$3,-SUM($E117:AR117),0)</f>
        <v>-2244345.8457573177</v>
      </c>
      <c r="AS119" s="8">
        <f>IF(AS115&lt;=$B$3,-SUM($E117:AS117),0)</f>
        <v>-2312356.3259317819</v>
      </c>
      <c r="AT119" s="8">
        <f>IF(AT115&lt;=$B$3,-SUM($E117:AT117),0)</f>
        <v>-2380366.8061062461</v>
      </c>
      <c r="AU119" s="8">
        <f>IF(AU115&lt;=$B$3,-SUM($E117:AU117),0)</f>
        <v>-2448377.2862807103</v>
      </c>
      <c r="AV119" s="8">
        <f>IF(AV115&lt;=$B$3,-SUM($E117:AV117),0)</f>
        <v>-2516387.7664551744</v>
      </c>
      <c r="AW119" s="8">
        <f>IF(AW115&lt;=$B$3,-SUM($E117:AW117),0)</f>
        <v>-2584398.2466296386</v>
      </c>
      <c r="AX119" s="8">
        <f>IF(AX115&lt;=$B$3,-SUM($E117:AX117),0)</f>
        <v>-2652408.7268041028</v>
      </c>
      <c r="AY119" s="8">
        <f>IF(AY115&lt;=$B$3,-SUM($E117:AY117),0)</f>
        <v>-2720419.2069785669</v>
      </c>
      <c r="AZ119" s="8">
        <f>IF(AZ115&lt;=$B$3,-SUM($E117:AZ117),0)</f>
        <v>-2788429.6871530311</v>
      </c>
      <c r="BA119" s="8">
        <f>IF(BA115&lt;=$B$3,-SUM($E117:BA117),0)</f>
        <v>-2856440.1673274953</v>
      </c>
      <c r="BB119" s="8">
        <f>IF(BB115&lt;=$B$3,-SUM($E117:BB117),0)</f>
        <v>-2924450.6475019595</v>
      </c>
      <c r="BC119" s="8">
        <f>IF(BC115&lt;=$B$3,-SUM($E117:BC117),0)</f>
        <v>-2992461.1276764236</v>
      </c>
      <c r="BD119" s="8">
        <f>IF(BD115&lt;=$B$3,-SUM($E117:BD117),0)</f>
        <v>-3060471.6078508878</v>
      </c>
      <c r="BE119" s="8">
        <f>IF(BE115&lt;=$B$3,-SUM($E117:BE117),0)</f>
        <v>-3128482.088025352</v>
      </c>
      <c r="BF119" s="8">
        <f>IF(BF115&lt;=$B$3,-SUM($E117:BF117),0)</f>
        <v>-3196492.5681998162</v>
      </c>
      <c r="BG119" s="8">
        <f>IF(BG115&lt;=$B$3,-SUM($E117:BG117),0)</f>
        <v>-3264503.0483742803</v>
      </c>
      <c r="BH119" s="8">
        <f>IF(BH115&lt;=$B$3,-SUM($E117:BH117),0)</f>
        <v>-3332513.5285487445</v>
      </c>
      <c r="BI119" s="8">
        <f>IF(BI115&lt;=$B$3,-SUM($E117:BI117),0)</f>
        <v>-3400524.0087232087</v>
      </c>
      <c r="BJ119" s="8">
        <f>IF(BJ115&lt;=$B$3,-SUM($E117:BJ117),0)</f>
        <v>0</v>
      </c>
      <c r="BK119" s="8">
        <f>IF(BK115&lt;=$B$3,-SUM($E117:BK117),0)</f>
        <v>0</v>
      </c>
      <c r="BL119" s="8">
        <f>IF(BL115&lt;=$B$3,-SUM($E117:BL117),0)</f>
        <v>0</v>
      </c>
      <c r="BM119" s="8">
        <f>IF(BM115&lt;=$B$3,-SUM($E117:BM117),0)</f>
        <v>0</v>
      </c>
      <c r="BN119" s="8">
        <f>IF(BN115&lt;=$B$3,-SUM($E117:BN117),0)</f>
        <v>0</v>
      </c>
      <c r="BO119" s="8">
        <f>IF(BO115&lt;=$B$3,-SUM($E117:BO117),0)</f>
        <v>0</v>
      </c>
      <c r="BP119" s="8">
        <f>IF(BP115&lt;=$B$3,-SUM($E117:BP117),0)</f>
        <v>0</v>
      </c>
      <c r="BQ119" s="8">
        <f>IF(BQ115&lt;=$B$3,-SUM($E117:BQ117),0)</f>
        <v>0</v>
      </c>
      <c r="BR119" s="8">
        <f>IF(BR115&lt;=$B$3,-SUM($E117:BR117),0)</f>
        <v>0</v>
      </c>
      <c r="BS119" s="8">
        <f>IF(BS115&lt;=$B$3,-SUM($E117:BS117),0)</f>
        <v>0</v>
      </c>
      <c r="BT119" s="8">
        <f>IF(BT115&lt;=$B$3,-SUM($E117:BT117),0)</f>
        <v>0</v>
      </c>
      <c r="BU119" s="8">
        <f>IF(BU115&lt;=$B$3,-SUM($E117:BU117),0)</f>
        <v>0</v>
      </c>
      <c r="BV119" s="8">
        <f>IF(BV115&lt;=$B$3,-SUM($E117:BV117),0)</f>
        <v>0</v>
      </c>
      <c r="BW119" s="8">
        <f>IF(BW115&lt;=$B$3,-SUM($E117:BW117),0)</f>
        <v>0</v>
      </c>
      <c r="BX119" s="8">
        <f>IF(BX115&lt;=$B$3,-SUM($E117:BX117),0)</f>
        <v>0</v>
      </c>
      <c r="BY119" s="8">
        <f>IF(BY115&lt;=$B$3,-SUM($E117:BY117),0)</f>
        <v>0</v>
      </c>
      <c r="BZ119" s="8">
        <f>IF(BZ115&lt;=$B$3,-SUM($E117:BZ117),0)</f>
        <v>0</v>
      </c>
      <c r="CA119" s="8">
        <f>IF(CA115&lt;=$B$3,-SUM($E117:CA117),0)</f>
        <v>0</v>
      </c>
      <c r="CB119" s="8">
        <f>IF(CB115&lt;=$B$3,-SUM($E117:CB117),0)</f>
        <v>0</v>
      </c>
      <c r="CC119" s="8">
        <f>IF(CC115&lt;=$B$3,-SUM($E117:CC117),0)</f>
        <v>0</v>
      </c>
      <c r="CD119" s="8">
        <f>IF(CD115&lt;=$B$3,-SUM($E117:CD117),0)</f>
        <v>0</v>
      </c>
      <c r="CE119" s="8">
        <f>IF(CE115&lt;=$B$3,-SUM($E117:CE117),0)</f>
        <v>0</v>
      </c>
      <c r="CF119" s="8">
        <f>IF(CF115&lt;=$B$3,-SUM($E117:CF117),0)</f>
        <v>0</v>
      </c>
      <c r="CG119" s="8">
        <f>IF(CG115&lt;=$B$3,-SUM($E117:CG117),0)</f>
        <v>0</v>
      </c>
      <c r="CH119" s="8">
        <f>IF(CH115&lt;=$B$3,-SUM($E117:CH117),0)</f>
        <v>0</v>
      </c>
      <c r="CI119" s="8">
        <f>IF(CI115&lt;=$B$3,-SUM($E117:CI117),0)</f>
        <v>0</v>
      </c>
      <c r="CJ119" s="8">
        <f>IF(CJ115&lt;=$B$3,-SUM($E117:CJ117),0)</f>
        <v>0</v>
      </c>
      <c r="CK119" s="8">
        <f>IF(CK115&lt;=$B$3,-SUM($E117:CK117),0)</f>
        <v>0</v>
      </c>
      <c r="CL119" s="8">
        <f>IF(CL115&lt;=$B$3,-SUM($E117:CL117),0)</f>
        <v>0</v>
      </c>
      <c r="CM119" s="8">
        <f>IF(CM115&lt;=$B$3,-SUM($E117:CM117),0)</f>
        <v>0</v>
      </c>
      <c r="CN119" s="8">
        <f>IF(CN115&lt;=$B$3,-SUM($E117:CN117),0)</f>
        <v>0</v>
      </c>
      <c r="CO119" s="8">
        <f>IF(CO115&lt;=$B$3,-SUM($E117:CO117),0)</f>
        <v>0</v>
      </c>
      <c r="CP119" s="8">
        <f>IF(CP115&lt;=$B$3,-SUM($E117:CP117),0)</f>
        <v>0</v>
      </c>
      <c r="CQ119" s="8">
        <f>IF(CQ115&lt;=$B$3,-SUM($E117:CQ117),0)</f>
        <v>0</v>
      </c>
      <c r="CR119" s="8">
        <f>IF(CR115&lt;=$B$3,-SUM($E117:CR117),0)</f>
        <v>0</v>
      </c>
      <c r="CS119" s="8">
        <f>IF(CS115&lt;=$B$3,-SUM($E117:CS117),0)</f>
        <v>0</v>
      </c>
      <c r="CT119" s="8">
        <f>IF(CT115&lt;=$B$3,-SUM($E117:CT117),0)</f>
        <v>0</v>
      </c>
      <c r="CU119" s="8">
        <f>IF(CU115&lt;=$B$3,-SUM($E117:CU117),0)</f>
        <v>0</v>
      </c>
      <c r="CV119" s="8">
        <f>IF(CV115&lt;=$B$3,-SUM($E117:CV117),0)</f>
        <v>0</v>
      </c>
      <c r="CW119" s="8">
        <f>IF(CW115&lt;=$B$3,-SUM($E117:CW117),0)</f>
        <v>0</v>
      </c>
      <c r="CX119" s="8">
        <f>IF(CX115&lt;=$B$3,-SUM($E117:CX117),0)</f>
        <v>0</v>
      </c>
      <c r="CY119" s="8">
        <f>IF(CY115&lt;=$B$3,-SUM($E117:CY117),0)</f>
        <v>0</v>
      </c>
      <c r="CZ119" s="8">
        <f>IF(CZ115&lt;=$B$3,-SUM($E117:CZ117),0)</f>
        <v>0</v>
      </c>
      <c r="DA119" s="8">
        <f>IF(DA115&lt;=$B$3,-SUM($E117:DA117),0)</f>
        <v>0</v>
      </c>
      <c r="DB119" s="8"/>
      <c r="DC119" s="8"/>
      <c r="DD119" s="8"/>
    </row>
    <row r="120" spans="3:108" x14ac:dyDescent="0.4">
      <c r="D120" t="s">
        <v>167</v>
      </c>
      <c r="K120" s="8"/>
      <c r="L120" s="8">
        <f>K121</f>
        <v>3400524.0087232087</v>
      </c>
      <c r="M120" s="8">
        <f t="shared" ref="M120:BX120" si="132">L121</f>
        <v>3332513.5285487445</v>
      </c>
      <c r="N120" s="8">
        <f t="shared" si="132"/>
        <v>3264503.0483742803</v>
      </c>
      <c r="O120" s="8">
        <f t="shared" si="132"/>
        <v>3196492.5681998162</v>
      </c>
      <c r="P120" s="8">
        <f t="shared" si="132"/>
        <v>3128482.088025352</v>
      </c>
      <c r="Q120" s="8">
        <f t="shared" si="132"/>
        <v>3060471.6078508878</v>
      </c>
      <c r="R120" s="8">
        <f t="shared" si="132"/>
        <v>2992461.1276764236</v>
      </c>
      <c r="S120" s="8">
        <f t="shared" si="132"/>
        <v>2924450.6475019595</v>
      </c>
      <c r="T120" s="8">
        <f t="shared" si="132"/>
        <v>2856440.1673274953</v>
      </c>
      <c r="U120" s="8">
        <f t="shared" si="132"/>
        <v>2788429.6871530311</v>
      </c>
      <c r="V120" s="8">
        <f t="shared" si="132"/>
        <v>2720419.2069785669</v>
      </c>
      <c r="W120" s="8">
        <f t="shared" si="132"/>
        <v>2652408.7268041028</v>
      </c>
      <c r="X120" s="8">
        <f t="shared" si="132"/>
        <v>2584398.2466296386</v>
      </c>
      <c r="Y120" s="8">
        <f t="shared" si="132"/>
        <v>2516387.7664551744</v>
      </c>
      <c r="Z120" s="8">
        <f t="shared" si="132"/>
        <v>2448377.2862807103</v>
      </c>
      <c r="AA120" s="8">
        <f t="shared" si="132"/>
        <v>2380366.8061062461</v>
      </c>
      <c r="AB120" s="8">
        <f t="shared" si="132"/>
        <v>2312356.3259317819</v>
      </c>
      <c r="AC120" s="8">
        <f t="shared" si="132"/>
        <v>2244345.8457573177</v>
      </c>
      <c r="AD120" s="8">
        <f t="shared" si="132"/>
        <v>2176335.3655828536</v>
      </c>
      <c r="AE120" s="8">
        <f t="shared" si="132"/>
        <v>2108324.8854083894</v>
      </c>
      <c r="AF120" s="8">
        <f t="shared" si="132"/>
        <v>2040314.4052339252</v>
      </c>
      <c r="AG120" s="8">
        <f t="shared" si="132"/>
        <v>1972303.925059461</v>
      </c>
      <c r="AH120" s="8">
        <f t="shared" si="132"/>
        <v>1904293.4448849969</v>
      </c>
      <c r="AI120" s="8">
        <f t="shared" si="132"/>
        <v>1836282.9647105327</v>
      </c>
      <c r="AJ120" s="8">
        <f t="shared" si="132"/>
        <v>1768272.4845360685</v>
      </c>
      <c r="AK120" s="8">
        <f t="shared" si="132"/>
        <v>1700262.0043616043</v>
      </c>
      <c r="AL120" s="8">
        <f t="shared" si="132"/>
        <v>1632251.5241871402</v>
      </c>
      <c r="AM120" s="8">
        <f t="shared" si="132"/>
        <v>1564241.044012676</v>
      </c>
      <c r="AN120" s="8">
        <f t="shared" si="132"/>
        <v>1496230.5638382118</v>
      </c>
      <c r="AO120" s="8">
        <f t="shared" si="132"/>
        <v>1428220.0836637476</v>
      </c>
      <c r="AP120" s="8">
        <f t="shared" si="132"/>
        <v>1360209.6034892835</v>
      </c>
      <c r="AQ120" s="8">
        <f t="shared" si="132"/>
        <v>1292199.1233148193</v>
      </c>
      <c r="AR120" s="8">
        <f t="shared" si="132"/>
        <v>1224188.6431403551</v>
      </c>
      <c r="AS120" s="8">
        <f t="shared" si="132"/>
        <v>1156178.162965891</v>
      </c>
      <c r="AT120" s="8">
        <f t="shared" si="132"/>
        <v>1088167.6827914268</v>
      </c>
      <c r="AU120" s="8">
        <f t="shared" si="132"/>
        <v>1020157.2026169626</v>
      </c>
      <c r="AV120" s="8">
        <f t="shared" si="132"/>
        <v>952146.72244249843</v>
      </c>
      <c r="AW120" s="8">
        <f t="shared" si="132"/>
        <v>884136.24226803426</v>
      </c>
      <c r="AX120" s="8">
        <f t="shared" si="132"/>
        <v>816125.76209357008</v>
      </c>
      <c r="AY120" s="8">
        <f t="shared" si="132"/>
        <v>748115.28191910591</v>
      </c>
      <c r="AZ120" s="8">
        <f t="shared" si="132"/>
        <v>680104.80174464174</v>
      </c>
      <c r="BA120" s="8">
        <f t="shared" si="132"/>
        <v>612094.32157017756</v>
      </c>
      <c r="BB120" s="8">
        <f t="shared" si="132"/>
        <v>544083.84139571339</v>
      </c>
      <c r="BC120" s="8">
        <f t="shared" si="132"/>
        <v>476073.36122124922</v>
      </c>
      <c r="BD120" s="8">
        <f t="shared" si="132"/>
        <v>408062.88104678504</v>
      </c>
      <c r="BE120" s="8">
        <f t="shared" si="132"/>
        <v>340052.40087232087</v>
      </c>
      <c r="BF120" s="8">
        <f t="shared" si="132"/>
        <v>272041.92069785669</v>
      </c>
      <c r="BG120" s="8">
        <f t="shared" si="132"/>
        <v>204031.44052339252</v>
      </c>
      <c r="BH120" s="8">
        <f t="shared" si="132"/>
        <v>136020.96034892835</v>
      </c>
      <c r="BI120" s="8">
        <f t="shared" si="132"/>
        <v>68010.480174464174</v>
      </c>
      <c r="BJ120" s="8">
        <f t="shared" si="132"/>
        <v>0</v>
      </c>
      <c r="BK120" s="8">
        <f t="shared" si="132"/>
        <v>0</v>
      </c>
      <c r="BL120" s="8">
        <f t="shared" si="132"/>
        <v>0</v>
      </c>
      <c r="BM120" s="8">
        <f t="shared" si="132"/>
        <v>0</v>
      </c>
      <c r="BN120" s="8">
        <f t="shared" si="132"/>
        <v>0</v>
      </c>
      <c r="BO120" s="8">
        <f t="shared" si="132"/>
        <v>0</v>
      </c>
      <c r="BP120" s="8">
        <f t="shared" si="132"/>
        <v>0</v>
      </c>
      <c r="BQ120" s="8">
        <f t="shared" si="132"/>
        <v>0</v>
      </c>
      <c r="BR120" s="8">
        <f t="shared" si="132"/>
        <v>0</v>
      </c>
      <c r="BS120" s="8">
        <f t="shared" si="132"/>
        <v>0</v>
      </c>
      <c r="BT120" s="8">
        <f t="shared" si="132"/>
        <v>0</v>
      </c>
      <c r="BU120" s="8">
        <f t="shared" si="132"/>
        <v>0</v>
      </c>
      <c r="BV120" s="8">
        <f t="shared" si="132"/>
        <v>0</v>
      </c>
      <c r="BW120" s="8">
        <f t="shared" si="132"/>
        <v>0</v>
      </c>
      <c r="BX120" s="8">
        <f t="shared" si="132"/>
        <v>0</v>
      </c>
      <c r="BY120" s="8">
        <f t="shared" ref="BY120:DA120" si="133">BX121</f>
        <v>0</v>
      </c>
      <c r="BZ120" s="8">
        <f t="shared" si="133"/>
        <v>0</v>
      </c>
      <c r="CA120" s="8">
        <f t="shared" si="133"/>
        <v>0</v>
      </c>
      <c r="CB120" s="8">
        <f t="shared" si="133"/>
        <v>0</v>
      </c>
      <c r="CC120" s="8">
        <f t="shared" si="133"/>
        <v>0</v>
      </c>
      <c r="CD120" s="8">
        <f t="shared" si="133"/>
        <v>0</v>
      </c>
      <c r="CE120" s="8">
        <f t="shared" si="133"/>
        <v>0</v>
      </c>
      <c r="CF120" s="8">
        <f t="shared" si="133"/>
        <v>0</v>
      </c>
      <c r="CG120" s="8">
        <f t="shared" si="133"/>
        <v>0</v>
      </c>
      <c r="CH120" s="8">
        <f t="shared" si="133"/>
        <v>0</v>
      </c>
      <c r="CI120" s="8">
        <f t="shared" si="133"/>
        <v>0</v>
      </c>
      <c r="CJ120" s="8">
        <f t="shared" si="133"/>
        <v>0</v>
      </c>
      <c r="CK120" s="8">
        <f t="shared" si="133"/>
        <v>0</v>
      </c>
      <c r="CL120" s="8">
        <f t="shared" si="133"/>
        <v>0</v>
      </c>
      <c r="CM120" s="8">
        <f t="shared" si="133"/>
        <v>0</v>
      </c>
      <c r="CN120" s="8">
        <f t="shared" si="133"/>
        <v>0</v>
      </c>
      <c r="CO120" s="8">
        <f t="shared" si="133"/>
        <v>0</v>
      </c>
      <c r="CP120" s="8">
        <f t="shared" si="133"/>
        <v>0</v>
      </c>
      <c r="CQ120" s="8">
        <f t="shared" si="133"/>
        <v>0</v>
      </c>
      <c r="CR120" s="8">
        <f t="shared" si="133"/>
        <v>0</v>
      </c>
      <c r="CS120" s="8">
        <f t="shared" si="133"/>
        <v>0</v>
      </c>
      <c r="CT120" s="8">
        <f t="shared" si="133"/>
        <v>0</v>
      </c>
      <c r="CU120" s="8">
        <f t="shared" si="133"/>
        <v>0</v>
      </c>
      <c r="CV120" s="8">
        <f t="shared" si="133"/>
        <v>0</v>
      </c>
      <c r="CW120" s="8">
        <f t="shared" si="133"/>
        <v>0</v>
      </c>
      <c r="CX120" s="8">
        <f t="shared" si="133"/>
        <v>0</v>
      </c>
      <c r="CY120" s="8">
        <f t="shared" si="133"/>
        <v>0</v>
      </c>
      <c r="CZ120" s="8">
        <f t="shared" si="133"/>
        <v>0</v>
      </c>
      <c r="DA120" s="8">
        <f t="shared" si="133"/>
        <v>0</v>
      </c>
      <c r="DB120" s="8"/>
      <c r="DC120" s="8"/>
      <c r="DD120" s="8"/>
    </row>
    <row r="121" spans="3:108" x14ac:dyDescent="0.4">
      <c r="D121" t="s">
        <v>168</v>
      </c>
      <c r="K121" s="8">
        <f>K118+K119</f>
        <v>3400524.0087232087</v>
      </c>
      <c r="L121" s="8">
        <f>L118+L119</f>
        <v>3332513.5285487445</v>
      </c>
      <c r="M121" s="8">
        <f t="shared" ref="M121:BX121" si="134">M118+M119</f>
        <v>3264503.0483742803</v>
      </c>
      <c r="N121" s="8">
        <f t="shared" si="134"/>
        <v>3196492.5681998162</v>
      </c>
      <c r="O121" s="8">
        <f t="shared" si="134"/>
        <v>3128482.088025352</v>
      </c>
      <c r="P121" s="8">
        <f t="shared" si="134"/>
        <v>3060471.6078508878</v>
      </c>
      <c r="Q121" s="8">
        <f t="shared" si="134"/>
        <v>2992461.1276764236</v>
      </c>
      <c r="R121" s="8">
        <f t="shared" si="134"/>
        <v>2924450.6475019595</v>
      </c>
      <c r="S121" s="8">
        <f t="shared" si="134"/>
        <v>2856440.1673274953</v>
      </c>
      <c r="T121" s="8">
        <f t="shared" si="134"/>
        <v>2788429.6871530311</v>
      </c>
      <c r="U121" s="8">
        <f t="shared" si="134"/>
        <v>2720419.2069785669</v>
      </c>
      <c r="V121" s="8">
        <f t="shared" si="134"/>
        <v>2652408.7268041028</v>
      </c>
      <c r="W121" s="8">
        <f t="shared" si="134"/>
        <v>2584398.2466296386</v>
      </c>
      <c r="X121" s="8">
        <f t="shared" si="134"/>
        <v>2516387.7664551744</v>
      </c>
      <c r="Y121" s="8">
        <f t="shared" si="134"/>
        <v>2448377.2862807103</v>
      </c>
      <c r="Z121" s="8">
        <f t="shared" si="134"/>
        <v>2380366.8061062461</v>
      </c>
      <c r="AA121" s="8">
        <f t="shared" si="134"/>
        <v>2312356.3259317819</v>
      </c>
      <c r="AB121" s="8">
        <f t="shared" si="134"/>
        <v>2244345.8457573177</v>
      </c>
      <c r="AC121" s="8">
        <f t="shared" si="134"/>
        <v>2176335.3655828536</v>
      </c>
      <c r="AD121" s="8">
        <f t="shared" si="134"/>
        <v>2108324.8854083894</v>
      </c>
      <c r="AE121" s="8">
        <f t="shared" si="134"/>
        <v>2040314.4052339252</v>
      </c>
      <c r="AF121" s="8">
        <f t="shared" si="134"/>
        <v>1972303.925059461</v>
      </c>
      <c r="AG121" s="8">
        <f t="shared" si="134"/>
        <v>1904293.4448849969</v>
      </c>
      <c r="AH121" s="8">
        <f t="shared" si="134"/>
        <v>1836282.9647105327</v>
      </c>
      <c r="AI121" s="8">
        <f t="shared" si="134"/>
        <v>1768272.4845360685</v>
      </c>
      <c r="AJ121" s="8">
        <f t="shared" si="134"/>
        <v>1700262.0043616043</v>
      </c>
      <c r="AK121" s="8">
        <f t="shared" si="134"/>
        <v>1632251.5241871402</v>
      </c>
      <c r="AL121" s="8">
        <f t="shared" si="134"/>
        <v>1564241.044012676</v>
      </c>
      <c r="AM121" s="8">
        <f t="shared" si="134"/>
        <v>1496230.5638382118</v>
      </c>
      <c r="AN121" s="8">
        <f t="shared" si="134"/>
        <v>1428220.0836637476</v>
      </c>
      <c r="AO121" s="8">
        <f t="shared" si="134"/>
        <v>1360209.6034892835</v>
      </c>
      <c r="AP121" s="8">
        <f t="shared" si="134"/>
        <v>1292199.1233148193</v>
      </c>
      <c r="AQ121" s="8">
        <f t="shared" si="134"/>
        <v>1224188.6431403551</v>
      </c>
      <c r="AR121" s="8">
        <f t="shared" si="134"/>
        <v>1156178.162965891</v>
      </c>
      <c r="AS121" s="8">
        <f t="shared" si="134"/>
        <v>1088167.6827914268</v>
      </c>
      <c r="AT121" s="8">
        <f t="shared" si="134"/>
        <v>1020157.2026169626</v>
      </c>
      <c r="AU121" s="8">
        <f t="shared" si="134"/>
        <v>952146.72244249843</v>
      </c>
      <c r="AV121" s="8">
        <f t="shared" si="134"/>
        <v>884136.24226803426</v>
      </c>
      <c r="AW121" s="8">
        <f t="shared" si="134"/>
        <v>816125.76209357008</v>
      </c>
      <c r="AX121" s="8">
        <f t="shared" si="134"/>
        <v>748115.28191910591</v>
      </c>
      <c r="AY121" s="8">
        <f t="shared" si="134"/>
        <v>680104.80174464174</v>
      </c>
      <c r="AZ121" s="8">
        <f t="shared" si="134"/>
        <v>612094.32157017756</v>
      </c>
      <c r="BA121" s="8">
        <f t="shared" si="134"/>
        <v>544083.84139571339</v>
      </c>
      <c r="BB121" s="8">
        <f t="shared" si="134"/>
        <v>476073.36122124922</v>
      </c>
      <c r="BC121" s="8">
        <f t="shared" si="134"/>
        <v>408062.88104678504</v>
      </c>
      <c r="BD121" s="8">
        <f t="shared" si="134"/>
        <v>340052.40087232087</v>
      </c>
      <c r="BE121" s="8">
        <f t="shared" si="134"/>
        <v>272041.92069785669</v>
      </c>
      <c r="BF121" s="8">
        <f t="shared" si="134"/>
        <v>204031.44052339252</v>
      </c>
      <c r="BG121" s="8">
        <f t="shared" si="134"/>
        <v>136020.96034892835</v>
      </c>
      <c r="BH121" s="8">
        <f t="shared" si="134"/>
        <v>68010.480174464174</v>
      </c>
      <c r="BI121" s="8">
        <f t="shared" si="134"/>
        <v>0</v>
      </c>
      <c r="BJ121" s="8">
        <f t="shared" si="134"/>
        <v>0</v>
      </c>
      <c r="BK121" s="8">
        <f t="shared" si="134"/>
        <v>0</v>
      </c>
      <c r="BL121" s="8">
        <f t="shared" si="134"/>
        <v>0</v>
      </c>
      <c r="BM121" s="8">
        <f t="shared" si="134"/>
        <v>0</v>
      </c>
      <c r="BN121" s="8">
        <f t="shared" si="134"/>
        <v>0</v>
      </c>
      <c r="BO121" s="8">
        <f t="shared" si="134"/>
        <v>0</v>
      </c>
      <c r="BP121" s="8">
        <f t="shared" si="134"/>
        <v>0</v>
      </c>
      <c r="BQ121" s="8">
        <f t="shared" si="134"/>
        <v>0</v>
      </c>
      <c r="BR121" s="8">
        <f t="shared" si="134"/>
        <v>0</v>
      </c>
      <c r="BS121" s="8">
        <f t="shared" si="134"/>
        <v>0</v>
      </c>
      <c r="BT121" s="8">
        <f t="shared" si="134"/>
        <v>0</v>
      </c>
      <c r="BU121" s="8">
        <f t="shared" si="134"/>
        <v>0</v>
      </c>
      <c r="BV121" s="8">
        <f t="shared" si="134"/>
        <v>0</v>
      </c>
      <c r="BW121" s="8">
        <f t="shared" si="134"/>
        <v>0</v>
      </c>
      <c r="BX121" s="8">
        <f t="shared" si="134"/>
        <v>0</v>
      </c>
      <c r="BY121" s="8">
        <f t="shared" ref="BY121:DA121" si="135">BY118+BY119</f>
        <v>0</v>
      </c>
      <c r="BZ121" s="8">
        <f t="shared" si="135"/>
        <v>0</v>
      </c>
      <c r="CA121" s="8">
        <f t="shared" si="135"/>
        <v>0</v>
      </c>
      <c r="CB121" s="8">
        <f t="shared" si="135"/>
        <v>0</v>
      </c>
      <c r="CC121" s="8">
        <f t="shared" si="135"/>
        <v>0</v>
      </c>
      <c r="CD121" s="8">
        <f t="shared" si="135"/>
        <v>0</v>
      </c>
      <c r="CE121" s="8">
        <f t="shared" si="135"/>
        <v>0</v>
      </c>
      <c r="CF121" s="8">
        <f t="shared" si="135"/>
        <v>0</v>
      </c>
      <c r="CG121" s="8">
        <f t="shared" si="135"/>
        <v>0</v>
      </c>
      <c r="CH121" s="8">
        <f t="shared" si="135"/>
        <v>0</v>
      </c>
      <c r="CI121" s="8">
        <f t="shared" si="135"/>
        <v>0</v>
      </c>
      <c r="CJ121" s="8">
        <f t="shared" si="135"/>
        <v>0</v>
      </c>
      <c r="CK121" s="8">
        <f t="shared" si="135"/>
        <v>0</v>
      </c>
      <c r="CL121" s="8">
        <f t="shared" si="135"/>
        <v>0</v>
      </c>
      <c r="CM121" s="8">
        <f t="shared" si="135"/>
        <v>0</v>
      </c>
      <c r="CN121" s="8">
        <f t="shared" si="135"/>
        <v>0</v>
      </c>
      <c r="CO121" s="8">
        <f t="shared" si="135"/>
        <v>0</v>
      </c>
      <c r="CP121" s="8">
        <f t="shared" si="135"/>
        <v>0</v>
      </c>
      <c r="CQ121" s="8">
        <f t="shared" si="135"/>
        <v>0</v>
      </c>
      <c r="CR121" s="8">
        <f t="shared" si="135"/>
        <v>0</v>
      </c>
      <c r="CS121" s="8">
        <f t="shared" si="135"/>
        <v>0</v>
      </c>
      <c r="CT121" s="8">
        <f t="shared" si="135"/>
        <v>0</v>
      </c>
      <c r="CU121" s="8">
        <f t="shared" si="135"/>
        <v>0</v>
      </c>
      <c r="CV121" s="8">
        <f t="shared" si="135"/>
        <v>0</v>
      </c>
      <c r="CW121" s="8">
        <f t="shared" si="135"/>
        <v>0</v>
      </c>
      <c r="CX121" s="8">
        <f t="shared" si="135"/>
        <v>0</v>
      </c>
      <c r="CY121" s="8">
        <f t="shared" si="135"/>
        <v>0</v>
      </c>
      <c r="CZ121" s="8">
        <f t="shared" si="135"/>
        <v>0</v>
      </c>
      <c r="DA121" s="8">
        <f t="shared" si="135"/>
        <v>0</v>
      </c>
      <c r="DB121" s="8"/>
      <c r="DC121" s="8"/>
      <c r="DD121" s="8"/>
    </row>
    <row r="122" spans="3:108" x14ac:dyDescent="0.4"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</row>
    <row r="123" spans="3:108" x14ac:dyDescent="0.4">
      <c r="D123" t="s">
        <v>169</v>
      </c>
      <c r="K123" s="8"/>
      <c r="L123" s="8">
        <f>IF(L115&lt;=$B$4+1,L118*VLOOKUP(L115,Assumptions!$A$70:$B$90,2,0),0)</f>
        <v>127519.65032712033</v>
      </c>
      <c r="M123" s="8">
        <f>IF(M115&lt;=$B$4+1,M118*VLOOKUP(M115,Assumptions!$A$70:$B$90,2,0),0)</f>
        <v>245483.82818972846</v>
      </c>
      <c r="N123" s="8">
        <f>IF(N115&lt;=$B$4+1,N118*VLOOKUP(N115,Assumptions!$A$70:$B$90,2,0),0)</f>
        <v>227052.98806244862</v>
      </c>
      <c r="O123" s="8">
        <f>IF(O115&lt;=$B$4+1,O118*VLOOKUP(O115,Assumptions!$A$70:$B$90,2,0),0)</f>
        <v>210050.36801883258</v>
      </c>
      <c r="P123" s="8">
        <f>IF(P115&lt;=$B$4+1,P118*VLOOKUP(P115,Assumptions!$A$70:$B$90,2,0),0)</f>
        <v>194271.93661835691</v>
      </c>
      <c r="Q123" s="8">
        <f>IF(Q115&lt;=$B$4+1,Q118*VLOOKUP(Q115,Assumptions!$A$70:$B$90,2,0),0)</f>
        <v>179717.69386102157</v>
      </c>
      <c r="R123" s="8">
        <f>IF(R115&lt;=$B$4+1,R118*VLOOKUP(R115,Assumptions!$A$70:$B$90,2,0),0)</f>
        <v>166217.61354639044</v>
      </c>
      <c r="S123" s="8">
        <f>IF(S115&lt;=$B$4+1,S118*VLOOKUP(S115,Assumptions!$A$70:$B$90,2,0),0)</f>
        <v>153771.6956744635</v>
      </c>
      <c r="T123" s="8">
        <f>IF(T115&lt;=$B$4+1,T118*VLOOKUP(T115,Assumptions!$A$70:$B$90,2,0),0)</f>
        <v>151731.38126922958</v>
      </c>
      <c r="U123" s="8">
        <f>IF(U115&lt;=$B$4+1,U118*VLOOKUP(U115,Assumptions!$A$70:$B$90,2,0),0)</f>
        <v>151697.37602914232</v>
      </c>
      <c r="V123" s="8">
        <f>IF(V115&lt;=$B$4+1,V118*VLOOKUP(V115,Assumptions!$A$70:$B$90,2,0),0)</f>
        <v>151731.38126922958</v>
      </c>
      <c r="W123" s="8">
        <f>IF(W115&lt;=$B$4+1,W118*VLOOKUP(W115,Assumptions!$A$70:$B$90,2,0),0)</f>
        <v>151697.37602914232</v>
      </c>
      <c r="X123" s="8">
        <f>IF(X115&lt;=$B$4+1,X118*VLOOKUP(X115,Assumptions!$A$70:$B$90,2,0),0)</f>
        <v>151731.38126922958</v>
      </c>
      <c r="Y123" s="8">
        <f>IF(Y115&lt;=$B$4+1,Y118*VLOOKUP(Y115,Assumptions!$A$70:$B$90,2,0),0)</f>
        <v>151697.37602914232</v>
      </c>
      <c r="Z123" s="8">
        <f>IF(Z115&lt;=$B$4+1,Z118*VLOOKUP(Z115,Assumptions!$A$70:$B$90,2,0),0)</f>
        <v>151731.38126922958</v>
      </c>
      <c r="AA123" s="8">
        <f>IF(AA115&lt;=$B$4+1,AA118*VLOOKUP(AA115,Assumptions!$A$70:$B$90,2,0),0)</f>
        <v>151697.37602914232</v>
      </c>
      <c r="AB123" s="8">
        <f>IF(AB115&lt;=$B$4+1,AB118*VLOOKUP(AB115,Assumptions!$A$70:$B$90,2,0),0)</f>
        <v>151731.38126922958</v>
      </c>
      <c r="AC123" s="8">
        <f>IF(AC115&lt;=$B$4+1,AC118*VLOOKUP(AC115,Assumptions!$A$70:$B$90,2,0),0)</f>
        <v>151697.37602914232</v>
      </c>
      <c r="AD123" s="8">
        <f>IF(AD115&lt;=$B$4+1,AD118*VLOOKUP(AD115,Assumptions!$A$70:$B$90,2,0),0)</f>
        <v>151731.38126922958</v>
      </c>
      <c r="AE123" s="8">
        <f>IF(AE115&lt;=$B$4+1,AE118*VLOOKUP(AE115,Assumptions!$A$70:$B$90,2,0),0)</f>
        <v>151697.37602914232</v>
      </c>
      <c r="AF123" s="8">
        <f>IF(AF115&lt;=$B$4+1,AF118*VLOOKUP(AF115,Assumptions!$A$70:$B$90,2,0),0)</f>
        <v>75865.690634614788</v>
      </c>
      <c r="AG123" s="8">
        <f>IF(AG115&lt;=$B$4+1,AG118*VLOOKUP(AG115,Assumptions!$A$70:$B$90,2,0),0)</f>
        <v>0</v>
      </c>
      <c r="AH123" s="8">
        <f>IF(AH115&lt;=$B$4+1,AH118*VLOOKUP(AH115,Assumptions!$A$70:$B$90,2,0),0)</f>
        <v>0</v>
      </c>
      <c r="AI123" s="8">
        <f>IF(AI115&lt;=$B$4+1,AI118*VLOOKUP(AI115,Assumptions!$A$70:$B$90,2,0),0)</f>
        <v>0</v>
      </c>
      <c r="AJ123" s="8">
        <f>IF(AJ115&lt;=$B$4+1,AJ118*VLOOKUP(AJ115,Assumptions!$A$70:$B$90,2,0),0)</f>
        <v>0</v>
      </c>
      <c r="AK123" s="8">
        <f>IF(AK115&lt;=$B$4+1,AK118*VLOOKUP(AK115,Assumptions!$A$70:$B$90,2,0),0)</f>
        <v>0</v>
      </c>
      <c r="AL123" s="8">
        <f>IF(AL115&lt;=$B$4+1,AL118*VLOOKUP(AL115,Assumptions!$A$70:$B$90,2,0),0)</f>
        <v>0</v>
      </c>
      <c r="AM123" s="8">
        <f>IF(AM115&lt;=$B$4+1,AM118*VLOOKUP(AM115,Assumptions!$A$70:$B$90,2,0),0)</f>
        <v>0</v>
      </c>
      <c r="AN123" s="8">
        <f>IF(AN115&lt;=$B$4+1,AN118*VLOOKUP(AN115,Assumptions!$A$70:$B$90,2,0),0)</f>
        <v>0</v>
      </c>
      <c r="AO123" s="8">
        <f>IF(AO115&lt;=$B$4+1,AO118*VLOOKUP(AO115,Assumptions!$A$70:$B$90,2,0),0)</f>
        <v>0</v>
      </c>
      <c r="AP123" s="8">
        <f>IF(AP115&lt;=$B$4+1,AP118*VLOOKUP(AP115,Assumptions!$A$70:$B$90,2,0),0)</f>
        <v>0</v>
      </c>
      <c r="AQ123" s="8">
        <f>IF(AQ115&lt;=$B$4+1,AQ118*VLOOKUP(AQ115,Assumptions!$A$70:$B$90,2,0),0)</f>
        <v>0</v>
      </c>
      <c r="AR123" s="8">
        <f>IF(AR115&lt;=$B$4+1,AR118*VLOOKUP(AR115,Assumptions!$A$70:$B$90,2,0),0)</f>
        <v>0</v>
      </c>
      <c r="AS123" s="8">
        <f>IF(AS115&lt;=$B$4+1,AS118*VLOOKUP(AS115,Assumptions!$A$70:$B$90,2,0),0)</f>
        <v>0</v>
      </c>
      <c r="AT123" s="8">
        <f>IF(AT115&lt;=$B$4+1,AT118*VLOOKUP(AT115,Assumptions!$A$70:$B$90,2,0),0)</f>
        <v>0</v>
      </c>
      <c r="AU123" s="8">
        <f>IF(AU115&lt;=$B$4+1,AU118*VLOOKUP(AU115,Assumptions!$A$70:$B$90,2,0),0)</f>
        <v>0</v>
      </c>
      <c r="AV123" s="8">
        <f>IF(AV115&lt;=$B$4+1,AV118*VLOOKUP(AV115,Assumptions!$A$70:$B$90,2,0),0)</f>
        <v>0</v>
      </c>
      <c r="AW123" s="8">
        <f>IF(AW115&lt;=$B$4+1,AW118*VLOOKUP(AW115,Assumptions!$A$70:$B$90,2,0),0)</f>
        <v>0</v>
      </c>
      <c r="AX123" s="8">
        <f>IF(AX115&lt;=$B$4+1,AX118*VLOOKUP(AX115,Assumptions!$A$70:$B$90,2,0),0)</f>
        <v>0</v>
      </c>
      <c r="AY123" s="8">
        <f>IF(AY115&lt;=$B$4+1,AY118*VLOOKUP(AY115,Assumptions!$A$70:$B$90,2,0),0)</f>
        <v>0</v>
      </c>
      <c r="AZ123" s="8">
        <f>IF(AZ115&lt;=$B$4+1,AZ118*VLOOKUP(AZ115,Assumptions!$A$70:$B$90,2,0),0)</f>
        <v>0</v>
      </c>
      <c r="BA123" s="8">
        <f>IF(BA115&lt;=$B$4+1,BA118*VLOOKUP(BA115,Assumptions!$A$70:$B$90,2,0),0)</f>
        <v>0</v>
      </c>
      <c r="BB123" s="8">
        <f>IF(BB115&lt;=$B$4+1,BB118*VLOOKUP(BB115,Assumptions!$A$70:$B$90,2,0),0)</f>
        <v>0</v>
      </c>
      <c r="BC123" s="8">
        <f>IF(BC115&lt;=$B$4+1,BC118*VLOOKUP(BC115,Assumptions!$A$70:$B$90,2,0),0)</f>
        <v>0</v>
      </c>
      <c r="BD123" s="8">
        <f>IF(BD115&lt;=$B$4+1,BD118*VLOOKUP(BD115,Assumptions!$A$70:$B$90,2,0),0)</f>
        <v>0</v>
      </c>
      <c r="BE123" s="8">
        <f>IF(BE115&lt;=$B$4+1,BE118*VLOOKUP(BE115,Assumptions!$A$70:$B$90,2,0),0)</f>
        <v>0</v>
      </c>
      <c r="BF123" s="8">
        <f>IF(BF115&lt;=$B$4+1,BF118*VLOOKUP(BF115,Assumptions!$A$70:$B$90,2,0),0)</f>
        <v>0</v>
      </c>
      <c r="BG123" s="8">
        <f>IF(BG115&lt;=$B$4+1,BG118*VLOOKUP(BG115,Assumptions!$A$70:$B$90,2,0),0)</f>
        <v>0</v>
      </c>
      <c r="BH123" s="8">
        <f>IF(BH115&lt;=$B$4+1,BH118*VLOOKUP(BH115,Assumptions!$A$70:$B$90,2,0),0)</f>
        <v>0</v>
      </c>
      <c r="BI123" s="8">
        <f>IF(BI115&lt;=$B$4+1,BI118*VLOOKUP(BI115,Assumptions!$A$70:$B$90,2,0),0)</f>
        <v>0</v>
      </c>
      <c r="BJ123" s="8">
        <f>IF(BJ115&lt;=$B$4+1,BJ118*VLOOKUP(BJ115,Assumptions!$A$70:$B$90,2,0),0)</f>
        <v>0</v>
      </c>
      <c r="BK123" s="8">
        <f>IF(BK115&lt;=$B$4+1,BK118*VLOOKUP(BK115,Assumptions!$A$70:$B$90,2,0),0)</f>
        <v>0</v>
      </c>
      <c r="BL123" s="8">
        <f>IF(BL115&lt;=$B$4+1,BL118*VLOOKUP(BL115,Assumptions!$A$70:$B$90,2,0),0)</f>
        <v>0</v>
      </c>
      <c r="BM123" s="8">
        <f>IF(BM115&lt;=$B$4+1,BM118*VLOOKUP(BM115,Assumptions!$A$70:$B$90,2,0),0)</f>
        <v>0</v>
      </c>
      <c r="BN123" s="8">
        <f>IF(BN115&lt;=$B$4+1,BN118*VLOOKUP(BN115,Assumptions!$A$70:$B$90,2,0),0)</f>
        <v>0</v>
      </c>
      <c r="BO123" s="8">
        <f>IF(BO115&lt;=$B$4+1,BO118*VLOOKUP(BO115,Assumptions!$A$70:$B$90,2,0),0)</f>
        <v>0</v>
      </c>
      <c r="BP123" s="8">
        <f>IF(BP115&lt;=$B$4+1,BP118*VLOOKUP(BP115,Assumptions!$A$70:$B$90,2,0),0)</f>
        <v>0</v>
      </c>
      <c r="BQ123" s="8">
        <f>IF(BQ115&lt;=$B$4+1,BQ118*VLOOKUP(BQ115,Assumptions!$A$70:$B$90,2,0),0)</f>
        <v>0</v>
      </c>
      <c r="BR123" s="8">
        <f>IF(BR115&lt;=$B$4+1,BR118*VLOOKUP(BR115,Assumptions!$A$70:$B$90,2,0),0)</f>
        <v>0</v>
      </c>
      <c r="BS123" s="8">
        <f>IF(BS115&lt;=$B$4+1,BS118*VLOOKUP(BS115,Assumptions!$A$70:$B$90,2,0),0)</f>
        <v>0</v>
      </c>
      <c r="BT123" s="8">
        <f>IF(BT115&lt;=$B$4+1,BT118*VLOOKUP(BT115,Assumptions!$A$70:$B$90,2,0),0)</f>
        <v>0</v>
      </c>
      <c r="BU123" s="8">
        <f>IF(BU115&lt;=$B$4+1,BU118*VLOOKUP(BU115,Assumptions!$A$70:$B$90,2,0),0)</f>
        <v>0</v>
      </c>
      <c r="BV123" s="8">
        <f>IF(BV115&lt;=$B$4+1,BV118*VLOOKUP(BV115,Assumptions!$A$70:$B$90,2,0),0)</f>
        <v>0</v>
      </c>
      <c r="BW123" s="8">
        <f>IF(BW115&lt;=$B$4+1,BW118*VLOOKUP(BW115,Assumptions!$A$70:$B$90,2,0),0)</f>
        <v>0</v>
      </c>
      <c r="BX123" s="8">
        <f>IF(BX115&lt;=$B$4+1,BX118*VLOOKUP(BX115,Assumptions!$A$70:$B$90,2,0),0)</f>
        <v>0</v>
      </c>
      <c r="BY123" s="8">
        <f>IF(BY115&lt;=$B$4+1,BY118*VLOOKUP(BY115,Assumptions!$A$70:$B$90,2,0),0)</f>
        <v>0</v>
      </c>
      <c r="BZ123" s="8">
        <f>IF(BZ115&lt;=$B$4+1,BZ118*VLOOKUP(BZ115,Assumptions!$A$70:$B$90,2,0),0)</f>
        <v>0</v>
      </c>
      <c r="CA123" s="8">
        <f>IF(CA115&lt;=$B$4+1,CA118*VLOOKUP(CA115,Assumptions!$A$70:$B$90,2,0),0)</f>
        <v>0</v>
      </c>
      <c r="CB123" s="8">
        <f>IF(CB115&lt;=$B$4+1,CB118*VLOOKUP(CB115,Assumptions!$A$70:$B$90,2,0),0)</f>
        <v>0</v>
      </c>
      <c r="CC123" s="8">
        <f>IF(CC115&lt;=$B$4+1,CC118*VLOOKUP(CC115,Assumptions!$A$70:$B$90,2,0),0)</f>
        <v>0</v>
      </c>
      <c r="CD123" s="8">
        <f>IF(CD115&lt;=$B$4+1,CD118*VLOOKUP(CD115,Assumptions!$A$70:$B$90,2,0),0)</f>
        <v>0</v>
      </c>
      <c r="CE123" s="8">
        <f>IF(CE115&lt;=$B$4+1,CE118*VLOOKUP(CE115,Assumptions!$A$70:$B$90,2,0),0)</f>
        <v>0</v>
      </c>
      <c r="CF123" s="8">
        <f>IF(CF115&lt;=$B$4+1,CF118*VLOOKUP(CF115,Assumptions!$A$70:$B$90,2,0),0)</f>
        <v>0</v>
      </c>
      <c r="CG123" s="8">
        <f>IF(CG115&lt;=$B$4+1,CG118*VLOOKUP(CG115,Assumptions!$A$70:$B$90,2,0),0)</f>
        <v>0</v>
      </c>
      <c r="CH123" s="8">
        <f>IF(CH115&lt;=$B$4+1,CH118*VLOOKUP(CH115,Assumptions!$A$70:$B$90,2,0),0)</f>
        <v>0</v>
      </c>
      <c r="CI123" s="8">
        <f>IF(CI115&lt;=$B$4+1,CI118*VLOOKUP(CI115,Assumptions!$A$70:$B$90,2,0),0)</f>
        <v>0</v>
      </c>
      <c r="CJ123" s="8">
        <f>IF(CJ115&lt;=$B$4+1,CJ118*VLOOKUP(CJ115,Assumptions!$A$70:$B$90,2,0),0)</f>
        <v>0</v>
      </c>
      <c r="CK123" s="8">
        <f>IF(CK115&lt;=$B$4+1,CK118*VLOOKUP(CK115,Assumptions!$A$70:$B$90,2,0),0)</f>
        <v>0</v>
      </c>
      <c r="CL123" s="8">
        <f>IF(CL115&lt;=$B$4+1,CL118*VLOOKUP(CL115,Assumptions!$A$70:$B$90,2,0),0)</f>
        <v>0</v>
      </c>
      <c r="CM123" s="8">
        <f>IF(CM115&lt;=$B$4+1,CM118*VLOOKUP(CM115,Assumptions!$A$70:$B$90,2,0),0)</f>
        <v>0</v>
      </c>
      <c r="CN123" s="8">
        <f>IF(CN115&lt;=$B$4+1,CN118*VLOOKUP(CN115,Assumptions!$A$70:$B$90,2,0),0)</f>
        <v>0</v>
      </c>
      <c r="CO123" s="8">
        <f>IF(CO115&lt;=$B$4+1,CO118*VLOOKUP(CO115,Assumptions!$A$70:$B$90,2,0),0)</f>
        <v>0</v>
      </c>
      <c r="CP123" s="8">
        <f>IF(CP115&lt;=$B$4+1,CP118*VLOOKUP(CP115,Assumptions!$A$70:$B$90,2,0),0)</f>
        <v>0</v>
      </c>
      <c r="CQ123" s="8">
        <f>IF(CQ115&lt;=$B$4+1,CQ118*VLOOKUP(CQ115,Assumptions!$A$70:$B$90,2,0),0)</f>
        <v>0</v>
      </c>
      <c r="CR123" s="8">
        <f>IF(CR115&lt;=$B$4+1,CR118*VLOOKUP(CR115,Assumptions!$A$70:$B$90,2,0),0)</f>
        <v>0</v>
      </c>
      <c r="CS123" s="8">
        <f>IF(CS115&lt;=$B$4+1,CS118*VLOOKUP(CS115,Assumptions!$A$70:$B$90,2,0),0)</f>
        <v>0</v>
      </c>
      <c r="CT123" s="8">
        <f>IF(CT115&lt;=$B$4+1,CT118*VLOOKUP(CT115,Assumptions!$A$70:$B$90,2,0),0)</f>
        <v>0</v>
      </c>
      <c r="CU123" s="8">
        <f>IF(CU115&lt;=$B$4+1,CU118*VLOOKUP(CU115,Assumptions!$A$70:$B$90,2,0),0)</f>
        <v>0</v>
      </c>
      <c r="CV123" s="8">
        <f>IF(CV115&lt;=$B$4+1,CV118*VLOOKUP(CV115,Assumptions!$A$70:$B$90,2,0),0)</f>
        <v>0</v>
      </c>
      <c r="CW123" s="8">
        <f>IF(CW115&lt;=$B$4+1,CW118*VLOOKUP(CW115,Assumptions!$A$70:$B$90,2,0),0)</f>
        <v>0</v>
      </c>
      <c r="CX123" s="8">
        <f>IF(CX115&lt;=$B$4+1,CX118*VLOOKUP(CX115,Assumptions!$A$70:$B$90,2,0),0)</f>
        <v>0</v>
      </c>
      <c r="CY123" s="8">
        <f>IF(CY115&lt;=$B$4+1,CY118*VLOOKUP(CY115,Assumptions!$A$70:$B$90,2,0),0)</f>
        <v>0</v>
      </c>
      <c r="CZ123" s="8">
        <f>IF(CZ115&lt;=$B$4+1,CZ118*VLOOKUP(CZ115,Assumptions!$A$70:$B$90,2,0),0)</f>
        <v>0</v>
      </c>
      <c r="DA123" s="8">
        <f>IF(DA115&lt;=$B$4+1,DA118*VLOOKUP(DA115,Assumptions!$A$70:$B$90,2,0),0)</f>
        <v>0</v>
      </c>
      <c r="DB123" s="8"/>
      <c r="DC123" s="8"/>
      <c r="DD123" s="8"/>
    </row>
    <row r="124" spans="3:108" x14ac:dyDescent="0.4">
      <c r="D124" t="s">
        <v>170</v>
      </c>
      <c r="K124" s="8"/>
      <c r="L124" s="8">
        <f>K125</f>
        <v>0</v>
      </c>
      <c r="M124" s="8">
        <f t="shared" ref="M124:BX124" si="136">L125</f>
        <v>-16492.966507808655</v>
      </c>
      <c r="N124" s="8">
        <f t="shared" si="136"/>
        <v>-65679.704910239147</v>
      </c>
      <c r="O124" s="8">
        <f t="shared" si="136"/>
        <v>-109758.33597139403</v>
      </c>
      <c r="P124" s="8">
        <f t="shared" si="136"/>
        <v>-149124.69088746072</v>
      </c>
      <c r="Q124" s="8">
        <f t="shared" si="136"/>
        <v>-184118.05354088559</v>
      </c>
      <c r="R124" s="8">
        <f t="shared" si="136"/>
        <v>-215077.70781411498</v>
      </c>
      <c r="S124" s="8">
        <f t="shared" si="136"/>
        <v>-242295.81482814436</v>
      </c>
      <c r="T124" s="8">
        <f t="shared" si="136"/>
        <v>-266064.53570396919</v>
      </c>
      <c r="U124" s="8">
        <f t="shared" si="136"/>
        <v>-289267.7834423834</v>
      </c>
      <c r="V124" s="8">
        <f t="shared" si="136"/>
        <v>-312461.60662850743</v>
      </c>
      <c r="W124" s="8">
        <f t="shared" si="136"/>
        <v>-335664.85436692165</v>
      </c>
      <c r="X124" s="8">
        <f t="shared" si="136"/>
        <v>-358858.67755304568</v>
      </c>
      <c r="Y124" s="8">
        <f t="shared" si="136"/>
        <v>-382061.92529145989</v>
      </c>
      <c r="Z124" s="8">
        <f t="shared" si="136"/>
        <v>-405255.74847758393</v>
      </c>
      <c r="AA124" s="8">
        <f t="shared" si="136"/>
        <v>-428458.99621599814</v>
      </c>
      <c r="AB124" s="8">
        <f t="shared" si="136"/>
        <v>-451652.81940212217</v>
      </c>
      <c r="AC124" s="8">
        <f t="shared" si="136"/>
        <v>-474856.06714053638</v>
      </c>
      <c r="AD124" s="8">
        <f t="shared" si="136"/>
        <v>-498049.89032666042</v>
      </c>
      <c r="AE124" s="8">
        <f t="shared" si="136"/>
        <v>-521253.13806507463</v>
      </c>
      <c r="AF124" s="8">
        <f t="shared" si="136"/>
        <v>-544446.96125119866</v>
      </c>
      <c r="AG124" s="8">
        <f t="shared" si="136"/>
        <v>-546624.03283022938</v>
      </c>
      <c r="AH124" s="8">
        <f t="shared" si="136"/>
        <v>-527774.9282498766</v>
      </c>
      <c r="AI124" s="8">
        <f t="shared" si="136"/>
        <v>-508925.82366952387</v>
      </c>
      <c r="AJ124" s="8">
        <f t="shared" si="136"/>
        <v>-490076.71908917115</v>
      </c>
      <c r="AK124" s="8">
        <f t="shared" si="136"/>
        <v>-471227.61450881843</v>
      </c>
      <c r="AL124" s="8">
        <f t="shared" si="136"/>
        <v>-452378.5099284657</v>
      </c>
      <c r="AM124" s="8">
        <f t="shared" si="136"/>
        <v>-433529.40534811298</v>
      </c>
      <c r="AN124" s="8">
        <f t="shared" si="136"/>
        <v>-414680.30076776026</v>
      </c>
      <c r="AO124" s="8">
        <f t="shared" si="136"/>
        <v>-395831.19618740754</v>
      </c>
      <c r="AP124" s="8">
        <f t="shared" si="136"/>
        <v>-376982.09160705481</v>
      </c>
      <c r="AQ124" s="8">
        <f t="shared" si="136"/>
        <v>-358132.98702670209</v>
      </c>
      <c r="AR124" s="8">
        <f t="shared" si="136"/>
        <v>-339283.88244634937</v>
      </c>
      <c r="AS124" s="8">
        <f t="shared" si="136"/>
        <v>-320434.77786599664</v>
      </c>
      <c r="AT124" s="8">
        <f t="shared" si="136"/>
        <v>-301585.67328564392</v>
      </c>
      <c r="AU124" s="8">
        <f t="shared" si="136"/>
        <v>-282736.5687052912</v>
      </c>
      <c r="AV124" s="8">
        <f t="shared" si="136"/>
        <v>-263887.46412493847</v>
      </c>
      <c r="AW124" s="8">
        <f t="shared" si="136"/>
        <v>-245038.35954458572</v>
      </c>
      <c r="AX124" s="8">
        <f t="shared" si="136"/>
        <v>-226189.25496423297</v>
      </c>
      <c r="AY124" s="8">
        <f t="shared" si="136"/>
        <v>-207340.15038388022</v>
      </c>
      <c r="AZ124" s="8">
        <f t="shared" si="136"/>
        <v>-188491.04580352746</v>
      </c>
      <c r="BA124" s="8">
        <f t="shared" si="136"/>
        <v>-169641.94122317471</v>
      </c>
      <c r="BB124" s="8">
        <f t="shared" si="136"/>
        <v>-150792.83664282196</v>
      </c>
      <c r="BC124" s="8">
        <f t="shared" si="136"/>
        <v>-131943.73206246921</v>
      </c>
      <c r="BD124" s="8">
        <f t="shared" si="136"/>
        <v>-113094.62748211646</v>
      </c>
      <c r="BE124" s="8">
        <f t="shared" si="136"/>
        <v>-94245.522901763703</v>
      </c>
      <c r="BF124" s="8">
        <f t="shared" si="136"/>
        <v>-75396.418321410951</v>
      </c>
      <c r="BG124" s="8">
        <f t="shared" si="136"/>
        <v>-56547.313741058206</v>
      </c>
      <c r="BH124" s="8">
        <f t="shared" si="136"/>
        <v>-37698.209160705461</v>
      </c>
      <c r="BI124" s="8">
        <f t="shared" si="136"/>
        <v>-18849.104580352716</v>
      </c>
      <c r="BJ124" s="8">
        <f t="shared" si="136"/>
        <v>2.9103830456733704E-11</v>
      </c>
      <c r="BK124" s="8">
        <f t="shared" si="136"/>
        <v>2.9103830456733704E-11</v>
      </c>
      <c r="BL124" s="8">
        <f t="shared" si="136"/>
        <v>2.9103830456733704E-11</v>
      </c>
      <c r="BM124" s="8">
        <f t="shared" si="136"/>
        <v>2.9103830456733704E-11</v>
      </c>
      <c r="BN124" s="8">
        <f t="shared" si="136"/>
        <v>2.9103830456733704E-11</v>
      </c>
      <c r="BO124" s="8">
        <f t="shared" si="136"/>
        <v>2.9103830456733704E-11</v>
      </c>
      <c r="BP124" s="8">
        <f t="shared" si="136"/>
        <v>2.9103830456733704E-11</v>
      </c>
      <c r="BQ124" s="8">
        <f t="shared" si="136"/>
        <v>2.9103830456733704E-11</v>
      </c>
      <c r="BR124" s="8">
        <f t="shared" si="136"/>
        <v>2.9103830456733704E-11</v>
      </c>
      <c r="BS124" s="8">
        <f t="shared" si="136"/>
        <v>2.9103830456733704E-11</v>
      </c>
      <c r="BT124" s="8">
        <f t="shared" si="136"/>
        <v>2.9103830456733704E-11</v>
      </c>
      <c r="BU124" s="8">
        <f t="shared" si="136"/>
        <v>2.9103830456733704E-11</v>
      </c>
      <c r="BV124" s="8">
        <f t="shared" si="136"/>
        <v>2.9103830456733704E-11</v>
      </c>
      <c r="BW124" s="8">
        <f t="shared" si="136"/>
        <v>2.9103830456733704E-11</v>
      </c>
      <c r="BX124" s="8">
        <f t="shared" si="136"/>
        <v>2.9103830456733704E-11</v>
      </c>
      <c r="BY124" s="8">
        <f t="shared" ref="BY124:DA124" si="137">BX125</f>
        <v>2.9103830456733704E-11</v>
      </c>
      <c r="BZ124" s="8">
        <f t="shared" si="137"/>
        <v>2.9103830456733704E-11</v>
      </c>
      <c r="CA124" s="8">
        <f t="shared" si="137"/>
        <v>2.9103830456733704E-11</v>
      </c>
      <c r="CB124" s="8">
        <f t="shared" si="137"/>
        <v>2.9103830456733704E-11</v>
      </c>
      <c r="CC124" s="8">
        <f t="shared" si="137"/>
        <v>2.9103830456733704E-11</v>
      </c>
      <c r="CD124" s="8">
        <f t="shared" si="137"/>
        <v>2.9103830456733704E-11</v>
      </c>
      <c r="CE124" s="8">
        <f t="shared" si="137"/>
        <v>2.9103830456733704E-11</v>
      </c>
      <c r="CF124" s="8">
        <f t="shared" si="137"/>
        <v>2.9103830456733704E-11</v>
      </c>
      <c r="CG124" s="8">
        <f t="shared" si="137"/>
        <v>2.9103830456733704E-11</v>
      </c>
      <c r="CH124" s="8">
        <f t="shared" si="137"/>
        <v>2.9103830456733704E-11</v>
      </c>
      <c r="CI124" s="8">
        <f t="shared" si="137"/>
        <v>2.9103830456733704E-11</v>
      </c>
      <c r="CJ124" s="8">
        <f t="shared" si="137"/>
        <v>2.9103830456733704E-11</v>
      </c>
      <c r="CK124" s="8">
        <f t="shared" si="137"/>
        <v>2.9103830456733704E-11</v>
      </c>
      <c r="CL124" s="8">
        <f t="shared" si="137"/>
        <v>2.9103830456733704E-11</v>
      </c>
      <c r="CM124" s="8">
        <f t="shared" si="137"/>
        <v>2.9103830456733704E-11</v>
      </c>
      <c r="CN124" s="8">
        <f t="shared" si="137"/>
        <v>2.9103830456733704E-11</v>
      </c>
      <c r="CO124" s="8">
        <f t="shared" si="137"/>
        <v>2.9103830456733704E-11</v>
      </c>
      <c r="CP124" s="8">
        <f t="shared" si="137"/>
        <v>2.9103830456733704E-11</v>
      </c>
      <c r="CQ124" s="8">
        <f t="shared" si="137"/>
        <v>2.9103830456733704E-11</v>
      </c>
      <c r="CR124" s="8">
        <f t="shared" si="137"/>
        <v>2.9103830456733704E-11</v>
      </c>
      <c r="CS124" s="8">
        <f t="shared" si="137"/>
        <v>2.9103830456733704E-11</v>
      </c>
      <c r="CT124" s="8">
        <f t="shared" si="137"/>
        <v>2.9103830456733704E-11</v>
      </c>
      <c r="CU124" s="8">
        <f t="shared" si="137"/>
        <v>2.9103830456733704E-11</v>
      </c>
      <c r="CV124" s="8">
        <f t="shared" si="137"/>
        <v>2.9103830456733704E-11</v>
      </c>
      <c r="CW124" s="8">
        <f t="shared" si="137"/>
        <v>2.9103830456733704E-11</v>
      </c>
      <c r="CX124" s="8">
        <f t="shared" si="137"/>
        <v>2.9103830456733704E-11</v>
      </c>
      <c r="CY124" s="8">
        <f t="shared" si="137"/>
        <v>2.9103830456733704E-11</v>
      </c>
      <c r="CZ124" s="8">
        <f t="shared" si="137"/>
        <v>2.9103830456733704E-11</v>
      </c>
      <c r="DA124" s="8">
        <f t="shared" si="137"/>
        <v>2.9103830456733704E-11</v>
      </c>
      <c r="DB124" s="8"/>
      <c r="DC124" s="8"/>
      <c r="DD124" s="8"/>
    </row>
    <row r="125" spans="3:108" x14ac:dyDescent="0.4">
      <c r="D125" t="s">
        <v>171</v>
      </c>
      <c r="K125" s="8"/>
      <c r="L125" s="8">
        <f t="shared" ref="L125:AQ125" si="138">K125+((L117-L123)*INC_TAX_RATE)</f>
        <v>-16492.966507808655</v>
      </c>
      <c r="M125" s="8">
        <f t="shared" si="138"/>
        <v>-65679.704910239147</v>
      </c>
      <c r="N125" s="8">
        <f t="shared" si="138"/>
        <v>-109758.33597139403</v>
      </c>
      <c r="O125" s="8">
        <f t="shared" si="138"/>
        <v>-149124.69088746072</v>
      </c>
      <c r="P125" s="8">
        <f t="shared" si="138"/>
        <v>-184118.05354088559</v>
      </c>
      <c r="Q125" s="8">
        <f t="shared" si="138"/>
        <v>-215077.70781411498</v>
      </c>
      <c r="R125" s="8">
        <f t="shared" si="138"/>
        <v>-242295.81482814436</v>
      </c>
      <c r="S125" s="8">
        <f t="shared" si="138"/>
        <v>-266064.53570396919</v>
      </c>
      <c r="T125" s="8">
        <f t="shared" si="138"/>
        <v>-289267.7834423834</v>
      </c>
      <c r="U125" s="8">
        <f t="shared" si="138"/>
        <v>-312461.60662850743</v>
      </c>
      <c r="V125" s="8">
        <f t="shared" si="138"/>
        <v>-335664.85436692165</v>
      </c>
      <c r="W125" s="8">
        <f t="shared" si="138"/>
        <v>-358858.67755304568</v>
      </c>
      <c r="X125" s="8">
        <f t="shared" si="138"/>
        <v>-382061.92529145989</v>
      </c>
      <c r="Y125" s="8">
        <f t="shared" si="138"/>
        <v>-405255.74847758393</v>
      </c>
      <c r="Z125" s="8">
        <f t="shared" si="138"/>
        <v>-428458.99621599814</v>
      </c>
      <c r="AA125" s="8">
        <f t="shared" si="138"/>
        <v>-451652.81940212217</v>
      </c>
      <c r="AB125" s="8">
        <f t="shared" si="138"/>
        <v>-474856.06714053638</v>
      </c>
      <c r="AC125" s="8">
        <f t="shared" si="138"/>
        <v>-498049.89032666042</v>
      </c>
      <c r="AD125" s="8">
        <f t="shared" si="138"/>
        <v>-521253.13806507463</v>
      </c>
      <c r="AE125" s="8">
        <f t="shared" si="138"/>
        <v>-544446.96125119866</v>
      </c>
      <c r="AF125" s="8">
        <f t="shared" si="138"/>
        <v>-546624.03283022938</v>
      </c>
      <c r="AG125" s="8">
        <f t="shared" si="138"/>
        <v>-527774.9282498766</v>
      </c>
      <c r="AH125" s="8">
        <f t="shared" si="138"/>
        <v>-508925.82366952387</v>
      </c>
      <c r="AI125" s="8">
        <f t="shared" si="138"/>
        <v>-490076.71908917115</v>
      </c>
      <c r="AJ125" s="8">
        <f t="shared" si="138"/>
        <v>-471227.61450881843</v>
      </c>
      <c r="AK125" s="8">
        <f t="shared" si="138"/>
        <v>-452378.5099284657</v>
      </c>
      <c r="AL125" s="8">
        <f t="shared" si="138"/>
        <v>-433529.40534811298</v>
      </c>
      <c r="AM125" s="8">
        <f t="shared" si="138"/>
        <v>-414680.30076776026</v>
      </c>
      <c r="AN125" s="8">
        <f t="shared" si="138"/>
        <v>-395831.19618740754</v>
      </c>
      <c r="AO125" s="8">
        <f t="shared" si="138"/>
        <v>-376982.09160705481</v>
      </c>
      <c r="AP125" s="8">
        <f t="shared" si="138"/>
        <v>-358132.98702670209</v>
      </c>
      <c r="AQ125" s="8">
        <f t="shared" si="138"/>
        <v>-339283.88244634937</v>
      </c>
      <c r="AR125" s="8">
        <f t="shared" ref="AR125:BW125" si="139">AQ125+((AR117-AR123)*INC_TAX_RATE)</f>
        <v>-320434.77786599664</v>
      </c>
      <c r="AS125" s="8">
        <f t="shared" si="139"/>
        <v>-301585.67328564392</v>
      </c>
      <c r="AT125" s="8">
        <f t="shared" si="139"/>
        <v>-282736.5687052912</v>
      </c>
      <c r="AU125" s="8">
        <f t="shared" si="139"/>
        <v>-263887.46412493847</v>
      </c>
      <c r="AV125" s="8">
        <f t="shared" si="139"/>
        <v>-245038.35954458572</v>
      </c>
      <c r="AW125" s="8">
        <f t="shared" si="139"/>
        <v>-226189.25496423297</v>
      </c>
      <c r="AX125" s="8">
        <f t="shared" si="139"/>
        <v>-207340.15038388022</v>
      </c>
      <c r="AY125" s="8">
        <f t="shared" si="139"/>
        <v>-188491.04580352746</v>
      </c>
      <c r="AZ125" s="8">
        <f t="shared" si="139"/>
        <v>-169641.94122317471</v>
      </c>
      <c r="BA125" s="8">
        <f t="shared" si="139"/>
        <v>-150792.83664282196</v>
      </c>
      <c r="BB125" s="8">
        <f t="shared" si="139"/>
        <v>-131943.73206246921</v>
      </c>
      <c r="BC125" s="8">
        <f t="shared" si="139"/>
        <v>-113094.62748211646</v>
      </c>
      <c r="BD125" s="8">
        <f t="shared" si="139"/>
        <v>-94245.522901763703</v>
      </c>
      <c r="BE125" s="8">
        <f t="shared" si="139"/>
        <v>-75396.418321410951</v>
      </c>
      <c r="BF125" s="8">
        <f t="shared" si="139"/>
        <v>-56547.313741058206</v>
      </c>
      <c r="BG125" s="8">
        <f t="shared" si="139"/>
        <v>-37698.209160705461</v>
      </c>
      <c r="BH125" s="8">
        <f t="shared" si="139"/>
        <v>-18849.104580352716</v>
      </c>
      <c r="BI125" s="8">
        <f t="shared" si="139"/>
        <v>2.9103830456733704E-11</v>
      </c>
      <c r="BJ125" s="8">
        <f t="shared" si="139"/>
        <v>2.9103830456733704E-11</v>
      </c>
      <c r="BK125" s="8">
        <f t="shared" si="139"/>
        <v>2.9103830456733704E-11</v>
      </c>
      <c r="BL125" s="8">
        <f t="shared" si="139"/>
        <v>2.9103830456733704E-11</v>
      </c>
      <c r="BM125" s="8">
        <f t="shared" si="139"/>
        <v>2.9103830456733704E-11</v>
      </c>
      <c r="BN125" s="8">
        <f t="shared" si="139"/>
        <v>2.9103830456733704E-11</v>
      </c>
      <c r="BO125" s="8">
        <f t="shared" si="139"/>
        <v>2.9103830456733704E-11</v>
      </c>
      <c r="BP125" s="8">
        <f t="shared" si="139"/>
        <v>2.9103830456733704E-11</v>
      </c>
      <c r="BQ125" s="8">
        <f t="shared" si="139"/>
        <v>2.9103830456733704E-11</v>
      </c>
      <c r="BR125" s="8">
        <f t="shared" si="139"/>
        <v>2.9103830456733704E-11</v>
      </c>
      <c r="BS125" s="8">
        <f t="shared" si="139"/>
        <v>2.9103830456733704E-11</v>
      </c>
      <c r="BT125" s="8">
        <f t="shared" si="139"/>
        <v>2.9103830456733704E-11</v>
      </c>
      <c r="BU125" s="8">
        <f t="shared" si="139"/>
        <v>2.9103830456733704E-11</v>
      </c>
      <c r="BV125" s="8">
        <f t="shared" si="139"/>
        <v>2.9103830456733704E-11</v>
      </c>
      <c r="BW125" s="8">
        <f t="shared" si="139"/>
        <v>2.9103830456733704E-11</v>
      </c>
      <c r="BX125" s="8">
        <f t="shared" ref="BX125:DA125" si="140">BW125+((BX117-BX123)*INC_TAX_RATE)</f>
        <v>2.9103830456733704E-11</v>
      </c>
      <c r="BY125" s="8">
        <f t="shared" si="140"/>
        <v>2.9103830456733704E-11</v>
      </c>
      <c r="BZ125" s="8">
        <f t="shared" si="140"/>
        <v>2.9103830456733704E-11</v>
      </c>
      <c r="CA125" s="8">
        <f t="shared" si="140"/>
        <v>2.9103830456733704E-11</v>
      </c>
      <c r="CB125" s="8">
        <f t="shared" si="140"/>
        <v>2.9103830456733704E-11</v>
      </c>
      <c r="CC125" s="8">
        <f t="shared" si="140"/>
        <v>2.9103830456733704E-11</v>
      </c>
      <c r="CD125" s="8">
        <f t="shared" si="140"/>
        <v>2.9103830456733704E-11</v>
      </c>
      <c r="CE125" s="8">
        <f t="shared" si="140"/>
        <v>2.9103830456733704E-11</v>
      </c>
      <c r="CF125" s="8">
        <f t="shared" si="140"/>
        <v>2.9103830456733704E-11</v>
      </c>
      <c r="CG125" s="8">
        <f t="shared" si="140"/>
        <v>2.9103830456733704E-11</v>
      </c>
      <c r="CH125" s="8">
        <f t="shared" si="140"/>
        <v>2.9103830456733704E-11</v>
      </c>
      <c r="CI125" s="8">
        <f t="shared" si="140"/>
        <v>2.9103830456733704E-11</v>
      </c>
      <c r="CJ125" s="8">
        <f t="shared" si="140"/>
        <v>2.9103830456733704E-11</v>
      </c>
      <c r="CK125" s="8">
        <f t="shared" si="140"/>
        <v>2.9103830456733704E-11</v>
      </c>
      <c r="CL125" s="8">
        <f t="shared" si="140"/>
        <v>2.9103830456733704E-11</v>
      </c>
      <c r="CM125" s="8">
        <f t="shared" si="140"/>
        <v>2.9103830456733704E-11</v>
      </c>
      <c r="CN125" s="8">
        <f t="shared" si="140"/>
        <v>2.9103830456733704E-11</v>
      </c>
      <c r="CO125" s="8">
        <f t="shared" si="140"/>
        <v>2.9103830456733704E-11</v>
      </c>
      <c r="CP125" s="8">
        <f t="shared" si="140"/>
        <v>2.9103830456733704E-11</v>
      </c>
      <c r="CQ125" s="8">
        <f t="shared" si="140"/>
        <v>2.9103830456733704E-11</v>
      </c>
      <c r="CR125" s="8">
        <f t="shared" si="140"/>
        <v>2.9103830456733704E-11</v>
      </c>
      <c r="CS125" s="8">
        <f t="shared" si="140"/>
        <v>2.9103830456733704E-11</v>
      </c>
      <c r="CT125" s="8">
        <f t="shared" si="140"/>
        <v>2.9103830456733704E-11</v>
      </c>
      <c r="CU125" s="8">
        <f t="shared" si="140"/>
        <v>2.9103830456733704E-11</v>
      </c>
      <c r="CV125" s="8">
        <f t="shared" si="140"/>
        <v>2.9103830456733704E-11</v>
      </c>
      <c r="CW125" s="8">
        <f t="shared" si="140"/>
        <v>2.9103830456733704E-11</v>
      </c>
      <c r="CX125" s="8">
        <f t="shared" si="140"/>
        <v>2.9103830456733704E-11</v>
      </c>
      <c r="CY125" s="8">
        <f t="shared" si="140"/>
        <v>2.9103830456733704E-11</v>
      </c>
      <c r="CZ125" s="8">
        <f t="shared" si="140"/>
        <v>2.9103830456733704E-11</v>
      </c>
      <c r="DA125" s="8">
        <f t="shared" si="140"/>
        <v>2.9103830456733704E-11</v>
      </c>
      <c r="DB125" s="8"/>
      <c r="DC125" s="8"/>
      <c r="DD125" s="8"/>
    </row>
    <row r="126" spans="3:108" x14ac:dyDescent="0.4"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8"/>
      <c r="DD126" s="8"/>
    </row>
    <row r="127" spans="3:108" x14ac:dyDescent="0.4">
      <c r="D127" t="s">
        <v>158</v>
      </c>
      <c r="K127" s="8"/>
      <c r="L127" s="8">
        <f>AVERAGE(L120:L121)+AVERAGE(L124:L125)</f>
        <v>3358272.2853820724</v>
      </c>
      <c r="M127" s="8">
        <f t="shared" ref="M127:BX127" si="141">AVERAGE(M120:M121)+AVERAGE(M124:M125)</f>
        <v>3257421.9527524887</v>
      </c>
      <c r="N127" s="8">
        <f t="shared" si="141"/>
        <v>3142778.7878462318</v>
      </c>
      <c r="O127" s="8">
        <f t="shared" si="141"/>
        <v>3033045.8146831566</v>
      </c>
      <c r="P127" s="8">
        <f t="shared" si="141"/>
        <v>2927855.4757239469</v>
      </c>
      <c r="Q127" s="8">
        <f t="shared" si="141"/>
        <v>2826868.4870861555</v>
      </c>
      <c r="R127" s="8">
        <f t="shared" si="141"/>
        <v>2729769.1262680618</v>
      </c>
      <c r="S127" s="8">
        <f t="shared" si="141"/>
        <v>2636265.2321486706</v>
      </c>
      <c r="T127" s="8">
        <f t="shared" si="141"/>
        <v>2544768.7676670868</v>
      </c>
      <c r="U127" s="8">
        <f t="shared" si="141"/>
        <v>2453559.7520303535</v>
      </c>
      <c r="V127" s="8">
        <f t="shared" si="141"/>
        <v>2362350.7363936203</v>
      </c>
      <c r="W127" s="8">
        <f t="shared" si="141"/>
        <v>2271141.720756887</v>
      </c>
      <c r="X127" s="8">
        <f t="shared" si="141"/>
        <v>2179932.7051201537</v>
      </c>
      <c r="Y127" s="8">
        <f t="shared" si="141"/>
        <v>2088723.6894834205</v>
      </c>
      <c r="Z127" s="8">
        <f t="shared" si="141"/>
        <v>1997514.6738466872</v>
      </c>
      <c r="AA127" s="8">
        <f t="shared" si="141"/>
        <v>1906305.6582099539</v>
      </c>
      <c r="AB127" s="8">
        <f t="shared" si="141"/>
        <v>1815096.6425732207</v>
      </c>
      <c r="AC127" s="8">
        <f t="shared" si="141"/>
        <v>1723887.6269364874</v>
      </c>
      <c r="AD127" s="8">
        <f t="shared" si="141"/>
        <v>1632678.6112997539</v>
      </c>
      <c r="AE127" s="8">
        <f t="shared" si="141"/>
        <v>1541469.5956630206</v>
      </c>
      <c r="AF127" s="8">
        <f t="shared" si="141"/>
        <v>1460773.668105979</v>
      </c>
      <c r="AG127" s="8">
        <f t="shared" si="141"/>
        <v>1401099.204432176</v>
      </c>
      <c r="AH127" s="8">
        <f t="shared" si="141"/>
        <v>1351937.8288380646</v>
      </c>
      <c r="AI127" s="8">
        <f t="shared" si="141"/>
        <v>1302776.4532439532</v>
      </c>
      <c r="AJ127" s="8">
        <f t="shared" si="141"/>
        <v>1253615.0776498416</v>
      </c>
      <c r="AK127" s="8">
        <f t="shared" si="141"/>
        <v>1204453.7020557302</v>
      </c>
      <c r="AL127" s="8">
        <f t="shared" si="141"/>
        <v>1155292.3264616188</v>
      </c>
      <c r="AM127" s="8">
        <f t="shared" si="141"/>
        <v>1106130.9508675071</v>
      </c>
      <c r="AN127" s="8">
        <f t="shared" si="141"/>
        <v>1056969.575273396</v>
      </c>
      <c r="AO127" s="8">
        <f t="shared" si="141"/>
        <v>1007808.1996792844</v>
      </c>
      <c r="AP127" s="8">
        <f t="shared" si="141"/>
        <v>958646.82408517296</v>
      </c>
      <c r="AQ127" s="8">
        <f t="shared" si="141"/>
        <v>909485.44849106146</v>
      </c>
      <c r="AR127" s="8">
        <f t="shared" si="141"/>
        <v>860324.07289695006</v>
      </c>
      <c r="AS127" s="8">
        <f t="shared" si="141"/>
        <v>811162.69730283855</v>
      </c>
      <c r="AT127" s="8">
        <f t="shared" si="141"/>
        <v>762001.32170872716</v>
      </c>
      <c r="AU127" s="8">
        <f t="shared" si="141"/>
        <v>712839.94611461565</v>
      </c>
      <c r="AV127" s="8">
        <f t="shared" si="141"/>
        <v>663678.57052050426</v>
      </c>
      <c r="AW127" s="8">
        <f t="shared" si="141"/>
        <v>614517.19492639275</v>
      </c>
      <c r="AX127" s="8">
        <f t="shared" si="141"/>
        <v>565355.81933228136</v>
      </c>
      <c r="AY127" s="8">
        <f t="shared" si="141"/>
        <v>516194.44373816997</v>
      </c>
      <c r="AZ127" s="8">
        <f t="shared" si="141"/>
        <v>467033.06814405858</v>
      </c>
      <c r="BA127" s="8">
        <f t="shared" si="141"/>
        <v>417871.69254994713</v>
      </c>
      <c r="BB127" s="8">
        <f t="shared" si="141"/>
        <v>368710.31695583573</v>
      </c>
      <c r="BC127" s="8">
        <f t="shared" si="141"/>
        <v>319548.94136172428</v>
      </c>
      <c r="BD127" s="8">
        <f t="shared" si="141"/>
        <v>270387.56576761289</v>
      </c>
      <c r="BE127" s="8">
        <f t="shared" si="141"/>
        <v>221226.19017350144</v>
      </c>
      <c r="BF127" s="8">
        <f t="shared" si="141"/>
        <v>172064.81457939005</v>
      </c>
      <c r="BG127" s="8">
        <f t="shared" si="141"/>
        <v>122903.4389852786</v>
      </c>
      <c r="BH127" s="8">
        <f t="shared" si="141"/>
        <v>73742.063391167176</v>
      </c>
      <c r="BI127" s="8">
        <f t="shared" si="141"/>
        <v>24580.687797055743</v>
      </c>
      <c r="BJ127" s="8">
        <f t="shared" si="141"/>
        <v>2.9103830456733704E-11</v>
      </c>
      <c r="BK127" s="8">
        <f t="shared" si="141"/>
        <v>2.9103830456733704E-11</v>
      </c>
      <c r="BL127" s="8">
        <f t="shared" si="141"/>
        <v>2.9103830456733704E-11</v>
      </c>
      <c r="BM127" s="8">
        <f t="shared" si="141"/>
        <v>2.9103830456733704E-11</v>
      </c>
      <c r="BN127" s="8">
        <f t="shared" si="141"/>
        <v>2.9103830456733704E-11</v>
      </c>
      <c r="BO127" s="8">
        <f t="shared" si="141"/>
        <v>2.9103830456733704E-11</v>
      </c>
      <c r="BP127" s="8">
        <f t="shared" si="141"/>
        <v>2.9103830456733704E-11</v>
      </c>
      <c r="BQ127" s="8">
        <f t="shared" si="141"/>
        <v>2.9103830456733704E-11</v>
      </c>
      <c r="BR127" s="8">
        <f t="shared" si="141"/>
        <v>2.9103830456733704E-11</v>
      </c>
      <c r="BS127" s="8">
        <f t="shared" si="141"/>
        <v>2.9103830456733704E-11</v>
      </c>
      <c r="BT127" s="8">
        <f t="shared" si="141"/>
        <v>2.9103830456733704E-11</v>
      </c>
      <c r="BU127" s="8">
        <f t="shared" si="141"/>
        <v>2.9103830456733704E-11</v>
      </c>
      <c r="BV127" s="8">
        <f t="shared" si="141"/>
        <v>2.9103830456733704E-11</v>
      </c>
      <c r="BW127" s="8">
        <f t="shared" si="141"/>
        <v>2.9103830456733704E-11</v>
      </c>
      <c r="BX127" s="8">
        <f t="shared" si="141"/>
        <v>2.9103830456733704E-11</v>
      </c>
      <c r="BY127" s="8">
        <f t="shared" ref="BY127:DA127" si="142">AVERAGE(BY120:BY121)+AVERAGE(BY124:BY125)</f>
        <v>2.9103830456733704E-11</v>
      </c>
      <c r="BZ127" s="8">
        <f t="shared" si="142"/>
        <v>2.9103830456733704E-11</v>
      </c>
      <c r="CA127" s="8">
        <f t="shared" si="142"/>
        <v>2.9103830456733704E-11</v>
      </c>
      <c r="CB127" s="8">
        <f t="shared" si="142"/>
        <v>2.9103830456733704E-11</v>
      </c>
      <c r="CC127" s="8">
        <f t="shared" si="142"/>
        <v>2.9103830456733704E-11</v>
      </c>
      <c r="CD127" s="8">
        <f t="shared" si="142"/>
        <v>2.9103830456733704E-11</v>
      </c>
      <c r="CE127" s="8">
        <f t="shared" si="142"/>
        <v>2.9103830456733704E-11</v>
      </c>
      <c r="CF127" s="8">
        <f t="shared" si="142"/>
        <v>2.9103830456733704E-11</v>
      </c>
      <c r="CG127" s="8">
        <f t="shared" si="142"/>
        <v>2.9103830456733704E-11</v>
      </c>
      <c r="CH127" s="8">
        <f t="shared" si="142"/>
        <v>2.9103830456733704E-11</v>
      </c>
      <c r="CI127" s="8">
        <f t="shared" si="142"/>
        <v>2.9103830456733704E-11</v>
      </c>
      <c r="CJ127" s="8">
        <f t="shared" si="142"/>
        <v>2.9103830456733704E-11</v>
      </c>
      <c r="CK127" s="8">
        <f t="shared" si="142"/>
        <v>2.9103830456733704E-11</v>
      </c>
      <c r="CL127" s="8">
        <f t="shared" si="142"/>
        <v>2.9103830456733704E-11</v>
      </c>
      <c r="CM127" s="8">
        <f t="shared" si="142"/>
        <v>2.9103830456733704E-11</v>
      </c>
      <c r="CN127" s="8">
        <f t="shared" si="142"/>
        <v>2.9103830456733704E-11</v>
      </c>
      <c r="CO127" s="8">
        <f t="shared" si="142"/>
        <v>2.9103830456733704E-11</v>
      </c>
      <c r="CP127" s="8">
        <f t="shared" si="142"/>
        <v>2.9103830456733704E-11</v>
      </c>
      <c r="CQ127" s="8">
        <f t="shared" si="142"/>
        <v>2.9103830456733704E-11</v>
      </c>
      <c r="CR127" s="8">
        <f t="shared" si="142"/>
        <v>2.9103830456733704E-11</v>
      </c>
      <c r="CS127" s="8">
        <f t="shared" si="142"/>
        <v>2.9103830456733704E-11</v>
      </c>
      <c r="CT127" s="8">
        <f t="shared" si="142"/>
        <v>2.9103830456733704E-11</v>
      </c>
      <c r="CU127" s="8">
        <f t="shared" si="142"/>
        <v>2.9103830456733704E-11</v>
      </c>
      <c r="CV127" s="8">
        <f t="shared" si="142"/>
        <v>2.9103830456733704E-11</v>
      </c>
      <c r="CW127" s="8">
        <f t="shared" si="142"/>
        <v>2.9103830456733704E-11</v>
      </c>
      <c r="CX127" s="8">
        <f t="shared" si="142"/>
        <v>2.9103830456733704E-11</v>
      </c>
      <c r="CY127" s="8">
        <f t="shared" si="142"/>
        <v>2.9103830456733704E-11</v>
      </c>
      <c r="CZ127" s="8">
        <f t="shared" si="142"/>
        <v>2.9103830456733704E-11</v>
      </c>
      <c r="DA127" s="8">
        <f t="shared" si="142"/>
        <v>2.9103830456733704E-11</v>
      </c>
      <c r="DB127" s="8"/>
      <c r="DC127" s="8"/>
      <c r="DD127" s="8"/>
    </row>
    <row r="128" spans="3:108" x14ac:dyDescent="0.4"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</row>
    <row r="129" spans="3:109" x14ac:dyDescent="0.4">
      <c r="D129" t="s">
        <v>209</v>
      </c>
      <c r="K129" s="8"/>
      <c r="L129" s="8">
        <f t="shared" ref="L129:AQ129" si="143">L127*AVG_PRE_TAX_RATE</f>
        <v>299893.71508461906</v>
      </c>
      <c r="M129" s="8">
        <f t="shared" si="143"/>
        <v>290887.78038079722</v>
      </c>
      <c r="N129" s="8">
        <f t="shared" si="143"/>
        <v>280650.14575466851</v>
      </c>
      <c r="O129" s="8">
        <f t="shared" si="143"/>
        <v>270850.99125120591</v>
      </c>
      <c r="P129" s="8">
        <f t="shared" si="143"/>
        <v>261457.49398214847</v>
      </c>
      <c r="Q129" s="8">
        <f t="shared" si="143"/>
        <v>252439.35589679368</v>
      </c>
      <c r="R129" s="8">
        <f t="shared" si="143"/>
        <v>243768.38297573794</v>
      </c>
      <c r="S129" s="8">
        <f t="shared" si="143"/>
        <v>235418.48523087631</v>
      </c>
      <c r="T129" s="8">
        <f t="shared" si="143"/>
        <v>227247.85095267085</v>
      </c>
      <c r="U129" s="8">
        <f t="shared" si="143"/>
        <v>219102.88585631058</v>
      </c>
      <c r="V129" s="8">
        <f t="shared" si="143"/>
        <v>210957.9207599503</v>
      </c>
      <c r="W129" s="8">
        <f t="shared" si="143"/>
        <v>202812.95566359002</v>
      </c>
      <c r="X129" s="8">
        <f t="shared" si="143"/>
        <v>194667.99056722975</v>
      </c>
      <c r="Y129" s="8">
        <f t="shared" si="143"/>
        <v>186523.02547086947</v>
      </c>
      <c r="Z129" s="8">
        <f t="shared" si="143"/>
        <v>178378.06037450916</v>
      </c>
      <c r="AA129" s="8">
        <f t="shared" si="143"/>
        <v>170233.09527814889</v>
      </c>
      <c r="AB129" s="8">
        <f t="shared" si="143"/>
        <v>162088.13018178861</v>
      </c>
      <c r="AC129" s="8">
        <f t="shared" si="143"/>
        <v>153943.16508542834</v>
      </c>
      <c r="AD129" s="8">
        <f t="shared" si="143"/>
        <v>145798.19998906803</v>
      </c>
      <c r="AE129" s="8">
        <f t="shared" si="143"/>
        <v>137653.23489270775</v>
      </c>
      <c r="AF129" s="8">
        <f t="shared" si="143"/>
        <v>130447.08856186393</v>
      </c>
      <c r="AG129" s="8">
        <f t="shared" si="143"/>
        <v>125118.15895579332</v>
      </c>
      <c r="AH129" s="8">
        <f t="shared" si="143"/>
        <v>120728.04811523917</v>
      </c>
      <c r="AI129" s="8">
        <f t="shared" si="143"/>
        <v>116337.93727468503</v>
      </c>
      <c r="AJ129" s="8">
        <f t="shared" si="143"/>
        <v>111947.82643413085</v>
      </c>
      <c r="AK129" s="8">
        <f t="shared" si="143"/>
        <v>107557.71559357671</v>
      </c>
      <c r="AL129" s="8">
        <f t="shared" si="143"/>
        <v>103167.60475302256</v>
      </c>
      <c r="AM129" s="8">
        <f t="shared" si="143"/>
        <v>98777.493912468388</v>
      </c>
      <c r="AN129" s="8">
        <f t="shared" si="143"/>
        <v>94387.383071914272</v>
      </c>
      <c r="AO129" s="8">
        <f t="shared" si="143"/>
        <v>89997.272231360097</v>
      </c>
      <c r="AP129" s="8">
        <f t="shared" si="143"/>
        <v>85607.161390805952</v>
      </c>
      <c r="AQ129" s="8">
        <f t="shared" si="143"/>
        <v>81217.050550251792</v>
      </c>
      <c r="AR129" s="8">
        <f t="shared" ref="AR129:BW129" si="144">AR127*AVG_PRE_TAX_RATE</f>
        <v>76826.939709697646</v>
      </c>
      <c r="AS129" s="8">
        <f t="shared" si="144"/>
        <v>72436.828869143486</v>
      </c>
      <c r="AT129" s="8">
        <f t="shared" si="144"/>
        <v>68046.718028589341</v>
      </c>
      <c r="AU129" s="8">
        <f t="shared" si="144"/>
        <v>63656.607188035181</v>
      </c>
      <c r="AV129" s="8">
        <f t="shared" si="144"/>
        <v>59266.496347481036</v>
      </c>
      <c r="AW129" s="8">
        <f t="shared" si="144"/>
        <v>54876.385506926876</v>
      </c>
      <c r="AX129" s="8">
        <f t="shared" si="144"/>
        <v>50486.27466637273</v>
      </c>
      <c r="AY129" s="8">
        <f t="shared" si="144"/>
        <v>46096.163825818578</v>
      </c>
      <c r="AZ129" s="8">
        <f t="shared" si="144"/>
        <v>41706.052985264432</v>
      </c>
      <c r="BA129" s="8">
        <f t="shared" si="144"/>
        <v>37315.94214471028</v>
      </c>
      <c r="BB129" s="8">
        <f t="shared" si="144"/>
        <v>32925.831304156134</v>
      </c>
      <c r="BC129" s="8">
        <f t="shared" si="144"/>
        <v>28535.720463601981</v>
      </c>
      <c r="BD129" s="8">
        <f t="shared" si="144"/>
        <v>24145.609623047832</v>
      </c>
      <c r="BE129" s="8">
        <f t="shared" si="144"/>
        <v>19755.49878249368</v>
      </c>
      <c r="BF129" s="8">
        <f t="shared" si="144"/>
        <v>15365.387941939533</v>
      </c>
      <c r="BG129" s="8">
        <f t="shared" si="144"/>
        <v>10975.27710138538</v>
      </c>
      <c r="BH129" s="8">
        <f t="shared" si="144"/>
        <v>6585.166260831229</v>
      </c>
      <c r="BI129" s="8">
        <f t="shared" si="144"/>
        <v>2195.0554202770782</v>
      </c>
      <c r="BJ129" s="8">
        <f t="shared" si="144"/>
        <v>2.5989720597863199E-12</v>
      </c>
      <c r="BK129" s="8">
        <f t="shared" si="144"/>
        <v>2.5989720597863199E-12</v>
      </c>
      <c r="BL129" s="8">
        <f t="shared" si="144"/>
        <v>2.5989720597863199E-12</v>
      </c>
      <c r="BM129" s="8">
        <f t="shared" si="144"/>
        <v>2.5989720597863199E-12</v>
      </c>
      <c r="BN129" s="8">
        <f t="shared" si="144"/>
        <v>2.5989720597863199E-12</v>
      </c>
      <c r="BO129" s="8">
        <f t="shared" si="144"/>
        <v>2.5989720597863199E-12</v>
      </c>
      <c r="BP129" s="8">
        <f t="shared" si="144"/>
        <v>2.5989720597863199E-12</v>
      </c>
      <c r="BQ129" s="8">
        <f t="shared" si="144"/>
        <v>2.5989720597863199E-12</v>
      </c>
      <c r="BR129" s="8">
        <f t="shared" si="144"/>
        <v>2.5989720597863199E-12</v>
      </c>
      <c r="BS129" s="8">
        <f t="shared" si="144"/>
        <v>2.5989720597863199E-12</v>
      </c>
      <c r="BT129" s="8">
        <f t="shared" si="144"/>
        <v>2.5989720597863199E-12</v>
      </c>
      <c r="BU129" s="8">
        <f t="shared" si="144"/>
        <v>2.5989720597863199E-12</v>
      </c>
      <c r="BV129" s="8">
        <f t="shared" si="144"/>
        <v>2.5989720597863199E-12</v>
      </c>
      <c r="BW129" s="8">
        <f t="shared" si="144"/>
        <v>2.5989720597863199E-12</v>
      </c>
      <c r="BX129" s="8">
        <f t="shared" ref="BX129:DA129" si="145">BX127*AVG_PRE_TAX_RATE</f>
        <v>2.5989720597863199E-12</v>
      </c>
      <c r="BY129" s="8">
        <f t="shared" si="145"/>
        <v>2.5989720597863199E-12</v>
      </c>
      <c r="BZ129" s="8">
        <f t="shared" si="145"/>
        <v>2.5989720597863199E-12</v>
      </c>
      <c r="CA129" s="8">
        <f t="shared" si="145"/>
        <v>2.5989720597863199E-12</v>
      </c>
      <c r="CB129" s="8">
        <f t="shared" si="145"/>
        <v>2.5989720597863199E-12</v>
      </c>
      <c r="CC129" s="8">
        <f t="shared" si="145"/>
        <v>2.5989720597863199E-12</v>
      </c>
      <c r="CD129" s="8">
        <f t="shared" si="145"/>
        <v>2.5989720597863199E-12</v>
      </c>
      <c r="CE129" s="8">
        <f t="shared" si="145"/>
        <v>2.5989720597863199E-12</v>
      </c>
      <c r="CF129" s="8">
        <f t="shared" si="145"/>
        <v>2.5989720597863199E-12</v>
      </c>
      <c r="CG129" s="8">
        <f t="shared" si="145"/>
        <v>2.5989720597863199E-12</v>
      </c>
      <c r="CH129" s="8">
        <f t="shared" si="145"/>
        <v>2.5989720597863199E-12</v>
      </c>
      <c r="CI129" s="8">
        <f t="shared" si="145"/>
        <v>2.5989720597863199E-12</v>
      </c>
      <c r="CJ129" s="8">
        <f t="shared" si="145"/>
        <v>2.5989720597863199E-12</v>
      </c>
      <c r="CK129" s="8">
        <f t="shared" si="145"/>
        <v>2.5989720597863199E-12</v>
      </c>
      <c r="CL129" s="8">
        <f t="shared" si="145"/>
        <v>2.5989720597863199E-12</v>
      </c>
      <c r="CM129" s="8">
        <f t="shared" si="145"/>
        <v>2.5989720597863199E-12</v>
      </c>
      <c r="CN129" s="8">
        <f t="shared" si="145"/>
        <v>2.5989720597863199E-12</v>
      </c>
      <c r="CO129" s="8">
        <f t="shared" si="145"/>
        <v>2.5989720597863199E-12</v>
      </c>
      <c r="CP129" s="8">
        <f t="shared" si="145"/>
        <v>2.5989720597863199E-12</v>
      </c>
      <c r="CQ129" s="8">
        <f t="shared" si="145"/>
        <v>2.5989720597863199E-12</v>
      </c>
      <c r="CR129" s="8">
        <f t="shared" si="145"/>
        <v>2.5989720597863199E-12</v>
      </c>
      <c r="CS129" s="8">
        <f t="shared" si="145"/>
        <v>2.5989720597863199E-12</v>
      </c>
      <c r="CT129" s="8">
        <f t="shared" si="145"/>
        <v>2.5989720597863199E-12</v>
      </c>
      <c r="CU129" s="8">
        <f t="shared" si="145"/>
        <v>2.5989720597863199E-12</v>
      </c>
      <c r="CV129" s="8">
        <f t="shared" si="145"/>
        <v>2.5989720597863199E-12</v>
      </c>
      <c r="CW129" s="8">
        <f t="shared" si="145"/>
        <v>2.5989720597863199E-12</v>
      </c>
      <c r="CX129" s="8">
        <f t="shared" si="145"/>
        <v>2.5989720597863199E-12</v>
      </c>
      <c r="CY129" s="8">
        <f t="shared" si="145"/>
        <v>2.5989720597863199E-12</v>
      </c>
      <c r="CZ129" s="8">
        <f t="shared" si="145"/>
        <v>2.5989720597863199E-12</v>
      </c>
      <c r="DA129" s="8">
        <f t="shared" si="145"/>
        <v>2.5989720597863199E-12</v>
      </c>
      <c r="DB129" s="8"/>
      <c r="DC129" s="8"/>
      <c r="DD129" s="8"/>
    </row>
    <row r="132" spans="3:109" x14ac:dyDescent="0.4">
      <c r="C132" s="58" t="str">
        <f>C115</f>
        <v>Investment year in service</v>
      </c>
      <c r="E132" t="str">
        <f>IF(E133&lt;$C133,"",E133-$C133)</f>
        <v/>
      </c>
      <c r="F132" t="str">
        <f>IF(F133&lt;$C133,"",F133-$C133)</f>
        <v/>
      </c>
      <c r="G132" t="str">
        <f t="shared" ref="G132:BR132" si="146">IF(G133&lt;$C133,"",G133-$C133)</f>
        <v/>
      </c>
      <c r="H132" t="str">
        <f t="shared" si="146"/>
        <v/>
      </c>
      <c r="I132" t="str">
        <f t="shared" si="146"/>
        <v/>
      </c>
      <c r="J132" t="str">
        <f t="shared" si="146"/>
        <v/>
      </c>
      <c r="K132" t="str">
        <f t="shared" si="146"/>
        <v/>
      </c>
      <c r="L132">
        <f t="shared" si="146"/>
        <v>0</v>
      </c>
      <c r="M132">
        <f t="shared" si="146"/>
        <v>1</v>
      </c>
      <c r="N132">
        <f t="shared" si="146"/>
        <v>2</v>
      </c>
      <c r="O132">
        <f t="shared" si="146"/>
        <v>3</v>
      </c>
      <c r="P132">
        <f t="shared" si="146"/>
        <v>4</v>
      </c>
      <c r="Q132">
        <f t="shared" si="146"/>
        <v>5</v>
      </c>
      <c r="R132">
        <f t="shared" si="146"/>
        <v>6</v>
      </c>
      <c r="S132">
        <f t="shared" si="146"/>
        <v>7</v>
      </c>
      <c r="T132">
        <f t="shared" si="146"/>
        <v>8</v>
      </c>
      <c r="U132">
        <f t="shared" si="146"/>
        <v>9</v>
      </c>
      <c r="V132">
        <f t="shared" si="146"/>
        <v>10</v>
      </c>
      <c r="W132">
        <f t="shared" si="146"/>
        <v>11</v>
      </c>
      <c r="X132">
        <f t="shared" si="146"/>
        <v>12</v>
      </c>
      <c r="Y132">
        <f t="shared" si="146"/>
        <v>13</v>
      </c>
      <c r="Z132">
        <f t="shared" si="146"/>
        <v>14</v>
      </c>
      <c r="AA132">
        <f t="shared" si="146"/>
        <v>15</v>
      </c>
      <c r="AB132">
        <f t="shared" si="146"/>
        <v>16</v>
      </c>
      <c r="AC132">
        <f t="shared" si="146"/>
        <v>17</v>
      </c>
      <c r="AD132">
        <f t="shared" si="146"/>
        <v>18</v>
      </c>
      <c r="AE132">
        <f t="shared" si="146"/>
        <v>19</v>
      </c>
      <c r="AF132">
        <f t="shared" si="146"/>
        <v>20</v>
      </c>
      <c r="AG132">
        <f t="shared" si="146"/>
        <v>21</v>
      </c>
      <c r="AH132">
        <f t="shared" si="146"/>
        <v>22</v>
      </c>
      <c r="AI132">
        <f t="shared" si="146"/>
        <v>23</v>
      </c>
      <c r="AJ132">
        <f t="shared" si="146"/>
        <v>24</v>
      </c>
      <c r="AK132">
        <f t="shared" si="146"/>
        <v>25</v>
      </c>
      <c r="AL132">
        <f t="shared" si="146"/>
        <v>26</v>
      </c>
      <c r="AM132">
        <f t="shared" si="146"/>
        <v>27</v>
      </c>
      <c r="AN132">
        <f t="shared" si="146"/>
        <v>28</v>
      </c>
      <c r="AO132">
        <f t="shared" si="146"/>
        <v>29</v>
      </c>
      <c r="AP132">
        <f t="shared" si="146"/>
        <v>30</v>
      </c>
      <c r="AQ132">
        <f t="shared" si="146"/>
        <v>31</v>
      </c>
      <c r="AR132">
        <f t="shared" si="146"/>
        <v>32</v>
      </c>
      <c r="AS132">
        <f t="shared" si="146"/>
        <v>33</v>
      </c>
      <c r="AT132">
        <f t="shared" si="146"/>
        <v>34</v>
      </c>
      <c r="AU132">
        <f t="shared" si="146"/>
        <v>35</v>
      </c>
      <c r="AV132">
        <f t="shared" si="146"/>
        <v>36</v>
      </c>
      <c r="AW132">
        <f t="shared" si="146"/>
        <v>37</v>
      </c>
      <c r="AX132">
        <f t="shared" si="146"/>
        <v>38</v>
      </c>
      <c r="AY132">
        <f t="shared" si="146"/>
        <v>39</v>
      </c>
      <c r="AZ132">
        <f t="shared" si="146"/>
        <v>40</v>
      </c>
      <c r="BA132">
        <f t="shared" si="146"/>
        <v>41</v>
      </c>
      <c r="BB132">
        <f t="shared" si="146"/>
        <v>42</v>
      </c>
      <c r="BC132">
        <f t="shared" si="146"/>
        <v>43</v>
      </c>
      <c r="BD132">
        <f t="shared" si="146"/>
        <v>44</v>
      </c>
      <c r="BE132">
        <f t="shared" si="146"/>
        <v>45</v>
      </c>
      <c r="BF132">
        <f t="shared" si="146"/>
        <v>46</v>
      </c>
      <c r="BG132">
        <f t="shared" si="146"/>
        <v>47</v>
      </c>
      <c r="BH132">
        <f t="shared" si="146"/>
        <v>48</v>
      </c>
      <c r="BI132">
        <f t="shared" si="146"/>
        <v>49</v>
      </c>
      <c r="BJ132">
        <f t="shared" si="146"/>
        <v>50</v>
      </c>
      <c r="BK132">
        <f t="shared" si="146"/>
        <v>51</v>
      </c>
      <c r="BL132">
        <f t="shared" si="146"/>
        <v>52</v>
      </c>
      <c r="BM132">
        <f t="shared" si="146"/>
        <v>53</v>
      </c>
      <c r="BN132">
        <f t="shared" si="146"/>
        <v>54</v>
      </c>
      <c r="BO132">
        <f t="shared" si="146"/>
        <v>55</v>
      </c>
      <c r="BP132">
        <f t="shared" si="146"/>
        <v>56</v>
      </c>
      <c r="BQ132">
        <f t="shared" si="146"/>
        <v>57</v>
      </c>
      <c r="BR132">
        <f t="shared" si="146"/>
        <v>58</v>
      </c>
      <c r="BS132">
        <f t="shared" ref="BS132:DA132" si="147">IF(BS133&lt;$C133,"",BS133-$C133)</f>
        <v>59</v>
      </c>
      <c r="BT132">
        <f t="shared" si="147"/>
        <v>60</v>
      </c>
      <c r="BU132">
        <f t="shared" si="147"/>
        <v>61</v>
      </c>
      <c r="BV132">
        <f t="shared" si="147"/>
        <v>62</v>
      </c>
      <c r="BW132">
        <f t="shared" si="147"/>
        <v>63</v>
      </c>
      <c r="BX132">
        <f t="shared" si="147"/>
        <v>64</v>
      </c>
      <c r="BY132">
        <f t="shared" si="147"/>
        <v>65</v>
      </c>
      <c r="BZ132">
        <f t="shared" si="147"/>
        <v>66</v>
      </c>
      <c r="CA132">
        <f t="shared" si="147"/>
        <v>67</v>
      </c>
      <c r="CB132">
        <f t="shared" si="147"/>
        <v>68</v>
      </c>
      <c r="CC132">
        <f t="shared" si="147"/>
        <v>69</v>
      </c>
      <c r="CD132">
        <f t="shared" si="147"/>
        <v>70</v>
      </c>
      <c r="CE132">
        <f t="shared" si="147"/>
        <v>71</v>
      </c>
      <c r="CF132">
        <f t="shared" si="147"/>
        <v>72</v>
      </c>
      <c r="CG132">
        <f t="shared" si="147"/>
        <v>73</v>
      </c>
      <c r="CH132">
        <f t="shared" si="147"/>
        <v>74</v>
      </c>
      <c r="CI132">
        <f t="shared" si="147"/>
        <v>75</v>
      </c>
      <c r="CJ132">
        <f t="shared" si="147"/>
        <v>76</v>
      </c>
      <c r="CK132">
        <f t="shared" si="147"/>
        <v>77</v>
      </c>
      <c r="CL132">
        <f t="shared" si="147"/>
        <v>78</v>
      </c>
      <c r="CM132">
        <f t="shared" si="147"/>
        <v>79</v>
      </c>
      <c r="CN132">
        <f t="shared" si="147"/>
        <v>80</v>
      </c>
      <c r="CO132">
        <f t="shared" si="147"/>
        <v>81</v>
      </c>
      <c r="CP132">
        <f t="shared" si="147"/>
        <v>82</v>
      </c>
      <c r="CQ132">
        <f t="shared" si="147"/>
        <v>83</v>
      </c>
      <c r="CR132">
        <f t="shared" si="147"/>
        <v>84</v>
      </c>
      <c r="CS132">
        <f t="shared" si="147"/>
        <v>85</v>
      </c>
      <c r="CT132">
        <f t="shared" si="147"/>
        <v>86</v>
      </c>
      <c r="CU132">
        <f t="shared" si="147"/>
        <v>87</v>
      </c>
      <c r="CV132">
        <f t="shared" si="147"/>
        <v>88</v>
      </c>
      <c r="CW132">
        <f t="shared" si="147"/>
        <v>89</v>
      </c>
      <c r="CX132">
        <f t="shared" si="147"/>
        <v>90</v>
      </c>
      <c r="CY132">
        <f t="shared" si="147"/>
        <v>91</v>
      </c>
      <c r="CZ132">
        <f t="shared" si="147"/>
        <v>92</v>
      </c>
      <c r="DA132">
        <f t="shared" si="147"/>
        <v>93</v>
      </c>
    </row>
    <row r="133" spans="3:109" x14ac:dyDescent="0.4">
      <c r="C133">
        <f>C116+1</f>
        <v>2034</v>
      </c>
      <c r="D133" s="5" t="s">
        <v>434</v>
      </c>
      <c r="E133" s="5">
        <v>2027</v>
      </c>
      <c r="F133" s="5">
        <v>2028</v>
      </c>
      <c r="G133" s="5">
        <v>2029</v>
      </c>
      <c r="H133" s="5">
        <v>2030</v>
      </c>
      <c r="I133" s="5">
        <v>2031</v>
      </c>
      <c r="J133" s="5">
        <v>2032</v>
      </c>
      <c r="K133" s="5">
        <v>2033</v>
      </c>
      <c r="L133" s="5">
        <v>2034</v>
      </c>
      <c r="M133" s="5">
        <v>2035</v>
      </c>
      <c r="N133" s="5">
        <v>2036</v>
      </c>
      <c r="O133" s="5">
        <v>2037</v>
      </c>
      <c r="P133" s="5">
        <v>2038</v>
      </c>
      <c r="Q133" s="5">
        <v>2039</v>
      </c>
      <c r="R133" s="5">
        <v>2040</v>
      </c>
      <c r="S133" s="5">
        <v>2041</v>
      </c>
      <c r="T133" s="5">
        <v>2042</v>
      </c>
      <c r="U133" s="5">
        <v>2043</v>
      </c>
      <c r="V133" s="5">
        <v>2044</v>
      </c>
      <c r="W133" s="5">
        <v>2045</v>
      </c>
      <c r="X133" s="5">
        <v>2046</v>
      </c>
      <c r="Y133" s="5">
        <v>2047</v>
      </c>
      <c r="Z133" s="5">
        <v>2048</v>
      </c>
      <c r="AA133" s="5">
        <v>2049</v>
      </c>
      <c r="AB133" s="5">
        <v>2050</v>
      </c>
      <c r="AC133" s="5">
        <v>2051</v>
      </c>
      <c r="AD133" s="5">
        <v>2052</v>
      </c>
      <c r="AE133" s="5">
        <v>2053</v>
      </c>
      <c r="AF133" s="5">
        <v>2054</v>
      </c>
      <c r="AG133" s="5">
        <v>2055</v>
      </c>
      <c r="AH133" s="5">
        <v>2056</v>
      </c>
      <c r="AI133" s="5">
        <v>2057</v>
      </c>
      <c r="AJ133" s="5">
        <v>2058</v>
      </c>
      <c r="AK133" s="5">
        <v>2059</v>
      </c>
      <c r="AL133" s="5">
        <v>2060</v>
      </c>
      <c r="AM133" s="5">
        <v>2061</v>
      </c>
      <c r="AN133" s="5">
        <v>2062</v>
      </c>
      <c r="AO133" s="5">
        <v>2063</v>
      </c>
      <c r="AP133" s="5">
        <v>2064</v>
      </c>
      <c r="AQ133" s="5">
        <v>2065</v>
      </c>
      <c r="AR133" s="5">
        <v>2066</v>
      </c>
      <c r="AS133" s="5">
        <v>2067</v>
      </c>
      <c r="AT133" s="5">
        <v>2068</v>
      </c>
      <c r="AU133" s="5">
        <v>2069</v>
      </c>
      <c r="AV133" s="5">
        <v>2070</v>
      </c>
      <c r="AW133" s="5">
        <v>2071</v>
      </c>
      <c r="AX133" s="5">
        <v>2072</v>
      </c>
      <c r="AY133" s="5">
        <v>2073</v>
      </c>
      <c r="AZ133" s="5">
        <v>2074</v>
      </c>
      <c r="BA133" s="5">
        <v>2075</v>
      </c>
      <c r="BB133" s="5">
        <v>2076</v>
      </c>
      <c r="BC133" s="5">
        <v>2077</v>
      </c>
      <c r="BD133" s="5">
        <v>2078</v>
      </c>
      <c r="BE133" s="5">
        <v>2079</v>
      </c>
      <c r="BF133" s="5">
        <v>2080</v>
      </c>
      <c r="BG133" s="5">
        <v>2081</v>
      </c>
      <c r="BH133" s="5">
        <v>2082</v>
      </c>
      <c r="BI133" s="5">
        <v>2083</v>
      </c>
      <c r="BJ133" s="5">
        <v>2084</v>
      </c>
      <c r="BK133" s="5">
        <v>2085</v>
      </c>
      <c r="BL133" s="5">
        <v>2086</v>
      </c>
      <c r="BM133" s="5">
        <v>2087</v>
      </c>
      <c r="BN133" s="5">
        <v>2088</v>
      </c>
      <c r="BO133" s="5">
        <v>2089</v>
      </c>
      <c r="BP133" s="5">
        <v>2090</v>
      </c>
      <c r="BQ133" s="5">
        <v>2091</v>
      </c>
      <c r="BR133" s="5">
        <v>2092</v>
      </c>
      <c r="BS133" s="5">
        <v>2093</v>
      </c>
      <c r="BT133" s="5">
        <v>2094</v>
      </c>
      <c r="BU133" s="5">
        <v>2095</v>
      </c>
      <c r="BV133" s="5">
        <v>2096</v>
      </c>
      <c r="BW133" s="5">
        <v>2097</v>
      </c>
      <c r="BX133" s="5">
        <v>2098</v>
      </c>
      <c r="BY133" s="5">
        <v>2099</v>
      </c>
      <c r="BZ133" s="5">
        <v>2100</v>
      </c>
      <c r="CA133" s="5">
        <v>2101</v>
      </c>
      <c r="CB133" s="5">
        <v>2102</v>
      </c>
      <c r="CC133" s="5">
        <v>2103</v>
      </c>
      <c r="CD133" s="5">
        <v>2104</v>
      </c>
      <c r="CE133" s="5">
        <v>2105</v>
      </c>
      <c r="CF133" s="5">
        <v>2106</v>
      </c>
      <c r="CG133" s="5">
        <v>2107</v>
      </c>
      <c r="CH133" s="5">
        <v>2108</v>
      </c>
      <c r="CI133" s="5">
        <v>2109</v>
      </c>
      <c r="CJ133" s="5">
        <v>2110</v>
      </c>
      <c r="CK133" s="5">
        <v>2111</v>
      </c>
      <c r="CL133" s="5">
        <v>2112</v>
      </c>
      <c r="CM133" s="5">
        <v>2113</v>
      </c>
      <c r="CN133" s="5">
        <v>2114</v>
      </c>
      <c r="CO133" s="5">
        <v>2115</v>
      </c>
      <c r="CP133" s="5">
        <v>2116</v>
      </c>
      <c r="CQ133" s="5">
        <v>2117</v>
      </c>
      <c r="CR133" s="5">
        <v>2118</v>
      </c>
      <c r="CS133" s="5">
        <v>2119</v>
      </c>
      <c r="CT133" s="5">
        <v>2120</v>
      </c>
      <c r="CU133" s="5">
        <v>2121</v>
      </c>
      <c r="CV133" s="5">
        <v>2122</v>
      </c>
      <c r="CW133" s="5">
        <v>2123</v>
      </c>
      <c r="CX133" s="5">
        <v>2124</v>
      </c>
      <c r="CY133" s="5">
        <v>2125</v>
      </c>
      <c r="CZ133" s="5">
        <v>2126</v>
      </c>
      <c r="DA133" s="5">
        <v>2127</v>
      </c>
    </row>
    <row r="134" spans="3:109" x14ac:dyDescent="0.4">
      <c r="D134" t="s">
        <v>207</v>
      </c>
      <c r="M134" s="8">
        <f>IF(M$13&lt;=$B$3,M135/$B$3,0)</f>
        <v>69506.710738302398</v>
      </c>
      <c r="N134" s="8">
        <f>IF(N132&lt;=$B$3,M134,0)</f>
        <v>69506.710738302398</v>
      </c>
      <c r="O134" s="8">
        <f t="shared" ref="O134:BZ134" si="148">IF(O132&lt;=$B$3,N134,0)</f>
        <v>69506.710738302398</v>
      </c>
      <c r="P134" s="8">
        <f t="shared" si="148"/>
        <v>69506.710738302398</v>
      </c>
      <c r="Q134" s="8">
        <f t="shared" si="148"/>
        <v>69506.710738302398</v>
      </c>
      <c r="R134" s="8">
        <f t="shared" si="148"/>
        <v>69506.710738302398</v>
      </c>
      <c r="S134" s="8">
        <f t="shared" si="148"/>
        <v>69506.710738302398</v>
      </c>
      <c r="T134" s="8">
        <f t="shared" si="148"/>
        <v>69506.710738302398</v>
      </c>
      <c r="U134" s="8">
        <f t="shared" si="148"/>
        <v>69506.710738302398</v>
      </c>
      <c r="V134" s="8">
        <f t="shared" si="148"/>
        <v>69506.710738302398</v>
      </c>
      <c r="W134" s="8">
        <f t="shared" si="148"/>
        <v>69506.710738302398</v>
      </c>
      <c r="X134" s="8">
        <f t="shared" si="148"/>
        <v>69506.710738302398</v>
      </c>
      <c r="Y134" s="8">
        <f t="shared" si="148"/>
        <v>69506.710738302398</v>
      </c>
      <c r="Z134" s="8">
        <f t="shared" si="148"/>
        <v>69506.710738302398</v>
      </c>
      <c r="AA134" s="8">
        <f t="shared" si="148"/>
        <v>69506.710738302398</v>
      </c>
      <c r="AB134" s="8">
        <f t="shared" si="148"/>
        <v>69506.710738302398</v>
      </c>
      <c r="AC134" s="8">
        <f t="shared" si="148"/>
        <v>69506.710738302398</v>
      </c>
      <c r="AD134" s="8">
        <f t="shared" si="148"/>
        <v>69506.710738302398</v>
      </c>
      <c r="AE134" s="8">
        <f t="shared" si="148"/>
        <v>69506.710738302398</v>
      </c>
      <c r="AF134" s="8">
        <f t="shared" si="148"/>
        <v>69506.710738302398</v>
      </c>
      <c r="AG134" s="8">
        <f t="shared" si="148"/>
        <v>69506.710738302398</v>
      </c>
      <c r="AH134" s="8">
        <f t="shared" si="148"/>
        <v>69506.710738302398</v>
      </c>
      <c r="AI134" s="8">
        <f t="shared" si="148"/>
        <v>69506.710738302398</v>
      </c>
      <c r="AJ134" s="8">
        <f t="shared" si="148"/>
        <v>69506.710738302398</v>
      </c>
      <c r="AK134" s="8">
        <f t="shared" si="148"/>
        <v>69506.710738302398</v>
      </c>
      <c r="AL134" s="8">
        <f t="shared" si="148"/>
        <v>69506.710738302398</v>
      </c>
      <c r="AM134" s="8">
        <f t="shared" si="148"/>
        <v>69506.710738302398</v>
      </c>
      <c r="AN134" s="8">
        <f t="shared" si="148"/>
        <v>69506.710738302398</v>
      </c>
      <c r="AO134" s="8">
        <f t="shared" si="148"/>
        <v>69506.710738302398</v>
      </c>
      <c r="AP134" s="8">
        <f t="shared" si="148"/>
        <v>69506.710738302398</v>
      </c>
      <c r="AQ134" s="8">
        <f t="shared" si="148"/>
        <v>69506.710738302398</v>
      </c>
      <c r="AR134" s="8">
        <f t="shared" si="148"/>
        <v>69506.710738302398</v>
      </c>
      <c r="AS134" s="8">
        <f t="shared" si="148"/>
        <v>69506.710738302398</v>
      </c>
      <c r="AT134" s="8">
        <f t="shared" si="148"/>
        <v>69506.710738302398</v>
      </c>
      <c r="AU134" s="8">
        <f t="shared" si="148"/>
        <v>69506.710738302398</v>
      </c>
      <c r="AV134" s="8">
        <f t="shared" si="148"/>
        <v>69506.710738302398</v>
      </c>
      <c r="AW134" s="8">
        <f t="shared" si="148"/>
        <v>69506.710738302398</v>
      </c>
      <c r="AX134" s="8">
        <f t="shared" si="148"/>
        <v>69506.710738302398</v>
      </c>
      <c r="AY134" s="8">
        <f t="shared" si="148"/>
        <v>69506.710738302398</v>
      </c>
      <c r="AZ134" s="8">
        <f t="shared" si="148"/>
        <v>69506.710738302398</v>
      </c>
      <c r="BA134" s="8">
        <f t="shared" si="148"/>
        <v>69506.710738302398</v>
      </c>
      <c r="BB134" s="8">
        <f t="shared" si="148"/>
        <v>69506.710738302398</v>
      </c>
      <c r="BC134" s="8">
        <f t="shared" si="148"/>
        <v>69506.710738302398</v>
      </c>
      <c r="BD134" s="8">
        <f t="shared" si="148"/>
        <v>69506.710738302398</v>
      </c>
      <c r="BE134" s="8">
        <f t="shared" si="148"/>
        <v>69506.710738302398</v>
      </c>
      <c r="BF134" s="8">
        <f t="shared" si="148"/>
        <v>69506.710738302398</v>
      </c>
      <c r="BG134" s="8">
        <f t="shared" si="148"/>
        <v>69506.710738302398</v>
      </c>
      <c r="BH134" s="8">
        <f t="shared" si="148"/>
        <v>69506.710738302398</v>
      </c>
      <c r="BI134" s="8">
        <f t="shared" si="148"/>
        <v>69506.710738302398</v>
      </c>
      <c r="BJ134" s="8">
        <f t="shared" si="148"/>
        <v>69506.710738302398</v>
      </c>
      <c r="BK134" s="8">
        <f t="shared" si="148"/>
        <v>0</v>
      </c>
      <c r="BL134" s="8">
        <f t="shared" si="148"/>
        <v>0</v>
      </c>
      <c r="BM134" s="8">
        <f t="shared" si="148"/>
        <v>0</v>
      </c>
      <c r="BN134" s="8">
        <f t="shared" si="148"/>
        <v>0</v>
      </c>
      <c r="BO134" s="8">
        <f t="shared" si="148"/>
        <v>0</v>
      </c>
      <c r="BP134" s="8">
        <f t="shared" si="148"/>
        <v>0</v>
      </c>
      <c r="BQ134" s="8">
        <f t="shared" si="148"/>
        <v>0</v>
      </c>
      <c r="BR134" s="8">
        <f t="shared" si="148"/>
        <v>0</v>
      </c>
      <c r="BS134" s="8">
        <f t="shared" si="148"/>
        <v>0</v>
      </c>
      <c r="BT134" s="8">
        <f t="shared" si="148"/>
        <v>0</v>
      </c>
      <c r="BU134" s="8">
        <f t="shared" si="148"/>
        <v>0</v>
      </c>
      <c r="BV134" s="8">
        <f t="shared" si="148"/>
        <v>0</v>
      </c>
      <c r="BW134" s="8">
        <f t="shared" si="148"/>
        <v>0</v>
      </c>
      <c r="BX134" s="8">
        <f t="shared" si="148"/>
        <v>0</v>
      </c>
      <c r="BY134" s="8">
        <f t="shared" si="148"/>
        <v>0</v>
      </c>
      <c r="BZ134" s="8">
        <f t="shared" si="148"/>
        <v>0</v>
      </c>
      <c r="CA134" s="8">
        <f t="shared" ref="CA134:DA134" si="149">IF(CA132&lt;=$B$3,BZ134,0)</f>
        <v>0</v>
      </c>
      <c r="CB134" s="8">
        <f t="shared" si="149"/>
        <v>0</v>
      </c>
      <c r="CC134" s="8">
        <f t="shared" si="149"/>
        <v>0</v>
      </c>
      <c r="CD134" s="8">
        <f t="shared" si="149"/>
        <v>0</v>
      </c>
      <c r="CE134" s="8">
        <f t="shared" si="149"/>
        <v>0</v>
      </c>
      <c r="CF134" s="8">
        <f t="shared" si="149"/>
        <v>0</v>
      </c>
      <c r="CG134" s="8">
        <f t="shared" si="149"/>
        <v>0</v>
      </c>
      <c r="CH134" s="8">
        <f t="shared" si="149"/>
        <v>0</v>
      </c>
      <c r="CI134" s="8">
        <f t="shared" si="149"/>
        <v>0</v>
      </c>
      <c r="CJ134" s="8">
        <f t="shared" si="149"/>
        <v>0</v>
      </c>
      <c r="CK134" s="8">
        <f t="shared" si="149"/>
        <v>0</v>
      </c>
      <c r="CL134" s="8">
        <f t="shared" si="149"/>
        <v>0</v>
      </c>
      <c r="CM134" s="8">
        <f t="shared" si="149"/>
        <v>0</v>
      </c>
      <c r="CN134" s="8">
        <f t="shared" si="149"/>
        <v>0</v>
      </c>
      <c r="CO134" s="8">
        <f t="shared" si="149"/>
        <v>0</v>
      </c>
      <c r="CP134" s="8">
        <f t="shared" si="149"/>
        <v>0</v>
      </c>
      <c r="CQ134" s="8">
        <f t="shared" si="149"/>
        <v>0</v>
      </c>
      <c r="CR134" s="8">
        <f t="shared" si="149"/>
        <v>0</v>
      </c>
      <c r="CS134" s="8">
        <f t="shared" si="149"/>
        <v>0</v>
      </c>
      <c r="CT134" s="8">
        <f t="shared" si="149"/>
        <v>0</v>
      </c>
      <c r="CU134" s="8">
        <f t="shared" si="149"/>
        <v>0</v>
      </c>
      <c r="CV134" s="8">
        <f t="shared" si="149"/>
        <v>0</v>
      </c>
      <c r="CW134" s="8">
        <f t="shared" si="149"/>
        <v>0</v>
      </c>
      <c r="CX134" s="8">
        <f t="shared" si="149"/>
        <v>0</v>
      </c>
      <c r="CY134" s="8">
        <f t="shared" si="149"/>
        <v>0</v>
      </c>
      <c r="CZ134" s="8">
        <f t="shared" si="149"/>
        <v>0</v>
      </c>
      <c r="DA134" s="8">
        <f t="shared" si="149"/>
        <v>0</v>
      </c>
      <c r="DB134" s="8"/>
      <c r="DC134" s="8"/>
      <c r="DD134" s="8"/>
      <c r="DE134" s="8"/>
    </row>
    <row r="135" spans="3:109" x14ac:dyDescent="0.4">
      <c r="D135" t="s">
        <v>154</v>
      </c>
      <c r="L135" s="8">
        <f>HLOOKUP(M133,$F$3:$O$10,7,0)</f>
        <v>3475335.5369151197</v>
      </c>
      <c r="M135" s="8">
        <f>IF(ROUND(L136,4)=-ROUND(L135,4),0,L135)</f>
        <v>3475335.5369151197</v>
      </c>
      <c r="N135" s="8">
        <f t="shared" ref="N135:BY135" si="150">IF(ROUND(M136,4)=-ROUND(M135,4),0,M135)</f>
        <v>3475335.5369151197</v>
      </c>
      <c r="O135" s="8">
        <f t="shared" si="150"/>
        <v>3475335.5369151197</v>
      </c>
      <c r="P135" s="8">
        <f t="shared" si="150"/>
        <v>3475335.5369151197</v>
      </c>
      <c r="Q135" s="8">
        <f t="shared" si="150"/>
        <v>3475335.5369151197</v>
      </c>
      <c r="R135" s="8">
        <f t="shared" si="150"/>
        <v>3475335.5369151197</v>
      </c>
      <c r="S135" s="8">
        <f t="shared" si="150"/>
        <v>3475335.5369151197</v>
      </c>
      <c r="T135" s="8">
        <f t="shared" si="150"/>
        <v>3475335.5369151197</v>
      </c>
      <c r="U135" s="8">
        <f t="shared" si="150"/>
        <v>3475335.5369151197</v>
      </c>
      <c r="V135" s="8">
        <f t="shared" si="150"/>
        <v>3475335.5369151197</v>
      </c>
      <c r="W135" s="8">
        <f t="shared" si="150"/>
        <v>3475335.5369151197</v>
      </c>
      <c r="X135" s="8">
        <f t="shared" si="150"/>
        <v>3475335.5369151197</v>
      </c>
      <c r="Y135" s="8">
        <f t="shared" si="150"/>
        <v>3475335.5369151197</v>
      </c>
      <c r="Z135" s="8">
        <f t="shared" si="150"/>
        <v>3475335.5369151197</v>
      </c>
      <c r="AA135" s="8">
        <f t="shared" si="150"/>
        <v>3475335.5369151197</v>
      </c>
      <c r="AB135" s="8">
        <f t="shared" si="150"/>
        <v>3475335.5369151197</v>
      </c>
      <c r="AC135" s="8">
        <f t="shared" si="150"/>
        <v>3475335.5369151197</v>
      </c>
      <c r="AD135" s="8">
        <f t="shared" si="150"/>
        <v>3475335.5369151197</v>
      </c>
      <c r="AE135" s="8">
        <f t="shared" si="150"/>
        <v>3475335.5369151197</v>
      </c>
      <c r="AF135" s="8">
        <f t="shared" si="150"/>
        <v>3475335.5369151197</v>
      </c>
      <c r="AG135" s="8">
        <f t="shared" si="150"/>
        <v>3475335.5369151197</v>
      </c>
      <c r="AH135" s="8">
        <f t="shared" si="150"/>
        <v>3475335.5369151197</v>
      </c>
      <c r="AI135" s="8">
        <f t="shared" si="150"/>
        <v>3475335.5369151197</v>
      </c>
      <c r="AJ135" s="8">
        <f t="shared" si="150"/>
        <v>3475335.5369151197</v>
      </c>
      <c r="AK135" s="8">
        <f t="shared" si="150"/>
        <v>3475335.5369151197</v>
      </c>
      <c r="AL135" s="8">
        <f t="shared" si="150"/>
        <v>3475335.5369151197</v>
      </c>
      <c r="AM135" s="8">
        <f t="shared" si="150"/>
        <v>3475335.5369151197</v>
      </c>
      <c r="AN135" s="8">
        <f t="shared" si="150"/>
        <v>3475335.5369151197</v>
      </c>
      <c r="AO135" s="8">
        <f t="shared" si="150"/>
        <v>3475335.5369151197</v>
      </c>
      <c r="AP135" s="8">
        <f t="shared" si="150"/>
        <v>3475335.5369151197</v>
      </c>
      <c r="AQ135" s="8">
        <f t="shared" si="150"/>
        <v>3475335.5369151197</v>
      </c>
      <c r="AR135" s="8">
        <f t="shared" si="150"/>
        <v>3475335.5369151197</v>
      </c>
      <c r="AS135" s="8">
        <f t="shared" si="150"/>
        <v>3475335.5369151197</v>
      </c>
      <c r="AT135" s="8">
        <f t="shared" si="150"/>
        <v>3475335.5369151197</v>
      </c>
      <c r="AU135" s="8">
        <f t="shared" si="150"/>
        <v>3475335.5369151197</v>
      </c>
      <c r="AV135" s="8">
        <f t="shared" si="150"/>
        <v>3475335.5369151197</v>
      </c>
      <c r="AW135" s="8">
        <f t="shared" si="150"/>
        <v>3475335.5369151197</v>
      </c>
      <c r="AX135" s="8">
        <f t="shared" si="150"/>
        <v>3475335.5369151197</v>
      </c>
      <c r="AY135" s="8">
        <f t="shared" si="150"/>
        <v>3475335.5369151197</v>
      </c>
      <c r="AZ135" s="8">
        <f t="shared" si="150"/>
        <v>3475335.5369151197</v>
      </c>
      <c r="BA135" s="8">
        <f t="shared" si="150"/>
        <v>3475335.5369151197</v>
      </c>
      <c r="BB135" s="8">
        <f t="shared" si="150"/>
        <v>3475335.5369151197</v>
      </c>
      <c r="BC135" s="8">
        <f t="shared" si="150"/>
        <v>3475335.5369151197</v>
      </c>
      <c r="BD135" s="8">
        <f t="shared" si="150"/>
        <v>3475335.5369151197</v>
      </c>
      <c r="BE135" s="8">
        <f t="shared" si="150"/>
        <v>3475335.5369151197</v>
      </c>
      <c r="BF135" s="8">
        <f t="shared" si="150"/>
        <v>3475335.5369151197</v>
      </c>
      <c r="BG135" s="8">
        <f t="shared" si="150"/>
        <v>3475335.5369151197</v>
      </c>
      <c r="BH135" s="8">
        <f t="shared" si="150"/>
        <v>3475335.5369151197</v>
      </c>
      <c r="BI135" s="8">
        <f t="shared" si="150"/>
        <v>3475335.5369151197</v>
      </c>
      <c r="BJ135" s="8">
        <f t="shared" si="150"/>
        <v>3475335.5369151197</v>
      </c>
      <c r="BK135" s="8">
        <f t="shared" si="150"/>
        <v>0</v>
      </c>
      <c r="BL135" s="8">
        <f t="shared" si="150"/>
        <v>0</v>
      </c>
      <c r="BM135" s="8">
        <f t="shared" si="150"/>
        <v>0</v>
      </c>
      <c r="BN135" s="8">
        <f t="shared" si="150"/>
        <v>0</v>
      </c>
      <c r="BO135" s="8">
        <f t="shared" si="150"/>
        <v>0</v>
      </c>
      <c r="BP135" s="8">
        <f t="shared" si="150"/>
        <v>0</v>
      </c>
      <c r="BQ135" s="8">
        <f t="shared" si="150"/>
        <v>0</v>
      </c>
      <c r="BR135" s="8">
        <f t="shared" si="150"/>
        <v>0</v>
      </c>
      <c r="BS135" s="8">
        <f t="shared" si="150"/>
        <v>0</v>
      </c>
      <c r="BT135" s="8">
        <f t="shared" si="150"/>
        <v>0</v>
      </c>
      <c r="BU135" s="8">
        <f t="shared" si="150"/>
        <v>0</v>
      </c>
      <c r="BV135" s="8">
        <f t="shared" si="150"/>
        <v>0</v>
      </c>
      <c r="BW135" s="8">
        <f t="shared" si="150"/>
        <v>0</v>
      </c>
      <c r="BX135" s="8">
        <f t="shared" si="150"/>
        <v>0</v>
      </c>
      <c r="BY135" s="8">
        <f t="shared" si="150"/>
        <v>0</v>
      </c>
      <c r="BZ135" s="8">
        <f t="shared" ref="BZ135:DA135" si="151">IF(ROUND(BY136,4)=-ROUND(BY135,4),0,BY135)</f>
        <v>0</v>
      </c>
      <c r="CA135" s="8">
        <f t="shared" si="151"/>
        <v>0</v>
      </c>
      <c r="CB135" s="8">
        <f t="shared" si="151"/>
        <v>0</v>
      </c>
      <c r="CC135" s="8">
        <f t="shared" si="151"/>
        <v>0</v>
      </c>
      <c r="CD135" s="8">
        <f t="shared" si="151"/>
        <v>0</v>
      </c>
      <c r="CE135" s="8">
        <f t="shared" si="151"/>
        <v>0</v>
      </c>
      <c r="CF135" s="8">
        <f t="shared" si="151"/>
        <v>0</v>
      </c>
      <c r="CG135" s="8">
        <f t="shared" si="151"/>
        <v>0</v>
      </c>
      <c r="CH135" s="8">
        <f t="shared" si="151"/>
        <v>0</v>
      </c>
      <c r="CI135" s="8">
        <f t="shared" si="151"/>
        <v>0</v>
      </c>
      <c r="CJ135" s="8">
        <f t="shared" si="151"/>
        <v>0</v>
      </c>
      <c r="CK135" s="8">
        <f t="shared" si="151"/>
        <v>0</v>
      </c>
      <c r="CL135" s="8">
        <f t="shared" si="151"/>
        <v>0</v>
      </c>
      <c r="CM135" s="8">
        <f t="shared" si="151"/>
        <v>0</v>
      </c>
      <c r="CN135" s="8">
        <f t="shared" si="151"/>
        <v>0</v>
      </c>
      <c r="CO135" s="8">
        <f t="shared" si="151"/>
        <v>0</v>
      </c>
      <c r="CP135" s="8">
        <f t="shared" si="151"/>
        <v>0</v>
      </c>
      <c r="CQ135" s="8">
        <f t="shared" si="151"/>
        <v>0</v>
      </c>
      <c r="CR135" s="8">
        <f t="shared" si="151"/>
        <v>0</v>
      </c>
      <c r="CS135" s="8">
        <f t="shared" si="151"/>
        <v>0</v>
      </c>
      <c r="CT135" s="8">
        <f t="shared" si="151"/>
        <v>0</v>
      </c>
      <c r="CU135" s="8">
        <f t="shared" si="151"/>
        <v>0</v>
      </c>
      <c r="CV135" s="8">
        <f t="shared" si="151"/>
        <v>0</v>
      </c>
      <c r="CW135" s="8">
        <f t="shared" si="151"/>
        <v>0</v>
      </c>
      <c r="CX135" s="8">
        <f t="shared" si="151"/>
        <v>0</v>
      </c>
      <c r="CY135" s="8">
        <f t="shared" si="151"/>
        <v>0</v>
      </c>
      <c r="CZ135" s="8">
        <f t="shared" si="151"/>
        <v>0</v>
      </c>
      <c r="DA135" s="8">
        <f t="shared" si="151"/>
        <v>0</v>
      </c>
      <c r="DB135" s="8"/>
      <c r="DC135" s="8"/>
      <c r="DD135" s="8"/>
      <c r="DE135" s="8"/>
    </row>
    <row r="136" spans="3:109" x14ac:dyDescent="0.4">
      <c r="D136" t="s">
        <v>208</v>
      </c>
      <c r="L136" s="8"/>
      <c r="M136" s="8">
        <f>IF(M132&lt;=$B$3,-SUM($E134:M134),0)</f>
        <v>-69506.710738302398</v>
      </c>
      <c r="N136" s="8">
        <f>IF(N132&lt;=$B$3,-SUM($E134:N134),0)</f>
        <v>-139013.4214766048</v>
      </c>
      <c r="O136" s="8">
        <f>IF(O132&lt;=$B$3,-SUM($E134:O134),0)</f>
        <v>-208520.13221490721</v>
      </c>
      <c r="P136" s="8">
        <f>IF(P132&lt;=$B$3,-SUM($E134:P134),0)</f>
        <v>-278026.84295320959</v>
      </c>
      <c r="Q136" s="8">
        <f>IF(Q132&lt;=$B$3,-SUM($E134:Q134),0)</f>
        <v>-347533.55369151197</v>
      </c>
      <c r="R136" s="8">
        <f>IF(R132&lt;=$B$3,-SUM($E134:R134),0)</f>
        <v>-417040.26442981436</v>
      </c>
      <c r="S136" s="8">
        <f>IF(S132&lt;=$B$3,-SUM($E134:S134),0)</f>
        <v>-486546.97516811674</v>
      </c>
      <c r="T136" s="8">
        <f>IF(T132&lt;=$B$3,-SUM($E134:T134),0)</f>
        <v>-556053.68590641918</v>
      </c>
      <c r="U136" s="8">
        <f>IF(U132&lt;=$B$3,-SUM($E134:U134),0)</f>
        <v>-625560.39664472162</v>
      </c>
      <c r="V136" s="8">
        <f>IF(V132&lt;=$B$3,-SUM($E134:V134),0)</f>
        <v>-695067.10738302406</v>
      </c>
      <c r="W136" s="8">
        <f>IF(W132&lt;=$B$3,-SUM($E134:W134),0)</f>
        <v>-764573.81812132651</v>
      </c>
      <c r="X136" s="8">
        <f>IF(X132&lt;=$B$3,-SUM($E134:X134),0)</f>
        <v>-834080.52885962895</v>
      </c>
      <c r="Y136" s="8">
        <f>IF(Y132&lt;=$B$3,-SUM($E134:Y134),0)</f>
        <v>-903587.23959793139</v>
      </c>
      <c r="Z136" s="8">
        <f>IF(Z132&lt;=$B$3,-SUM($E134:Z134),0)</f>
        <v>-973093.95033623383</v>
      </c>
      <c r="AA136" s="8">
        <f>IF(AA132&lt;=$B$3,-SUM($E134:AA134),0)</f>
        <v>-1042600.6610745363</v>
      </c>
      <c r="AB136" s="8">
        <f>IF(AB132&lt;=$B$3,-SUM($E134:AB134),0)</f>
        <v>-1112107.3718128386</v>
      </c>
      <c r="AC136" s="8">
        <f>IF(AC132&lt;=$B$3,-SUM($E134:AC134),0)</f>
        <v>-1181614.082551141</v>
      </c>
      <c r="AD136" s="8">
        <f>IF(AD132&lt;=$B$3,-SUM($E134:AD134),0)</f>
        <v>-1251120.7932894435</v>
      </c>
      <c r="AE136" s="8">
        <f>IF(AE132&lt;=$B$3,-SUM($E134:AE134),0)</f>
        <v>-1320627.5040277459</v>
      </c>
      <c r="AF136" s="8">
        <f>IF(AF132&lt;=$B$3,-SUM($E134:AF134),0)</f>
        <v>-1390134.2147660484</v>
      </c>
      <c r="AG136" s="8">
        <f>IF(AG132&lt;=$B$3,-SUM($E134:AG134),0)</f>
        <v>-1459640.9255043508</v>
      </c>
      <c r="AH136" s="8">
        <f>IF(AH132&lt;=$B$3,-SUM($E134:AH134),0)</f>
        <v>-1529147.6362426532</v>
      </c>
      <c r="AI136" s="8">
        <f>IF(AI132&lt;=$B$3,-SUM($E134:AI134),0)</f>
        <v>-1598654.3469809557</v>
      </c>
      <c r="AJ136" s="8">
        <f>IF(AJ132&lt;=$B$3,-SUM($E134:AJ134),0)</f>
        <v>-1668161.0577192581</v>
      </c>
      <c r="AK136" s="8">
        <f>IF(AK132&lt;=$B$3,-SUM($E134:AK134),0)</f>
        <v>-1737667.7684575606</v>
      </c>
      <c r="AL136" s="8">
        <f>IF(AL132&lt;=$B$3,-SUM($E134:AL134),0)</f>
        <v>-1807174.479195863</v>
      </c>
      <c r="AM136" s="8">
        <f>IF(AM132&lt;=$B$3,-SUM($E134:AM134),0)</f>
        <v>-1876681.1899341654</v>
      </c>
      <c r="AN136" s="8">
        <f>IF(AN132&lt;=$B$3,-SUM($E134:AN134),0)</f>
        <v>-1946187.9006724679</v>
      </c>
      <c r="AO136" s="8">
        <f>IF(AO132&lt;=$B$3,-SUM($E134:AO134),0)</f>
        <v>-2015694.6114107703</v>
      </c>
      <c r="AP136" s="8">
        <f>IF(AP132&lt;=$B$3,-SUM($E134:AP134),0)</f>
        <v>-2085201.3221490728</v>
      </c>
      <c r="AQ136" s="8">
        <f>IF(AQ132&lt;=$B$3,-SUM($E134:AQ134),0)</f>
        <v>-2154708.032887375</v>
      </c>
      <c r="AR136" s="8">
        <f>IF(AR132&lt;=$B$3,-SUM($E134:AR134),0)</f>
        <v>-2224214.7436256772</v>
      </c>
      <c r="AS136" s="8">
        <f>IF(AS132&lt;=$B$3,-SUM($E134:AS134),0)</f>
        <v>-2293721.4543639794</v>
      </c>
      <c r="AT136" s="8">
        <f>IF(AT132&lt;=$B$3,-SUM($E134:AT134),0)</f>
        <v>-2363228.1651022816</v>
      </c>
      <c r="AU136" s="8">
        <f>IF(AU132&lt;=$B$3,-SUM($E134:AU134),0)</f>
        <v>-2432734.8758405838</v>
      </c>
      <c r="AV136" s="8">
        <f>IF(AV132&lt;=$B$3,-SUM($E134:AV134),0)</f>
        <v>-2502241.586578886</v>
      </c>
      <c r="AW136" s="8">
        <f>IF(AW132&lt;=$B$3,-SUM($E134:AW134),0)</f>
        <v>-2571748.2973171882</v>
      </c>
      <c r="AX136" s="8">
        <f>IF(AX132&lt;=$B$3,-SUM($E134:AX134),0)</f>
        <v>-2641255.0080554904</v>
      </c>
      <c r="AY136" s="8">
        <f>IF(AY132&lt;=$B$3,-SUM($E134:AY134),0)</f>
        <v>-2710761.7187937927</v>
      </c>
      <c r="AZ136" s="8">
        <f>IF(AZ132&lt;=$B$3,-SUM($E134:AZ134),0)</f>
        <v>-2780268.4295320949</v>
      </c>
      <c r="BA136" s="8">
        <f>IF(BA132&lt;=$B$3,-SUM($E134:BA134),0)</f>
        <v>-2849775.1402703971</v>
      </c>
      <c r="BB136" s="8">
        <f>IF(BB132&lt;=$B$3,-SUM($E134:BB134),0)</f>
        <v>-2919281.8510086993</v>
      </c>
      <c r="BC136" s="8">
        <f>IF(BC132&lt;=$B$3,-SUM($E134:BC134),0)</f>
        <v>-2988788.5617470015</v>
      </c>
      <c r="BD136" s="8">
        <f>IF(BD132&lt;=$B$3,-SUM($E134:BD134),0)</f>
        <v>-3058295.2724853037</v>
      </c>
      <c r="BE136" s="8">
        <f>IF(BE132&lt;=$B$3,-SUM($E134:BE134),0)</f>
        <v>-3127801.9832236059</v>
      </c>
      <c r="BF136" s="8">
        <f>IF(BF132&lt;=$B$3,-SUM($E134:BF134),0)</f>
        <v>-3197308.6939619081</v>
      </c>
      <c r="BG136" s="8">
        <f>IF(BG132&lt;=$B$3,-SUM($E134:BG134),0)</f>
        <v>-3266815.4047002103</v>
      </c>
      <c r="BH136" s="8">
        <f>IF(BH132&lt;=$B$3,-SUM($E134:BH134),0)</f>
        <v>-3336322.1154385125</v>
      </c>
      <c r="BI136" s="8">
        <f>IF(BI132&lt;=$B$3,-SUM($E134:BI134),0)</f>
        <v>-3405828.8261768147</v>
      </c>
      <c r="BJ136" s="8">
        <f>IF(BJ132&lt;=$B$3,-SUM($E134:BJ134),0)</f>
        <v>-3475335.5369151169</v>
      </c>
      <c r="BK136" s="8">
        <f>IF(BK132&lt;=$B$3,-SUM($E134:BK134),0)</f>
        <v>0</v>
      </c>
      <c r="BL136" s="8">
        <f>IF(BL132&lt;=$B$3,-SUM($E134:BL134),0)</f>
        <v>0</v>
      </c>
      <c r="BM136" s="8">
        <f>IF(BM132&lt;=$B$3,-SUM($E134:BM134),0)</f>
        <v>0</v>
      </c>
      <c r="BN136" s="8">
        <f>IF(BN132&lt;=$B$3,-SUM($E134:BN134),0)</f>
        <v>0</v>
      </c>
      <c r="BO136" s="8">
        <f>IF(BO132&lt;=$B$3,-SUM($E134:BO134),0)</f>
        <v>0</v>
      </c>
      <c r="BP136" s="8">
        <f>IF(BP132&lt;=$B$3,-SUM($E134:BP134),0)</f>
        <v>0</v>
      </c>
      <c r="BQ136" s="8">
        <f>IF(BQ132&lt;=$B$3,-SUM($E134:BQ134),0)</f>
        <v>0</v>
      </c>
      <c r="BR136" s="8">
        <f>IF(BR132&lt;=$B$3,-SUM($E134:BR134),0)</f>
        <v>0</v>
      </c>
      <c r="BS136" s="8">
        <f>IF(BS132&lt;=$B$3,-SUM($E134:BS134),0)</f>
        <v>0</v>
      </c>
      <c r="BT136" s="8">
        <f>IF(BT132&lt;=$B$3,-SUM($E134:BT134),0)</f>
        <v>0</v>
      </c>
      <c r="BU136" s="8">
        <f>IF(BU132&lt;=$B$3,-SUM($E134:BU134),0)</f>
        <v>0</v>
      </c>
      <c r="BV136" s="8">
        <f>IF(BV132&lt;=$B$3,-SUM($E134:BV134),0)</f>
        <v>0</v>
      </c>
      <c r="BW136" s="8">
        <f>IF(BW132&lt;=$B$3,-SUM($E134:BW134),0)</f>
        <v>0</v>
      </c>
      <c r="BX136" s="8">
        <f>IF(BX132&lt;=$B$3,-SUM($E134:BX134),0)</f>
        <v>0</v>
      </c>
      <c r="BY136" s="8">
        <f>IF(BY132&lt;=$B$3,-SUM($E134:BY134),0)</f>
        <v>0</v>
      </c>
      <c r="BZ136" s="8">
        <f>IF(BZ132&lt;=$B$3,-SUM($E134:BZ134),0)</f>
        <v>0</v>
      </c>
      <c r="CA136" s="8">
        <f>IF(CA132&lt;=$B$3,-SUM($E134:CA134),0)</f>
        <v>0</v>
      </c>
      <c r="CB136" s="8">
        <f>IF(CB132&lt;=$B$3,-SUM($E134:CB134),0)</f>
        <v>0</v>
      </c>
      <c r="CC136" s="8">
        <f>IF(CC132&lt;=$B$3,-SUM($E134:CC134),0)</f>
        <v>0</v>
      </c>
      <c r="CD136" s="8">
        <f>IF(CD132&lt;=$B$3,-SUM($E134:CD134),0)</f>
        <v>0</v>
      </c>
      <c r="CE136" s="8">
        <f>IF(CE132&lt;=$B$3,-SUM($E134:CE134),0)</f>
        <v>0</v>
      </c>
      <c r="CF136" s="8">
        <f>IF(CF132&lt;=$B$3,-SUM($E134:CF134),0)</f>
        <v>0</v>
      </c>
      <c r="CG136" s="8">
        <f>IF(CG132&lt;=$B$3,-SUM($E134:CG134),0)</f>
        <v>0</v>
      </c>
      <c r="CH136" s="8">
        <f>IF(CH132&lt;=$B$3,-SUM($E134:CH134),0)</f>
        <v>0</v>
      </c>
      <c r="CI136" s="8">
        <f>IF(CI132&lt;=$B$3,-SUM($E134:CI134),0)</f>
        <v>0</v>
      </c>
      <c r="CJ136" s="8">
        <f>IF(CJ132&lt;=$B$3,-SUM($E134:CJ134),0)</f>
        <v>0</v>
      </c>
      <c r="CK136" s="8">
        <f>IF(CK132&lt;=$B$3,-SUM($E134:CK134),0)</f>
        <v>0</v>
      </c>
      <c r="CL136" s="8">
        <f>IF(CL132&lt;=$B$3,-SUM($E134:CL134),0)</f>
        <v>0</v>
      </c>
      <c r="CM136" s="8">
        <f>IF(CM132&lt;=$B$3,-SUM($E134:CM134),0)</f>
        <v>0</v>
      </c>
      <c r="CN136" s="8">
        <f>IF(CN132&lt;=$B$3,-SUM($E134:CN134),0)</f>
        <v>0</v>
      </c>
      <c r="CO136" s="8">
        <f>IF(CO132&lt;=$B$3,-SUM($E134:CO134),0)</f>
        <v>0</v>
      </c>
      <c r="CP136" s="8">
        <f>IF(CP132&lt;=$B$3,-SUM($E134:CP134),0)</f>
        <v>0</v>
      </c>
      <c r="CQ136" s="8">
        <f>IF(CQ132&lt;=$B$3,-SUM($E134:CQ134),0)</f>
        <v>0</v>
      </c>
      <c r="CR136" s="8">
        <f>IF(CR132&lt;=$B$3,-SUM($E134:CR134),0)</f>
        <v>0</v>
      </c>
      <c r="CS136" s="8">
        <f>IF(CS132&lt;=$B$3,-SUM($E134:CS134),0)</f>
        <v>0</v>
      </c>
      <c r="CT136" s="8">
        <f>IF(CT132&lt;=$B$3,-SUM($E134:CT134),0)</f>
        <v>0</v>
      </c>
      <c r="CU136" s="8">
        <f>IF(CU132&lt;=$B$3,-SUM($E134:CU134),0)</f>
        <v>0</v>
      </c>
      <c r="CV136" s="8">
        <f>IF(CV132&lt;=$B$3,-SUM($E134:CV134),0)</f>
        <v>0</v>
      </c>
      <c r="CW136" s="8">
        <f>IF(CW132&lt;=$B$3,-SUM($E134:CW134),0)</f>
        <v>0</v>
      </c>
      <c r="CX136" s="8">
        <f>IF(CX132&lt;=$B$3,-SUM($E134:CX134),0)</f>
        <v>0</v>
      </c>
      <c r="CY136" s="8">
        <f>IF(CY132&lt;=$B$3,-SUM($E134:CY134),0)</f>
        <v>0</v>
      </c>
      <c r="CZ136" s="8">
        <f>IF(CZ132&lt;=$B$3,-SUM($E134:CZ134),0)</f>
        <v>0</v>
      </c>
      <c r="DA136" s="8">
        <f>IF(DA132&lt;=$B$3,-SUM($E134:DA134),0)</f>
        <v>0</v>
      </c>
      <c r="DB136" s="8"/>
      <c r="DC136" s="8"/>
      <c r="DD136" s="8"/>
      <c r="DE136" s="8"/>
    </row>
    <row r="137" spans="3:109" x14ac:dyDescent="0.4">
      <c r="D137" t="s">
        <v>167</v>
      </c>
      <c r="L137" s="8"/>
      <c r="M137" s="8">
        <f>L138</f>
        <v>3475335.5369151197</v>
      </c>
      <c r="N137" s="8">
        <f t="shared" ref="N137:BY137" si="152">M138</f>
        <v>3405828.8261768175</v>
      </c>
      <c r="O137" s="8">
        <f t="shared" si="152"/>
        <v>3336322.1154385149</v>
      </c>
      <c r="P137" s="8">
        <f t="shared" si="152"/>
        <v>3266815.4047002126</v>
      </c>
      <c r="Q137" s="8">
        <f t="shared" si="152"/>
        <v>3197308.69396191</v>
      </c>
      <c r="R137" s="8">
        <f t="shared" si="152"/>
        <v>3127801.9832236078</v>
      </c>
      <c r="S137" s="8">
        <f t="shared" si="152"/>
        <v>3058295.2724853056</v>
      </c>
      <c r="T137" s="8">
        <f t="shared" si="152"/>
        <v>2988788.5617470029</v>
      </c>
      <c r="U137" s="8">
        <f t="shared" si="152"/>
        <v>2919281.8510087007</v>
      </c>
      <c r="V137" s="8">
        <f t="shared" si="152"/>
        <v>2849775.140270398</v>
      </c>
      <c r="W137" s="8">
        <f t="shared" si="152"/>
        <v>2780268.4295320958</v>
      </c>
      <c r="X137" s="8">
        <f t="shared" si="152"/>
        <v>2710761.7187937931</v>
      </c>
      <c r="Y137" s="8">
        <f t="shared" si="152"/>
        <v>2641255.0080554909</v>
      </c>
      <c r="Z137" s="8">
        <f t="shared" si="152"/>
        <v>2571748.2973171882</v>
      </c>
      <c r="AA137" s="8">
        <f t="shared" si="152"/>
        <v>2502241.586578886</v>
      </c>
      <c r="AB137" s="8">
        <f t="shared" si="152"/>
        <v>2432734.8758405834</v>
      </c>
      <c r="AC137" s="8">
        <f t="shared" si="152"/>
        <v>2363228.1651022811</v>
      </c>
      <c r="AD137" s="8">
        <f t="shared" si="152"/>
        <v>2293721.4543639785</v>
      </c>
      <c r="AE137" s="8">
        <f t="shared" si="152"/>
        <v>2224214.7436256763</v>
      </c>
      <c r="AF137" s="8">
        <f t="shared" si="152"/>
        <v>2154708.0328873741</v>
      </c>
      <c r="AG137" s="8">
        <f t="shared" si="152"/>
        <v>2085201.3221490714</v>
      </c>
      <c r="AH137" s="8">
        <f t="shared" si="152"/>
        <v>2015694.6114107689</v>
      </c>
      <c r="AI137" s="8">
        <f t="shared" si="152"/>
        <v>1946187.9006724665</v>
      </c>
      <c r="AJ137" s="8">
        <f t="shared" si="152"/>
        <v>1876681.1899341641</v>
      </c>
      <c r="AK137" s="8">
        <f t="shared" si="152"/>
        <v>1807174.4791958616</v>
      </c>
      <c r="AL137" s="8">
        <f t="shared" si="152"/>
        <v>1737667.7684575592</v>
      </c>
      <c r="AM137" s="8">
        <f t="shared" si="152"/>
        <v>1668161.0577192567</v>
      </c>
      <c r="AN137" s="8">
        <f t="shared" si="152"/>
        <v>1598654.3469809543</v>
      </c>
      <c r="AO137" s="8">
        <f t="shared" si="152"/>
        <v>1529147.6362426518</v>
      </c>
      <c r="AP137" s="8">
        <f t="shared" si="152"/>
        <v>1459640.9255043494</v>
      </c>
      <c r="AQ137" s="8">
        <f t="shared" si="152"/>
        <v>1390134.214766047</v>
      </c>
      <c r="AR137" s="8">
        <f t="shared" si="152"/>
        <v>1320627.5040277448</v>
      </c>
      <c r="AS137" s="8">
        <f t="shared" si="152"/>
        <v>1251120.7932894425</v>
      </c>
      <c r="AT137" s="8">
        <f t="shared" si="152"/>
        <v>1181614.0825511403</v>
      </c>
      <c r="AU137" s="8">
        <f t="shared" si="152"/>
        <v>1112107.3718128381</v>
      </c>
      <c r="AV137" s="8">
        <f t="shared" si="152"/>
        <v>1042600.6610745359</v>
      </c>
      <c r="AW137" s="8">
        <f t="shared" si="152"/>
        <v>973093.95033623371</v>
      </c>
      <c r="AX137" s="8">
        <f t="shared" si="152"/>
        <v>903587.2395979315</v>
      </c>
      <c r="AY137" s="8">
        <f t="shared" si="152"/>
        <v>834080.5288596293</v>
      </c>
      <c r="AZ137" s="8">
        <f t="shared" si="152"/>
        <v>764573.81812132709</v>
      </c>
      <c r="BA137" s="8">
        <f t="shared" si="152"/>
        <v>695067.10738302488</v>
      </c>
      <c r="BB137" s="8">
        <f t="shared" si="152"/>
        <v>625560.39664472267</v>
      </c>
      <c r="BC137" s="8">
        <f t="shared" si="152"/>
        <v>556053.68590642046</v>
      </c>
      <c r="BD137" s="8">
        <f t="shared" si="152"/>
        <v>486546.97516811825</v>
      </c>
      <c r="BE137" s="8">
        <f t="shared" si="152"/>
        <v>417040.26442981604</v>
      </c>
      <c r="BF137" s="8">
        <f t="shared" si="152"/>
        <v>347533.55369151384</v>
      </c>
      <c r="BG137" s="8">
        <f t="shared" si="152"/>
        <v>278026.84295321163</v>
      </c>
      <c r="BH137" s="8">
        <f t="shared" si="152"/>
        <v>208520.13221490942</v>
      </c>
      <c r="BI137" s="8">
        <f t="shared" si="152"/>
        <v>139013.42147660721</v>
      </c>
      <c r="BJ137" s="8">
        <f t="shared" si="152"/>
        <v>69506.710738305002</v>
      </c>
      <c r="BK137" s="8">
        <f t="shared" si="152"/>
        <v>0</v>
      </c>
      <c r="BL137" s="8">
        <f t="shared" si="152"/>
        <v>0</v>
      </c>
      <c r="BM137" s="8">
        <f t="shared" si="152"/>
        <v>0</v>
      </c>
      <c r="BN137" s="8">
        <f t="shared" si="152"/>
        <v>0</v>
      </c>
      <c r="BO137" s="8">
        <f t="shared" si="152"/>
        <v>0</v>
      </c>
      <c r="BP137" s="8">
        <f t="shared" si="152"/>
        <v>0</v>
      </c>
      <c r="BQ137" s="8">
        <f t="shared" si="152"/>
        <v>0</v>
      </c>
      <c r="BR137" s="8">
        <f t="shared" si="152"/>
        <v>0</v>
      </c>
      <c r="BS137" s="8">
        <f t="shared" si="152"/>
        <v>0</v>
      </c>
      <c r="BT137" s="8">
        <f t="shared" si="152"/>
        <v>0</v>
      </c>
      <c r="BU137" s="8">
        <f t="shared" si="152"/>
        <v>0</v>
      </c>
      <c r="BV137" s="8">
        <f t="shared" si="152"/>
        <v>0</v>
      </c>
      <c r="BW137" s="8">
        <f t="shared" si="152"/>
        <v>0</v>
      </c>
      <c r="BX137" s="8">
        <f t="shared" si="152"/>
        <v>0</v>
      </c>
      <c r="BY137" s="8">
        <f t="shared" si="152"/>
        <v>0</v>
      </c>
      <c r="BZ137" s="8">
        <f t="shared" ref="BZ137:DA137" si="153">BY138</f>
        <v>0</v>
      </c>
      <c r="CA137" s="8">
        <f t="shared" si="153"/>
        <v>0</v>
      </c>
      <c r="CB137" s="8">
        <f t="shared" si="153"/>
        <v>0</v>
      </c>
      <c r="CC137" s="8">
        <f t="shared" si="153"/>
        <v>0</v>
      </c>
      <c r="CD137" s="8">
        <f t="shared" si="153"/>
        <v>0</v>
      </c>
      <c r="CE137" s="8">
        <f t="shared" si="153"/>
        <v>0</v>
      </c>
      <c r="CF137" s="8">
        <f t="shared" si="153"/>
        <v>0</v>
      </c>
      <c r="CG137" s="8">
        <f t="shared" si="153"/>
        <v>0</v>
      </c>
      <c r="CH137" s="8">
        <f t="shared" si="153"/>
        <v>0</v>
      </c>
      <c r="CI137" s="8">
        <f t="shared" si="153"/>
        <v>0</v>
      </c>
      <c r="CJ137" s="8">
        <f t="shared" si="153"/>
        <v>0</v>
      </c>
      <c r="CK137" s="8">
        <f t="shared" si="153"/>
        <v>0</v>
      </c>
      <c r="CL137" s="8">
        <f t="shared" si="153"/>
        <v>0</v>
      </c>
      <c r="CM137" s="8">
        <f t="shared" si="153"/>
        <v>0</v>
      </c>
      <c r="CN137" s="8">
        <f t="shared" si="153"/>
        <v>0</v>
      </c>
      <c r="CO137" s="8">
        <f t="shared" si="153"/>
        <v>0</v>
      </c>
      <c r="CP137" s="8">
        <f t="shared" si="153"/>
        <v>0</v>
      </c>
      <c r="CQ137" s="8">
        <f t="shared" si="153"/>
        <v>0</v>
      </c>
      <c r="CR137" s="8">
        <f t="shared" si="153"/>
        <v>0</v>
      </c>
      <c r="CS137" s="8">
        <f t="shared" si="153"/>
        <v>0</v>
      </c>
      <c r="CT137" s="8">
        <f t="shared" si="153"/>
        <v>0</v>
      </c>
      <c r="CU137" s="8">
        <f t="shared" si="153"/>
        <v>0</v>
      </c>
      <c r="CV137" s="8">
        <f t="shared" si="153"/>
        <v>0</v>
      </c>
      <c r="CW137" s="8">
        <f t="shared" si="153"/>
        <v>0</v>
      </c>
      <c r="CX137" s="8">
        <f t="shared" si="153"/>
        <v>0</v>
      </c>
      <c r="CY137" s="8">
        <f t="shared" si="153"/>
        <v>0</v>
      </c>
      <c r="CZ137" s="8">
        <f t="shared" si="153"/>
        <v>0</v>
      </c>
      <c r="DA137" s="8">
        <f t="shared" si="153"/>
        <v>0</v>
      </c>
      <c r="DB137" s="8"/>
      <c r="DC137" s="8"/>
      <c r="DD137" s="8"/>
      <c r="DE137" s="8"/>
    </row>
    <row r="138" spans="3:109" x14ac:dyDescent="0.4">
      <c r="D138" t="s">
        <v>168</v>
      </c>
      <c r="L138" s="8">
        <f>L135+L136</f>
        <v>3475335.5369151197</v>
      </c>
      <c r="M138" s="8">
        <f>M135+M136</f>
        <v>3405828.8261768175</v>
      </c>
      <c r="N138" s="8">
        <f t="shared" ref="N138:BY138" si="154">N135+N136</f>
        <v>3336322.1154385149</v>
      </c>
      <c r="O138" s="8">
        <f t="shared" si="154"/>
        <v>3266815.4047002126</v>
      </c>
      <c r="P138" s="8">
        <f t="shared" si="154"/>
        <v>3197308.69396191</v>
      </c>
      <c r="Q138" s="8">
        <f t="shared" si="154"/>
        <v>3127801.9832236078</v>
      </c>
      <c r="R138" s="8">
        <f t="shared" si="154"/>
        <v>3058295.2724853056</v>
      </c>
      <c r="S138" s="8">
        <f t="shared" si="154"/>
        <v>2988788.5617470029</v>
      </c>
      <c r="T138" s="8">
        <f t="shared" si="154"/>
        <v>2919281.8510087007</v>
      </c>
      <c r="U138" s="8">
        <f t="shared" si="154"/>
        <v>2849775.140270398</v>
      </c>
      <c r="V138" s="8">
        <f t="shared" si="154"/>
        <v>2780268.4295320958</v>
      </c>
      <c r="W138" s="8">
        <f t="shared" si="154"/>
        <v>2710761.7187937931</v>
      </c>
      <c r="X138" s="8">
        <f t="shared" si="154"/>
        <v>2641255.0080554909</v>
      </c>
      <c r="Y138" s="8">
        <f t="shared" si="154"/>
        <v>2571748.2973171882</v>
      </c>
      <c r="Z138" s="8">
        <f t="shared" si="154"/>
        <v>2502241.586578886</v>
      </c>
      <c r="AA138" s="8">
        <f t="shared" si="154"/>
        <v>2432734.8758405834</v>
      </c>
      <c r="AB138" s="8">
        <f t="shared" si="154"/>
        <v>2363228.1651022811</v>
      </c>
      <c r="AC138" s="8">
        <f t="shared" si="154"/>
        <v>2293721.4543639785</v>
      </c>
      <c r="AD138" s="8">
        <f t="shared" si="154"/>
        <v>2224214.7436256763</v>
      </c>
      <c r="AE138" s="8">
        <f t="shared" si="154"/>
        <v>2154708.0328873741</v>
      </c>
      <c r="AF138" s="8">
        <f t="shared" si="154"/>
        <v>2085201.3221490714</v>
      </c>
      <c r="AG138" s="8">
        <f t="shared" si="154"/>
        <v>2015694.6114107689</v>
      </c>
      <c r="AH138" s="8">
        <f t="shared" si="154"/>
        <v>1946187.9006724665</v>
      </c>
      <c r="AI138" s="8">
        <f t="shared" si="154"/>
        <v>1876681.1899341641</v>
      </c>
      <c r="AJ138" s="8">
        <f t="shared" si="154"/>
        <v>1807174.4791958616</v>
      </c>
      <c r="AK138" s="8">
        <f t="shared" si="154"/>
        <v>1737667.7684575592</v>
      </c>
      <c r="AL138" s="8">
        <f t="shared" si="154"/>
        <v>1668161.0577192567</v>
      </c>
      <c r="AM138" s="8">
        <f t="shared" si="154"/>
        <v>1598654.3469809543</v>
      </c>
      <c r="AN138" s="8">
        <f t="shared" si="154"/>
        <v>1529147.6362426518</v>
      </c>
      <c r="AO138" s="8">
        <f t="shared" si="154"/>
        <v>1459640.9255043494</v>
      </c>
      <c r="AP138" s="8">
        <f t="shared" si="154"/>
        <v>1390134.214766047</v>
      </c>
      <c r="AQ138" s="8">
        <f t="shared" si="154"/>
        <v>1320627.5040277448</v>
      </c>
      <c r="AR138" s="8">
        <f t="shared" si="154"/>
        <v>1251120.7932894425</v>
      </c>
      <c r="AS138" s="8">
        <f t="shared" si="154"/>
        <v>1181614.0825511403</v>
      </c>
      <c r="AT138" s="8">
        <f t="shared" si="154"/>
        <v>1112107.3718128381</v>
      </c>
      <c r="AU138" s="8">
        <f t="shared" si="154"/>
        <v>1042600.6610745359</v>
      </c>
      <c r="AV138" s="8">
        <f t="shared" si="154"/>
        <v>973093.95033623371</v>
      </c>
      <c r="AW138" s="8">
        <f t="shared" si="154"/>
        <v>903587.2395979315</v>
      </c>
      <c r="AX138" s="8">
        <f t="shared" si="154"/>
        <v>834080.5288596293</v>
      </c>
      <c r="AY138" s="8">
        <f t="shared" si="154"/>
        <v>764573.81812132709</v>
      </c>
      <c r="AZ138" s="8">
        <f t="shared" si="154"/>
        <v>695067.10738302488</v>
      </c>
      <c r="BA138" s="8">
        <f t="shared" si="154"/>
        <v>625560.39664472267</v>
      </c>
      <c r="BB138" s="8">
        <f t="shared" si="154"/>
        <v>556053.68590642046</v>
      </c>
      <c r="BC138" s="8">
        <f t="shared" si="154"/>
        <v>486546.97516811825</v>
      </c>
      <c r="BD138" s="8">
        <f t="shared" si="154"/>
        <v>417040.26442981604</v>
      </c>
      <c r="BE138" s="8">
        <f t="shared" si="154"/>
        <v>347533.55369151384</v>
      </c>
      <c r="BF138" s="8">
        <f t="shared" si="154"/>
        <v>278026.84295321163</v>
      </c>
      <c r="BG138" s="8">
        <f t="shared" si="154"/>
        <v>208520.13221490942</v>
      </c>
      <c r="BH138" s="8">
        <f t="shared" si="154"/>
        <v>139013.42147660721</v>
      </c>
      <c r="BI138" s="8">
        <f t="shared" si="154"/>
        <v>69506.710738305002</v>
      </c>
      <c r="BJ138" s="8">
        <f t="shared" si="154"/>
        <v>0</v>
      </c>
      <c r="BK138" s="8">
        <f t="shared" si="154"/>
        <v>0</v>
      </c>
      <c r="BL138" s="8">
        <f t="shared" si="154"/>
        <v>0</v>
      </c>
      <c r="BM138" s="8">
        <f t="shared" si="154"/>
        <v>0</v>
      </c>
      <c r="BN138" s="8">
        <f t="shared" si="154"/>
        <v>0</v>
      </c>
      <c r="BO138" s="8">
        <f t="shared" si="154"/>
        <v>0</v>
      </c>
      <c r="BP138" s="8">
        <f t="shared" si="154"/>
        <v>0</v>
      </c>
      <c r="BQ138" s="8">
        <f t="shared" si="154"/>
        <v>0</v>
      </c>
      <c r="BR138" s="8">
        <f t="shared" si="154"/>
        <v>0</v>
      </c>
      <c r="BS138" s="8">
        <f t="shared" si="154"/>
        <v>0</v>
      </c>
      <c r="BT138" s="8">
        <f t="shared" si="154"/>
        <v>0</v>
      </c>
      <c r="BU138" s="8">
        <f t="shared" si="154"/>
        <v>0</v>
      </c>
      <c r="BV138" s="8">
        <f t="shared" si="154"/>
        <v>0</v>
      </c>
      <c r="BW138" s="8">
        <f t="shared" si="154"/>
        <v>0</v>
      </c>
      <c r="BX138" s="8">
        <f t="shared" si="154"/>
        <v>0</v>
      </c>
      <c r="BY138" s="8">
        <f t="shared" si="154"/>
        <v>0</v>
      </c>
      <c r="BZ138" s="8">
        <f t="shared" ref="BZ138:DA138" si="155">BZ135+BZ136</f>
        <v>0</v>
      </c>
      <c r="CA138" s="8">
        <f t="shared" si="155"/>
        <v>0</v>
      </c>
      <c r="CB138" s="8">
        <f t="shared" si="155"/>
        <v>0</v>
      </c>
      <c r="CC138" s="8">
        <f t="shared" si="155"/>
        <v>0</v>
      </c>
      <c r="CD138" s="8">
        <f t="shared" si="155"/>
        <v>0</v>
      </c>
      <c r="CE138" s="8">
        <f t="shared" si="155"/>
        <v>0</v>
      </c>
      <c r="CF138" s="8">
        <f t="shared" si="155"/>
        <v>0</v>
      </c>
      <c r="CG138" s="8">
        <f t="shared" si="155"/>
        <v>0</v>
      </c>
      <c r="CH138" s="8">
        <f t="shared" si="155"/>
        <v>0</v>
      </c>
      <c r="CI138" s="8">
        <f t="shared" si="155"/>
        <v>0</v>
      </c>
      <c r="CJ138" s="8">
        <f t="shared" si="155"/>
        <v>0</v>
      </c>
      <c r="CK138" s="8">
        <f t="shared" si="155"/>
        <v>0</v>
      </c>
      <c r="CL138" s="8">
        <f t="shared" si="155"/>
        <v>0</v>
      </c>
      <c r="CM138" s="8">
        <f t="shared" si="155"/>
        <v>0</v>
      </c>
      <c r="CN138" s="8">
        <f t="shared" si="155"/>
        <v>0</v>
      </c>
      <c r="CO138" s="8">
        <f t="shared" si="155"/>
        <v>0</v>
      </c>
      <c r="CP138" s="8">
        <f t="shared" si="155"/>
        <v>0</v>
      </c>
      <c r="CQ138" s="8">
        <f t="shared" si="155"/>
        <v>0</v>
      </c>
      <c r="CR138" s="8">
        <f t="shared" si="155"/>
        <v>0</v>
      </c>
      <c r="CS138" s="8">
        <f t="shared" si="155"/>
        <v>0</v>
      </c>
      <c r="CT138" s="8">
        <f t="shared" si="155"/>
        <v>0</v>
      </c>
      <c r="CU138" s="8">
        <f t="shared" si="155"/>
        <v>0</v>
      </c>
      <c r="CV138" s="8">
        <f t="shared" si="155"/>
        <v>0</v>
      </c>
      <c r="CW138" s="8">
        <f t="shared" si="155"/>
        <v>0</v>
      </c>
      <c r="CX138" s="8">
        <f t="shared" si="155"/>
        <v>0</v>
      </c>
      <c r="CY138" s="8">
        <f t="shared" si="155"/>
        <v>0</v>
      </c>
      <c r="CZ138" s="8">
        <f t="shared" si="155"/>
        <v>0</v>
      </c>
      <c r="DA138" s="8">
        <f t="shared" si="155"/>
        <v>0</v>
      </c>
      <c r="DB138" s="8"/>
      <c r="DC138" s="8"/>
      <c r="DD138" s="8"/>
      <c r="DE138" s="8"/>
    </row>
    <row r="139" spans="3:109" x14ac:dyDescent="0.4"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8"/>
      <c r="DD139" s="8"/>
      <c r="DE139" s="8"/>
    </row>
    <row r="140" spans="3:109" x14ac:dyDescent="0.4">
      <c r="D140" t="s">
        <v>169</v>
      </c>
      <c r="L140" s="8"/>
      <c r="M140" s="8">
        <f>IF(M132&lt;=$B$4+1,M135*VLOOKUP(M132,Assumptions!$A$70:$B$90,2,0),0)</f>
        <v>130325.08263431699</v>
      </c>
      <c r="N140" s="8">
        <f>IF(N132&lt;=$B$4+1,N135*VLOOKUP(N132,Assumptions!$A$70:$B$90,2,0),0)</f>
        <v>250884.47240990252</v>
      </c>
      <c r="O140" s="8">
        <f>IF(O132&lt;=$B$4+1,O135*VLOOKUP(O132,Assumptions!$A$70:$B$90,2,0),0)</f>
        <v>232048.15379982252</v>
      </c>
      <c r="P140" s="8">
        <f>IF(P132&lt;=$B$4+1,P135*VLOOKUP(P132,Assumptions!$A$70:$B$90,2,0),0)</f>
        <v>214671.47611524694</v>
      </c>
      <c r="Q140" s="8">
        <f>IF(Q132&lt;=$B$4+1,Q135*VLOOKUP(Q132,Assumptions!$A$70:$B$90,2,0),0)</f>
        <v>198545.91922396078</v>
      </c>
      <c r="R140" s="8">
        <f>IF(R132&lt;=$B$4+1,R135*VLOOKUP(R132,Assumptions!$A$70:$B$90,2,0),0)</f>
        <v>183671.48312596409</v>
      </c>
      <c r="S140" s="8">
        <f>IF(S132&lt;=$B$4+1,S135*VLOOKUP(S132,Assumptions!$A$70:$B$90,2,0),0)</f>
        <v>169874.40104441106</v>
      </c>
      <c r="T140" s="8">
        <f>IF(T132&lt;=$B$4+1,T135*VLOOKUP(T132,Assumptions!$A$70:$B$90,2,0),0)</f>
        <v>157154.67297930171</v>
      </c>
      <c r="U140" s="8">
        <f>IF(U132&lt;=$B$4+1,U135*VLOOKUP(U132,Assumptions!$A$70:$B$90,2,0),0)</f>
        <v>155069.47165715264</v>
      </c>
      <c r="V140" s="8">
        <f>IF(V132&lt;=$B$4+1,V135*VLOOKUP(V132,Assumptions!$A$70:$B$90,2,0),0)</f>
        <v>155034.71830178349</v>
      </c>
      <c r="W140" s="8">
        <f>IF(W132&lt;=$B$4+1,W135*VLOOKUP(W132,Assumptions!$A$70:$B$90,2,0),0)</f>
        <v>155069.47165715264</v>
      </c>
      <c r="X140" s="8">
        <f>IF(X132&lt;=$B$4+1,X135*VLOOKUP(X132,Assumptions!$A$70:$B$90,2,0),0)</f>
        <v>155034.71830178349</v>
      </c>
      <c r="Y140" s="8">
        <f>IF(Y132&lt;=$B$4+1,Y135*VLOOKUP(Y132,Assumptions!$A$70:$B$90,2,0),0)</f>
        <v>155069.47165715264</v>
      </c>
      <c r="Z140" s="8">
        <f>IF(Z132&lt;=$B$4+1,Z135*VLOOKUP(Z132,Assumptions!$A$70:$B$90,2,0),0)</f>
        <v>155034.71830178349</v>
      </c>
      <c r="AA140" s="8">
        <f>IF(AA132&lt;=$B$4+1,AA135*VLOOKUP(AA132,Assumptions!$A$70:$B$90,2,0),0)</f>
        <v>155069.47165715264</v>
      </c>
      <c r="AB140" s="8">
        <f>IF(AB132&lt;=$B$4+1,AB135*VLOOKUP(AB132,Assumptions!$A$70:$B$90,2,0),0)</f>
        <v>155034.71830178349</v>
      </c>
      <c r="AC140" s="8">
        <f>IF(AC132&lt;=$B$4+1,AC135*VLOOKUP(AC132,Assumptions!$A$70:$B$90,2,0),0)</f>
        <v>155069.47165715264</v>
      </c>
      <c r="AD140" s="8">
        <f>IF(AD132&lt;=$B$4+1,AD135*VLOOKUP(AD132,Assumptions!$A$70:$B$90,2,0),0)</f>
        <v>155034.71830178349</v>
      </c>
      <c r="AE140" s="8">
        <f>IF(AE132&lt;=$B$4+1,AE135*VLOOKUP(AE132,Assumptions!$A$70:$B$90,2,0),0)</f>
        <v>155069.47165715264</v>
      </c>
      <c r="AF140" s="8">
        <f>IF(AF132&lt;=$B$4+1,AF135*VLOOKUP(AF132,Assumptions!$A$70:$B$90,2,0),0)</f>
        <v>155034.71830178349</v>
      </c>
      <c r="AG140" s="8">
        <f>IF(AG132&lt;=$B$4+1,AG135*VLOOKUP(AG132,Assumptions!$A$70:$B$90,2,0),0)</f>
        <v>77534.735828576318</v>
      </c>
      <c r="AH140" s="8">
        <f>IF(AH132&lt;=$B$4+1,AH135*VLOOKUP(AH132,Assumptions!$A$70:$B$90,2,0),0)</f>
        <v>0</v>
      </c>
      <c r="AI140" s="8">
        <f>IF(AI132&lt;=$B$4+1,AI135*VLOOKUP(AI132,Assumptions!$A$70:$B$90,2,0),0)</f>
        <v>0</v>
      </c>
      <c r="AJ140" s="8">
        <f>IF(AJ132&lt;=$B$4+1,AJ135*VLOOKUP(AJ132,Assumptions!$A$70:$B$90,2,0),0)</f>
        <v>0</v>
      </c>
      <c r="AK140" s="8">
        <f>IF(AK132&lt;=$B$4+1,AK135*VLOOKUP(AK132,Assumptions!$A$70:$B$90,2,0),0)</f>
        <v>0</v>
      </c>
      <c r="AL140" s="8">
        <f>IF(AL132&lt;=$B$4+1,AL135*VLOOKUP(AL132,Assumptions!$A$70:$B$90,2,0),0)</f>
        <v>0</v>
      </c>
      <c r="AM140" s="8">
        <f>IF(AM132&lt;=$B$4+1,AM135*VLOOKUP(AM132,Assumptions!$A$70:$B$90,2,0),0)</f>
        <v>0</v>
      </c>
      <c r="AN140" s="8">
        <f>IF(AN132&lt;=$B$4+1,AN135*VLOOKUP(AN132,Assumptions!$A$70:$B$90,2,0),0)</f>
        <v>0</v>
      </c>
      <c r="AO140" s="8">
        <f>IF(AO132&lt;=$B$4+1,AO135*VLOOKUP(AO132,Assumptions!$A$70:$B$90,2,0),0)</f>
        <v>0</v>
      </c>
      <c r="AP140" s="8">
        <f>IF(AP132&lt;=$B$4+1,AP135*VLOOKUP(AP132,Assumptions!$A$70:$B$90,2,0),0)</f>
        <v>0</v>
      </c>
      <c r="AQ140" s="8">
        <f>IF(AQ132&lt;=$B$4+1,AQ135*VLOOKUP(AQ132,Assumptions!$A$70:$B$90,2,0),0)</f>
        <v>0</v>
      </c>
      <c r="AR140" s="8">
        <f>IF(AR132&lt;=$B$4+1,AR135*VLOOKUP(AR132,Assumptions!$A$70:$B$90,2,0),0)</f>
        <v>0</v>
      </c>
      <c r="AS140" s="8">
        <f>IF(AS132&lt;=$B$4+1,AS135*VLOOKUP(AS132,Assumptions!$A$70:$B$90,2,0),0)</f>
        <v>0</v>
      </c>
      <c r="AT140" s="8">
        <f>IF(AT132&lt;=$B$4+1,AT135*VLOOKUP(AT132,Assumptions!$A$70:$B$90,2,0),0)</f>
        <v>0</v>
      </c>
      <c r="AU140" s="8">
        <f>IF(AU132&lt;=$B$4+1,AU135*VLOOKUP(AU132,Assumptions!$A$70:$B$90,2,0),0)</f>
        <v>0</v>
      </c>
      <c r="AV140" s="8">
        <f>IF(AV132&lt;=$B$4+1,AV135*VLOOKUP(AV132,Assumptions!$A$70:$B$90,2,0),0)</f>
        <v>0</v>
      </c>
      <c r="AW140" s="8">
        <f>IF(AW132&lt;=$B$4+1,AW135*VLOOKUP(AW132,Assumptions!$A$70:$B$90,2,0),0)</f>
        <v>0</v>
      </c>
      <c r="AX140" s="8">
        <f>IF(AX132&lt;=$B$4+1,AX135*VLOOKUP(AX132,Assumptions!$A$70:$B$90,2,0),0)</f>
        <v>0</v>
      </c>
      <c r="AY140" s="8">
        <f>IF(AY132&lt;=$B$4+1,AY135*VLOOKUP(AY132,Assumptions!$A$70:$B$90,2,0),0)</f>
        <v>0</v>
      </c>
      <c r="AZ140" s="8">
        <f>IF(AZ132&lt;=$B$4+1,AZ135*VLOOKUP(AZ132,Assumptions!$A$70:$B$90,2,0),0)</f>
        <v>0</v>
      </c>
      <c r="BA140" s="8">
        <f>IF(BA132&lt;=$B$4+1,BA135*VLOOKUP(BA132,Assumptions!$A$70:$B$90,2,0),0)</f>
        <v>0</v>
      </c>
      <c r="BB140" s="8">
        <f>IF(BB132&lt;=$B$4+1,BB135*VLOOKUP(BB132,Assumptions!$A$70:$B$90,2,0),0)</f>
        <v>0</v>
      </c>
      <c r="BC140" s="8">
        <f>IF(BC132&lt;=$B$4+1,BC135*VLOOKUP(BC132,Assumptions!$A$70:$B$90,2,0),0)</f>
        <v>0</v>
      </c>
      <c r="BD140" s="8">
        <f>IF(BD132&lt;=$B$4+1,BD135*VLOOKUP(BD132,Assumptions!$A$70:$B$90,2,0),0)</f>
        <v>0</v>
      </c>
      <c r="BE140" s="8">
        <f>IF(BE132&lt;=$B$4+1,BE135*VLOOKUP(BE132,Assumptions!$A$70:$B$90,2,0),0)</f>
        <v>0</v>
      </c>
      <c r="BF140" s="8">
        <f>IF(BF132&lt;=$B$4+1,BF135*VLOOKUP(BF132,Assumptions!$A$70:$B$90,2,0),0)</f>
        <v>0</v>
      </c>
      <c r="BG140" s="8">
        <f>IF(BG132&lt;=$B$4+1,BG135*VLOOKUP(BG132,Assumptions!$A$70:$B$90,2,0),0)</f>
        <v>0</v>
      </c>
      <c r="BH140" s="8">
        <f>IF(BH132&lt;=$B$4+1,BH135*VLOOKUP(BH132,Assumptions!$A$70:$B$90,2,0),0)</f>
        <v>0</v>
      </c>
      <c r="BI140" s="8">
        <f>IF(BI132&lt;=$B$4+1,BI135*VLOOKUP(BI132,Assumptions!$A$70:$B$90,2,0),0)</f>
        <v>0</v>
      </c>
      <c r="BJ140" s="8">
        <f>IF(BJ132&lt;=$B$4+1,BJ135*VLOOKUP(BJ132,Assumptions!$A$70:$B$90,2,0),0)</f>
        <v>0</v>
      </c>
      <c r="BK140" s="8">
        <f>IF(BK132&lt;=$B$4+1,BK135*VLOOKUP(BK132,Assumptions!$A$70:$B$90,2,0),0)</f>
        <v>0</v>
      </c>
      <c r="BL140" s="8">
        <f>IF(BL132&lt;=$B$4+1,BL135*VLOOKUP(BL132,Assumptions!$A$70:$B$90,2,0),0)</f>
        <v>0</v>
      </c>
      <c r="BM140" s="8">
        <f>IF(BM132&lt;=$B$4+1,BM135*VLOOKUP(BM132,Assumptions!$A$70:$B$90,2,0),0)</f>
        <v>0</v>
      </c>
      <c r="BN140" s="8">
        <f>IF(BN132&lt;=$B$4+1,BN135*VLOOKUP(BN132,Assumptions!$A$70:$B$90,2,0),0)</f>
        <v>0</v>
      </c>
      <c r="BO140" s="8">
        <f>IF(BO132&lt;=$B$4+1,BO135*VLOOKUP(BO132,Assumptions!$A$70:$B$90,2,0),0)</f>
        <v>0</v>
      </c>
      <c r="BP140" s="8">
        <f>IF(BP132&lt;=$B$4+1,BP135*VLOOKUP(BP132,Assumptions!$A$70:$B$90,2,0),0)</f>
        <v>0</v>
      </c>
      <c r="BQ140" s="8">
        <f>IF(BQ132&lt;=$B$4+1,BQ135*VLOOKUP(BQ132,Assumptions!$A$70:$B$90,2,0),0)</f>
        <v>0</v>
      </c>
      <c r="BR140" s="8">
        <f>IF(BR132&lt;=$B$4+1,BR135*VLOOKUP(BR132,Assumptions!$A$70:$B$90,2,0),0)</f>
        <v>0</v>
      </c>
      <c r="BS140" s="8">
        <f>IF(BS132&lt;=$B$4+1,BS135*VLOOKUP(BS132,Assumptions!$A$70:$B$90,2,0),0)</f>
        <v>0</v>
      </c>
      <c r="BT140" s="8">
        <f>IF(BT132&lt;=$B$4+1,BT135*VLOOKUP(BT132,Assumptions!$A$70:$B$90,2,0),0)</f>
        <v>0</v>
      </c>
      <c r="BU140" s="8">
        <f>IF(BU132&lt;=$B$4+1,BU135*VLOOKUP(BU132,Assumptions!$A$70:$B$90,2,0),0)</f>
        <v>0</v>
      </c>
      <c r="BV140" s="8">
        <f>IF(BV132&lt;=$B$4+1,BV135*VLOOKUP(BV132,Assumptions!$A$70:$B$90,2,0),0)</f>
        <v>0</v>
      </c>
      <c r="BW140" s="8">
        <f>IF(BW132&lt;=$B$4+1,BW135*VLOOKUP(BW132,Assumptions!$A$70:$B$90,2,0),0)</f>
        <v>0</v>
      </c>
      <c r="BX140" s="8">
        <f>IF(BX132&lt;=$B$4+1,BX135*VLOOKUP(BX132,Assumptions!$A$70:$B$90,2,0),0)</f>
        <v>0</v>
      </c>
      <c r="BY140" s="8">
        <f>IF(BY132&lt;=$B$4+1,BY135*VLOOKUP(BY132,Assumptions!$A$70:$B$90,2,0),0)</f>
        <v>0</v>
      </c>
      <c r="BZ140" s="8">
        <f>IF(BZ132&lt;=$B$4+1,BZ135*VLOOKUP(BZ132,Assumptions!$A$70:$B$90,2,0),0)</f>
        <v>0</v>
      </c>
      <c r="CA140" s="8">
        <f>IF(CA132&lt;=$B$4+1,CA135*VLOOKUP(CA132,Assumptions!$A$70:$B$90,2,0),0)</f>
        <v>0</v>
      </c>
      <c r="CB140" s="8">
        <f>IF(CB132&lt;=$B$4+1,CB135*VLOOKUP(CB132,Assumptions!$A$70:$B$90,2,0),0)</f>
        <v>0</v>
      </c>
      <c r="CC140" s="8">
        <f>IF(CC132&lt;=$B$4+1,CC135*VLOOKUP(CC132,Assumptions!$A$70:$B$90,2,0),0)</f>
        <v>0</v>
      </c>
      <c r="CD140" s="8">
        <f>IF(CD132&lt;=$B$4+1,CD135*VLOOKUP(CD132,Assumptions!$A$70:$B$90,2,0),0)</f>
        <v>0</v>
      </c>
      <c r="CE140" s="8">
        <f>IF(CE132&lt;=$B$4+1,CE135*VLOOKUP(CE132,Assumptions!$A$70:$B$90,2,0),0)</f>
        <v>0</v>
      </c>
      <c r="CF140" s="8">
        <f>IF(CF132&lt;=$B$4+1,CF135*VLOOKUP(CF132,Assumptions!$A$70:$B$90,2,0),0)</f>
        <v>0</v>
      </c>
      <c r="CG140" s="8">
        <f>IF(CG132&lt;=$B$4+1,CG135*VLOOKUP(CG132,Assumptions!$A$70:$B$90,2,0),0)</f>
        <v>0</v>
      </c>
      <c r="CH140" s="8">
        <f>IF(CH132&lt;=$B$4+1,CH135*VLOOKUP(CH132,Assumptions!$A$70:$B$90,2,0),0)</f>
        <v>0</v>
      </c>
      <c r="CI140" s="8">
        <f>IF(CI132&lt;=$B$4+1,CI135*VLOOKUP(CI132,Assumptions!$A$70:$B$90,2,0),0)</f>
        <v>0</v>
      </c>
      <c r="CJ140" s="8">
        <f>IF(CJ132&lt;=$B$4+1,CJ135*VLOOKUP(CJ132,Assumptions!$A$70:$B$90,2,0),0)</f>
        <v>0</v>
      </c>
      <c r="CK140" s="8">
        <f>IF(CK132&lt;=$B$4+1,CK135*VLOOKUP(CK132,Assumptions!$A$70:$B$90,2,0),0)</f>
        <v>0</v>
      </c>
      <c r="CL140" s="8">
        <f>IF(CL132&lt;=$B$4+1,CL135*VLOOKUP(CL132,Assumptions!$A$70:$B$90,2,0),0)</f>
        <v>0</v>
      </c>
      <c r="CM140" s="8">
        <f>IF(CM132&lt;=$B$4+1,CM135*VLOOKUP(CM132,Assumptions!$A$70:$B$90,2,0),0)</f>
        <v>0</v>
      </c>
      <c r="CN140" s="8">
        <f>IF(CN132&lt;=$B$4+1,CN135*VLOOKUP(CN132,Assumptions!$A$70:$B$90,2,0),0)</f>
        <v>0</v>
      </c>
      <c r="CO140" s="8">
        <f>IF(CO132&lt;=$B$4+1,CO135*VLOOKUP(CO132,Assumptions!$A$70:$B$90,2,0),0)</f>
        <v>0</v>
      </c>
      <c r="CP140" s="8">
        <f>IF(CP132&lt;=$B$4+1,CP135*VLOOKUP(CP132,Assumptions!$A$70:$B$90,2,0),0)</f>
        <v>0</v>
      </c>
      <c r="CQ140" s="8">
        <f>IF(CQ132&lt;=$B$4+1,CQ135*VLOOKUP(CQ132,Assumptions!$A$70:$B$90,2,0),0)</f>
        <v>0</v>
      </c>
      <c r="CR140" s="8">
        <f>IF(CR132&lt;=$B$4+1,CR135*VLOOKUP(CR132,Assumptions!$A$70:$B$90,2,0),0)</f>
        <v>0</v>
      </c>
      <c r="CS140" s="8">
        <f>IF(CS132&lt;=$B$4+1,CS135*VLOOKUP(CS132,Assumptions!$A$70:$B$90,2,0),0)</f>
        <v>0</v>
      </c>
      <c r="CT140" s="8">
        <f>IF(CT132&lt;=$B$4+1,CT135*VLOOKUP(CT132,Assumptions!$A$70:$B$90,2,0),0)</f>
        <v>0</v>
      </c>
      <c r="CU140" s="8">
        <f>IF(CU132&lt;=$B$4+1,CU135*VLOOKUP(CU132,Assumptions!$A$70:$B$90,2,0),0)</f>
        <v>0</v>
      </c>
      <c r="CV140" s="8">
        <f>IF(CV132&lt;=$B$4+1,CV135*VLOOKUP(CV132,Assumptions!$A$70:$B$90,2,0),0)</f>
        <v>0</v>
      </c>
      <c r="CW140" s="8">
        <f>IF(CW132&lt;=$B$4+1,CW135*VLOOKUP(CW132,Assumptions!$A$70:$B$90,2,0),0)</f>
        <v>0</v>
      </c>
      <c r="CX140" s="8">
        <f>IF(CX132&lt;=$B$4+1,CX135*VLOOKUP(CX132,Assumptions!$A$70:$B$90,2,0),0)</f>
        <v>0</v>
      </c>
      <c r="CY140" s="8">
        <f>IF(CY132&lt;=$B$4+1,CY135*VLOOKUP(CY132,Assumptions!$A$70:$B$90,2,0),0)</f>
        <v>0</v>
      </c>
      <c r="CZ140" s="8">
        <f>IF(CZ132&lt;=$B$4+1,CZ135*VLOOKUP(CZ132,Assumptions!$A$70:$B$90,2,0),0)</f>
        <v>0</v>
      </c>
      <c r="DA140" s="8">
        <f>IF(DA132&lt;=$B$4+1,DA135*VLOOKUP(DA132,Assumptions!$A$70:$B$90,2,0),0)</f>
        <v>0</v>
      </c>
      <c r="DB140" s="8"/>
      <c r="DC140" s="8"/>
      <c r="DD140" s="8"/>
      <c r="DE140" s="8"/>
    </row>
    <row r="141" spans="3:109" x14ac:dyDescent="0.4">
      <c r="D141" t="s">
        <v>170</v>
      </c>
      <c r="L141" s="8"/>
      <c r="M141" s="8">
        <f>L142</f>
        <v>0</v>
      </c>
      <c r="N141" s="8">
        <f t="shared" ref="N141:BY141" si="156">M142</f>
        <v>-16855.811770980446</v>
      </c>
      <c r="O141" s="8">
        <f t="shared" si="156"/>
        <v>-67124.658418264415</v>
      </c>
      <c r="P141" s="8">
        <f t="shared" si="156"/>
        <v>-112173.01936276472</v>
      </c>
      <c r="Q141" s="8">
        <f t="shared" si="156"/>
        <v>-152405.4340869849</v>
      </c>
      <c r="R141" s="8">
        <f t="shared" si="156"/>
        <v>-188168.65071878512</v>
      </c>
      <c r="S141" s="8">
        <f t="shared" si="156"/>
        <v>-219809.41738602557</v>
      </c>
      <c r="T141" s="8">
        <f t="shared" si="156"/>
        <v>-247626.32275436359</v>
      </c>
      <c r="U141" s="8">
        <f t="shared" si="156"/>
        <v>-271917.95548945654</v>
      </c>
      <c r="V141" s="8">
        <f t="shared" si="156"/>
        <v>-295631.67467811587</v>
      </c>
      <c r="W141" s="8">
        <f t="shared" si="156"/>
        <v>-319335.76197433466</v>
      </c>
      <c r="X141" s="8">
        <f t="shared" si="156"/>
        <v>-343049.48116299399</v>
      </c>
      <c r="Y141" s="8">
        <f t="shared" si="156"/>
        <v>-366753.56845921278</v>
      </c>
      <c r="Z141" s="8">
        <f t="shared" si="156"/>
        <v>-390467.28764787212</v>
      </c>
      <c r="AA141" s="8">
        <f t="shared" si="156"/>
        <v>-414171.3749440909</v>
      </c>
      <c r="AB141" s="8">
        <f t="shared" si="156"/>
        <v>-437885.09413275024</v>
      </c>
      <c r="AC141" s="8">
        <f t="shared" si="156"/>
        <v>-461589.18142896902</v>
      </c>
      <c r="AD141" s="8">
        <f t="shared" si="156"/>
        <v>-485302.90061762836</v>
      </c>
      <c r="AE141" s="8">
        <f t="shared" si="156"/>
        <v>-509006.98791384714</v>
      </c>
      <c r="AF141" s="8">
        <f t="shared" si="156"/>
        <v>-532720.70710250654</v>
      </c>
      <c r="AG141" s="8">
        <f t="shared" si="156"/>
        <v>-556424.79439872527</v>
      </c>
      <c r="AH141" s="8">
        <f t="shared" si="156"/>
        <v>-558649.76155249472</v>
      </c>
      <c r="AI141" s="8">
        <f t="shared" si="156"/>
        <v>-539385.97667137417</v>
      </c>
      <c r="AJ141" s="8">
        <f t="shared" si="156"/>
        <v>-520122.19179025368</v>
      </c>
      <c r="AK141" s="8">
        <f t="shared" si="156"/>
        <v>-500858.40690913319</v>
      </c>
      <c r="AL141" s="8">
        <f t="shared" si="156"/>
        <v>-481594.6220280127</v>
      </c>
      <c r="AM141" s="8">
        <f t="shared" si="156"/>
        <v>-462330.83714689221</v>
      </c>
      <c r="AN141" s="8">
        <f t="shared" si="156"/>
        <v>-443067.05226577172</v>
      </c>
      <c r="AO141" s="8">
        <f t="shared" si="156"/>
        <v>-423803.26738465123</v>
      </c>
      <c r="AP141" s="8">
        <f t="shared" si="156"/>
        <v>-404539.48250353074</v>
      </c>
      <c r="AQ141" s="8">
        <f t="shared" si="156"/>
        <v>-385275.69762241025</v>
      </c>
      <c r="AR141" s="8">
        <f t="shared" si="156"/>
        <v>-366011.91274128977</v>
      </c>
      <c r="AS141" s="8">
        <f t="shared" si="156"/>
        <v>-346748.12786016928</v>
      </c>
      <c r="AT141" s="8">
        <f t="shared" si="156"/>
        <v>-327484.34297904879</v>
      </c>
      <c r="AU141" s="8">
        <f t="shared" si="156"/>
        <v>-308220.5580979283</v>
      </c>
      <c r="AV141" s="8">
        <f t="shared" si="156"/>
        <v>-288956.77321680781</v>
      </c>
      <c r="AW141" s="8">
        <f t="shared" si="156"/>
        <v>-269692.98833568732</v>
      </c>
      <c r="AX141" s="8">
        <f t="shared" si="156"/>
        <v>-250429.2034545668</v>
      </c>
      <c r="AY141" s="8">
        <f t="shared" si="156"/>
        <v>-231165.41857344628</v>
      </c>
      <c r="AZ141" s="8">
        <f t="shared" si="156"/>
        <v>-211901.63369232576</v>
      </c>
      <c r="BA141" s="8">
        <f t="shared" si="156"/>
        <v>-192637.84881120524</v>
      </c>
      <c r="BB141" s="8">
        <f t="shared" si="156"/>
        <v>-173374.06393008473</v>
      </c>
      <c r="BC141" s="8">
        <f t="shared" si="156"/>
        <v>-154110.27904896421</v>
      </c>
      <c r="BD141" s="8">
        <f t="shared" si="156"/>
        <v>-134846.49416784369</v>
      </c>
      <c r="BE141" s="8">
        <f t="shared" si="156"/>
        <v>-115582.70928672317</v>
      </c>
      <c r="BF141" s="8">
        <f t="shared" si="156"/>
        <v>-96318.924405602651</v>
      </c>
      <c r="BG141" s="8">
        <f t="shared" si="156"/>
        <v>-77055.139524482132</v>
      </c>
      <c r="BH141" s="8">
        <f t="shared" si="156"/>
        <v>-57791.354643361621</v>
      </c>
      <c r="BI141" s="8">
        <f t="shared" si="156"/>
        <v>-38527.56976224111</v>
      </c>
      <c r="BJ141" s="8">
        <f t="shared" si="156"/>
        <v>-19263.784881120599</v>
      </c>
      <c r="BK141" s="8">
        <f t="shared" si="156"/>
        <v>-8.7311491370201111E-11</v>
      </c>
      <c r="BL141" s="8">
        <f t="shared" si="156"/>
        <v>-8.7311491370201111E-11</v>
      </c>
      <c r="BM141" s="8">
        <f t="shared" si="156"/>
        <v>-8.7311491370201111E-11</v>
      </c>
      <c r="BN141" s="8">
        <f t="shared" si="156"/>
        <v>-8.7311491370201111E-11</v>
      </c>
      <c r="BO141" s="8">
        <f t="shared" si="156"/>
        <v>-8.7311491370201111E-11</v>
      </c>
      <c r="BP141" s="8">
        <f t="shared" si="156"/>
        <v>-8.7311491370201111E-11</v>
      </c>
      <c r="BQ141" s="8">
        <f t="shared" si="156"/>
        <v>-8.7311491370201111E-11</v>
      </c>
      <c r="BR141" s="8">
        <f t="shared" si="156"/>
        <v>-8.7311491370201111E-11</v>
      </c>
      <c r="BS141" s="8">
        <f t="shared" si="156"/>
        <v>-8.7311491370201111E-11</v>
      </c>
      <c r="BT141" s="8">
        <f t="shared" si="156"/>
        <v>-8.7311491370201111E-11</v>
      </c>
      <c r="BU141" s="8">
        <f t="shared" si="156"/>
        <v>-8.7311491370201111E-11</v>
      </c>
      <c r="BV141" s="8">
        <f t="shared" si="156"/>
        <v>-8.7311491370201111E-11</v>
      </c>
      <c r="BW141" s="8">
        <f t="shared" si="156"/>
        <v>-8.7311491370201111E-11</v>
      </c>
      <c r="BX141" s="8">
        <f t="shared" si="156"/>
        <v>-8.7311491370201111E-11</v>
      </c>
      <c r="BY141" s="8">
        <f t="shared" si="156"/>
        <v>-8.7311491370201111E-11</v>
      </c>
      <c r="BZ141" s="8">
        <f t="shared" ref="BZ141:DA141" si="157">BY142</f>
        <v>-8.7311491370201111E-11</v>
      </c>
      <c r="CA141" s="8">
        <f t="shared" si="157"/>
        <v>-8.7311491370201111E-11</v>
      </c>
      <c r="CB141" s="8">
        <f t="shared" si="157"/>
        <v>-8.7311491370201111E-11</v>
      </c>
      <c r="CC141" s="8">
        <f t="shared" si="157"/>
        <v>-8.7311491370201111E-11</v>
      </c>
      <c r="CD141" s="8">
        <f t="shared" si="157"/>
        <v>-8.7311491370201111E-11</v>
      </c>
      <c r="CE141" s="8">
        <f t="shared" si="157"/>
        <v>-8.7311491370201111E-11</v>
      </c>
      <c r="CF141" s="8">
        <f t="shared" si="157"/>
        <v>-8.7311491370201111E-11</v>
      </c>
      <c r="CG141" s="8">
        <f t="shared" si="157"/>
        <v>-8.7311491370201111E-11</v>
      </c>
      <c r="CH141" s="8">
        <f t="shared" si="157"/>
        <v>-8.7311491370201111E-11</v>
      </c>
      <c r="CI141" s="8">
        <f t="shared" si="157"/>
        <v>-8.7311491370201111E-11</v>
      </c>
      <c r="CJ141" s="8">
        <f t="shared" si="157"/>
        <v>-8.7311491370201111E-11</v>
      </c>
      <c r="CK141" s="8">
        <f t="shared" si="157"/>
        <v>-8.7311491370201111E-11</v>
      </c>
      <c r="CL141" s="8">
        <f t="shared" si="157"/>
        <v>-8.7311491370201111E-11</v>
      </c>
      <c r="CM141" s="8">
        <f t="shared" si="157"/>
        <v>-8.7311491370201111E-11</v>
      </c>
      <c r="CN141" s="8">
        <f t="shared" si="157"/>
        <v>-8.7311491370201111E-11</v>
      </c>
      <c r="CO141" s="8">
        <f t="shared" si="157"/>
        <v>-8.7311491370201111E-11</v>
      </c>
      <c r="CP141" s="8">
        <f t="shared" si="157"/>
        <v>-8.7311491370201111E-11</v>
      </c>
      <c r="CQ141" s="8">
        <f t="shared" si="157"/>
        <v>-8.7311491370201111E-11</v>
      </c>
      <c r="CR141" s="8">
        <f t="shared" si="157"/>
        <v>-8.7311491370201111E-11</v>
      </c>
      <c r="CS141" s="8">
        <f t="shared" si="157"/>
        <v>-8.7311491370201111E-11</v>
      </c>
      <c r="CT141" s="8">
        <f t="shared" si="157"/>
        <v>-8.7311491370201111E-11</v>
      </c>
      <c r="CU141" s="8">
        <f t="shared" si="157"/>
        <v>-8.7311491370201111E-11</v>
      </c>
      <c r="CV141" s="8">
        <f t="shared" si="157"/>
        <v>-8.7311491370201111E-11</v>
      </c>
      <c r="CW141" s="8">
        <f t="shared" si="157"/>
        <v>-8.7311491370201111E-11</v>
      </c>
      <c r="CX141" s="8">
        <f t="shared" si="157"/>
        <v>-8.7311491370201111E-11</v>
      </c>
      <c r="CY141" s="8">
        <f t="shared" si="157"/>
        <v>-8.7311491370201111E-11</v>
      </c>
      <c r="CZ141" s="8">
        <f t="shared" si="157"/>
        <v>-8.7311491370201111E-11</v>
      </c>
      <c r="DA141" s="8">
        <f t="shared" si="157"/>
        <v>-8.7311491370201111E-11</v>
      </c>
      <c r="DB141" s="8"/>
      <c r="DC141" s="8"/>
      <c r="DD141" s="8"/>
      <c r="DE141" s="8"/>
    </row>
    <row r="142" spans="3:109" x14ac:dyDescent="0.4">
      <c r="D142" t="s">
        <v>171</v>
      </c>
      <c r="L142" s="8"/>
      <c r="M142" s="8">
        <f t="shared" ref="M142:AR142" si="158">L142+((M134-M140)*INC_TAX_RATE)</f>
        <v>-16855.811770980446</v>
      </c>
      <c r="N142" s="8">
        <f t="shared" si="158"/>
        <v>-67124.658418264415</v>
      </c>
      <c r="O142" s="8">
        <f t="shared" si="158"/>
        <v>-112173.01936276472</v>
      </c>
      <c r="P142" s="8">
        <f t="shared" si="158"/>
        <v>-152405.4340869849</v>
      </c>
      <c r="Q142" s="8">
        <f t="shared" si="158"/>
        <v>-188168.65071878512</v>
      </c>
      <c r="R142" s="8">
        <f t="shared" si="158"/>
        <v>-219809.41738602557</v>
      </c>
      <c r="S142" s="8">
        <f t="shared" si="158"/>
        <v>-247626.32275436359</v>
      </c>
      <c r="T142" s="8">
        <f t="shared" si="158"/>
        <v>-271917.95548945654</v>
      </c>
      <c r="U142" s="8">
        <f t="shared" si="158"/>
        <v>-295631.67467811587</v>
      </c>
      <c r="V142" s="8">
        <f t="shared" si="158"/>
        <v>-319335.76197433466</v>
      </c>
      <c r="W142" s="8">
        <f t="shared" si="158"/>
        <v>-343049.48116299399</v>
      </c>
      <c r="X142" s="8">
        <f t="shared" si="158"/>
        <v>-366753.56845921278</v>
      </c>
      <c r="Y142" s="8">
        <f t="shared" si="158"/>
        <v>-390467.28764787212</v>
      </c>
      <c r="Z142" s="8">
        <f t="shared" si="158"/>
        <v>-414171.3749440909</v>
      </c>
      <c r="AA142" s="8">
        <f t="shared" si="158"/>
        <v>-437885.09413275024</v>
      </c>
      <c r="AB142" s="8">
        <f t="shared" si="158"/>
        <v>-461589.18142896902</v>
      </c>
      <c r="AC142" s="8">
        <f t="shared" si="158"/>
        <v>-485302.90061762836</v>
      </c>
      <c r="AD142" s="8">
        <f t="shared" si="158"/>
        <v>-509006.98791384714</v>
      </c>
      <c r="AE142" s="8">
        <f t="shared" si="158"/>
        <v>-532720.70710250654</v>
      </c>
      <c r="AF142" s="8">
        <f t="shared" si="158"/>
        <v>-556424.79439872527</v>
      </c>
      <c r="AG142" s="8">
        <f t="shared" si="158"/>
        <v>-558649.76155249472</v>
      </c>
      <c r="AH142" s="8">
        <f t="shared" si="158"/>
        <v>-539385.97667137417</v>
      </c>
      <c r="AI142" s="8">
        <f t="shared" si="158"/>
        <v>-520122.19179025368</v>
      </c>
      <c r="AJ142" s="8">
        <f t="shared" si="158"/>
        <v>-500858.40690913319</v>
      </c>
      <c r="AK142" s="8">
        <f t="shared" si="158"/>
        <v>-481594.6220280127</v>
      </c>
      <c r="AL142" s="8">
        <f t="shared" si="158"/>
        <v>-462330.83714689221</v>
      </c>
      <c r="AM142" s="8">
        <f t="shared" si="158"/>
        <v>-443067.05226577172</v>
      </c>
      <c r="AN142" s="8">
        <f t="shared" si="158"/>
        <v>-423803.26738465123</v>
      </c>
      <c r="AO142" s="8">
        <f t="shared" si="158"/>
        <v>-404539.48250353074</v>
      </c>
      <c r="AP142" s="8">
        <f t="shared" si="158"/>
        <v>-385275.69762241025</v>
      </c>
      <c r="AQ142" s="8">
        <f t="shared" si="158"/>
        <v>-366011.91274128977</v>
      </c>
      <c r="AR142" s="8">
        <f t="shared" si="158"/>
        <v>-346748.12786016928</v>
      </c>
      <c r="AS142" s="8">
        <f t="shared" ref="AS142:BX142" si="159">AR142+((AS134-AS140)*INC_TAX_RATE)</f>
        <v>-327484.34297904879</v>
      </c>
      <c r="AT142" s="8">
        <f t="shared" si="159"/>
        <v>-308220.5580979283</v>
      </c>
      <c r="AU142" s="8">
        <f t="shared" si="159"/>
        <v>-288956.77321680781</v>
      </c>
      <c r="AV142" s="8">
        <f t="shared" si="159"/>
        <v>-269692.98833568732</v>
      </c>
      <c r="AW142" s="8">
        <f t="shared" si="159"/>
        <v>-250429.2034545668</v>
      </c>
      <c r="AX142" s="8">
        <f t="shared" si="159"/>
        <v>-231165.41857344628</v>
      </c>
      <c r="AY142" s="8">
        <f t="shared" si="159"/>
        <v>-211901.63369232576</v>
      </c>
      <c r="AZ142" s="8">
        <f t="shared" si="159"/>
        <v>-192637.84881120524</v>
      </c>
      <c r="BA142" s="8">
        <f t="shared" si="159"/>
        <v>-173374.06393008473</v>
      </c>
      <c r="BB142" s="8">
        <f t="shared" si="159"/>
        <v>-154110.27904896421</v>
      </c>
      <c r="BC142" s="8">
        <f t="shared" si="159"/>
        <v>-134846.49416784369</v>
      </c>
      <c r="BD142" s="8">
        <f t="shared" si="159"/>
        <v>-115582.70928672317</v>
      </c>
      <c r="BE142" s="8">
        <f t="shared" si="159"/>
        <v>-96318.924405602651</v>
      </c>
      <c r="BF142" s="8">
        <f t="shared" si="159"/>
        <v>-77055.139524482132</v>
      </c>
      <c r="BG142" s="8">
        <f t="shared" si="159"/>
        <v>-57791.354643361621</v>
      </c>
      <c r="BH142" s="8">
        <f t="shared" si="159"/>
        <v>-38527.56976224111</v>
      </c>
      <c r="BI142" s="8">
        <f t="shared" si="159"/>
        <v>-19263.784881120599</v>
      </c>
      <c r="BJ142" s="8">
        <f t="shared" si="159"/>
        <v>-8.7311491370201111E-11</v>
      </c>
      <c r="BK142" s="8">
        <f t="shared" si="159"/>
        <v>-8.7311491370201111E-11</v>
      </c>
      <c r="BL142" s="8">
        <f t="shared" si="159"/>
        <v>-8.7311491370201111E-11</v>
      </c>
      <c r="BM142" s="8">
        <f t="shared" si="159"/>
        <v>-8.7311491370201111E-11</v>
      </c>
      <c r="BN142" s="8">
        <f t="shared" si="159"/>
        <v>-8.7311491370201111E-11</v>
      </c>
      <c r="BO142" s="8">
        <f t="shared" si="159"/>
        <v>-8.7311491370201111E-11</v>
      </c>
      <c r="BP142" s="8">
        <f t="shared" si="159"/>
        <v>-8.7311491370201111E-11</v>
      </c>
      <c r="BQ142" s="8">
        <f t="shared" si="159"/>
        <v>-8.7311491370201111E-11</v>
      </c>
      <c r="BR142" s="8">
        <f t="shared" si="159"/>
        <v>-8.7311491370201111E-11</v>
      </c>
      <c r="BS142" s="8">
        <f t="shared" si="159"/>
        <v>-8.7311491370201111E-11</v>
      </c>
      <c r="BT142" s="8">
        <f t="shared" si="159"/>
        <v>-8.7311491370201111E-11</v>
      </c>
      <c r="BU142" s="8">
        <f t="shared" si="159"/>
        <v>-8.7311491370201111E-11</v>
      </c>
      <c r="BV142" s="8">
        <f t="shared" si="159"/>
        <v>-8.7311491370201111E-11</v>
      </c>
      <c r="BW142" s="8">
        <f t="shared" si="159"/>
        <v>-8.7311491370201111E-11</v>
      </c>
      <c r="BX142" s="8">
        <f t="shared" si="159"/>
        <v>-8.7311491370201111E-11</v>
      </c>
      <c r="BY142" s="8">
        <f t="shared" ref="BY142:DA142" si="160">BX142+((BY134-BY140)*INC_TAX_RATE)</f>
        <v>-8.7311491370201111E-11</v>
      </c>
      <c r="BZ142" s="8">
        <f t="shared" si="160"/>
        <v>-8.7311491370201111E-11</v>
      </c>
      <c r="CA142" s="8">
        <f t="shared" si="160"/>
        <v>-8.7311491370201111E-11</v>
      </c>
      <c r="CB142" s="8">
        <f t="shared" si="160"/>
        <v>-8.7311491370201111E-11</v>
      </c>
      <c r="CC142" s="8">
        <f t="shared" si="160"/>
        <v>-8.7311491370201111E-11</v>
      </c>
      <c r="CD142" s="8">
        <f t="shared" si="160"/>
        <v>-8.7311491370201111E-11</v>
      </c>
      <c r="CE142" s="8">
        <f t="shared" si="160"/>
        <v>-8.7311491370201111E-11</v>
      </c>
      <c r="CF142" s="8">
        <f t="shared" si="160"/>
        <v>-8.7311491370201111E-11</v>
      </c>
      <c r="CG142" s="8">
        <f t="shared" si="160"/>
        <v>-8.7311491370201111E-11</v>
      </c>
      <c r="CH142" s="8">
        <f t="shared" si="160"/>
        <v>-8.7311491370201111E-11</v>
      </c>
      <c r="CI142" s="8">
        <f t="shared" si="160"/>
        <v>-8.7311491370201111E-11</v>
      </c>
      <c r="CJ142" s="8">
        <f t="shared" si="160"/>
        <v>-8.7311491370201111E-11</v>
      </c>
      <c r="CK142" s="8">
        <f t="shared" si="160"/>
        <v>-8.7311491370201111E-11</v>
      </c>
      <c r="CL142" s="8">
        <f t="shared" si="160"/>
        <v>-8.7311491370201111E-11</v>
      </c>
      <c r="CM142" s="8">
        <f t="shared" si="160"/>
        <v>-8.7311491370201111E-11</v>
      </c>
      <c r="CN142" s="8">
        <f t="shared" si="160"/>
        <v>-8.7311491370201111E-11</v>
      </c>
      <c r="CO142" s="8">
        <f t="shared" si="160"/>
        <v>-8.7311491370201111E-11</v>
      </c>
      <c r="CP142" s="8">
        <f t="shared" si="160"/>
        <v>-8.7311491370201111E-11</v>
      </c>
      <c r="CQ142" s="8">
        <f t="shared" si="160"/>
        <v>-8.7311491370201111E-11</v>
      </c>
      <c r="CR142" s="8">
        <f t="shared" si="160"/>
        <v>-8.7311491370201111E-11</v>
      </c>
      <c r="CS142" s="8">
        <f t="shared" si="160"/>
        <v>-8.7311491370201111E-11</v>
      </c>
      <c r="CT142" s="8">
        <f t="shared" si="160"/>
        <v>-8.7311491370201111E-11</v>
      </c>
      <c r="CU142" s="8">
        <f t="shared" si="160"/>
        <v>-8.7311491370201111E-11</v>
      </c>
      <c r="CV142" s="8">
        <f t="shared" si="160"/>
        <v>-8.7311491370201111E-11</v>
      </c>
      <c r="CW142" s="8">
        <f t="shared" si="160"/>
        <v>-8.7311491370201111E-11</v>
      </c>
      <c r="CX142" s="8">
        <f t="shared" si="160"/>
        <v>-8.7311491370201111E-11</v>
      </c>
      <c r="CY142" s="8">
        <f t="shared" si="160"/>
        <v>-8.7311491370201111E-11</v>
      </c>
      <c r="CZ142" s="8">
        <f t="shared" si="160"/>
        <v>-8.7311491370201111E-11</v>
      </c>
      <c r="DA142" s="8">
        <f t="shared" si="160"/>
        <v>-8.7311491370201111E-11</v>
      </c>
      <c r="DB142" s="8"/>
      <c r="DC142" s="8"/>
      <c r="DD142" s="8"/>
      <c r="DE142" s="8"/>
    </row>
    <row r="143" spans="3:109" x14ac:dyDescent="0.4"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</row>
    <row r="144" spans="3:109" x14ac:dyDescent="0.4">
      <c r="D144" t="s">
        <v>158</v>
      </c>
      <c r="L144" s="8"/>
      <c r="M144" s="8">
        <f>AVERAGE(M137:M138)+AVERAGE(M141:M142)</f>
        <v>3432154.2756604785</v>
      </c>
      <c r="N144" s="8">
        <f t="shared" ref="N144:BY144" si="161">AVERAGE(N137:N138)+AVERAGE(N141:N142)</f>
        <v>3329085.2357130437</v>
      </c>
      <c r="O144" s="8">
        <f t="shared" si="161"/>
        <v>3211919.9211788494</v>
      </c>
      <c r="P144" s="8">
        <f t="shared" si="161"/>
        <v>3099772.8226061868</v>
      </c>
      <c r="Q144" s="8">
        <f t="shared" si="161"/>
        <v>2992268.2961898739</v>
      </c>
      <c r="R144" s="8">
        <f t="shared" si="161"/>
        <v>2889059.5938020512</v>
      </c>
      <c r="S144" s="8">
        <f t="shared" si="161"/>
        <v>2789824.0470459592</v>
      </c>
      <c r="T144" s="8">
        <f t="shared" si="161"/>
        <v>2694263.0672559417</v>
      </c>
      <c r="U144" s="8">
        <f t="shared" si="161"/>
        <v>2600753.6805557632</v>
      </c>
      <c r="V144" s="8">
        <f t="shared" si="161"/>
        <v>2507538.0665750215</v>
      </c>
      <c r="W144" s="8">
        <f t="shared" si="161"/>
        <v>2414322.4525942798</v>
      </c>
      <c r="X144" s="8">
        <f t="shared" si="161"/>
        <v>2321106.8386135385</v>
      </c>
      <c r="Y144" s="8">
        <f t="shared" si="161"/>
        <v>2227891.2246327973</v>
      </c>
      <c r="Z144" s="8">
        <f t="shared" si="161"/>
        <v>2134675.6106520556</v>
      </c>
      <c r="AA144" s="8">
        <f t="shared" si="161"/>
        <v>2041459.9966713139</v>
      </c>
      <c r="AB144" s="8">
        <f t="shared" si="161"/>
        <v>1948244.3826905726</v>
      </c>
      <c r="AC144" s="8">
        <f t="shared" si="161"/>
        <v>1855028.7687098314</v>
      </c>
      <c r="AD144" s="8">
        <f t="shared" si="161"/>
        <v>1761813.1547290897</v>
      </c>
      <c r="AE144" s="8">
        <f t="shared" si="161"/>
        <v>1668597.5407483485</v>
      </c>
      <c r="AF144" s="8">
        <f t="shared" si="161"/>
        <v>1575381.9267676065</v>
      </c>
      <c r="AG144" s="8">
        <f t="shared" si="161"/>
        <v>1492910.6888043103</v>
      </c>
      <c r="AH144" s="8">
        <f t="shared" si="161"/>
        <v>1431923.3869296832</v>
      </c>
      <c r="AI144" s="8">
        <f t="shared" si="161"/>
        <v>1381680.4610725015</v>
      </c>
      <c r="AJ144" s="8">
        <f t="shared" si="161"/>
        <v>1331437.5352153191</v>
      </c>
      <c r="AK144" s="8">
        <f t="shared" si="161"/>
        <v>1281194.6093581375</v>
      </c>
      <c r="AL144" s="8">
        <f t="shared" si="161"/>
        <v>1230951.6835009553</v>
      </c>
      <c r="AM144" s="8">
        <f t="shared" si="161"/>
        <v>1180708.7576437737</v>
      </c>
      <c r="AN144" s="8">
        <f t="shared" si="161"/>
        <v>1130465.8317865916</v>
      </c>
      <c r="AO144" s="8">
        <f t="shared" si="161"/>
        <v>1080222.9059294099</v>
      </c>
      <c r="AP144" s="8">
        <f t="shared" si="161"/>
        <v>1029979.9800722275</v>
      </c>
      <c r="AQ144" s="8">
        <f t="shared" si="161"/>
        <v>979737.05421504588</v>
      </c>
      <c r="AR144" s="8">
        <f t="shared" si="161"/>
        <v>929494.1283578641</v>
      </c>
      <c r="AS144" s="8">
        <f t="shared" si="161"/>
        <v>879251.20250068244</v>
      </c>
      <c r="AT144" s="8">
        <f t="shared" si="161"/>
        <v>829008.27664350066</v>
      </c>
      <c r="AU144" s="8">
        <f t="shared" si="161"/>
        <v>778765.350786319</v>
      </c>
      <c r="AV144" s="8">
        <f t="shared" si="161"/>
        <v>728522.42492913723</v>
      </c>
      <c r="AW144" s="8">
        <f t="shared" si="161"/>
        <v>678279.49907195556</v>
      </c>
      <c r="AX144" s="8">
        <f t="shared" si="161"/>
        <v>628036.57321477379</v>
      </c>
      <c r="AY144" s="8">
        <f t="shared" si="161"/>
        <v>577793.64735759213</v>
      </c>
      <c r="AZ144" s="8">
        <f t="shared" si="161"/>
        <v>527550.72150041047</v>
      </c>
      <c r="BA144" s="8">
        <f t="shared" si="161"/>
        <v>477307.7956432288</v>
      </c>
      <c r="BB144" s="8">
        <f t="shared" si="161"/>
        <v>427064.86978604709</v>
      </c>
      <c r="BC144" s="8">
        <f t="shared" si="161"/>
        <v>376821.94392886542</v>
      </c>
      <c r="BD144" s="8">
        <f t="shared" si="161"/>
        <v>326579.01807168371</v>
      </c>
      <c r="BE144" s="8">
        <f t="shared" si="161"/>
        <v>276336.09221450204</v>
      </c>
      <c r="BF144" s="8">
        <f t="shared" si="161"/>
        <v>226093.16635732033</v>
      </c>
      <c r="BG144" s="8">
        <f t="shared" si="161"/>
        <v>175850.24050013867</v>
      </c>
      <c r="BH144" s="8">
        <f t="shared" si="161"/>
        <v>125607.31464295695</v>
      </c>
      <c r="BI144" s="8">
        <f t="shared" si="161"/>
        <v>75364.388785775256</v>
      </c>
      <c r="BJ144" s="8">
        <f t="shared" si="161"/>
        <v>25121.462928592158</v>
      </c>
      <c r="BK144" s="8">
        <f t="shared" si="161"/>
        <v>-8.7311491370201111E-11</v>
      </c>
      <c r="BL144" s="8">
        <f t="shared" si="161"/>
        <v>-8.7311491370201111E-11</v>
      </c>
      <c r="BM144" s="8">
        <f t="shared" si="161"/>
        <v>-8.7311491370201111E-11</v>
      </c>
      <c r="BN144" s="8">
        <f t="shared" si="161"/>
        <v>-8.7311491370201111E-11</v>
      </c>
      <c r="BO144" s="8">
        <f t="shared" si="161"/>
        <v>-8.7311491370201111E-11</v>
      </c>
      <c r="BP144" s="8">
        <f t="shared" si="161"/>
        <v>-8.7311491370201111E-11</v>
      </c>
      <c r="BQ144" s="8">
        <f t="shared" si="161"/>
        <v>-8.7311491370201111E-11</v>
      </c>
      <c r="BR144" s="8">
        <f t="shared" si="161"/>
        <v>-8.7311491370201111E-11</v>
      </c>
      <c r="BS144" s="8">
        <f t="shared" si="161"/>
        <v>-8.7311491370201111E-11</v>
      </c>
      <c r="BT144" s="8">
        <f t="shared" si="161"/>
        <v>-8.7311491370201111E-11</v>
      </c>
      <c r="BU144" s="8">
        <f t="shared" si="161"/>
        <v>-8.7311491370201111E-11</v>
      </c>
      <c r="BV144" s="8">
        <f t="shared" si="161"/>
        <v>-8.7311491370201111E-11</v>
      </c>
      <c r="BW144" s="8">
        <f t="shared" si="161"/>
        <v>-8.7311491370201111E-11</v>
      </c>
      <c r="BX144" s="8">
        <f t="shared" si="161"/>
        <v>-8.7311491370201111E-11</v>
      </c>
      <c r="BY144" s="8">
        <f t="shared" si="161"/>
        <v>-8.7311491370201111E-11</v>
      </c>
      <c r="BZ144" s="8">
        <f t="shared" ref="BZ144:DA144" si="162">AVERAGE(BZ137:BZ138)+AVERAGE(BZ141:BZ142)</f>
        <v>-8.7311491370201111E-11</v>
      </c>
      <c r="CA144" s="8">
        <f t="shared" si="162"/>
        <v>-8.7311491370201111E-11</v>
      </c>
      <c r="CB144" s="8">
        <f t="shared" si="162"/>
        <v>-8.7311491370201111E-11</v>
      </c>
      <c r="CC144" s="8">
        <f t="shared" si="162"/>
        <v>-8.7311491370201111E-11</v>
      </c>
      <c r="CD144" s="8">
        <f t="shared" si="162"/>
        <v>-8.7311491370201111E-11</v>
      </c>
      <c r="CE144" s="8">
        <f t="shared" si="162"/>
        <v>-8.7311491370201111E-11</v>
      </c>
      <c r="CF144" s="8">
        <f t="shared" si="162"/>
        <v>-8.7311491370201111E-11</v>
      </c>
      <c r="CG144" s="8">
        <f t="shared" si="162"/>
        <v>-8.7311491370201111E-11</v>
      </c>
      <c r="CH144" s="8">
        <f t="shared" si="162"/>
        <v>-8.7311491370201111E-11</v>
      </c>
      <c r="CI144" s="8">
        <f t="shared" si="162"/>
        <v>-8.7311491370201111E-11</v>
      </c>
      <c r="CJ144" s="8">
        <f t="shared" si="162"/>
        <v>-8.7311491370201111E-11</v>
      </c>
      <c r="CK144" s="8">
        <f t="shared" si="162"/>
        <v>-8.7311491370201111E-11</v>
      </c>
      <c r="CL144" s="8">
        <f t="shared" si="162"/>
        <v>-8.7311491370201111E-11</v>
      </c>
      <c r="CM144" s="8">
        <f t="shared" si="162"/>
        <v>-8.7311491370201111E-11</v>
      </c>
      <c r="CN144" s="8">
        <f t="shared" si="162"/>
        <v>-8.7311491370201111E-11</v>
      </c>
      <c r="CO144" s="8">
        <f t="shared" si="162"/>
        <v>-8.7311491370201111E-11</v>
      </c>
      <c r="CP144" s="8">
        <f t="shared" si="162"/>
        <v>-8.7311491370201111E-11</v>
      </c>
      <c r="CQ144" s="8">
        <f t="shared" si="162"/>
        <v>-8.7311491370201111E-11</v>
      </c>
      <c r="CR144" s="8">
        <f t="shared" si="162"/>
        <v>-8.7311491370201111E-11</v>
      </c>
      <c r="CS144" s="8">
        <f t="shared" si="162"/>
        <v>-8.7311491370201111E-11</v>
      </c>
      <c r="CT144" s="8">
        <f t="shared" si="162"/>
        <v>-8.7311491370201111E-11</v>
      </c>
      <c r="CU144" s="8">
        <f t="shared" si="162"/>
        <v>-8.7311491370201111E-11</v>
      </c>
      <c r="CV144" s="8">
        <f t="shared" si="162"/>
        <v>-8.7311491370201111E-11</v>
      </c>
      <c r="CW144" s="8">
        <f t="shared" si="162"/>
        <v>-8.7311491370201111E-11</v>
      </c>
      <c r="CX144" s="8">
        <f t="shared" si="162"/>
        <v>-8.7311491370201111E-11</v>
      </c>
      <c r="CY144" s="8">
        <f t="shared" si="162"/>
        <v>-8.7311491370201111E-11</v>
      </c>
      <c r="CZ144" s="8">
        <f t="shared" si="162"/>
        <v>-8.7311491370201111E-11</v>
      </c>
      <c r="DA144" s="8">
        <f t="shared" si="162"/>
        <v>-8.7311491370201111E-11</v>
      </c>
      <c r="DB144" s="8"/>
      <c r="DC144" s="8"/>
      <c r="DD144" s="8"/>
      <c r="DE144" s="8"/>
    </row>
    <row r="145" spans="3:110" x14ac:dyDescent="0.4"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  <c r="DD145" s="8"/>
      <c r="DE145" s="8"/>
    </row>
    <row r="146" spans="3:110" x14ac:dyDescent="0.4">
      <c r="D146" t="s">
        <v>209</v>
      </c>
      <c r="L146" s="8"/>
      <c r="M146" s="8">
        <f t="shared" ref="M146:AR146" si="163">M144*AVG_PRE_TAX_RATE</f>
        <v>306491.37681648077</v>
      </c>
      <c r="N146" s="8">
        <f t="shared" si="163"/>
        <v>297287.31154917483</v>
      </c>
      <c r="O146" s="8">
        <f t="shared" si="163"/>
        <v>286824.44896127126</v>
      </c>
      <c r="P146" s="8">
        <f t="shared" si="163"/>
        <v>276809.71305873251</v>
      </c>
      <c r="Q146" s="8">
        <f t="shared" si="163"/>
        <v>267209.55884975573</v>
      </c>
      <c r="R146" s="8">
        <f t="shared" si="163"/>
        <v>257993.02172652318</v>
      </c>
      <c r="S146" s="8">
        <f t="shared" si="163"/>
        <v>249131.28740120417</v>
      </c>
      <c r="T146" s="8">
        <f t="shared" si="163"/>
        <v>240597.69190595561</v>
      </c>
      <c r="U146" s="8">
        <f t="shared" si="163"/>
        <v>232247.30367362968</v>
      </c>
      <c r="V146" s="8">
        <f t="shared" si="163"/>
        <v>223923.14934514943</v>
      </c>
      <c r="W146" s="8">
        <f t="shared" si="163"/>
        <v>215598.99501666919</v>
      </c>
      <c r="X146" s="8">
        <f t="shared" si="163"/>
        <v>207274.840688189</v>
      </c>
      <c r="Y146" s="8">
        <f t="shared" si="163"/>
        <v>198950.68635970881</v>
      </c>
      <c r="Z146" s="8">
        <f t="shared" si="163"/>
        <v>190626.53203122856</v>
      </c>
      <c r="AA146" s="8">
        <f t="shared" si="163"/>
        <v>182302.37770274834</v>
      </c>
      <c r="AB146" s="8">
        <f t="shared" si="163"/>
        <v>173978.22337426816</v>
      </c>
      <c r="AC146" s="8">
        <f t="shared" si="163"/>
        <v>165654.06904578794</v>
      </c>
      <c r="AD146" s="8">
        <f t="shared" si="163"/>
        <v>157329.91471730772</v>
      </c>
      <c r="AE146" s="8">
        <f t="shared" si="163"/>
        <v>149005.76038882753</v>
      </c>
      <c r="AF146" s="8">
        <f t="shared" si="163"/>
        <v>140681.60606034726</v>
      </c>
      <c r="AG146" s="8">
        <f t="shared" si="163"/>
        <v>133316.92451022493</v>
      </c>
      <c r="AH146" s="8">
        <f t="shared" si="163"/>
        <v>127870.75845282071</v>
      </c>
      <c r="AI146" s="8">
        <f t="shared" si="163"/>
        <v>123384.06517377439</v>
      </c>
      <c r="AJ146" s="8">
        <f t="shared" si="163"/>
        <v>118897.371894728</v>
      </c>
      <c r="AK146" s="8">
        <f t="shared" si="163"/>
        <v>114410.67861568168</v>
      </c>
      <c r="AL146" s="8">
        <f t="shared" si="163"/>
        <v>109923.98533663532</v>
      </c>
      <c r="AM146" s="8">
        <f t="shared" si="163"/>
        <v>105437.292057589</v>
      </c>
      <c r="AN146" s="8">
        <f t="shared" si="163"/>
        <v>100950.59877854263</v>
      </c>
      <c r="AO146" s="8">
        <f t="shared" si="163"/>
        <v>96463.905499496308</v>
      </c>
      <c r="AP146" s="8">
        <f t="shared" si="163"/>
        <v>91977.212220449917</v>
      </c>
      <c r="AQ146" s="8">
        <f t="shared" si="163"/>
        <v>87490.518941403599</v>
      </c>
      <c r="AR146" s="8">
        <f t="shared" si="163"/>
        <v>83003.825662357267</v>
      </c>
      <c r="AS146" s="8">
        <f t="shared" ref="AS146:BX146" si="164">AS144*AVG_PRE_TAX_RATE</f>
        <v>78517.132383310949</v>
      </c>
      <c r="AT146" s="8">
        <f t="shared" si="164"/>
        <v>74030.439104264617</v>
      </c>
      <c r="AU146" s="8">
        <f t="shared" si="164"/>
        <v>69543.745825218284</v>
      </c>
      <c r="AV146" s="8">
        <f t="shared" si="164"/>
        <v>65057.052546171959</v>
      </c>
      <c r="AW146" s="8">
        <f t="shared" si="164"/>
        <v>60570.359267125634</v>
      </c>
      <c r="AX146" s="8">
        <f t="shared" si="164"/>
        <v>56083.665988079301</v>
      </c>
      <c r="AY146" s="8">
        <f t="shared" si="164"/>
        <v>51596.972709032976</v>
      </c>
      <c r="AZ146" s="8">
        <f t="shared" si="164"/>
        <v>47110.279429986658</v>
      </c>
      <c r="BA146" s="8">
        <f t="shared" si="164"/>
        <v>42623.586150940333</v>
      </c>
      <c r="BB146" s="8">
        <f t="shared" si="164"/>
        <v>38136.892871894008</v>
      </c>
      <c r="BC146" s="8">
        <f t="shared" si="164"/>
        <v>33650.199592847683</v>
      </c>
      <c r="BD146" s="8">
        <f t="shared" si="164"/>
        <v>29163.506313801357</v>
      </c>
      <c r="BE146" s="8">
        <f t="shared" si="164"/>
        <v>24676.813034755032</v>
      </c>
      <c r="BF146" s="8">
        <f t="shared" si="164"/>
        <v>20190.119755708707</v>
      </c>
      <c r="BG146" s="8">
        <f t="shared" si="164"/>
        <v>15703.426476662384</v>
      </c>
      <c r="BH146" s="8">
        <f t="shared" si="164"/>
        <v>11216.733197616057</v>
      </c>
      <c r="BI146" s="8">
        <f t="shared" si="164"/>
        <v>6730.0399185697306</v>
      </c>
      <c r="BJ146" s="8">
        <f t="shared" si="164"/>
        <v>2243.3466395232799</v>
      </c>
      <c r="BK146" s="8">
        <f t="shared" si="164"/>
        <v>-7.79691617935896E-12</v>
      </c>
      <c r="BL146" s="8">
        <f t="shared" si="164"/>
        <v>-7.79691617935896E-12</v>
      </c>
      <c r="BM146" s="8">
        <f t="shared" si="164"/>
        <v>-7.79691617935896E-12</v>
      </c>
      <c r="BN146" s="8">
        <f t="shared" si="164"/>
        <v>-7.79691617935896E-12</v>
      </c>
      <c r="BO146" s="8">
        <f t="shared" si="164"/>
        <v>-7.79691617935896E-12</v>
      </c>
      <c r="BP146" s="8">
        <f t="shared" si="164"/>
        <v>-7.79691617935896E-12</v>
      </c>
      <c r="BQ146" s="8">
        <f t="shared" si="164"/>
        <v>-7.79691617935896E-12</v>
      </c>
      <c r="BR146" s="8">
        <f t="shared" si="164"/>
        <v>-7.79691617935896E-12</v>
      </c>
      <c r="BS146" s="8">
        <f t="shared" si="164"/>
        <v>-7.79691617935896E-12</v>
      </c>
      <c r="BT146" s="8">
        <f t="shared" si="164"/>
        <v>-7.79691617935896E-12</v>
      </c>
      <c r="BU146" s="8">
        <f t="shared" si="164"/>
        <v>-7.79691617935896E-12</v>
      </c>
      <c r="BV146" s="8">
        <f t="shared" si="164"/>
        <v>-7.79691617935896E-12</v>
      </c>
      <c r="BW146" s="8">
        <f t="shared" si="164"/>
        <v>-7.79691617935896E-12</v>
      </c>
      <c r="BX146" s="8">
        <f t="shared" si="164"/>
        <v>-7.79691617935896E-12</v>
      </c>
      <c r="BY146" s="8">
        <f t="shared" ref="BY146:DA146" si="165">BY144*AVG_PRE_TAX_RATE</f>
        <v>-7.79691617935896E-12</v>
      </c>
      <c r="BZ146" s="8">
        <f t="shared" si="165"/>
        <v>-7.79691617935896E-12</v>
      </c>
      <c r="CA146" s="8">
        <f t="shared" si="165"/>
        <v>-7.79691617935896E-12</v>
      </c>
      <c r="CB146" s="8">
        <f t="shared" si="165"/>
        <v>-7.79691617935896E-12</v>
      </c>
      <c r="CC146" s="8">
        <f t="shared" si="165"/>
        <v>-7.79691617935896E-12</v>
      </c>
      <c r="CD146" s="8">
        <f t="shared" si="165"/>
        <v>-7.79691617935896E-12</v>
      </c>
      <c r="CE146" s="8">
        <f t="shared" si="165"/>
        <v>-7.79691617935896E-12</v>
      </c>
      <c r="CF146" s="8">
        <f t="shared" si="165"/>
        <v>-7.79691617935896E-12</v>
      </c>
      <c r="CG146" s="8">
        <f t="shared" si="165"/>
        <v>-7.79691617935896E-12</v>
      </c>
      <c r="CH146" s="8">
        <f t="shared" si="165"/>
        <v>-7.79691617935896E-12</v>
      </c>
      <c r="CI146" s="8">
        <f t="shared" si="165"/>
        <v>-7.79691617935896E-12</v>
      </c>
      <c r="CJ146" s="8">
        <f t="shared" si="165"/>
        <v>-7.79691617935896E-12</v>
      </c>
      <c r="CK146" s="8">
        <f t="shared" si="165"/>
        <v>-7.79691617935896E-12</v>
      </c>
      <c r="CL146" s="8">
        <f t="shared" si="165"/>
        <v>-7.79691617935896E-12</v>
      </c>
      <c r="CM146" s="8">
        <f t="shared" si="165"/>
        <v>-7.79691617935896E-12</v>
      </c>
      <c r="CN146" s="8">
        <f t="shared" si="165"/>
        <v>-7.79691617935896E-12</v>
      </c>
      <c r="CO146" s="8">
        <f t="shared" si="165"/>
        <v>-7.79691617935896E-12</v>
      </c>
      <c r="CP146" s="8">
        <f t="shared" si="165"/>
        <v>-7.79691617935896E-12</v>
      </c>
      <c r="CQ146" s="8">
        <f t="shared" si="165"/>
        <v>-7.79691617935896E-12</v>
      </c>
      <c r="CR146" s="8">
        <f t="shared" si="165"/>
        <v>-7.79691617935896E-12</v>
      </c>
      <c r="CS146" s="8">
        <f t="shared" si="165"/>
        <v>-7.79691617935896E-12</v>
      </c>
      <c r="CT146" s="8">
        <f t="shared" si="165"/>
        <v>-7.79691617935896E-12</v>
      </c>
      <c r="CU146" s="8">
        <f t="shared" si="165"/>
        <v>-7.79691617935896E-12</v>
      </c>
      <c r="CV146" s="8">
        <f t="shared" si="165"/>
        <v>-7.79691617935896E-12</v>
      </c>
      <c r="CW146" s="8">
        <f t="shared" si="165"/>
        <v>-7.79691617935896E-12</v>
      </c>
      <c r="CX146" s="8">
        <f t="shared" si="165"/>
        <v>-7.79691617935896E-12</v>
      </c>
      <c r="CY146" s="8">
        <f t="shared" si="165"/>
        <v>-7.79691617935896E-12</v>
      </c>
      <c r="CZ146" s="8">
        <f t="shared" si="165"/>
        <v>-7.79691617935896E-12</v>
      </c>
      <c r="DA146" s="8">
        <f t="shared" si="165"/>
        <v>-7.79691617935896E-12</v>
      </c>
      <c r="DB146" s="8"/>
      <c r="DC146" s="8"/>
      <c r="DD146" s="8"/>
      <c r="DE146" s="8"/>
    </row>
    <row r="149" spans="3:110" x14ac:dyDescent="0.4">
      <c r="C149" s="58" t="str">
        <f>C132</f>
        <v>Investment year in service</v>
      </c>
      <c r="E149" t="str">
        <f>IF(E150&lt;$C150,"",E150-$C150)</f>
        <v/>
      </c>
      <c r="F149" t="str">
        <f>IF(F150&lt;$C150,"",F150-$C150)</f>
        <v/>
      </c>
      <c r="G149" t="str">
        <f t="shared" ref="G149:BR149" si="166">IF(G150&lt;$C150,"",G150-$C150)</f>
        <v/>
      </c>
      <c r="H149" t="str">
        <f t="shared" si="166"/>
        <v/>
      </c>
      <c r="I149" t="str">
        <f t="shared" si="166"/>
        <v/>
      </c>
      <c r="J149" t="str">
        <f t="shared" si="166"/>
        <v/>
      </c>
      <c r="K149" t="str">
        <f t="shared" si="166"/>
        <v/>
      </c>
      <c r="L149" t="str">
        <f t="shared" si="166"/>
        <v/>
      </c>
      <c r="M149">
        <f t="shared" si="166"/>
        <v>0</v>
      </c>
      <c r="N149">
        <f t="shared" si="166"/>
        <v>1</v>
      </c>
      <c r="O149">
        <f t="shared" si="166"/>
        <v>2</v>
      </c>
      <c r="P149">
        <f t="shared" si="166"/>
        <v>3</v>
      </c>
      <c r="Q149">
        <f t="shared" si="166"/>
        <v>4</v>
      </c>
      <c r="R149">
        <f t="shared" si="166"/>
        <v>5</v>
      </c>
      <c r="S149">
        <f t="shared" si="166"/>
        <v>6</v>
      </c>
      <c r="T149">
        <f t="shared" si="166"/>
        <v>7</v>
      </c>
      <c r="U149">
        <f t="shared" si="166"/>
        <v>8</v>
      </c>
      <c r="V149">
        <f t="shared" si="166"/>
        <v>9</v>
      </c>
      <c r="W149">
        <f t="shared" si="166"/>
        <v>10</v>
      </c>
      <c r="X149">
        <f t="shared" si="166"/>
        <v>11</v>
      </c>
      <c r="Y149">
        <f t="shared" si="166"/>
        <v>12</v>
      </c>
      <c r="Z149">
        <f t="shared" si="166"/>
        <v>13</v>
      </c>
      <c r="AA149">
        <f t="shared" si="166"/>
        <v>14</v>
      </c>
      <c r="AB149">
        <f t="shared" si="166"/>
        <v>15</v>
      </c>
      <c r="AC149">
        <f t="shared" si="166"/>
        <v>16</v>
      </c>
      <c r="AD149">
        <f t="shared" si="166"/>
        <v>17</v>
      </c>
      <c r="AE149">
        <f t="shared" si="166"/>
        <v>18</v>
      </c>
      <c r="AF149">
        <f t="shared" si="166"/>
        <v>19</v>
      </c>
      <c r="AG149">
        <f t="shared" si="166"/>
        <v>20</v>
      </c>
      <c r="AH149">
        <f t="shared" si="166"/>
        <v>21</v>
      </c>
      <c r="AI149">
        <f t="shared" si="166"/>
        <v>22</v>
      </c>
      <c r="AJ149">
        <f t="shared" si="166"/>
        <v>23</v>
      </c>
      <c r="AK149">
        <f t="shared" si="166"/>
        <v>24</v>
      </c>
      <c r="AL149">
        <f t="shared" si="166"/>
        <v>25</v>
      </c>
      <c r="AM149">
        <f t="shared" si="166"/>
        <v>26</v>
      </c>
      <c r="AN149">
        <f t="shared" si="166"/>
        <v>27</v>
      </c>
      <c r="AO149">
        <f t="shared" si="166"/>
        <v>28</v>
      </c>
      <c r="AP149">
        <f t="shared" si="166"/>
        <v>29</v>
      </c>
      <c r="AQ149">
        <f t="shared" si="166"/>
        <v>30</v>
      </c>
      <c r="AR149">
        <f t="shared" si="166"/>
        <v>31</v>
      </c>
      <c r="AS149">
        <f t="shared" si="166"/>
        <v>32</v>
      </c>
      <c r="AT149">
        <f t="shared" si="166"/>
        <v>33</v>
      </c>
      <c r="AU149">
        <f t="shared" si="166"/>
        <v>34</v>
      </c>
      <c r="AV149">
        <f t="shared" si="166"/>
        <v>35</v>
      </c>
      <c r="AW149">
        <f t="shared" si="166"/>
        <v>36</v>
      </c>
      <c r="AX149">
        <f t="shared" si="166"/>
        <v>37</v>
      </c>
      <c r="AY149">
        <f t="shared" si="166"/>
        <v>38</v>
      </c>
      <c r="AZ149">
        <f t="shared" si="166"/>
        <v>39</v>
      </c>
      <c r="BA149">
        <f t="shared" si="166"/>
        <v>40</v>
      </c>
      <c r="BB149">
        <f t="shared" si="166"/>
        <v>41</v>
      </c>
      <c r="BC149">
        <f t="shared" si="166"/>
        <v>42</v>
      </c>
      <c r="BD149">
        <f t="shared" si="166"/>
        <v>43</v>
      </c>
      <c r="BE149">
        <f t="shared" si="166"/>
        <v>44</v>
      </c>
      <c r="BF149">
        <f t="shared" si="166"/>
        <v>45</v>
      </c>
      <c r="BG149">
        <f t="shared" si="166"/>
        <v>46</v>
      </c>
      <c r="BH149">
        <f t="shared" si="166"/>
        <v>47</v>
      </c>
      <c r="BI149">
        <f t="shared" si="166"/>
        <v>48</v>
      </c>
      <c r="BJ149">
        <f t="shared" si="166"/>
        <v>49</v>
      </c>
      <c r="BK149">
        <f t="shared" si="166"/>
        <v>50</v>
      </c>
      <c r="BL149">
        <f t="shared" si="166"/>
        <v>51</v>
      </c>
      <c r="BM149">
        <f t="shared" si="166"/>
        <v>52</v>
      </c>
      <c r="BN149">
        <f t="shared" si="166"/>
        <v>53</v>
      </c>
      <c r="BO149">
        <f t="shared" si="166"/>
        <v>54</v>
      </c>
      <c r="BP149">
        <f t="shared" si="166"/>
        <v>55</v>
      </c>
      <c r="BQ149">
        <f t="shared" si="166"/>
        <v>56</v>
      </c>
      <c r="BR149">
        <f t="shared" si="166"/>
        <v>57</v>
      </c>
      <c r="BS149">
        <f t="shared" ref="BS149:DA149" si="167">IF(BS150&lt;$C150,"",BS150-$C150)</f>
        <v>58</v>
      </c>
      <c r="BT149">
        <f t="shared" si="167"/>
        <v>59</v>
      </c>
      <c r="BU149">
        <f t="shared" si="167"/>
        <v>60</v>
      </c>
      <c r="BV149">
        <f t="shared" si="167"/>
        <v>61</v>
      </c>
      <c r="BW149">
        <f t="shared" si="167"/>
        <v>62</v>
      </c>
      <c r="BX149">
        <f t="shared" si="167"/>
        <v>63</v>
      </c>
      <c r="BY149">
        <f t="shared" si="167"/>
        <v>64</v>
      </c>
      <c r="BZ149">
        <f t="shared" si="167"/>
        <v>65</v>
      </c>
      <c r="CA149">
        <f t="shared" si="167"/>
        <v>66</v>
      </c>
      <c r="CB149">
        <f t="shared" si="167"/>
        <v>67</v>
      </c>
      <c r="CC149">
        <f t="shared" si="167"/>
        <v>68</v>
      </c>
      <c r="CD149">
        <f t="shared" si="167"/>
        <v>69</v>
      </c>
      <c r="CE149">
        <f t="shared" si="167"/>
        <v>70</v>
      </c>
      <c r="CF149">
        <f t="shared" si="167"/>
        <v>71</v>
      </c>
      <c r="CG149">
        <f t="shared" si="167"/>
        <v>72</v>
      </c>
      <c r="CH149">
        <f t="shared" si="167"/>
        <v>73</v>
      </c>
      <c r="CI149">
        <f t="shared" si="167"/>
        <v>74</v>
      </c>
      <c r="CJ149">
        <f t="shared" si="167"/>
        <v>75</v>
      </c>
      <c r="CK149">
        <f t="shared" si="167"/>
        <v>76</v>
      </c>
      <c r="CL149">
        <f t="shared" si="167"/>
        <v>77</v>
      </c>
      <c r="CM149">
        <f t="shared" si="167"/>
        <v>78</v>
      </c>
      <c r="CN149">
        <f t="shared" si="167"/>
        <v>79</v>
      </c>
      <c r="CO149">
        <f t="shared" si="167"/>
        <v>80</v>
      </c>
      <c r="CP149">
        <f t="shared" si="167"/>
        <v>81</v>
      </c>
      <c r="CQ149">
        <f t="shared" si="167"/>
        <v>82</v>
      </c>
      <c r="CR149">
        <f t="shared" si="167"/>
        <v>83</v>
      </c>
      <c r="CS149">
        <f t="shared" si="167"/>
        <v>84</v>
      </c>
      <c r="CT149">
        <f t="shared" si="167"/>
        <v>85</v>
      </c>
      <c r="CU149">
        <f t="shared" si="167"/>
        <v>86</v>
      </c>
      <c r="CV149">
        <f t="shared" si="167"/>
        <v>87</v>
      </c>
      <c r="CW149">
        <f t="shared" si="167"/>
        <v>88</v>
      </c>
      <c r="CX149">
        <f t="shared" si="167"/>
        <v>89</v>
      </c>
      <c r="CY149">
        <f t="shared" si="167"/>
        <v>90</v>
      </c>
      <c r="CZ149">
        <f t="shared" si="167"/>
        <v>91</v>
      </c>
      <c r="DA149">
        <f t="shared" si="167"/>
        <v>92</v>
      </c>
    </row>
    <row r="150" spans="3:110" x14ac:dyDescent="0.4">
      <c r="C150">
        <f>C133+1</f>
        <v>2035</v>
      </c>
      <c r="D150" s="5" t="s">
        <v>434</v>
      </c>
      <c r="E150" s="5">
        <v>2027</v>
      </c>
      <c r="F150" s="5">
        <v>2028</v>
      </c>
      <c r="G150" s="5">
        <v>2029</v>
      </c>
      <c r="H150" s="5">
        <v>2030</v>
      </c>
      <c r="I150" s="5">
        <v>2031</v>
      </c>
      <c r="J150" s="5">
        <v>2032</v>
      </c>
      <c r="K150" s="5">
        <v>2033</v>
      </c>
      <c r="L150" s="5">
        <v>2034</v>
      </c>
      <c r="M150" s="5">
        <v>2035</v>
      </c>
      <c r="N150" s="5">
        <v>2036</v>
      </c>
      <c r="O150" s="5">
        <v>2037</v>
      </c>
      <c r="P150" s="5">
        <v>2038</v>
      </c>
      <c r="Q150" s="5">
        <v>2039</v>
      </c>
      <c r="R150" s="5">
        <v>2040</v>
      </c>
      <c r="S150" s="5">
        <v>2041</v>
      </c>
      <c r="T150" s="5">
        <v>2042</v>
      </c>
      <c r="U150" s="5">
        <v>2043</v>
      </c>
      <c r="V150" s="5">
        <v>2044</v>
      </c>
      <c r="W150" s="5">
        <v>2045</v>
      </c>
      <c r="X150" s="5">
        <v>2046</v>
      </c>
      <c r="Y150" s="5">
        <v>2047</v>
      </c>
      <c r="Z150" s="5">
        <v>2048</v>
      </c>
      <c r="AA150" s="5">
        <v>2049</v>
      </c>
      <c r="AB150" s="5">
        <v>2050</v>
      </c>
      <c r="AC150" s="5">
        <v>2051</v>
      </c>
      <c r="AD150" s="5">
        <v>2052</v>
      </c>
      <c r="AE150" s="5">
        <v>2053</v>
      </c>
      <c r="AF150" s="5">
        <v>2054</v>
      </c>
      <c r="AG150" s="5">
        <v>2055</v>
      </c>
      <c r="AH150" s="5">
        <v>2056</v>
      </c>
      <c r="AI150" s="5">
        <v>2057</v>
      </c>
      <c r="AJ150" s="5">
        <v>2058</v>
      </c>
      <c r="AK150" s="5">
        <v>2059</v>
      </c>
      <c r="AL150" s="5">
        <v>2060</v>
      </c>
      <c r="AM150" s="5">
        <v>2061</v>
      </c>
      <c r="AN150" s="5">
        <v>2062</v>
      </c>
      <c r="AO150" s="5">
        <v>2063</v>
      </c>
      <c r="AP150" s="5">
        <v>2064</v>
      </c>
      <c r="AQ150" s="5">
        <v>2065</v>
      </c>
      <c r="AR150" s="5">
        <v>2066</v>
      </c>
      <c r="AS150" s="5">
        <v>2067</v>
      </c>
      <c r="AT150" s="5">
        <v>2068</v>
      </c>
      <c r="AU150" s="5">
        <v>2069</v>
      </c>
      <c r="AV150" s="5">
        <v>2070</v>
      </c>
      <c r="AW150" s="5">
        <v>2071</v>
      </c>
      <c r="AX150" s="5">
        <v>2072</v>
      </c>
      <c r="AY150" s="5">
        <v>2073</v>
      </c>
      <c r="AZ150" s="5">
        <v>2074</v>
      </c>
      <c r="BA150" s="5">
        <v>2075</v>
      </c>
      <c r="BB150" s="5">
        <v>2076</v>
      </c>
      <c r="BC150" s="5">
        <v>2077</v>
      </c>
      <c r="BD150" s="5">
        <v>2078</v>
      </c>
      <c r="BE150" s="5">
        <v>2079</v>
      </c>
      <c r="BF150" s="5">
        <v>2080</v>
      </c>
      <c r="BG150" s="5">
        <v>2081</v>
      </c>
      <c r="BH150" s="5">
        <v>2082</v>
      </c>
      <c r="BI150" s="5">
        <v>2083</v>
      </c>
      <c r="BJ150" s="5">
        <v>2084</v>
      </c>
      <c r="BK150" s="5">
        <v>2085</v>
      </c>
      <c r="BL150" s="5">
        <v>2086</v>
      </c>
      <c r="BM150" s="5">
        <v>2087</v>
      </c>
      <c r="BN150" s="5">
        <v>2088</v>
      </c>
      <c r="BO150" s="5">
        <v>2089</v>
      </c>
      <c r="BP150" s="5">
        <v>2090</v>
      </c>
      <c r="BQ150" s="5">
        <v>2091</v>
      </c>
      <c r="BR150" s="5">
        <v>2092</v>
      </c>
      <c r="BS150" s="5">
        <v>2093</v>
      </c>
      <c r="BT150" s="5">
        <v>2094</v>
      </c>
      <c r="BU150" s="5">
        <v>2095</v>
      </c>
      <c r="BV150" s="5">
        <v>2096</v>
      </c>
      <c r="BW150" s="5">
        <v>2097</v>
      </c>
      <c r="BX150" s="5">
        <v>2098</v>
      </c>
      <c r="BY150" s="5">
        <v>2099</v>
      </c>
      <c r="BZ150" s="5">
        <v>2100</v>
      </c>
      <c r="CA150" s="5">
        <v>2101</v>
      </c>
      <c r="CB150" s="5">
        <v>2102</v>
      </c>
      <c r="CC150" s="5">
        <v>2103</v>
      </c>
      <c r="CD150" s="5">
        <v>2104</v>
      </c>
      <c r="CE150" s="5">
        <v>2105</v>
      </c>
      <c r="CF150" s="5">
        <v>2106</v>
      </c>
      <c r="CG150" s="5">
        <v>2107</v>
      </c>
      <c r="CH150" s="5">
        <v>2108</v>
      </c>
      <c r="CI150" s="5">
        <v>2109</v>
      </c>
      <c r="CJ150" s="5">
        <v>2110</v>
      </c>
      <c r="CK150" s="5">
        <v>2111</v>
      </c>
      <c r="CL150" s="5">
        <v>2112</v>
      </c>
      <c r="CM150" s="5">
        <v>2113</v>
      </c>
      <c r="CN150" s="5">
        <v>2114</v>
      </c>
      <c r="CO150" s="5">
        <v>2115</v>
      </c>
      <c r="CP150" s="5">
        <v>2116</v>
      </c>
      <c r="CQ150" s="5">
        <v>2117</v>
      </c>
      <c r="CR150" s="5">
        <v>2118</v>
      </c>
      <c r="CS150" s="5">
        <v>2119</v>
      </c>
      <c r="CT150" s="5">
        <v>2120</v>
      </c>
      <c r="CU150" s="5">
        <v>2121</v>
      </c>
      <c r="CV150" s="5">
        <v>2122</v>
      </c>
      <c r="CW150" s="5">
        <v>2123</v>
      </c>
      <c r="CX150" s="5">
        <v>2124</v>
      </c>
      <c r="CY150" s="5">
        <v>2125</v>
      </c>
      <c r="CZ150" s="5">
        <v>2126</v>
      </c>
      <c r="DA150" s="5">
        <v>2127</v>
      </c>
    </row>
    <row r="151" spans="3:110" x14ac:dyDescent="0.4">
      <c r="D151" t="s">
        <v>207</v>
      </c>
      <c r="N151" s="8">
        <f>IF(N$13&lt;=$B$3,N152/$B$3,0)</f>
        <v>71035.858374545045</v>
      </c>
      <c r="O151" s="8">
        <f>IF(O149&lt;=$B$3,N151,0)</f>
        <v>71035.858374545045</v>
      </c>
      <c r="P151" s="8">
        <f t="shared" ref="P151:CA151" si="168">IF(P149&lt;=$B$3,O151,0)</f>
        <v>71035.858374545045</v>
      </c>
      <c r="Q151" s="8">
        <f t="shared" si="168"/>
        <v>71035.858374545045</v>
      </c>
      <c r="R151" s="8">
        <f t="shared" si="168"/>
        <v>71035.858374545045</v>
      </c>
      <c r="S151" s="8">
        <f t="shared" si="168"/>
        <v>71035.858374545045</v>
      </c>
      <c r="T151" s="8">
        <f t="shared" si="168"/>
        <v>71035.858374545045</v>
      </c>
      <c r="U151" s="8">
        <f t="shared" si="168"/>
        <v>71035.858374545045</v>
      </c>
      <c r="V151" s="8">
        <f t="shared" si="168"/>
        <v>71035.858374545045</v>
      </c>
      <c r="W151" s="8">
        <f t="shared" si="168"/>
        <v>71035.858374545045</v>
      </c>
      <c r="X151" s="8">
        <f t="shared" si="168"/>
        <v>71035.858374545045</v>
      </c>
      <c r="Y151" s="8">
        <f t="shared" si="168"/>
        <v>71035.858374545045</v>
      </c>
      <c r="Z151" s="8">
        <f t="shared" si="168"/>
        <v>71035.858374545045</v>
      </c>
      <c r="AA151" s="8">
        <f t="shared" si="168"/>
        <v>71035.858374545045</v>
      </c>
      <c r="AB151" s="8">
        <f t="shared" si="168"/>
        <v>71035.858374545045</v>
      </c>
      <c r="AC151" s="8">
        <f t="shared" si="168"/>
        <v>71035.858374545045</v>
      </c>
      <c r="AD151" s="8">
        <f t="shared" si="168"/>
        <v>71035.858374545045</v>
      </c>
      <c r="AE151" s="8">
        <f t="shared" si="168"/>
        <v>71035.858374545045</v>
      </c>
      <c r="AF151" s="8">
        <f t="shared" si="168"/>
        <v>71035.858374545045</v>
      </c>
      <c r="AG151" s="8">
        <f t="shared" si="168"/>
        <v>71035.858374545045</v>
      </c>
      <c r="AH151" s="8">
        <f t="shared" si="168"/>
        <v>71035.858374545045</v>
      </c>
      <c r="AI151" s="8">
        <f t="shared" si="168"/>
        <v>71035.858374545045</v>
      </c>
      <c r="AJ151" s="8">
        <f t="shared" si="168"/>
        <v>71035.858374545045</v>
      </c>
      <c r="AK151" s="8">
        <f t="shared" si="168"/>
        <v>71035.858374545045</v>
      </c>
      <c r="AL151" s="8">
        <f t="shared" si="168"/>
        <v>71035.858374545045</v>
      </c>
      <c r="AM151" s="8">
        <f t="shared" si="168"/>
        <v>71035.858374545045</v>
      </c>
      <c r="AN151" s="8">
        <f t="shared" si="168"/>
        <v>71035.858374545045</v>
      </c>
      <c r="AO151" s="8">
        <f t="shared" si="168"/>
        <v>71035.858374545045</v>
      </c>
      <c r="AP151" s="8">
        <f t="shared" si="168"/>
        <v>71035.858374545045</v>
      </c>
      <c r="AQ151" s="8">
        <f t="shared" si="168"/>
        <v>71035.858374545045</v>
      </c>
      <c r="AR151" s="8">
        <f t="shared" si="168"/>
        <v>71035.858374545045</v>
      </c>
      <c r="AS151" s="8">
        <f t="shared" si="168"/>
        <v>71035.858374545045</v>
      </c>
      <c r="AT151" s="8">
        <f t="shared" si="168"/>
        <v>71035.858374545045</v>
      </c>
      <c r="AU151" s="8">
        <f t="shared" si="168"/>
        <v>71035.858374545045</v>
      </c>
      <c r="AV151" s="8">
        <f t="shared" si="168"/>
        <v>71035.858374545045</v>
      </c>
      <c r="AW151" s="8">
        <f t="shared" si="168"/>
        <v>71035.858374545045</v>
      </c>
      <c r="AX151" s="8">
        <f t="shared" si="168"/>
        <v>71035.858374545045</v>
      </c>
      <c r="AY151" s="8">
        <f t="shared" si="168"/>
        <v>71035.858374545045</v>
      </c>
      <c r="AZ151" s="8">
        <f t="shared" si="168"/>
        <v>71035.858374545045</v>
      </c>
      <c r="BA151" s="8">
        <f t="shared" si="168"/>
        <v>71035.858374545045</v>
      </c>
      <c r="BB151" s="8">
        <f t="shared" si="168"/>
        <v>71035.858374545045</v>
      </c>
      <c r="BC151" s="8">
        <f t="shared" si="168"/>
        <v>71035.858374545045</v>
      </c>
      <c r="BD151" s="8">
        <f t="shared" si="168"/>
        <v>71035.858374545045</v>
      </c>
      <c r="BE151" s="8">
        <f t="shared" si="168"/>
        <v>71035.858374545045</v>
      </c>
      <c r="BF151" s="8">
        <f t="shared" si="168"/>
        <v>71035.858374545045</v>
      </c>
      <c r="BG151" s="8">
        <f t="shared" si="168"/>
        <v>71035.858374545045</v>
      </c>
      <c r="BH151" s="8">
        <f t="shared" si="168"/>
        <v>71035.858374545045</v>
      </c>
      <c r="BI151" s="8">
        <f t="shared" si="168"/>
        <v>71035.858374545045</v>
      </c>
      <c r="BJ151" s="8">
        <f t="shared" si="168"/>
        <v>71035.858374545045</v>
      </c>
      <c r="BK151" s="8">
        <f t="shared" si="168"/>
        <v>71035.858374545045</v>
      </c>
      <c r="BL151" s="8">
        <f t="shared" si="168"/>
        <v>0</v>
      </c>
      <c r="BM151" s="8">
        <f t="shared" si="168"/>
        <v>0</v>
      </c>
      <c r="BN151" s="8">
        <f t="shared" si="168"/>
        <v>0</v>
      </c>
      <c r="BO151" s="8">
        <f t="shared" si="168"/>
        <v>0</v>
      </c>
      <c r="BP151" s="8">
        <f t="shared" si="168"/>
        <v>0</v>
      </c>
      <c r="BQ151" s="8">
        <f t="shared" si="168"/>
        <v>0</v>
      </c>
      <c r="BR151" s="8">
        <f t="shared" si="168"/>
        <v>0</v>
      </c>
      <c r="BS151" s="8">
        <f t="shared" si="168"/>
        <v>0</v>
      </c>
      <c r="BT151" s="8">
        <f t="shared" si="168"/>
        <v>0</v>
      </c>
      <c r="BU151" s="8">
        <f t="shared" si="168"/>
        <v>0</v>
      </c>
      <c r="BV151" s="8">
        <f t="shared" si="168"/>
        <v>0</v>
      </c>
      <c r="BW151" s="8">
        <f t="shared" si="168"/>
        <v>0</v>
      </c>
      <c r="BX151" s="8">
        <f t="shared" si="168"/>
        <v>0</v>
      </c>
      <c r="BY151" s="8">
        <f t="shared" si="168"/>
        <v>0</v>
      </c>
      <c r="BZ151" s="8">
        <f t="shared" si="168"/>
        <v>0</v>
      </c>
      <c r="CA151" s="8">
        <f t="shared" si="168"/>
        <v>0</v>
      </c>
      <c r="CB151" s="8">
        <f t="shared" ref="CB151:DA151" si="169">IF(CB149&lt;=$B$3,CA151,0)</f>
        <v>0</v>
      </c>
      <c r="CC151" s="8">
        <f t="shared" si="169"/>
        <v>0</v>
      </c>
      <c r="CD151" s="8">
        <f t="shared" si="169"/>
        <v>0</v>
      </c>
      <c r="CE151" s="8">
        <f t="shared" si="169"/>
        <v>0</v>
      </c>
      <c r="CF151" s="8">
        <f t="shared" si="169"/>
        <v>0</v>
      </c>
      <c r="CG151" s="8">
        <f t="shared" si="169"/>
        <v>0</v>
      </c>
      <c r="CH151" s="8">
        <f t="shared" si="169"/>
        <v>0</v>
      </c>
      <c r="CI151" s="8">
        <f t="shared" si="169"/>
        <v>0</v>
      </c>
      <c r="CJ151" s="8">
        <f t="shared" si="169"/>
        <v>0</v>
      </c>
      <c r="CK151" s="8">
        <f t="shared" si="169"/>
        <v>0</v>
      </c>
      <c r="CL151" s="8">
        <f t="shared" si="169"/>
        <v>0</v>
      </c>
      <c r="CM151" s="8">
        <f t="shared" si="169"/>
        <v>0</v>
      </c>
      <c r="CN151" s="8">
        <f t="shared" si="169"/>
        <v>0</v>
      </c>
      <c r="CO151" s="8">
        <f t="shared" si="169"/>
        <v>0</v>
      </c>
      <c r="CP151" s="8">
        <f t="shared" si="169"/>
        <v>0</v>
      </c>
      <c r="CQ151" s="8">
        <f t="shared" si="169"/>
        <v>0</v>
      </c>
      <c r="CR151" s="8">
        <f t="shared" si="169"/>
        <v>0</v>
      </c>
      <c r="CS151" s="8">
        <f t="shared" si="169"/>
        <v>0</v>
      </c>
      <c r="CT151" s="8">
        <f t="shared" si="169"/>
        <v>0</v>
      </c>
      <c r="CU151" s="8">
        <f t="shared" si="169"/>
        <v>0</v>
      </c>
      <c r="CV151" s="8">
        <f t="shared" si="169"/>
        <v>0</v>
      </c>
      <c r="CW151" s="8">
        <f t="shared" si="169"/>
        <v>0</v>
      </c>
      <c r="CX151" s="8">
        <f t="shared" si="169"/>
        <v>0</v>
      </c>
      <c r="CY151" s="8">
        <f t="shared" si="169"/>
        <v>0</v>
      </c>
      <c r="CZ151" s="8">
        <f t="shared" si="169"/>
        <v>0</v>
      </c>
      <c r="DA151" s="8">
        <f t="shared" si="169"/>
        <v>0</v>
      </c>
      <c r="DB151" s="8"/>
      <c r="DC151" s="8"/>
      <c r="DD151" s="8"/>
      <c r="DE151" s="8"/>
      <c r="DF151" s="8"/>
    </row>
    <row r="152" spans="3:110" x14ac:dyDescent="0.4">
      <c r="D152" t="s">
        <v>154</v>
      </c>
      <c r="M152" s="8">
        <f>HLOOKUP(N150,$F$3:$O$10,7,0)</f>
        <v>3551792.9187272522</v>
      </c>
      <c r="N152" s="8">
        <f>IF(ROUND(M153,4)=-ROUND(M152,4),0,M152)</f>
        <v>3551792.9187272522</v>
      </c>
      <c r="O152" s="8">
        <f t="shared" ref="O152:BZ152" si="170">IF(ROUND(N153,4)=-ROUND(N152,4),0,N152)</f>
        <v>3551792.9187272522</v>
      </c>
      <c r="P152" s="8">
        <f t="shared" si="170"/>
        <v>3551792.9187272522</v>
      </c>
      <c r="Q152" s="8">
        <f t="shared" si="170"/>
        <v>3551792.9187272522</v>
      </c>
      <c r="R152" s="8">
        <f t="shared" si="170"/>
        <v>3551792.9187272522</v>
      </c>
      <c r="S152" s="8">
        <f t="shared" si="170"/>
        <v>3551792.9187272522</v>
      </c>
      <c r="T152" s="8">
        <f t="shared" si="170"/>
        <v>3551792.9187272522</v>
      </c>
      <c r="U152" s="8">
        <f t="shared" si="170"/>
        <v>3551792.9187272522</v>
      </c>
      <c r="V152" s="8">
        <f t="shared" si="170"/>
        <v>3551792.9187272522</v>
      </c>
      <c r="W152" s="8">
        <f t="shared" si="170"/>
        <v>3551792.9187272522</v>
      </c>
      <c r="X152" s="8">
        <f t="shared" si="170"/>
        <v>3551792.9187272522</v>
      </c>
      <c r="Y152" s="8">
        <f t="shared" si="170"/>
        <v>3551792.9187272522</v>
      </c>
      <c r="Z152" s="8">
        <f t="shared" si="170"/>
        <v>3551792.9187272522</v>
      </c>
      <c r="AA152" s="8">
        <f t="shared" si="170"/>
        <v>3551792.9187272522</v>
      </c>
      <c r="AB152" s="8">
        <f t="shared" si="170"/>
        <v>3551792.9187272522</v>
      </c>
      <c r="AC152" s="8">
        <f t="shared" si="170"/>
        <v>3551792.9187272522</v>
      </c>
      <c r="AD152" s="8">
        <f t="shared" si="170"/>
        <v>3551792.9187272522</v>
      </c>
      <c r="AE152" s="8">
        <f t="shared" si="170"/>
        <v>3551792.9187272522</v>
      </c>
      <c r="AF152" s="8">
        <f t="shared" si="170"/>
        <v>3551792.9187272522</v>
      </c>
      <c r="AG152" s="8">
        <f t="shared" si="170"/>
        <v>3551792.9187272522</v>
      </c>
      <c r="AH152" s="8">
        <f t="shared" si="170"/>
        <v>3551792.9187272522</v>
      </c>
      <c r="AI152" s="8">
        <f t="shared" si="170"/>
        <v>3551792.9187272522</v>
      </c>
      <c r="AJ152" s="8">
        <f t="shared" si="170"/>
        <v>3551792.9187272522</v>
      </c>
      <c r="AK152" s="8">
        <f t="shared" si="170"/>
        <v>3551792.9187272522</v>
      </c>
      <c r="AL152" s="8">
        <f t="shared" si="170"/>
        <v>3551792.9187272522</v>
      </c>
      <c r="AM152" s="8">
        <f t="shared" si="170"/>
        <v>3551792.9187272522</v>
      </c>
      <c r="AN152" s="8">
        <f t="shared" si="170"/>
        <v>3551792.9187272522</v>
      </c>
      <c r="AO152" s="8">
        <f t="shared" si="170"/>
        <v>3551792.9187272522</v>
      </c>
      <c r="AP152" s="8">
        <f t="shared" si="170"/>
        <v>3551792.9187272522</v>
      </c>
      <c r="AQ152" s="8">
        <f t="shared" si="170"/>
        <v>3551792.9187272522</v>
      </c>
      <c r="AR152" s="8">
        <f t="shared" si="170"/>
        <v>3551792.9187272522</v>
      </c>
      <c r="AS152" s="8">
        <f t="shared" si="170"/>
        <v>3551792.9187272522</v>
      </c>
      <c r="AT152" s="8">
        <f t="shared" si="170"/>
        <v>3551792.9187272522</v>
      </c>
      <c r="AU152" s="8">
        <f t="shared" si="170"/>
        <v>3551792.9187272522</v>
      </c>
      <c r="AV152" s="8">
        <f t="shared" si="170"/>
        <v>3551792.9187272522</v>
      </c>
      <c r="AW152" s="8">
        <f t="shared" si="170"/>
        <v>3551792.9187272522</v>
      </c>
      <c r="AX152" s="8">
        <f t="shared" si="170"/>
        <v>3551792.9187272522</v>
      </c>
      <c r="AY152" s="8">
        <f t="shared" si="170"/>
        <v>3551792.9187272522</v>
      </c>
      <c r="AZ152" s="8">
        <f t="shared" si="170"/>
        <v>3551792.9187272522</v>
      </c>
      <c r="BA152" s="8">
        <f t="shared" si="170"/>
        <v>3551792.9187272522</v>
      </c>
      <c r="BB152" s="8">
        <f t="shared" si="170"/>
        <v>3551792.9187272522</v>
      </c>
      <c r="BC152" s="8">
        <f t="shared" si="170"/>
        <v>3551792.9187272522</v>
      </c>
      <c r="BD152" s="8">
        <f t="shared" si="170"/>
        <v>3551792.9187272522</v>
      </c>
      <c r="BE152" s="8">
        <f t="shared" si="170"/>
        <v>3551792.9187272522</v>
      </c>
      <c r="BF152" s="8">
        <f t="shared" si="170"/>
        <v>3551792.9187272522</v>
      </c>
      <c r="BG152" s="8">
        <f t="shared" si="170"/>
        <v>3551792.9187272522</v>
      </c>
      <c r="BH152" s="8">
        <f t="shared" si="170"/>
        <v>3551792.9187272522</v>
      </c>
      <c r="BI152" s="8">
        <f t="shared" si="170"/>
        <v>3551792.9187272522</v>
      </c>
      <c r="BJ152" s="8">
        <f t="shared" si="170"/>
        <v>3551792.9187272522</v>
      </c>
      <c r="BK152" s="8">
        <f t="shared" si="170"/>
        <v>3551792.9187272522</v>
      </c>
      <c r="BL152" s="8">
        <f t="shared" si="170"/>
        <v>0</v>
      </c>
      <c r="BM152" s="8">
        <f t="shared" si="170"/>
        <v>0</v>
      </c>
      <c r="BN152" s="8">
        <f t="shared" si="170"/>
        <v>0</v>
      </c>
      <c r="BO152" s="8">
        <f t="shared" si="170"/>
        <v>0</v>
      </c>
      <c r="BP152" s="8">
        <f t="shared" si="170"/>
        <v>0</v>
      </c>
      <c r="BQ152" s="8">
        <f t="shared" si="170"/>
        <v>0</v>
      </c>
      <c r="BR152" s="8">
        <f t="shared" si="170"/>
        <v>0</v>
      </c>
      <c r="BS152" s="8">
        <f t="shared" si="170"/>
        <v>0</v>
      </c>
      <c r="BT152" s="8">
        <f t="shared" si="170"/>
        <v>0</v>
      </c>
      <c r="BU152" s="8">
        <f t="shared" si="170"/>
        <v>0</v>
      </c>
      <c r="BV152" s="8">
        <f t="shared" si="170"/>
        <v>0</v>
      </c>
      <c r="BW152" s="8">
        <f t="shared" si="170"/>
        <v>0</v>
      </c>
      <c r="BX152" s="8">
        <f t="shared" si="170"/>
        <v>0</v>
      </c>
      <c r="BY152" s="8">
        <f t="shared" si="170"/>
        <v>0</v>
      </c>
      <c r="BZ152" s="8">
        <f t="shared" si="170"/>
        <v>0</v>
      </c>
      <c r="CA152" s="8">
        <f t="shared" ref="CA152:DA152" si="171">IF(ROUND(BZ153,4)=-ROUND(BZ152,4),0,BZ152)</f>
        <v>0</v>
      </c>
      <c r="CB152" s="8">
        <f t="shared" si="171"/>
        <v>0</v>
      </c>
      <c r="CC152" s="8">
        <f t="shared" si="171"/>
        <v>0</v>
      </c>
      <c r="CD152" s="8">
        <f t="shared" si="171"/>
        <v>0</v>
      </c>
      <c r="CE152" s="8">
        <f t="shared" si="171"/>
        <v>0</v>
      </c>
      <c r="CF152" s="8">
        <f t="shared" si="171"/>
        <v>0</v>
      </c>
      <c r="CG152" s="8">
        <f t="shared" si="171"/>
        <v>0</v>
      </c>
      <c r="CH152" s="8">
        <f t="shared" si="171"/>
        <v>0</v>
      </c>
      <c r="CI152" s="8">
        <f t="shared" si="171"/>
        <v>0</v>
      </c>
      <c r="CJ152" s="8">
        <f t="shared" si="171"/>
        <v>0</v>
      </c>
      <c r="CK152" s="8">
        <f t="shared" si="171"/>
        <v>0</v>
      </c>
      <c r="CL152" s="8">
        <f t="shared" si="171"/>
        <v>0</v>
      </c>
      <c r="CM152" s="8">
        <f t="shared" si="171"/>
        <v>0</v>
      </c>
      <c r="CN152" s="8">
        <f t="shared" si="171"/>
        <v>0</v>
      </c>
      <c r="CO152" s="8">
        <f t="shared" si="171"/>
        <v>0</v>
      </c>
      <c r="CP152" s="8">
        <f t="shared" si="171"/>
        <v>0</v>
      </c>
      <c r="CQ152" s="8">
        <f t="shared" si="171"/>
        <v>0</v>
      </c>
      <c r="CR152" s="8">
        <f t="shared" si="171"/>
        <v>0</v>
      </c>
      <c r="CS152" s="8">
        <f t="shared" si="171"/>
        <v>0</v>
      </c>
      <c r="CT152" s="8">
        <f t="shared" si="171"/>
        <v>0</v>
      </c>
      <c r="CU152" s="8">
        <f t="shared" si="171"/>
        <v>0</v>
      </c>
      <c r="CV152" s="8">
        <f t="shared" si="171"/>
        <v>0</v>
      </c>
      <c r="CW152" s="8">
        <f t="shared" si="171"/>
        <v>0</v>
      </c>
      <c r="CX152" s="8">
        <f t="shared" si="171"/>
        <v>0</v>
      </c>
      <c r="CY152" s="8">
        <f t="shared" si="171"/>
        <v>0</v>
      </c>
      <c r="CZ152" s="8">
        <f t="shared" si="171"/>
        <v>0</v>
      </c>
      <c r="DA152" s="8">
        <f t="shared" si="171"/>
        <v>0</v>
      </c>
      <c r="DB152" s="8"/>
      <c r="DC152" s="8"/>
      <c r="DD152" s="8"/>
      <c r="DE152" s="8"/>
      <c r="DF152" s="8"/>
    </row>
    <row r="153" spans="3:110" x14ac:dyDescent="0.4">
      <c r="D153" t="s">
        <v>208</v>
      </c>
      <c r="M153" s="8"/>
      <c r="N153" s="8">
        <f>IF(N149&lt;=$B$3,-SUM($E151:N151),0)</f>
        <v>-71035.858374545045</v>
      </c>
      <c r="O153" s="8">
        <f>IF(O149&lt;=$B$3,-SUM($E151:O151),0)</f>
        <v>-142071.71674909009</v>
      </c>
      <c r="P153" s="8">
        <f>IF(P149&lt;=$B$3,-SUM($E151:P151),0)</f>
        <v>-213107.57512363512</v>
      </c>
      <c r="Q153" s="8">
        <f>IF(Q149&lt;=$B$3,-SUM($E151:Q151),0)</f>
        <v>-284143.43349818018</v>
      </c>
      <c r="R153" s="8">
        <f>IF(R149&lt;=$B$3,-SUM($E151:R151),0)</f>
        <v>-355179.29187272524</v>
      </c>
      <c r="S153" s="8">
        <f>IF(S149&lt;=$B$3,-SUM($E151:S151),0)</f>
        <v>-426215.1502472703</v>
      </c>
      <c r="T153" s="8">
        <f>IF(T149&lt;=$B$3,-SUM($E151:T151),0)</f>
        <v>-497251.00862181536</v>
      </c>
      <c r="U153" s="8">
        <f>IF(U149&lt;=$B$3,-SUM($E151:U151),0)</f>
        <v>-568286.86699636036</v>
      </c>
      <c r="V153" s="8">
        <f>IF(V149&lt;=$B$3,-SUM($E151:V151),0)</f>
        <v>-639322.72537090536</v>
      </c>
      <c r="W153" s="8">
        <f>IF(W149&lt;=$B$3,-SUM($E151:W151),0)</f>
        <v>-710358.58374545036</v>
      </c>
      <c r="X153" s="8">
        <f>IF(X149&lt;=$B$3,-SUM($E151:X151),0)</f>
        <v>-781394.44211999536</v>
      </c>
      <c r="Y153" s="8">
        <f>IF(Y149&lt;=$B$3,-SUM($E151:Y151),0)</f>
        <v>-852430.30049454037</v>
      </c>
      <c r="Z153" s="8">
        <f>IF(Z149&lt;=$B$3,-SUM($E151:Z151),0)</f>
        <v>-923466.15886908537</v>
      </c>
      <c r="AA153" s="8">
        <f>IF(AA149&lt;=$B$3,-SUM($E151:AA151),0)</f>
        <v>-994502.01724363037</v>
      </c>
      <c r="AB153" s="8">
        <f>IF(AB149&lt;=$B$3,-SUM($E151:AB151),0)</f>
        <v>-1065537.8756181754</v>
      </c>
      <c r="AC153" s="8">
        <f>IF(AC149&lt;=$B$3,-SUM($E151:AC151),0)</f>
        <v>-1136573.7339927205</v>
      </c>
      <c r="AD153" s="8">
        <f>IF(AD149&lt;=$B$3,-SUM($E151:AD151),0)</f>
        <v>-1207609.5923672656</v>
      </c>
      <c r="AE153" s="8">
        <f>IF(AE149&lt;=$B$3,-SUM($E151:AE151),0)</f>
        <v>-1278645.4507418107</v>
      </c>
      <c r="AF153" s="8">
        <f>IF(AF149&lt;=$B$3,-SUM($E151:AF151),0)</f>
        <v>-1349681.3091163558</v>
      </c>
      <c r="AG153" s="8">
        <f>IF(AG149&lt;=$B$3,-SUM($E151:AG151),0)</f>
        <v>-1420717.167490901</v>
      </c>
      <c r="AH153" s="8">
        <f>IF(AH149&lt;=$B$3,-SUM($E151:AH151),0)</f>
        <v>-1491753.0258654461</v>
      </c>
      <c r="AI153" s="8">
        <f>IF(AI149&lt;=$B$3,-SUM($E151:AI151),0)</f>
        <v>-1562788.8842399912</v>
      </c>
      <c r="AJ153" s="8">
        <f>IF(AJ149&lt;=$B$3,-SUM($E151:AJ151),0)</f>
        <v>-1633824.7426145363</v>
      </c>
      <c r="AK153" s="8">
        <f>IF(AK149&lt;=$B$3,-SUM($E151:AK151),0)</f>
        <v>-1704860.6009890814</v>
      </c>
      <c r="AL153" s="8">
        <f>IF(AL149&lt;=$B$3,-SUM($E151:AL151),0)</f>
        <v>-1775896.4593636265</v>
      </c>
      <c r="AM153" s="8">
        <f>IF(AM149&lt;=$B$3,-SUM($E151:AM151),0)</f>
        <v>-1846932.3177381717</v>
      </c>
      <c r="AN153" s="8">
        <f>IF(AN149&lt;=$B$3,-SUM($E151:AN151),0)</f>
        <v>-1917968.1761127168</v>
      </c>
      <c r="AO153" s="8">
        <f>IF(AO149&lt;=$B$3,-SUM($E151:AO151),0)</f>
        <v>-1989004.0344872619</v>
      </c>
      <c r="AP153" s="8">
        <f>IF(AP149&lt;=$B$3,-SUM($E151:AP151),0)</f>
        <v>-2060039.892861807</v>
      </c>
      <c r="AQ153" s="8">
        <f>IF(AQ149&lt;=$B$3,-SUM($E151:AQ151),0)</f>
        <v>-2131075.7512363521</v>
      </c>
      <c r="AR153" s="8">
        <f>IF(AR149&lt;=$B$3,-SUM($E151:AR151),0)</f>
        <v>-2202111.609610897</v>
      </c>
      <c r="AS153" s="8">
        <f>IF(AS149&lt;=$B$3,-SUM($E151:AS151),0)</f>
        <v>-2273147.4679854419</v>
      </c>
      <c r="AT153" s="8">
        <f>IF(AT149&lt;=$B$3,-SUM($E151:AT151),0)</f>
        <v>-2344183.3263599868</v>
      </c>
      <c r="AU153" s="8">
        <f>IF(AU149&lt;=$B$3,-SUM($E151:AU151),0)</f>
        <v>-2415219.1847345317</v>
      </c>
      <c r="AV153" s="8">
        <f>IF(AV149&lt;=$B$3,-SUM($E151:AV151),0)</f>
        <v>-2486255.0431090766</v>
      </c>
      <c r="AW153" s="8">
        <f>IF(AW149&lt;=$B$3,-SUM($E151:AW151),0)</f>
        <v>-2557290.9014836214</v>
      </c>
      <c r="AX153" s="8">
        <f>IF(AX149&lt;=$B$3,-SUM($E151:AX151),0)</f>
        <v>-2628326.7598581663</v>
      </c>
      <c r="AY153" s="8">
        <f>IF(AY149&lt;=$B$3,-SUM($E151:AY151),0)</f>
        <v>-2699362.6182327112</v>
      </c>
      <c r="AZ153" s="8">
        <f>IF(AZ149&lt;=$B$3,-SUM($E151:AZ151),0)</f>
        <v>-2770398.4766072561</v>
      </c>
      <c r="BA153" s="8">
        <f>IF(BA149&lt;=$B$3,-SUM($E151:BA151),0)</f>
        <v>-2841434.334981801</v>
      </c>
      <c r="BB153" s="8">
        <f>IF(BB149&lt;=$B$3,-SUM($E151:BB151),0)</f>
        <v>-2912470.1933563459</v>
      </c>
      <c r="BC153" s="8">
        <f>IF(BC149&lt;=$B$3,-SUM($E151:BC151),0)</f>
        <v>-2983506.0517308908</v>
      </c>
      <c r="BD153" s="8">
        <f>IF(BD149&lt;=$B$3,-SUM($E151:BD151),0)</f>
        <v>-3054541.9101054356</v>
      </c>
      <c r="BE153" s="8">
        <f>IF(BE149&lt;=$B$3,-SUM($E151:BE151),0)</f>
        <v>-3125577.7684799805</v>
      </c>
      <c r="BF153" s="8">
        <f>IF(BF149&lt;=$B$3,-SUM($E151:BF151),0)</f>
        <v>-3196613.6268545254</v>
      </c>
      <c r="BG153" s="8">
        <f>IF(BG149&lt;=$B$3,-SUM($E151:BG151),0)</f>
        <v>-3267649.4852290703</v>
      </c>
      <c r="BH153" s="8">
        <f>IF(BH149&lt;=$B$3,-SUM($E151:BH151),0)</f>
        <v>-3338685.3436036152</v>
      </c>
      <c r="BI153" s="8">
        <f>IF(BI149&lt;=$B$3,-SUM($E151:BI151),0)</f>
        <v>-3409721.2019781601</v>
      </c>
      <c r="BJ153" s="8">
        <f>IF(BJ149&lt;=$B$3,-SUM($E151:BJ151),0)</f>
        <v>-3480757.060352705</v>
      </c>
      <c r="BK153" s="8">
        <f>IF(BK149&lt;=$B$3,-SUM($E151:BK151),0)</f>
        <v>-3551792.9187272498</v>
      </c>
      <c r="BL153" s="8">
        <f>IF(BL149&lt;=$B$3,-SUM($E151:BL151),0)</f>
        <v>0</v>
      </c>
      <c r="BM153" s="8">
        <f>IF(BM149&lt;=$B$3,-SUM($E151:BM151),0)</f>
        <v>0</v>
      </c>
      <c r="BN153" s="8">
        <f>IF(BN149&lt;=$B$3,-SUM($E151:BN151),0)</f>
        <v>0</v>
      </c>
      <c r="BO153" s="8">
        <f>IF(BO149&lt;=$B$3,-SUM($E151:BO151),0)</f>
        <v>0</v>
      </c>
      <c r="BP153" s="8">
        <f>IF(BP149&lt;=$B$3,-SUM($E151:BP151),0)</f>
        <v>0</v>
      </c>
      <c r="BQ153" s="8">
        <f>IF(BQ149&lt;=$B$3,-SUM($E151:BQ151),0)</f>
        <v>0</v>
      </c>
      <c r="BR153" s="8">
        <f>IF(BR149&lt;=$B$3,-SUM($E151:BR151),0)</f>
        <v>0</v>
      </c>
      <c r="BS153" s="8">
        <f>IF(BS149&lt;=$B$3,-SUM($E151:BS151),0)</f>
        <v>0</v>
      </c>
      <c r="BT153" s="8">
        <f>IF(BT149&lt;=$B$3,-SUM($E151:BT151),0)</f>
        <v>0</v>
      </c>
      <c r="BU153" s="8">
        <f>IF(BU149&lt;=$B$3,-SUM($E151:BU151),0)</f>
        <v>0</v>
      </c>
      <c r="BV153" s="8">
        <f>IF(BV149&lt;=$B$3,-SUM($E151:BV151),0)</f>
        <v>0</v>
      </c>
      <c r="BW153" s="8">
        <f>IF(BW149&lt;=$B$3,-SUM($E151:BW151),0)</f>
        <v>0</v>
      </c>
      <c r="BX153" s="8">
        <f>IF(BX149&lt;=$B$3,-SUM($E151:BX151),0)</f>
        <v>0</v>
      </c>
      <c r="BY153" s="8">
        <f>IF(BY149&lt;=$B$3,-SUM($E151:BY151),0)</f>
        <v>0</v>
      </c>
      <c r="BZ153" s="8">
        <f>IF(BZ149&lt;=$B$3,-SUM($E151:BZ151),0)</f>
        <v>0</v>
      </c>
      <c r="CA153" s="8">
        <f>IF(CA149&lt;=$B$3,-SUM($E151:CA151),0)</f>
        <v>0</v>
      </c>
      <c r="CB153" s="8">
        <f>IF(CB149&lt;=$B$3,-SUM($E151:CB151),0)</f>
        <v>0</v>
      </c>
      <c r="CC153" s="8">
        <f>IF(CC149&lt;=$B$3,-SUM($E151:CC151),0)</f>
        <v>0</v>
      </c>
      <c r="CD153" s="8">
        <f>IF(CD149&lt;=$B$3,-SUM($E151:CD151),0)</f>
        <v>0</v>
      </c>
      <c r="CE153" s="8">
        <f>IF(CE149&lt;=$B$3,-SUM($E151:CE151),0)</f>
        <v>0</v>
      </c>
      <c r="CF153" s="8">
        <f>IF(CF149&lt;=$B$3,-SUM($E151:CF151),0)</f>
        <v>0</v>
      </c>
      <c r="CG153" s="8">
        <f>IF(CG149&lt;=$B$3,-SUM($E151:CG151),0)</f>
        <v>0</v>
      </c>
      <c r="CH153" s="8">
        <f>IF(CH149&lt;=$B$3,-SUM($E151:CH151),0)</f>
        <v>0</v>
      </c>
      <c r="CI153" s="8">
        <f>IF(CI149&lt;=$B$3,-SUM($E151:CI151),0)</f>
        <v>0</v>
      </c>
      <c r="CJ153" s="8">
        <f>IF(CJ149&lt;=$B$3,-SUM($E151:CJ151),0)</f>
        <v>0</v>
      </c>
      <c r="CK153" s="8">
        <f>IF(CK149&lt;=$B$3,-SUM($E151:CK151),0)</f>
        <v>0</v>
      </c>
      <c r="CL153" s="8">
        <f>IF(CL149&lt;=$B$3,-SUM($E151:CL151),0)</f>
        <v>0</v>
      </c>
      <c r="CM153" s="8">
        <f>IF(CM149&lt;=$B$3,-SUM($E151:CM151),0)</f>
        <v>0</v>
      </c>
      <c r="CN153" s="8">
        <f>IF(CN149&lt;=$B$3,-SUM($E151:CN151),0)</f>
        <v>0</v>
      </c>
      <c r="CO153" s="8">
        <f>IF(CO149&lt;=$B$3,-SUM($E151:CO151),0)</f>
        <v>0</v>
      </c>
      <c r="CP153" s="8">
        <f>IF(CP149&lt;=$B$3,-SUM($E151:CP151),0)</f>
        <v>0</v>
      </c>
      <c r="CQ153" s="8">
        <f>IF(CQ149&lt;=$B$3,-SUM($E151:CQ151),0)</f>
        <v>0</v>
      </c>
      <c r="CR153" s="8">
        <f>IF(CR149&lt;=$B$3,-SUM($E151:CR151),0)</f>
        <v>0</v>
      </c>
      <c r="CS153" s="8">
        <f>IF(CS149&lt;=$B$3,-SUM($E151:CS151),0)</f>
        <v>0</v>
      </c>
      <c r="CT153" s="8">
        <f>IF(CT149&lt;=$B$3,-SUM($E151:CT151),0)</f>
        <v>0</v>
      </c>
      <c r="CU153" s="8">
        <f>IF(CU149&lt;=$B$3,-SUM($E151:CU151),0)</f>
        <v>0</v>
      </c>
      <c r="CV153" s="8">
        <f>IF(CV149&lt;=$B$3,-SUM($E151:CV151),0)</f>
        <v>0</v>
      </c>
      <c r="CW153" s="8">
        <f>IF(CW149&lt;=$B$3,-SUM($E151:CW151),0)</f>
        <v>0</v>
      </c>
      <c r="CX153" s="8">
        <f>IF(CX149&lt;=$B$3,-SUM($E151:CX151),0)</f>
        <v>0</v>
      </c>
      <c r="CY153" s="8">
        <f>IF(CY149&lt;=$B$3,-SUM($E151:CY151),0)</f>
        <v>0</v>
      </c>
      <c r="CZ153" s="8">
        <f>IF(CZ149&lt;=$B$3,-SUM($E151:CZ151),0)</f>
        <v>0</v>
      </c>
      <c r="DA153" s="8">
        <f>IF(DA149&lt;=$B$3,-SUM($E151:DA151),0)</f>
        <v>0</v>
      </c>
      <c r="DB153" s="8"/>
      <c r="DC153" s="8"/>
      <c r="DD153" s="8"/>
      <c r="DE153" s="8"/>
      <c r="DF153" s="8"/>
    </row>
    <row r="154" spans="3:110" x14ac:dyDescent="0.4">
      <c r="D154" t="s">
        <v>167</v>
      </c>
      <c r="M154" s="8"/>
      <c r="N154" s="8">
        <f>M155</f>
        <v>3551792.9187272522</v>
      </c>
      <c r="O154" s="8">
        <f t="shared" ref="O154:BZ154" si="172">N155</f>
        <v>3480757.0603527073</v>
      </c>
      <c r="P154" s="8">
        <f t="shared" si="172"/>
        <v>3409721.2019781619</v>
      </c>
      <c r="Q154" s="8">
        <f t="shared" si="172"/>
        <v>3338685.343603617</v>
      </c>
      <c r="R154" s="8">
        <f t="shared" si="172"/>
        <v>3267649.4852290722</v>
      </c>
      <c r="S154" s="8">
        <f t="shared" si="172"/>
        <v>3196613.6268545268</v>
      </c>
      <c r="T154" s="8">
        <f t="shared" si="172"/>
        <v>3125577.7684799819</v>
      </c>
      <c r="U154" s="8">
        <f t="shared" si="172"/>
        <v>3054541.910105437</v>
      </c>
      <c r="V154" s="8">
        <f t="shared" si="172"/>
        <v>2983506.0517308917</v>
      </c>
      <c r="W154" s="8">
        <f t="shared" si="172"/>
        <v>2912470.1933563468</v>
      </c>
      <c r="X154" s="8">
        <f t="shared" si="172"/>
        <v>2841434.3349818019</v>
      </c>
      <c r="Y154" s="8">
        <f t="shared" si="172"/>
        <v>2770398.4766072566</v>
      </c>
      <c r="Z154" s="8">
        <f t="shared" si="172"/>
        <v>2699362.6182327117</v>
      </c>
      <c r="AA154" s="8">
        <f t="shared" si="172"/>
        <v>2628326.7598581668</v>
      </c>
      <c r="AB154" s="8">
        <f t="shared" si="172"/>
        <v>2557290.9014836219</v>
      </c>
      <c r="AC154" s="8">
        <f t="shared" si="172"/>
        <v>2486255.043109077</v>
      </c>
      <c r="AD154" s="8">
        <f t="shared" si="172"/>
        <v>2415219.1847345317</v>
      </c>
      <c r="AE154" s="8">
        <f t="shared" si="172"/>
        <v>2344183.3263599863</v>
      </c>
      <c r="AF154" s="8">
        <f t="shared" si="172"/>
        <v>2273147.4679854414</v>
      </c>
      <c r="AG154" s="8">
        <f t="shared" si="172"/>
        <v>2202111.6096108966</v>
      </c>
      <c r="AH154" s="8">
        <f t="shared" si="172"/>
        <v>2131075.7512363512</v>
      </c>
      <c r="AI154" s="8">
        <f t="shared" si="172"/>
        <v>2060039.8928618061</v>
      </c>
      <c r="AJ154" s="8">
        <f t="shared" si="172"/>
        <v>1989004.034487261</v>
      </c>
      <c r="AK154" s="8">
        <f t="shared" si="172"/>
        <v>1917968.1761127159</v>
      </c>
      <c r="AL154" s="8">
        <f t="shared" si="172"/>
        <v>1846932.3177381707</v>
      </c>
      <c r="AM154" s="8">
        <f t="shared" si="172"/>
        <v>1775896.4593636256</v>
      </c>
      <c r="AN154" s="8">
        <f t="shared" si="172"/>
        <v>1704860.6009890805</v>
      </c>
      <c r="AO154" s="8">
        <f t="shared" si="172"/>
        <v>1633824.7426145354</v>
      </c>
      <c r="AP154" s="8">
        <f t="shared" si="172"/>
        <v>1562788.8842399903</v>
      </c>
      <c r="AQ154" s="8">
        <f t="shared" si="172"/>
        <v>1491753.0258654451</v>
      </c>
      <c r="AR154" s="8">
        <f t="shared" si="172"/>
        <v>1420717.1674909</v>
      </c>
      <c r="AS154" s="8">
        <f t="shared" si="172"/>
        <v>1349681.3091163551</v>
      </c>
      <c r="AT154" s="8">
        <f t="shared" si="172"/>
        <v>1278645.4507418103</v>
      </c>
      <c r="AU154" s="8">
        <f t="shared" si="172"/>
        <v>1207609.5923672654</v>
      </c>
      <c r="AV154" s="8">
        <f t="shared" si="172"/>
        <v>1136573.7339927205</v>
      </c>
      <c r="AW154" s="8">
        <f t="shared" si="172"/>
        <v>1065537.8756181756</v>
      </c>
      <c r="AX154" s="8">
        <f t="shared" si="172"/>
        <v>994502.01724363072</v>
      </c>
      <c r="AY154" s="8">
        <f t="shared" si="172"/>
        <v>923466.15886908583</v>
      </c>
      <c r="AZ154" s="8">
        <f t="shared" si="172"/>
        <v>852430.30049454095</v>
      </c>
      <c r="BA154" s="8">
        <f t="shared" si="172"/>
        <v>781394.44211999606</v>
      </c>
      <c r="BB154" s="8">
        <f t="shared" si="172"/>
        <v>710358.58374545118</v>
      </c>
      <c r="BC154" s="8">
        <f t="shared" si="172"/>
        <v>639322.72537090629</v>
      </c>
      <c r="BD154" s="8">
        <f t="shared" si="172"/>
        <v>568286.86699636141</v>
      </c>
      <c r="BE154" s="8">
        <f t="shared" si="172"/>
        <v>497251.00862181652</v>
      </c>
      <c r="BF154" s="8">
        <f t="shared" si="172"/>
        <v>426215.15024727164</v>
      </c>
      <c r="BG154" s="8">
        <f t="shared" si="172"/>
        <v>355179.29187272675</v>
      </c>
      <c r="BH154" s="8">
        <f t="shared" si="172"/>
        <v>284143.43349818187</v>
      </c>
      <c r="BI154" s="8">
        <f t="shared" si="172"/>
        <v>213107.57512363698</v>
      </c>
      <c r="BJ154" s="8">
        <f t="shared" si="172"/>
        <v>142071.7167490921</v>
      </c>
      <c r="BK154" s="8">
        <f t="shared" si="172"/>
        <v>71035.858374547213</v>
      </c>
      <c r="BL154" s="8">
        <f t="shared" si="172"/>
        <v>0</v>
      </c>
      <c r="BM154" s="8">
        <f t="shared" si="172"/>
        <v>0</v>
      </c>
      <c r="BN154" s="8">
        <f t="shared" si="172"/>
        <v>0</v>
      </c>
      <c r="BO154" s="8">
        <f t="shared" si="172"/>
        <v>0</v>
      </c>
      <c r="BP154" s="8">
        <f t="shared" si="172"/>
        <v>0</v>
      </c>
      <c r="BQ154" s="8">
        <f t="shared" si="172"/>
        <v>0</v>
      </c>
      <c r="BR154" s="8">
        <f t="shared" si="172"/>
        <v>0</v>
      </c>
      <c r="BS154" s="8">
        <f t="shared" si="172"/>
        <v>0</v>
      </c>
      <c r="BT154" s="8">
        <f t="shared" si="172"/>
        <v>0</v>
      </c>
      <c r="BU154" s="8">
        <f t="shared" si="172"/>
        <v>0</v>
      </c>
      <c r="BV154" s="8">
        <f t="shared" si="172"/>
        <v>0</v>
      </c>
      <c r="BW154" s="8">
        <f t="shared" si="172"/>
        <v>0</v>
      </c>
      <c r="BX154" s="8">
        <f t="shared" si="172"/>
        <v>0</v>
      </c>
      <c r="BY154" s="8">
        <f t="shared" si="172"/>
        <v>0</v>
      </c>
      <c r="BZ154" s="8">
        <f t="shared" si="172"/>
        <v>0</v>
      </c>
      <c r="CA154" s="8">
        <f t="shared" ref="CA154:DA154" si="173">BZ155</f>
        <v>0</v>
      </c>
      <c r="CB154" s="8">
        <f t="shared" si="173"/>
        <v>0</v>
      </c>
      <c r="CC154" s="8">
        <f t="shared" si="173"/>
        <v>0</v>
      </c>
      <c r="CD154" s="8">
        <f t="shared" si="173"/>
        <v>0</v>
      </c>
      <c r="CE154" s="8">
        <f t="shared" si="173"/>
        <v>0</v>
      </c>
      <c r="CF154" s="8">
        <f t="shared" si="173"/>
        <v>0</v>
      </c>
      <c r="CG154" s="8">
        <f t="shared" si="173"/>
        <v>0</v>
      </c>
      <c r="CH154" s="8">
        <f t="shared" si="173"/>
        <v>0</v>
      </c>
      <c r="CI154" s="8">
        <f t="shared" si="173"/>
        <v>0</v>
      </c>
      <c r="CJ154" s="8">
        <f t="shared" si="173"/>
        <v>0</v>
      </c>
      <c r="CK154" s="8">
        <f t="shared" si="173"/>
        <v>0</v>
      </c>
      <c r="CL154" s="8">
        <f t="shared" si="173"/>
        <v>0</v>
      </c>
      <c r="CM154" s="8">
        <f t="shared" si="173"/>
        <v>0</v>
      </c>
      <c r="CN154" s="8">
        <f t="shared" si="173"/>
        <v>0</v>
      </c>
      <c r="CO154" s="8">
        <f t="shared" si="173"/>
        <v>0</v>
      </c>
      <c r="CP154" s="8">
        <f t="shared" si="173"/>
        <v>0</v>
      </c>
      <c r="CQ154" s="8">
        <f t="shared" si="173"/>
        <v>0</v>
      </c>
      <c r="CR154" s="8">
        <f t="shared" si="173"/>
        <v>0</v>
      </c>
      <c r="CS154" s="8">
        <f t="shared" si="173"/>
        <v>0</v>
      </c>
      <c r="CT154" s="8">
        <f t="shared" si="173"/>
        <v>0</v>
      </c>
      <c r="CU154" s="8">
        <f t="shared" si="173"/>
        <v>0</v>
      </c>
      <c r="CV154" s="8">
        <f t="shared" si="173"/>
        <v>0</v>
      </c>
      <c r="CW154" s="8">
        <f t="shared" si="173"/>
        <v>0</v>
      </c>
      <c r="CX154" s="8">
        <f t="shared" si="173"/>
        <v>0</v>
      </c>
      <c r="CY154" s="8">
        <f t="shared" si="173"/>
        <v>0</v>
      </c>
      <c r="CZ154" s="8">
        <f t="shared" si="173"/>
        <v>0</v>
      </c>
      <c r="DA154" s="8">
        <f t="shared" si="173"/>
        <v>0</v>
      </c>
      <c r="DB154" s="8"/>
      <c r="DC154" s="8"/>
      <c r="DD154" s="8"/>
      <c r="DE154" s="8"/>
      <c r="DF154" s="8"/>
    </row>
    <row r="155" spans="3:110" x14ac:dyDescent="0.4">
      <c r="D155" t="s">
        <v>168</v>
      </c>
      <c r="M155" s="8">
        <f>M152+M153</f>
        <v>3551792.9187272522</v>
      </c>
      <c r="N155" s="8">
        <f>N152+N153</f>
        <v>3480757.0603527073</v>
      </c>
      <c r="O155" s="8">
        <f t="shared" ref="O155:BZ155" si="174">O152+O153</f>
        <v>3409721.2019781619</v>
      </c>
      <c r="P155" s="8">
        <f t="shared" si="174"/>
        <v>3338685.343603617</v>
      </c>
      <c r="Q155" s="8">
        <f t="shared" si="174"/>
        <v>3267649.4852290722</v>
      </c>
      <c r="R155" s="8">
        <f t="shared" si="174"/>
        <v>3196613.6268545268</v>
      </c>
      <c r="S155" s="8">
        <f t="shared" si="174"/>
        <v>3125577.7684799819</v>
      </c>
      <c r="T155" s="8">
        <f t="shared" si="174"/>
        <v>3054541.910105437</v>
      </c>
      <c r="U155" s="8">
        <f t="shared" si="174"/>
        <v>2983506.0517308917</v>
      </c>
      <c r="V155" s="8">
        <f t="shared" si="174"/>
        <v>2912470.1933563468</v>
      </c>
      <c r="W155" s="8">
        <f t="shared" si="174"/>
        <v>2841434.3349818019</v>
      </c>
      <c r="X155" s="8">
        <f t="shared" si="174"/>
        <v>2770398.4766072566</v>
      </c>
      <c r="Y155" s="8">
        <f t="shared" si="174"/>
        <v>2699362.6182327117</v>
      </c>
      <c r="Z155" s="8">
        <f t="shared" si="174"/>
        <v>2628326.7598581668</v>
      </c>
      <c r="AA155" s="8">
        <f t="shared" si="174"/>
        <v>2557290.9014836219</v>
      </c>
      <c r="AB155" s="8">
        <f t="shared" si="174"/>
        <v>2486255.043109077</v>
      </c>
      <c r="AC155" s="8">
        <f t="shared" si="174"/>
        <v>2415219.1847345317</v>
      </c>
      <c r="AD155" s="8">
        <f t="shared" si="174"/>
        <v>2344183.3263599863</v>
      </c>
      <c r="AE155" s="8">
        <f t="shared" si="174"/>
        <v>2273147.4679854414</v>
      </c>
      <c r="AF155" s="8">
        <f t="shared" si="174"/>
        <v>2202111.6096108966</v>
      </c>
      <c r="AG155" s="8">
        <f t="shared" si="174"/>
        <v>2131075.7512363512</v>
      </c>
      <c r="AH155" s="8">
        <f t="shared" si="174"/>
        <v>2060039.8928618061</v>
      </c>
      <c r="AI155" s="8">
        <f t="shared" si="174"/>
        <v>1989004.034487261</v>
      </c>
      <c r="AJ155" s="8">
        <f t="shared" si="174"/>
        <v>1917968.1761127159</v>
      </c>
      <c r="AK155" s="8">
        <f t="shared" si="174"/>
        <v>1846932.3177381707</v>
      </c>
      <c r="AL155" s="8">
        <f t="shared" si="174"/>
        <v>1775896.4593636256</v>
      </c>
      <c r="AM155" s="8">
        <f t="shared" si="174"/>
        <v>1704860.6009890805</v>
      </c>
      <c r="AN155" s="8">
        <f t="shared" si="174"/>
        <v>1633824.7426145354</v>
      </c>
      <c r="AO155" s="8">
        <f t="shared" si="174"/>
        <v>1562788.8842399903</v>
      </c>
      <c r="AP155" s="8">
        <f t="shared" si="174"/>
        <v>1491753.0258654451</v>
      </c>
      <c r="AQ155" s="8">
        <f t="shared" si="174"/>
        <v>1420717.1674909</v>
      </c>
      <c r="AR155" s="8">
        <f t="shared" si="174"/>
        <v>1349681.3091163551</v>
      </c>
      <c r="AS155" s="8">
        <f t="shared" si="174"/>
        <v>1278645.4507418103</v>
      </c>
      <c r="AT155" s="8">
        <f t="shared" si="174"/>
        <v>1207609.5923672654</v>
      </c>
      <c r="AU155" s="8">
        <f t="shared" si="174"/>
        <v>1136573.7339927205</v>
      </c>
      <c r="AV155" s="8">
        <f t="shared" si="174"/>
        <v>1065537.8756181756</v>
      </c>
      <c r="AW155" s="8">
        <f t="shared" si="174"/>
        <v>994502.01724363072</v>
      </c>
      <c r="AX155" s="8">
        <f t="shared" si="174"/>
        <v>923466.15886908583</v>
      </c>
      <c r="AY155" s="8">
        <f t="shared" si="174"/>
        <v>852430.30049454095</v>
      </c>
      <c r="AZ155" s="8">
        <f t="shared" si="174"/>
        <v>781394.44211999606</v>
      </c>
      <c r="BA155" s="8">
        <f t="shared" si="174"/>
        <v>710358.58374545118</v>
      </c>
      <c r="BB155" s="8">
        <f t="shared" si="174"/>
        <v>639322.72537090629</v>
      </c>
      <c r="BC155" s="8">
        <f t="shared" si="174"/>
        <v>568286.86699636141</v>
      </c>
      <c r="BD155" s="8">
        <f t="shared" si="174"/>
        <v>497251.00862181652</v>
      </c>
      <c r="BE155" s="8">
        <f t="shared" si="174"/>
        <v>426215.15024727164</v>
      </c>
      <c r="BF155" s="8">
        <f t="shared" si="174"/>
        <v>355179.29187272675</v>
      </c>
      <c r="BG155" s="8">
        <f t="shared" si="174"/>
        <v>284143.43349818187</v>
      </c>
      <c r="BH155" s="8">
        <f t="shared" si="174"/>
        <v>213107.57512363698</v>
      </c>
      <c r="BI155" s="8">
        <f t="shared" si="174"/>
        <v>142071.7167490921</v>
      </c>
      <c r="BJ155" s="8">
        <f t="shared" si="174"/>
        <v>71035.858374547213</v>
      </c>
      <c r="BK155" s="8">
        <f t="shared" si="174"/>
        <v>0</v>
      </c>
      <c r="BL155" s="8">
        <f t="shared" si="174"/>
        <v>0</v>
      </c>
      <c r="BM155" s="8">
        <f t="shared" si="174"/>
        <v>0</v>
      </c>
      <c r="BN155" s="8">
        <f t="shared" si="174"/>
        <v>0</v>
      </c>
      <c r="BO155" s="8">
        <f t="shared" si="174"/>
        <v>0</v>
      </c>
      <c r="BP155" s="8">
        <f t="shared" si="174"/>
        <v>0</v>
      </c>
      <c r="BQ155" s="8">
        <f t="shared" si="174"/>
        <v>0</v>
      </c>
      <c r="BR155" s="8">
        <f t="shared" si="174"/>
        <v>0</v>
      </c>
      <c r="BS155" s="8">
        <f t="shared" si="174"/>
        <v>0</v>
      </c>
      <c r="BT155" s="8">
        <f t="shared" si="174"/>
        <v>0</v>
      </c>
      <c r="BU155" s="8">
        <f t="shared" si="174"/>
        <v>0</v>
      </c>
      <c r="BV155" s="8">
        <f t="shared" si="174"/>
        <v>0</v>
      </c>
      <c r="BW155" s="8">
        <f t="shared" si="174"/>
        <v>0</v>
      </c>
      <c r="BX155" s="8">
        <f t="shared" si="174"/>
        <v>0</v>
      </c>
      <c r="BY155" s="8">
        <f t="shared" si="174"/>
        <v>0</v>
      </c>
      <c r="BZ155" s="8">
        <f t="shared" si="174"/>
        <v>0</v>
      </c>
      <c r="CA155" s="8">
        <f t="shared" ref="CA155:DA155" si="175">CA152+CA153</f>
        <v>0</v>
      </c>
      <c r="CB155" s="8">
        <f t="shared" si="175"/>
        <v>0</v>
      </c>
      <c r="CC155" s="8">
        <f t="shared" si="175"/>
        <v>0</v>
      </c>
      <c r="CD155" s="8">
        <f t="shared" si="175"/>
        <v>0</v>
      </c>
      <c r="CE155" s="8">
        <f t="shared" si="175"/>
        <v>0</v>
      </c>
      <c r="CF155" s="8">
        <f t="shared" si="175"/>
        <v>0</v>
      </c>
      <c r="CG155" s="8">
        <f t="shared" si="175"/>
        <v>0</v>
      </c>
      <c r="CH155" s="8">
        <f t="shared" si="175"/>
        <v>0</v>
      </c>
      <c r="CI155" s="8">
        <f t="shared" si="175"/>
        <v>0</v>
      </c>
      <c r="CJ155" s="8">
        <f t="shared" si="175"/>
        <v>0</v>
      </c>
      <c r="CK155" s="8">
        <f t="shared" si="175"/>
        <v>0</v>
      </c>
      <c r="CL155" s="8">
        <f t="shared" si="175"/>
        <v>0</v>
      </c>
      <c r="CM155" s="8">
        <f t="shared" si="175"/>
        <v>0</v>
      </c>
      <c r="CN155" s="8">
        <f t="shared" si="175"/>
        <v>0</v>
      </c>
      <c r="CO155" s="8">
        <f t="shared" si="175"/>
        <v>0</v>
      </c>
      <c r="CP155" s="8">
        <f t="shared" si="175"/>
        <v>0</v>
      </c>
      <c r="CQ155" s="8">
        <f t="shared" si="175"/>
        <v>0</v>
      </c>
      <c r="CR155" s="8">
        <f t="shared" si="175"/>
        <v>0</v>
      </c>
      <c r="CS155" s="8">
        <f t="shared" si="175"/>
        <v>0</v>
      </c>
      <c r="CT155" s="8">
        <f t="shared" si="175"/>
        <v>0</v>
      </c>
      <c r="CU155" s="8">
        <f t="shared" si="175"/>
        <v>0</v>
      </c>
      <c r="CV155" s="8">
        <f t="shared" si="175"/>
        <v>0</v>
      </c>
      <c r="CW155" s="8">
        <f t="shared" si="175"/>
        <v>0</v>
      </c>
      <c r="CX155" s="8">
        <f t="shared" si="175"/>
        <v>0</v>
      </c>
      <c r="CY155" s="8">
        <f t="shared" si="175"/>
        <v>0</v>
      </c>
      <c r="CZ155" s="8">
        <f t="shared" si="175"/>
        <v>0</v>
      </c>
      <c r="DA155" s="8">
        <f t="shared" si="175"/>
        <v>0</v>
      </c>
      <c r="DB155" s="8"/>
      <c r="DC155" s="8"/>
      <c r="DD155" s="8"/>
      <c r="DE155" s="8"/>
      <c r="DF155" s="8"/>
    </row>
    <row r="156" spans="3:110" x14ac:dyDescent="0.4"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8"/>
      <c r="DF156" s="8"/>
    </row>
    <row r="157" spans="3:110" x14ac:dyDescent="0.4">
      <c r="D157" t="s">
        <v>169</v>
      </c>
      <c r="M157" s="8"/>
      <c r="N157" s="8">
        <f>IF(N149&lt;=$B$4+1,N152*VLOOKUP(N149,Assumptions!$A$70:$B$90,2,0),0)</f>
        <v>133192.23445227195</v>
      </c>
      <c r="O157" s="8">
        <f>IF(O149&lt;=$B$4+1,O152*VLOOKUP(O149,Assumptions!$A$70:$B$90,2,0),0)</f>
        <v>256403.93080292034</v>
      </c>
      <c r="P157" s="8">
        <f>IF(P149&lt;=$B$4+1,P152*VLOOKUP(P149,Assumptions!$A$70:$B$90,2,0),0)</f>
        <v>237153.21318341861</v>
      </c>
      <c r="Q157" s="8">
        <f>IF(Q149&lt;=$B$4+1,Q152*VLOOKUP(Q149,Assumptions!$A$70:$B$90,2,0),0)</f>
        <v>219394.24858978236</v>
      </c>
      <c r="R157" s="8">
        <f>IF(R149&lt;=$B$4+1,R152*VLOOKUP(R149,Assumptions!$A$70:$B$90,2,0),0)</f>
        <v>202913.92944688792</v>
      </c>
      <c r="S157" s="8">
        <f>IF(S149&lt;=$B$4+1,S152*VLOOKUP(S149,Assumptions!$A$70:$B$90,2,0),0)</f>
        <v>187712.25575473529</v>
      </c>
      <c r="T157" s="8">
        <f>IF(T149&lt;=$B$4+1,T152*VLOOKUP(T149,Assumptions!$A$70:$B$90,2,0),0)</f>
        <v>173611.63786738808</v>
      </c>
      <c r="U157" s="8">
        <f>IF(U149&lt;=$B$4+1,U152*VLOOKUP(U149,Assumptions!$A$70:$B$90,2,0),0)</f>
        <v>160612.07578484635</v>
      </c>
      <c r="V157" s="8">
        <f>IF(V149&lt;=$B$4+1,V152*VLOOKUP(V149,Assumptions!$A$70:$B$90,2,0),0)</f>
        <v>158481.00003361001</v>
      </c>
      <c r="W157" s="8">
        <f>IF(W149&lt;=$B$4+1,W152*VLOOKUP(W149,Assumptions!$A$70:$B$90,2,0),0)</f>
        <v>158445.4821044227</v>
      </c>
      <c r="X157" s="8">
        <f>IF(X149&lt;=$B$4+1,X152*VLOOKUP(X149,Assumptions!$A$70:$B$90,2,0),0)</f>
        <v>158481.00003361001</v>
      </c>
      <c r="Y157" s="8">
        <f>IF(Y149&lt;=$B$4+1,Y152*VLOOKUP(Y149,Assumptions!$A$70:$B$90,2,0),0)</f>
        <v>158445.4821044227</v>
      </c>
      <c r="Z157" s="8">
        <f>IF(Z149&lt;=$B$4+1,Z152*VLOOKUP(Z149,Assumptions!$A$70:$B$90,2,0),0)</f>
        <v>158481.00003361001</v>
      </c>
      <c r="AA157" s="8">
        <f>IF(AA149&lt;=$B$4+1,AA152*VLOOKUP(AA149,Assumptions!$A$70:$B$90,2,0),0)</f>
        <v>158445.4821044227</v>
      </c>
      <c r="AB157" s="8">
        <f>IF(AB149&lt;=$B$4+1,AB152*VLOOKUP(AB149,Assumptions!$A$70:$B$90,2,0),0)</f>
        <v>158481.00003361001</v>
      </c>
      <c r="AC157" s="8">
        <f>IF(AC149&lt;=$B$4+1,AC152*VLOOKUP(AC149,Assumptions!$A$70:$B$90,2,0),0)</f>
        <v>158445.4821044227</v>
      </c>
      <c r="AD157" s="8">
        <f>IF(AD149&lt;=$B$4+1,AD152*VLOOKUP(AD149,Assumptions!$A$70:$B$90,2,0),0)</f>
        <v>158481.00003361001</v>
      </c>
      <c r="AE157" s="8">
        <f>IF(AE149&lt;=$B$4+1,AE152*VLOOKUP(AE149,Assumptions!$A$70:$B$90,2,0),0)</f>
        <v>158445.4821044227</v>
      </c>
      <c r="AF157" s="8">
        <f>IF(AF149&lt;=$B$4+1,AF152*VLOOKUP(AF149,Assumptions!$A$70:$B$90,2,0),0)</f>
        <v>158481.00003361001</v>
      </c>
      <c r="AG157" s="8">
        <f>IF(AG149&lt;=$B$4+1,AG152*VLOOKUP(AG149,Assumptions!$A$70:$B$90,2,0),0)</f>
        <v>158445.4821044227</v>
      </c>
      <c r="AH157" s="8">
        <f>IF(AH149&lt;=$B$4+1,AH152*VLOOKUP(AH149,Assumptions!$A$70:$B$90,2,0),0)</f>
        <v>79240.500016805003</v>
      </c>
      <c r="AI157" s="8">
        <f>IF(AI149&lt;=$B$4+1,AI152*VLOOKUP(AI149,Assumptions!$A$70:$B$90,2,0),0)</f>
        <v>0</v>
      </c>
      <c r="AJ157" s="8">
        <f>IF(AJ149&lt;=$B$4+1,AJ152*VLOOKUP(AJ149,Assumptions!$A$70:$B$90,2,0),0)</f>
        <v>0</v>
      </c>
      <c r="AK157" s="8">
        <f>IF(AK149&lt;=$B$4+1,AK152*VLOOKUP(AK149,Assumptions!$A$70:$B$90,2,0),0)</f>
        <v>0</v>
      </c>
      <c r="AL157" s="8">
        <f>IF(AL149&lt;=$B$4+1,AL152*VLOOKUP(AL149,Assumptions!$A$70:$B$90,2,0),0)</f>
        <v>0</v>
      </c>
      <c r="AM157" s="8">
        <f>IF(AM149&lt;=$B$4+1,AM152*VLOOKUP(AM149,Assumptions!$A$70:$B$90,2,0),0)</f>
        <v>0</v>
      </c>
      <c r="AN157" s="8">
        <f>IF(AN149&lt;=$B$4+1,AN152*VLOOKUP(AN149,Assumptions!$A$70:$B$90,2,0),0)</f>
        <v>0</v>
      </c>
      <c r="AO157" s="8">
        <f>IF(AO149&lt;=$B$4+1,AO152*VLOOKUP(AO149,Assumptions!$A$70:$B$90,2,0),0)</f>
        <v>0</v>
      </c>
      <c r="AP157" s="8">
        <f>IF(AP149&lt;=$B$4+1,AP152*VLOOKUP(AP149,Assumptions!$A$70:$B$90,2,0),0)</f>
        <v>0</v>
      </c>
      <c r="AQ157" s="8">
        <f>IF(AQ149&lt;=$B$4+1,AQ152*VLOOKUP(AQ149,Assumptions!$A$70:$B$90,2,0),0)</f>
        <v>0</v>
      </c>
      <c r="AR157" s="8">
        <f>IF(AR149&lt;=$B$4+1,AR152*VLOOKUP(AR149,Assumptions!$A$70:$B$90,2,0),0)</f>
        <v>0</v>
      </c>
      <c r="AS157" s="8">
        <f>IF(AS149&lt;=$B$4+1,AS152*VLOOKUP(AS149,Assumptions!$A$70:$B$90,2,0),0)</f>
        <v>0</v>
      </c>
      <c r="AT157" s="8">
        <f>IF(AT149&lt;=$B$4+1,AT152*VLOOKUP(AT149,Assumptions!$A$70:$B$90,2,0),0)</f>
        <v>0</v>
      </c>
      <c r="AU157" s="8">
        <f>IF(AU149&lt;=$B$4+1,AU152*VLOOKUP(AU149,Assumptions!$A$70:$B$90,2,0),0)</f>
        <v>0</v>
      </c>
      <c r="AV157" s="8">
        <f>IF(AV149&lt;=$B$4+1,AV152*VLOOKUP(AV149,Assumptions!$A$70:$B$90,2,0),0)</f>
        <v>0</v>
      </c>
      <c r="AW157" s="8">
        <f>IF(AW149&lt;=$B$4+1,AW152*VLOOKUP(AW149,Assumptions!$A$70:$B$90,2,0),0)</f>
        <v>0</v>
      </c>
      <c r="AX157" s="8">
        <f>IF(AX149&lt;=$B$4+1,AX152*VLOOKUP(AX149,Assumptions!$A$70:$B$90,2,0),0)</f>
        <v>0</v>
      </c>
      <c r="AY157" s="8">
        <f>IF(AY149&lt;=$B$4+1,AY152*VLOOKUP(AY149,Assumptions!$A$70:$B$90,2,0),0)</f>
        <v>0</v>
      </c>
      <c r="AZ157" s="8">
        <f>IF(AZ149&lt;=$B$4+1,AZ152*VLOOKUP(AZ149,Assumptions!$A$70:$B$90,2,0),0)</f>
        <v>0</v>
      </c>
      <c r="BA157" s="8">
        <f>IF(BA149&lt;=$B$4+1,BA152*VLOOKUP(BA149,Assumptions!$A$70:$B$90,2,0),0)</f>
        <v>0</v>
      </c>
      <c r="BB157" s="8">
        <f>IF(BB149&lt;=$B$4+1,BB152*VLOOKUP(BB149,Assumptions!$A$70:$B$90,2,0),0)</f>
        <v>0</v>
      </c>
      <c r="BC157" s="8">
        <f>IF(BC149&lt;=$B$4+1,BC152*VLOOKUP(BC149,Assumptions!$A$70:$B$90,2,0),0)</f>
        <v>0</v>
      </c>
      <c r="BD157" s="8">
        <f>IF(BD149&lt;=$B$4+1,BD152*VLOOKUP(BD149,Assumptions!$A$70:$B$90,2,0),0)</f>
        <v>0</v>
      </c>
      <c r="BE157" s="8">
        <f>IF(BE149&lt;=$B$4+1,BE152*VLOOKUP(BE149,Assumptions!$A$70:$B$90,2,0),0)</f>
        <v>0</v>
      </c>
      <c r="BF157" s="8">
        <f>IF(BF149&lt;=$B$4+1,BF152*VLOOKUP(BF149,Assumptions!$A$70:$B$90,2,0),0)</f>
        <v>0</v>
      </c>
      <c r="BG157" s="8">
        <f>IF(BG149&lt;=$B$4+1,BG152*VLOOKUP(BG149,Assumptions!$A$70:$B$90,2,0),0)</f>
        <v>0</v>
      </c>
      <c r="BH157" s="8">
        <f>IF(BH149&lt;=$B$4+1,BH152*VLOOKUP(BH149,Assumptions!$A$70:$B$90,2,0),0)</f>
        <v>0</v>
      </c>
      <c r="BI157" s="8">
        <f>IF(BI149&lt;=$B$4+1,BI152*VLOOKUP(BI149,Assumptions!$A$70:$B$90,2,0),0)</f>
        <v>0</v>
      </c>
      <c r="BJ157" s="8">
        <f>IF(BJ149&lt;=$B$4+1,BJ152*VLOOKUP(BJ149,Assumptions!$A$70:$B$90,2,0),0)</f>
        <v>0</v>
      </c>
      <c r="BK157" s="8">
        <f>IF(BK149&lt;=$B$4+1,BK152*VLOOKUP(BK149,Assumptions!$A$70:$B$90,2,0),0)</f>
        <v>0</v>
      </c>
      <c r="BL157" s="8">
        <f>IF(BL149&lt;=$B$4+1,BL152*VLOOKUP(BL149,Assumptions!$A$70:$B$90,2,0),0)</f>
        <v>0</v>
      </c>
      <c r="BM157" s="8">
        <f>IF(BM149&lt;=$B$4+1,BM152*VLOOKUP(BM149,Assumptions!$A$70:$B$90,2,0),0)</f>
        <v>0</v>
      </c>
      <c r="BN157" s="8">
        <f>IF(BN149&lt;=$B$4+1,BN152*VLOOKUP(BN149,Assumptions!$A$70:$B$90,2,0),0)</f>
        <v>0</v>
      </c>
      <c r="BO157" s="8">
        <f>IF(BO149&lt;=$B$4+1,BO152*VLOOKUP(BO149,Assumptions!$A$70:$B$90,2,0),0)</f>
        <v>0</v>
      </c>
      <c r="BP157" s="8">
        <f>IF(BP149&lt;=$B$4+1,BP152*VLOOKUP(BP149,Assumptions!$A$70:$B$90,2,0),0)</f>
        <v>0</v>
      </c>
      <c r="BQ157" s="8">
        <f>IF(BQ149&lt;=$B$4+1,BQ152*VLOOKUP(BQ149,Assumptions!$A$70:$B$90,2,0),0)</f>
        <v>0</v>
      </c>
      <c r="BR157" s="8">
        <f>IF(BR149&lt;=$B$4+1,BR152*VLOOKUP(BR149,Assumptions!$A$70:$B$90,2,0),0)</f>
        <v>0</v>
      </c>
      <c r="BS157" s="8">
        <f>IF(BS149&lt;=$B$4+1,BS152*VLOOKUP(BS149,Assumptions!$A$70:$B$90,2,0),0)</f>
        <v>0</v>
      </c>
      <c r="BT157" s="8">
        <f>IF(BT149&lt;=$B$4+1,BT152*VLOOKUP(BT149,Assumptions!$A$70:$B$90,2,0),0)</f>
        <v>0</v>
      </c>
      <c r="BU157" s="8">
        <f>IF(BU149&lt;=$B$4+1,BU152*VLOOKUP(BU149,Assumptions!$A$70:$B$90,2,0),0)</f>
        <v>0</v>
      </c>
      <c r="BV157" s="8">
        <f>IF(BV149&lt;=$B$4+1,BV152*VLOOKUP(BV149,Assumptions!$A$70:$B$90,2,0),0)</f>
        <v>0</v>
      </c>
      <c r="BW157" s="8">
        <f>IF(BW149&lt;=$B$4+1,BW152*VLOOKUP(BW149,Assumptions!$A$70:$B$90,2,0),0)</f>
        <v>0</v>
      </c>
      <c r="BX157" s="8">
        <f>IF(BX149&lt;=$B$4+1,BX152*VLOOKUP(BX149,Assumptions!$A$70:$B$90,2,0),0)</f>
        <v>0</v>
      </c>
      <c r="BY157" s="8">
        <f>IF(BY149&lt;=$B$4+1,BY152*VLOOKUP(BY149,Assumptions!$A$70:$B$90,2,0),0)</f>
        <v>0</v>
      </c>
      <c r="BZ157" s="8">
        <f>IF(BZ149&lt;=$B$4+1,BZ152*VLOOKUP(BZ149,Assumptions!$A$70:$B$90,2,0),0)</f>
        <v>0</v>
      </c>
      <c r="CA157" s="8">
        <f>IF(CA149&lt;=$B$4+1,CA152*VLOOKUP(CA149,Assumptions!$A$70:$B$90,2,0),0)</f>
        <v>0</v>
      </c>
      <c r="CB157" s="8">
        <f>IF(CB149&lt;=$B$4+1,CB152*VLOOKUP(CB149,Assumptions!$A$70:$B$90,2,0),0)</f>
        <v>0</v>
      </c>
      <c r="CC157" s="8">
        <f>IF(CC149&lt;=$B$4+1,CC152*VLOOKUP(CC149,Assumptions!$A$70:$B$90,2,0),0)</f>
        <v>0</v>
      </c>
      <c r="CD157" s="8">
        <f>IF(CD149&lt;=$B$4+1,CD152*VLOOKUP(CD149,Assumptions!$A$70:$B$90,2,0),0)</f>
        <v>0</v>
      </c>
      <c r="CE157" s="8">
        <f>IF(CE149&lt;=$B$4+1,CE152*VLOOKUP(CE149,Assumptions!$A$70:$B$90,2,0),0)</f>
        <v>0</v>
      </c>
      <c r="CF157" s="8">
        <f>IF(CF149&lt;=$B$4+1,CF152*VLOOKUP(CF149,Assumptions!$A$70:$B$90,2,0),0)</f>
        <v>0</v>
      </c>
      <c r="CG157" s="8">
        <f>IF(CG149&lt;=$B$4+1,CG152*VLOOKUP(CG149,Assumptions!$A$70:$B$90,2,0),0)</f>
        <v>0</v>
      </c>
      <c r="CH157" s="8">
        <f>IF(CH149&lt;=$B$4+1,CH152*VLOOKUP(CH149,Assumptions!$A$70:$B$90,2,0),0)</f>
        <v>0</v>
      </c>
      <c r="CI157" s="8">
        <f>IF(CI149&lt;=$B$4+1,CI152*VLOOKUP(CI149,Assumptions!$A$70:$B$90,2,0),0)</f>
        <v>0</v>
      </c>
      <c r="CJ157" s="8">
        <f>IF(CJ149&lt;=$B$4+1,CJ152*VLOOKUP(CJ149,Assumptions!$A$70:$B$90,2,0),0)</f>
        <v>0</v>
      </c>
      <c r="CK157" s="8">
        <f>IF(CK149&lt;=$B$4+1,CK152*VLOOKUP(CK149,Assumptions!$A$70:$B$90,2,0),0)</f>
        <v>0</v>
      </c>
      <c r="CL157" s="8">
        <f>IF(CL149&lt;=$B$4+1,CL152*VLOOKUP(CL149,Assumptions!$A$70:$B$90,2,0),0)</f>
        <v>0</v>
      </c>
      <c r="CM157" s="8">
        <f>IF(CM149&lt;=$B$4+1,CM152*VLOOKUP(CM149,Assumptions!$A$70:$B$90,2,0),0)</f>
        <v>0</v>
      </c>
      <c r="CN157" s="8">
        <f>IF(CN149&lt;=$B$4+1,CN152*VLOOKUP(CN149,Assumptions!$A$70:$B$90,2,0),0)</f>
        <v>0</v>
      </c>
      <c r="CO157" s="8">
        <f>IF(CO149&lt;=$B$4+1,CO152*VLOOKUP(CO149,Assumptions!$A$70:$B$90,2,0),0)</f>
        <v>0</v>
      </c>
      <c r="CP157" s="8">
        <f>IF(CP149&lt;=$B$4+1,CP152*VLOOKUP(CP149,Assumptions!$A$70:$B$90,2,0),0)</f>
        <v>0</v>
      </c>
      <c r="CQ157" s="8">
        <f>IF(CQ149&lt;=$B$4+1,CQ152*VLOOKUP(CQ149,Assumptions!$A$70:$B$90,2,0),0)</f>
        <v>0</v>
      </c>
      <c r="CR157" s="8">
        <f>IF(CR149&lt;=$B$4+1,CR152*VLOOKUP(CR149,Assumptions!$A$70:$B$90,2,0),0)</f>
        <v>0</v>
      </c>
      <c r="CS157" s="8">
        <f>IF(CS149&lt;=$B$4+1,CS152*VLOOKUP(CS149,Assumptions!$A$70:$B$90,2,0),0)</f>
        <v>0</v>
      </c>
      <c r="CT157" s="8">
        <f>IF(CT149&lt;=$B$4+1,CT152*VLOOKUP(CT149,Assumptions!$A$70:$B$90,2,0),0)</f>
        <v>0</v>
      </c>
      <c r="CU157" s="8">
        <f>IF(CU149&lt;=$B$4+1,CU152*VLOOKUP(CU149,Assumptions!$A$70:$B$90,2,0),0)</f>
        <v>0</v>
      </c>
      <c r="CV157" s="8">
        <f>IF(CV149&lt;=$B$4+1,CV152*VLOOKUP(CV149,Assumptions!$A$70:$B$90,2,0),0)</f>
        <v>0</v>
      </c>
      <c r="CW157" s="8">
        <f>IF(CW149&lt;=$B$4+1,CW152*VLOOKUP(CW149,Assumptions!$A$70:$B$90,2,0),0)</f>
        <v>0</v>
      </c>
      <c r="CX157" s="8">
        <f>IF(CX149&lt;=$B$4+1,CX152*VLOOKUP(CX149,Assumptions!$A$70:$B$90,2,0),0)</f>
        <v>0</v>
      </c>
      <c r="CY157" s="8">
        <f>IF(CY149&lt;=$B$4+1,CY152*VLOOKUP(CY149,Assumptions!$A$70:$B$90,2,0),0)</f>
        <v>0</v>
      </c>
      <c r="CZ157" s="8">
        <f>IF(CZ149&lt;=$B$4+1,CZ152*VLOOKUP(CZ149,Assumptions!$A$70:$B$90,2,0),0)</f>
        <v>0</v>
      </c>
      <c r="DA157" s="8">
        <f>IF(DA149&lt;=$B$4+1,DA152*VLOOKUP(DA149,Assumptions!$A$70:$B$90,2,0),0)</f>
        <v>0</v>
      </c>
      <c r="DB157" s="8"/>
      <c r="DC157" s="8"/>
      <c r="DD157" s="8"/>
      <c r="DE157" s="8"/>
      <c r="DF157" s="8"/>
    </row>
    <row r="158" spans="3:110" x14ac:dyDescent="0.4">
      <c r="D158" t="s">
        <v>170</v>
      </c>
      <c r="M158" s="8"/>
      <c r="N158" s="8">
        <f>M159</f>
        <v>0</v>
      </c>
      <c r="O158" s="8">
        <f t="shared" ref="O158:BZ158" si="176">N159</f>
        <v>-17226.639629942012</v>
      </c>
      <c r="P158" s="8">
        <f t="shared" si="176"/>
        <v>-68601.40090346623</v>
      </c>
      <c r="Q158" s="8">
        <f t="shared" si="176"/>
        <v>-114640.82578874554</v>
      </c>
      <c r="R158" s="8">
        <f t="shared" si="176"/>
        <v>-155758.35363689857</v>
      </c>
      <c r="S158" s="8">
        <f t="shared" si="176"/>
        <v>-192308.36103459838</v>
      </c>
      <c r="T158" s="8">
        <f t="shared" si="176"/>
        <v>-224645.22456851811</v>
      </c>
      <c r="U158" s="8">
        <f t="shared" si="176"/>
        <v>-253074.10185495956</v>
      </c>
      <c r="V158" s="8">
        <f t="shared" si="176"/>
        <v>-277900.15051022457</v>
      </c>
      <c r="W158" s="8">
        <f t="shared" si="176"/>
        <v>-302135.57152103441</v>
      </c>
      <c r="X158" s="8">
        <f t="shared" si="176"/>
        <v>-326361.14873776998</v>
      </c>
      <c r="Y158" s="8">
        <f t="shared" si="176"/>
        <v>-350596.56974857982</v>
      </c>
      <c r="Z158" s="8">
        <f t="shared" si="176"/>
        <v>-374822.14696531539</v>
      </c>
      <c r="AA158" s="8">
        <f t="shared" si="176"/>
        <v>-399057.56797612522</v>
      </c>
      <c r="AB158" s="8">
        <f t="shared" si="176"/>
        <v>-423283.1451928608</v>
      </c>
      <c r="AC158" s="8">
        <f t="shared" si="176"/>
        <v>-447518.56620367063</v>
      </c>
      <c r="AD158" s="8">
        <f t="shared" si="176"/>
        <v>-471744.14342040621</v>
      </c>
      <c r="AE158" s="8">
        <f t="shared" si="176"/>
        <v>-495979.56443121604</v>
      </c>
      <c r="AF158" s="8">
        <f t="shared" si="176"/>
        <v>-520205.14164795162</v>
      </c>
      <c r="AG158" s="8">
        <f t="shared" si="176"/>
        <v>-544440.56265876151</v>
      </c>
      <c r="AH158" s="8">
        <f t="shared" si="176"/>
        <v>-568666.13987549709</v>
      </c>
      <c r="AI158" s="8">
        <f t="shared" si="176"/>
        <v>-570940.05630664947</v>
      </c>
      <c r="AJ158" s="8">
        <f t="shared" si="176"/>
        <v>-551252.46815814427</v>
      </c>
      <c r="AK158" s="8">
        <f t="shared" si="176"/>
        <v>-531564.88000963908</v>
      </c>
      <c r="AL158" s="8">
        <f t="shared" si="176"/>
        <v>-511877.29186113394</v>
      </c>
      <c r="AM158" s="8">
        <f t="shared" si="176"/>
        <v>-492189.70371262881</v>
      </c>
      <c r="AN158" s="8">
        <f t="shared" si="176"/>
        <v>-472502.11556412367</v>
      </c>
      <c r="AO158" s="8">
        <f t="shared" si="176"/>
        <v>-452814.52741561853</v>
      </c>
      <c r="AP158" s="8">
        <f t="shared" si="176"/>
        <v>-433126.9392671134</v>
      </c>
      <c r="AQ158" s="8">
        <f t="shared" si="176"/>
        <v>-413439.35111860826</v>
      </c>
      <c r="AR158" s="8">
        <f t="shared" si="176"/>
        <v>-393751.76297010313</v>
      </c>
      <c r="AS158" s="8">
        <f t="shared" si="176"/>
        <v>-374064.17482159799</v>
      </c>
      <c r="AT158" s="8">
        <f t="shared" si="176"/>
        <v>-354376.58667309285</v>
      </c>
      <c r="AU158" s="8">
        <f t="shared" si="176"/>
        <v>-334688.99852458772</v>
      </c>
      <c r="AV158" s="8">
        <f t="shared" si="176"/>
        <v>-315001.41037608258</v>
      </c>
      <c r="AW158" s="8">
        <f t="shared" si="176"/>
        <v>-295313.82222757745</v>
      </c>
      <c r="AX158" s="8">
        <f t="shared" si="176"/>
        <v>-275626.23407907231</v>
      </c>
      <c r="AY158" s="8">
        <f t="shared" si="176"/>
        <v>-255938.64593056715</v>
      </c>
      <c r="AZ158" s="8">
        <f t="shared" si="176"/>
        <v>-236251.05778206198</v>
      </c>
      <c r="BA158" s="8">
        <f t="shared" si="176"/>
        <v>-216563.46963355682</v>
      </c>
      <c r="BB158" s="8">
        <f t="shared" si="176"/>
        <v>-196875.88148505165</v>
      </c>
      <c r="BC158" s="8">
        <f t="shared" si="176"/>
        <v>-177188.29333654649</v>
      </c>
      <c r="BD158" s="8">
        <f t="shared" si="176"/>
        <v>-157500.70518804132</v>
      </c>
      <c r="BE158" s="8">
        <f t="shared" si="176"/>
        <v>-137813.11703953616</v>
      </c>
      <c r="BF158" s="8">
        <f t="shared" si="176"/>
        <v>-118125.52889103099</v>
      </c>
      <c r="BG158" s="8">
        <f t="shared" si="176"/>
        <v>-98437.940742525825</v>
      </c>
      <c r="BH158" s="8">
        <f t="shared" si="176"/>
        <v>-78750.35259402066</v>
      </c>
      <c r="BI158" s="8">
        <f t="shared" si="176"/>
        <v>-59062.764445515495</v>
      </c>
      <c r="BJ158" s="8">
        <f t="shared" si="176"/>
        <v>-39375.17629701033</v>
      </c>
      <c r="BK158" s="8">
        <f t="shared" si="176"/>
        <v>-19687.588148505169</v>
      </c>
      <c r="BL158" s="8">
        <f t="shared" si="176"/>
        <v>0</v>
      </c>
      <c r="BM158" s="8">
        <f t="shared" si="176"/>
        <v>0</v>
      </c>
      <c r="BN158" s="8">
        <f t="shared" si="176"/>
        <v>0</v>
      </c>
      <c r="BO158" s="8">
        <f t="shared" si="176"/>
        <v>0</v>
      </c>
      <c r="BP158" s="8">
        <f t="shared" si="176"/>
        <v>0</v>
      </c>
      <c r="BQ158" s="8">
        <f t="shared" si="176"/>
        <v>0</v>
      </c>
      <c r="BR158" s="8">
        <f t="shared" si="176"/>
        <v>0</v>
      </c>
      <c r="BS158" s="8">
        <f t="shared" si="176"/>
        <v>0</v>
      </c>
      <c r="BT158" s="8">
        <f t="shared" si="176"/>
        <v>0</v>
      </c>
      <c r="BU158" s="8">
        <f t="shared" si="176"/>
        <v>0</v>
      </c>
      <c r="BV158" s="8">
        <f t="shared" si="176"/>
        <v>0</v>
      </c>
      <c r="BW158" s="8">
        <f t="shared" si="176"/>
        <v>0</v>
      </c>
      <c r="BX158" s="8">
        <f t="shared" si="176"/>
        <v>0</v>
      </c>
      <c r="BY158" s="8">
        <f t="shared" si="176"/>
        <v>0</v>
      </c>
      <c r="BZ158" s="8">
        <f t="shared" si="176"/>
        <v>0</v>
      </c>
      <c r="CA158" s="8">
        <f t="shared" ref="CA158:DA158" si="177">BZ159</f>
        <v>0</v>
      </c>
      <c r="CB158" s="8">
        <f t="shared" si="177"/>
        <v>0</v>
      </c>
      <c r="CC158" s="8">
        <f t="shared" si="177"/>
        <v>0</v>
      </c>
      <c r="CD158" s="8">
        <f t="shared" si="177"/>
        <v>0</v>
      </c>
      <c r="CE158" s="8">
        <f t="shared" si="177"/>
        <v>0</v>
      </c>
      <c r="CF158" s="8">
        <f t="shared" si="177"/>
        <v>0</v>
      </c>
      <c r="CG158" s="8">
        <f t="shared" si="177"/>
        <v>0</v>
      </c>
      <c r="CH158" s="8">
        <f t="shared" si="177"/>
        <v>0</v>
      </c>
      <c r="CI158" s="8">
        <f t="shared" si="177"/>
        <v>0</v>
      </c>
      <c r="CJ158" s="8">
        <f t="shared" si="177"/>
        <v>0</v>
      </c>
      <c r="CK158" s="8">
        <f t="shared" si="177"/>
        <v>0</v>
      </c>
      <c r="CL158" s="8">
        <f t="shared" si="177"/>
        <v>0</v>
      </c>
      <c r="CM158" s="8">
        <f t="shared" si="177"/>
        <v>0</v>
      </c>
      <c r="CN158" s="8">
        <f t="shared" si="177"/>
        <v>0</v>
      </c>
      <c r="CO158" s="8">
        <f t="shared" si="177"/>
        <v>0</v>
      </c>
      <c r="CP158" s="8">
        <f t="shared" si="177"/>
        <v>0</v>
      </c>
      <c r="CQ158" s="8">
        <f t="shared" si="177"/>
        <v>0</v>
      </c>
      <c r="CR158" s="8">
        <f t="shared" si="177"/>
        <v>0</v>
      </c>
      <c r="CS158" s="8">
        <f t="shared" si="177"/>
        <v>0</v>
      </c>
      <c r="CT158" s="8">
        <f t="shared" si="177"/>
        <v>0</v>
      </c>
      <c r="CU158" s="8">
        <f t="shared" si="177"/>
        <v>0</v>
      </c>
      <c r="CV158" s="8">
        <f t="shared" si="177"/>
        <v>0</v>
      </c>
      <c r="CW158" s="8">
        <f t="shared" si="177"/>
        <v>0</v>
      </c>
      <c r="CX158" s="8">
        <f t="shared" si="177"/>
        <v>0</v>
      </c>
      <c r="CY158" s="8">
        <f t="shared" si="177"/>
        <v>0</v>
      </c>
      <c r="CZ158" s="8">
        <f t="shared" si="177"/>
        <v>0</v>
      </c>
      <c r="DA158" s="8">
        <f t="shared" si="177"/>
        <v>0</v>
      </c>
      <c r="DB158" s="8"/>
      <c r="DC158" s="8"/>
      <c r="DD158" s="8"/>
      <c r="DE158" s="8"/>
      <c r="DF158" s="8"/>
    </row>
    <row r="159" spans="3:110" x14ac:dyDescent="0.4">
      <c r="D159" t="s">
        <v>171</v>
      </c>
      <c r="M159" s="8"/>
      <c r="N159" s="8">
        <f t="shared" ref="N159:AS159" si="178">M159+((N151-N157)*INC_TAX_RATE)</f>
        <v>-17226.639629942012</v>
      </c>
      <c r="O159" s="8">
        <f t="shared" si="178"/>
        <v>-68601.40090346623</v>
      </c>
      <c r="P159" s="8">
        <f t="shared" si="178"/>
        <v>-114640.82578874554</v>
      </c>
      <c r="Q159" s="8">
        <f t="shared" si="178"/>
        <v>-155758.35363689857</v>
      </c>
      <c r="R159" s="8">
        <f t="shared" si="178"/>
        <v>-192308.36103459838</v>
      </c>
      <c r="S159" s="8">
        <f t="shared" si="178"/>
        <v>-224645.22456851811</v>
      </c>
      <c r="T159" s="8">
        <f t="shared" si="178"/>
        <v>-253074.10185495956</v>
      </c>
      <c r="U159" s="8">
        <f t="shared" si="178"/>
        <v>-277900.15051022457</v>
      </c>
      <c r="V159" s="8">
        <f t="shared" si="178"/>
        <v>-302135.57152103441</v>
      </c>
      <c r="W159" s="8">
        <f t="shared" si="178"/>
        <v>-326361.14873776998</v>
      </c>
      <c r="X159" s="8">
        <f t="shared" si="178"/>
        <v>-350596.56974857982</v>
      </c>
      <c r="Y159" s="8">
        <f t="shared" si="178"/>
        <v>-374822.14696531539</v>
      </c>
      <c r="Z159" s="8">
        <f t="shared" si="178"/>
        <v>-399057.56797612522</v>
      </c>
      <c r="AA159" s="8">
        <f t="shared" si="178"/>
        <v>-423283.1451928608</v>
      </c>
      <c r="AB159" s="8">
        <f t="shared" si="178"/>
        <v>-447518.56620367063</v>
      </c>
      <c r="AC159" s="8">
        <f t="shared" si="178"/>
        <v>-471744.14342040621</v>
      </c>
      <c r="AD159" s="8">
        <f t="shared" si="178"/>
        <v>-495979.56443121604</v>
      </c>
      <c r="AE159" s="8">
        <f t="shared" si="178"/>
        <v>-520205.14164795162</v>
      </c>
      <c r="AF159" s="8">
        <f t="shared" si="178"/>
        <v>-544440.56265876151</v>
      </c>
      <c r="AG159" s="8">
        <f t="shared" si="178"/>
        <v>-568666.13987549709</v>
      </c>
      <c r="AH159" s="8">
        <f t="shared" si="178"/>
        <v>-570940.05630664947</v>
      </c>
      <c r="AI159" s="8">
        <f t="shared" si="178"/>
        <v>-551252.46815814427</v>
      </c>
      <c r="AJ159" s="8">
        <f t="shared" si="178"/>
        <v>-531564.88000963908</v>
      </c>
      <c r="AK159" s="8">
        <f t="shared" si="178"/>
        <v>-511877.29186113394</v>
      </c>
      <c r="AL159" s="8">
        <f t="shared" si="178"/>
        <v>-492189.70371262881</v>
      </c>
      <c r="AM159" s="8">
        <f t="shared" si="178"/>
        <v>-472502.11556412367</v>
      </c>
      <c r="AN159" s="8">
        <f t="shared" si="178"/>
        <v>-452814.52741561853</v>
      </c>
      <c r="AO159" s="8">
        <f t="shared" si="178"/>
        <v>-433126.9392671134</v>
      </c>
      <c r="AP159" s="8">
        <f t="shared" si="178"/>
        <v>-413439.35111860826</v>
      </c>
      <c r="AQ159" s="8">
        <f t="shared" si="178"/>
        <v>-393751.76297010313</v>
      </c>
      <c r="AR159" s="8">
        <f t="shared" si="178"/>
        <v>-374064.17482159799</v>
      </c>
      <c r="AS159" s="8">
        <f t="shared" si="178"/>
        <v>-354376.58667309285</v>
      </c>
      <c r="AT159" s="8">
        <f t="shared" ref="AT159:BY159" si="179">AS159+((AT151-AT157)*INC_TAX_RATE)</f>
        <v>-334688.99852458772</v>
      </c>
      <c r="AU159" s="8">
        <f t="shared" si="179"/>
        <v>-315001.41037608258</v>
      </c>
      <c r="AV159" s="8">
        <f t="shared" si="179"/>
        <v>-295313.82222757745</v>
      </c>
      <c r="AW159" s="8">
        <f t="shared" si="179"/>
        <v>-275626.23407907231</v>
      </c>
      <c r="AX159" s="8">
        <f t="shared" si="179"/>
        <v>-255938.64593056715</v>
      </c>
      <c r="AY159" s="8">
        <f t="shared" si="179"/>
        <v>-236251.05778206198</v>
      </c>
      <c r="AZ159" s="8">
        <f t="shared" si="179"/>
        <v>-216563.46963355682</v>
      </c>
      <c r="BA159" s="8">
        <f t="shared" si="179"/>
        <v>-196875.88148505165</v>
      </c>
      <c r="BB159" s="8">
        <f t="shared" si="179"/>
        <v>-177188.29333654649</v>
      </c>
      <c r="BC159" s="8">
        <f t="shared" si="179"/>
        <v>-157500.70518804132</v>
      </c>
      <c r="BD159" s="8">
        <f t="shared" si="179"/>
        <v>-137813.11703953616</v>
      </c>
      <c r="BE159" s="8">
        <f t="shared" si="179"/>
        <v>-118125.52889103099</v>
      </c>
      <c r="BF159" s="8">
        <f t="shared" si="179"/>
        <v>-98437.940742525825</v>
      </c>
      <c r="BG159" s="8">
        <f t="shared" si="179"/>
        <v>-78750.35259402066</v>
      </c>
      <c r="BH159" s="8">
        <f t="shared" si="179"/>
        <v>-59062.764445515495</v>
      </c>
      <c r="BI159" s="8">
        <f t="shared" si="179"/>
        <v>-39375.17629701033</v>
      </c>
      <c r="BJ159" s="8">
        <f t="shared" si="179"/>
        <v>-19687.588148505169</v>
      </c>
      <c r="BK159" s="8">
        <f t="shared" si="179"/>
        <v>0</v>
      </c>
      <c r="BL159" s="8">
        <f t="shared" si="179"/>
        <v>0</v>
      </c>
      <c r="BM159" s="8">
        <f t="shared" si="179"/>
        <v>0</v>
      </c>
      <c r="BN159" s="8">
        <f t="shared" si="179"/>
        <v>0</v>
      </c>
      <c r="BO159" s="8">
        <f t="shared" si="179"/>
        <v>0</v>
      </c>
      <c r="BP159" s="8">
        <f t="shared" si="179"/>
        <v>0</v>
      </c>
      <c r="BQ159" s="8">
        <f t="shared" si="179"/>
        <v>0</v>
      </c>
      <c r="BR159" s="8">
        <f t="shared" si="179"/>
        <v>0</v>
      </c>
      <c r="BS159" s="8">
        <f t="shared" si="179"/>
        <v>0</v>
      </c>
      <c r="BT159" s="8">
        <f t="shared" si="179"/>
        <v>0</v>
      </c>
      <c r="BU159" s="8">
        <f t="shared" si="179"/>
        <v>0</v>
      </c>
      <c r="BV159" s="8">
        <f t="shared" si="179"/>
        <v>0</v>
      </c>
      <c r="BW159" s="8">
        <f t="shared" si="179"/>
        <v>0</v>
      </c>
      <c r="BX159" s="8">
        <f t="shared" si="179"/>
        <v>0</v>
      </c>
      <c r="BY159" s="8">
        <f t="shared" si="179"/>
        <v>0</v>
      </c>
      <c r="BZ159" s="8">
        <f t="shared" ref="BZ159:DA159" si="180">BY159+((BZ151-BZ157)*INC_TAX_RATE)</f>
        <v>0</v>
      </c>
      <c r="CA159" s="8">
        <f t="shared" si="180"/>
        <v>0</v>
      </c>
      <c r="CB159" s="8">
        <f t="shared" si="180"/>
        <v>0</v>
      </c>
      <c r="CC159" s="8">
        <f t="shared" si="180"/>
        <v>0</v>
      </c>
      <c r="CD159" s="8">
        <f t="shared" si="180"/>
        <v>0</v>
      </c>
      <c r="CE159" s="8">
        <f t="shared" si="180"/>
        <v>0</v>
      </c>
      <c r="CF159" s="8">
        <f t="shared" si="180"/>
        <v>0</v>
      </c>
      <c r="CG159" s="8">
        <f t="shared" si="180"/>
        <v>0</v>
      </c>
      <c r="CH159" s="8">
        <f t="shared" si="180"/>
        <v>0</v>
      </c>
      <c r="CI159" s="8">
        <f t="shared" si="180"/>
        <v>0</v>
      </c>
      <c r="CJ159" s="8">
        <f t="shared" si="180"/>
        <v>0</v>
      </c>
      <c r="CK159" s="8">
        <f t="shared" si="180"/>
        <v>0</v>
      </c>
      <c r="CL159" s="8">
        <f t="shared" si="180"/>
        <v>0</v>
      </c>
      <c r="CM159" s="8">
        <f t="shared" si="180"/>
        <v>0</v>
      </c>
      <c r="CN159" s="8">
        <f t="shared" si="180"/>
        <v>0</v>
      </c>
      <c r="CO159" s="8">
        <f t="shared" si="180"/>
        <v>0</v>
      </c>
      <c r="CP159" s="8">
        <f t="shared" si="180"/>
        <v>0</v>
      </c>
      <c r="CQ159" s="8">
        <f t="shared" si="180"/>
        <v>0</v>
      </c>
      <c r="CR159" s="8">
        <f t="shared" si="180"/>
        <v>0</v>
      </c>
      <c r="CS159" s="8">
        <f t="shared" si="180"/>
        <v>0</v>
      </c>
      <c r="CT159" s="8">
        <f t="shared" si="180"/>
        <v>0</v>
      </c>
      <c r="CU159" s="8">
        <f t="shared" si="180"/>
        <v>0</v>
      </c>
      <c r="CV159" s="8">
        <f t="shared" si="180"/>
        <v>0</v>
      </c>
      <c r="CW159" s="8">
        <f t="shared" si="180"/>
        <v>0</v>
      </c>
      <c r="CX159" s="8">
        <f t="shared" si="180"/>
        <v>0</v>
      </c>
      <c r="CY159" s="8">
        <f t="shared" si="180"/>
        <v>0</v>
      </c>
      <c r="CZ159" s="8">
        <f t="shared" si="180"/>
        <v>0</v>
      </c>
      <c r="DA159" s="8">
        <f t="shared" si="180"/>
        <v>0</v>
      </c>
      <c r="DB159" s="8"/>
      <c r="DC159" s="8"/>
      <c r="DD159" s="8"/>
      <c r="DE159" s="8"/>
      <c r="DF159" s="8"/>
    </row>
    <row r="160" spans="3:110" x14ac:dyDescent="0.4"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8"/>
      <c r="DD160" s="8"/>
      <c r="DE160" s="8"/>
      <c r="DF160" s="8"/>
    </row>
    <row r="161" spans="3:111" x14ac:dyDescent="0.4">
      <c r="D161" t="s">
        <v>158</v>
      </c>
      <c r="M161" s="8"/>
      <c r="N161" s="8">
        <f>AVERAGE(N154:N155)+AVERAGE(N158:N159)</f>
        <v>3507661.6697250088</v>
      </c>
      <c r="O161" s="8">
        <f t="shared" ref="O161:BZ161" si="181">AVERAGE(O154:O155)+AVERAGE(O158:O159)</f>
        <v>3402325.1108987303</v>
      </c>
      <c r="P161" s="8">
        <f t="shared" si="181"/>
        <v>3282582.1594447833</v>
      </c>
      <c r="Q161" s="8">
        <f t="shared" si="181"/>
        <v>3167967.824703523</v>
      </c>
      <c r="R161" s="8">
        <f t="shared" si="181"/>
        <v>3058098.1987060509</v>
      </c>
      <c r="S161" s="8">
        <f t="shared" si="181"/>
        <v>2952618.9048656961</v>
      </c>
      <c r="T161" s="8">
        <f t="shared" si="181"/>
        <v>2851200.176080971</v>
      </c>
      <c r="U161" s="8">
        <f t="shared" si="181"/>
        <v>2753536.8547355724</v>
      </c>
      <c r="V161" s="8">
        <f t="shared" si="181"/>
        <v>2657970.2615279895</v>
      </c>
      <c r="W161" s="8">
        <f t="shared" si="181"/>
        <v>2562703.9040396726</v>
      </c>
      <c r="X161" s="8">
        <f t="shared" si="181"/>
        <v>2467437.5465513542</v>
      </c>
      <c r="Y161" s="8">
        <f t="shared" si="181"/>
        <v>2372171.1890630363</v>
      </c>
      <c r="Z161" s="8">
        <f t="shared" si="181"/>
        <v>2276904.8315747194</v>
      </c>
      <c r="AA161" s="8">
        <f t="shared" si="181"/>
        <v>2181638.4740864011</v>
      </c>
      <c r="AB161" s="8">
        <f t="shared" si="181"/>
        <v>2086372.1165980841</v>
      </c>
      <c r="AC161" s="8">
        <f t="shared" si="181"/>
        <v>1991105.759109766</v>
      </c>
      <c r="AD161" s="8">
        <f t="shared" si="181"/>
        <v>1895839.4016214479</v>
      </c>
      <c r="AE161" s="8">
        <f t="shared" si="181"/>
        <v>1800573.0441331298</v>
      </c>
      <c r="AF161" s="8">
        <f t="shared" si="181"/>
        <v>1705306.6866448126</v>
      </c>
      <c r="AG161" s="8">
        <f t="shared" si="181"/>
        <v>1610040.3291564947</v>
      </c>
      <c r="AH161" s="8">
        <f t="shared" si="181"/>
        <v>1525754.7239580052</v>
      </c>
      <c r="AI161" s="8">
        <f t="shared" si="181"/>
        <v>1463425.7014421369</v>
      </c>
      <c r="AJ161" s="8">
        <f t="shared" si="181"/>
        <v>1412077.4312160965</v>
      </c>
      <c r="AK161" s="8">
        <f t="shared" si="181"/>
        <v>1360729.160990057</v>
      </c>
      <c r="AL161" s="8">
        <f t="shared" si="181"/>
        <v>1309380.8907640167</v>
      </c>
      <c r="AM161" s="8">
        <f t="shared" si="181"/>
        <v>1258032.620537977</v>
      </c>
      <c r="AN161" s="8">
        <f t="shared" si="181"/>
        <v>1206684.3503119368</v>
      </c>
      <c r="AO161" s="8">
        <f t="shared" si="181"/>
        <v>1155336.0800858969</v>
      </c>
      <c r="AP161" s="8">
        <f t="shared" si="181"/>
        <v>1103987.8098598567</v>
      </c>
      <c r="AQ161" s="8">
        <f t="shared" si="181"/>
        <v>1052639.539633817</v>
      </c>
      <c r="AR161" s="8">
        <f t="shared" si="181"/>
        <v>1001291.269407777</v>
      </c>
      <c r="AS161" s="8">
        <f t="shared" si="181"/>
        <v>949942.99918173731</v>
      </c>
      <c r="AT161" s="8">
        <f t="shared" si="181"/>
        <v>898594.7289556975</v>
      </c>
      <c r="AU161" s="8">
        <f t="shared" si="181"/>
        <v>847246.45872965781</v>
      </c>
      <c r="AV161" s="8">
        <f t="shared" si="181"/>
        <v>795898.188503618</v>
      </c>
      <c r="AW161" s="8">
        <f t="shared" si="181"/>
        <v>744549.91827757831</v>
      </c>
      <c r="AX161" s="8">
        <f t="shared" si="181"/>
        <v>693201.6480515385</v>
      </c>
      <c r="AY161" s="8">
        <f t="shared" si="181"/>
        <v>641853.37782549881</v>
      </c>
      <c r="AZ161" s="8">
        <f t="shared" si="181"/>
        <v>590505.10759945912</v>
      </c>
      <c r="BA161" s="8">
        <f t="shared" si="181"/>
        <v>539156.83737341943</v>
      </c>
      <c r="BB161" s="8">
        <f t="shared" si="181"/>
        <v>487808.56714737968</v>
      </c>
      <c r="BC161" s="8">
        <f t="shared" si="181"/>
        <v>436460.29692133993</v>
      </c>
      <c r="BD161" s="8">
        <f t="shared" si="181"/>
        <v>385112.02669530024</v>
      </c>
      <c r="BE161" s="8">
        <f t="shared" si="181"/>
        <v>333763.75646926049</v>
      </c>
      <c r="BF161" s="8">
        <f t="shared" si="181"/>
        <v>282415.4862432208</v>
      </c>
      <c r="BG161" s="8">
        <f t="shared" si="181"/>
        <v>231067.21601718105</v>
      </c>
      <c r="BH161" s="8">
        <f t="shared" si="181"/>
        <v>179718.94579114136</v>
      </c>
      <c r="BI161" s="8">
        <f t="shared" si="181"/>
        <v>128370.67556510163</v>
      </c>
      <c r="BJ161" s="8">
        <f t="shared" si="181"/>
        <v>77022.405339061908</v>
      </c>
      <c r="BK161" s="8">
        <f t="shared" si="181"/>
        <v>25674.135113021024</v>
      </c>
      <c r="BL161" s="8">
        <f t="shared" si="181"/>
        <v>0</v>
      </c>
      <c r="BM161" s="8">
        <f t="shared" si="181"/>
        <v>0</v>
      </c>
      <c r="BN161" s="8">
        <f t="shared" si="181"/>
        <v>0</v>
      </c>
      <c r="BO161" s="8">
        <f t="shared" si="181"/>
        <v>0</v>
      </c>
      <c r="BP161" s="8">
        <f t="shared" si="181"/>
        <v>0</v>
      </c>
      <c r="BQ161" s="8">
        <f t="shared" si="181"/>
        <v>0</v>
      </c>
      <c r="BR161" s="8">
        <f t="shared" si="181"/>
        <v>0</v>
      </c>
      <c r="BS161" s="8">
        <f t="shared" si="181"/>
        <v>0</v>
      </c>
      <c r="BT161" s="8">
        <f t="shared" si="181"/>
        <v>0</v>
      </c>
      <c r="BU161" s="8">
        <f t="shared" si="181"/>
        <v>0</v>
      </c>
      <c r="BV161" s="8">
        <f t="shared" si="181"/>
        <v>0</v>
      </c>
      <c r="BW161" s="8">
        <f t="shared" si="181"/>
        <v>0</v>
      </c>
      <c r="BX161" s="8">
        <f t="shared" si="181"/>
        <v>0</v>
      </c>
      <c r="BY161" s="8">
        <f t="shared" si="181"/>
        <v>0</v>
      </c>
      <c r="BZ161" s="8">
        <f t="shared" si="181"/>
        <v>0</v>
      </c>
      <c r="CA161" s="8">
        <f t="shared" ref="CA161:DA161" si="182">AVERAGE(CA154:CA155)+AVERAGE(CA158:CA159)</f>
        <v>0</v>
      </c>
      <c r="CB161" s="8">
        <f t="shared" si="182"/>
        <v>0</v>
      </c>
      <c r="CC161" s="8">
        <f t="shared" si="182"/>
        <v>0</v>
      </c>
      <c r="CD161" s="8">
        <f t="shared" si="182"/>
        <v>0</v>
      </c>
      <c r="CE161" s="8">
        <f t="shared" si="182"/>
        <v>0</v>
      </c>
      <c r="CF161" s="8">
        <f t="shared" si="182"/>
        <v>0</v>
      </c>
      <c r="CG161" s="8">
        <f t="shared" si="182"/>
        <v>0</v>
      </c>
      <c r="CH161" s="8">
        <f t="shared" si="182"/>
        <v>0</v>
      </c>
      <c r="CI161" s="8">
        <f t="shared" si="182"/>
        <v>0</v>
      </c>
      <c r="CJ161" s="8">
        <f t="shared" si="182"/>
        <v>0</v>
      </c>
      <c r="CK161" s="8">
        <f t="shared" si="182"/>
        <v>0</v>
      </c>
      <c r="CL161" s="8">
        <f t="shared" si="182"/>
        <v>0</v>
      </c>
      <c r="CM161" s="8">
        <f t="shared" si="182"/>
        <v>0</v>
      </c>
      <c r="CN161" s="8">
        <f t="shared" si="182"/>
        <v>0</v>
      </c>
      <c r="CO161" s="8">
        <f t="shared" si="182"/>
        <v>0</v>
      </c>
      <c r="CP161" s="8">
        <f t="shared" si="182"/>
        <v>0</v>
      </c>
      <c r="CQ161" s="8">
        <f t="shared" si="182"/>
        <v>0</v>
      </c>
      <c r="CR161" s="8">
        <f t="shared" si="182"/>
        <v>0</v>
      </c>
      <c r="CS161" s="8">
        <f t="shared" si="182"/>
        <v>0</v>
      </c>
      <c r="CT161" s="8">
        <f t="shared" si="182"/>
        <v>0</v>
      </c>
      <c r="CU161" s="8">
        <f t="shared" si="182"/>
        <v>0</v>
      </c>
      <c r="CV161" s="8">
        <f t="shared" si="182"/>
        <v>0</v>
      </c>
      <c r="CW161" s="8">
        <f t="shared" si="182"/>
        <v>0</v>
      </c>
      <c r="CX161" s="8">
        <f t="shared" si="182"/>
        <v>0</v>
      </c>
      <c r="CY161" s="8">
        <f t="shared" si="182"/>
        <v>0</v>
      </c>
      <c r="CZ161" s="8">
        <f t="shared" si="182"/>
        <v>0</v>
      </c>
      <c r="DA161" s="8">
        <f t="shared" si="182"/>
        <v>0</v>
      </c>
      <c r="DB161" s="8"/>
      <c r="DC161" s="8"/>
      <c r="DD161" s="8"/>
      <c r="DE161" s="8"/>
      <c r="DF161" s="8"/>
    </row>
    <row r="162" spans="3:111" x14ac:dyDescent="0.4"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8"/>
      <c r="DD162" s="8"/>
      <c r="DE162" s="8"/>
      <c r="DF162" s="8"/>
    </row>
    <row r="163" spans="3:111" x14ac:dyDescent="0.4">
      <c r="D163" t="s">
        <v>209</v>
      </c>
      <c r="M163" s="8"/>
      <c r="N163" s="8">
        <f t="shared" ref="N163:AS163" si="183">N161*AVG_PRE_TAX_RATE</f>
        <v>313234.18710644328</v>
      </c>
      <c r="O163" s="8">
        <f t="shared" si="183"/>
        <v>303827.63240325666</v>
      </c>
      <c r="P163" s="8">
        <f t="shared" si="183"/>
        <v>293134.58683841914</v>
      </c>
      <c r="Q163" s="8">
        <f t="shared" si="183"/>
        <v>282899.52674602461</v>
      </c>
      <c r="R163" s="8">
        <f t="shared" si="183"/>
        <v>273088.16914445034</v>
      </c>
      <c r="S163" s="8">
        <f t="shared" si="183"/>
        <v>263668.8682045067</v>
      </c>
      <c r="T163" s="8">
        <f t="shared" si="183"/>
        <v>254612.17572403073</v>
      </c>
      <c r="U163" s="8">
        <f t="shared" si="183"/>
        <v>245890.84112788661</v>
      </c>
      <c r="V163" s="8">
        <f t="shared" si="183"/>
        <v>237356.74435444947</v>
      </c>
      <c r="W163" s="8">
        <f t="shared" si="183"/>
        <v>228849.45863074277</v>
      </c>
      <c r="X163" s="8">
        <f t="shared" si="183"/>
        <v>220342.17290703594</v>
      </c>
      <c r="Y163" s="8">
        <f t="shared" si="183"/>
        <v>211834.88718332915</v>
      </c>
      <c r="Z163" s="8">
        <f t="shared" si="183"/>
        <v>203327.60145962244</v>
      </c>
      <c r="AA163" s="8">
        <f t="shared" si="183"/>
        <v>194820.31573591562</v>
      </c>
      <c r="AB163" s="8">
        <f t="shared" si="183"/>
        <v>186313.03001220891</v>
      </c>
      <c r="AC163" s="8">
        <f t="shared" si="183"/>
        <v>177805.74428850212</v>
      </c>
      <c r="AD163" s="8">
        <f t="shared" si="183"/>
        <v>169298.45856479529</v>
      </c>
      <c r="AE163" s="8">
        <f t="shared" si="183"/>
        <v>160791.1728410885</v>
      </c>
      <c r="AF163" s="8">
        <f t="shared" si="183"/>
        <v>152283.88711738176</v>
      </c>
      <c r="AG163" s="8">
        <f t="shared" si="183"/>
        <v>143776.601393675</v>
      </c>
      <c r="AH163" s="8">
        <f t="shared" si="183"/>
        <v>136249.89684944987</v>
      </c>
      <c r="AI163" s="8">
        <f t="shared" si="183"/>
        <v>130683.91513878283</v>
      </c>
      <c r="AJ163" s="8">
        <f t="shared" si="183"/>
        <v>126098.51460759742</v>
      </c>
      <c r="AK163" s="8">
        <f t="shared" si="183"/>
        <v>121513.11407641209</v>
      </c>
      <c r="AL163" s="8">
        <f t="shared" si="183"/>
        <v>116927.7135452267</v>
      </c>
      <c r="AM163" s="8">
        <f t="shared" si="183"/>
        <v>112342.31301404136</v>
      </c>
      <c r="AN163" s="8">
        <f t="shared" si="183"/>
        <v>107756.91248285596</v>
      </c>
      <c r="AO163" s="8">
        <f t="shared" si="183"/>
        <v>103171.5119516706</v>
      </c>
      <c r="AP163" s="8">
        <f t="shared" si="183"/>
        <v>98586.111420485206</v>
      </c>
      <c r="AQ163" s="8">
        <f t="shared" si="183"/>
        <v>94000.710889299866</v>
      </c>
      <c r="AR163" s="8">
        <f t="shared" si="183"/>
        <v>89415.310358114497</v>
      </c>
      <c r="AS163" s="8">
        <f t="shared" si="183"/>
        <v>84829.909826929143</v>
      </c>
      <c r="AT163" s="8">
        <f t="shared" ref="AT163:BY163" si="184">AT161*AVG_PRE_TAX_RATE</f>
        <v>80244.509295743788</v>
      </c>
      <c r="AU163" s="8">
        <f t="shared" si="184"/>
        <v>75659.108764558448</v>
      </c>
      <c r="AV163" s="8">
        <f t="shared" si="184"/>
        <v>71073.708233373094</v>
      </c>
      <c r="AW163" s="8">
        <f t="shared" si="184"/>
        <v>66488.30770218774</v>
      </c>
      <c r="AX163" s="8">
        <f t="shared" si="184"/>
        <v>61902.907171002393</v>
      </c>
      <c r="AY163" s="8">
        <f t="shared" si="184"/>
        <v>57317.506639817046</v>
      </c>
      <c r="AZ163" s="8">
        <f t="shared" si="184"/>
        <v>52732.106108631706</v>
      </c>
      <c r="BA163" s="8">
        <f t="shared" si="184"/>
        <v>48146.705577446359</v>
      </c>
      <c r="BB163" s="8">
        <f t="shared" si="184"/>
        <v>43561.305046261004</v>
      </c>
      <c r="BC163" s="8">
        <f t="shared" si="184"/>
        <v>38975.904515075657</v>
      </c>
      <c r="BD163" s="8">
        <f t="shared" si="184"/>
        <v>34390.50398389031</v>
      </c>
      <c r="BE163" s="8">
        <f t="shared" si="184"/>
        <v>29805.103452704963</v>
      </c>
      <c r="BF163" s="8">
        <f t="shared" si="184"/>
        <v>25219.70292151962</v>
      </c>
      <c r="BG163" s="8">
        <f t="shared" si="184"/>
        <v>20634.302390334269</v>
      </c>
      <c r="BH163" s="8">
        <f t="shared" si="184"/>
        <v>16048.901859148924</v>
      </c>
      <c r="BI163" s="8">
        <f t="shared" si="184"/>
        <v>11463.501327963577</v>
      </c>
      <c r="BJ163" s="8">
        <f t="shared" si="184"/>
        <v>6878.1007967782289</v>
      </c>
      <c r="BK163" s="8">
        <f t="shared" si="184"/>
        <v>2292.7002655927777</v>
      </c>
      <c r="BL163" s="8">
        <f t="shared" si="184"/>
        <v>0</v>
      </c>
      <c r="BM163" s="8">
        <f t="shared" si="184"/>
        <v>0</v>
      </c>
      <c r="BN163" s="8">
        <f t="shared" si="184"/>
        <v>0</v>
      </c>
      <c r="BO163" s="8">
        <f t="shared" si="184"/>
        <v>0</v>
      </c>
      <c r="BP163" s="8">
        <f t="shared" si="184"/>
        <v>0</v>
      </c>
      <c r="BQ163" s="8">
        <f t="shared" si="184"/>
        <v>0</v>
      </c>
      <c r="BR163" s="8">
        <f t="shared" si="184"/>
        <v>0</v>
      </c>
      <c r="BS163" s="8">
        <f t="shared" si="184"/>
        <v>0</v>
      </c>
      <c r="BT163" s="8">
        <f t="shared" si="184"/>
        <v>0</v>
      </c>
      <c r="BU163" s="8">
        <f t="shared" si="184"/>
        <v>0</v>
      </c>
      <c r="BV163" s="8">
        <f t="shared" si="184"/>
        <v>0</v>
      </c>
      <c r="BW163" s="8">
        <f t="shared" si="184"/>
        <v>0</v>
      </c>
      <c r="BX163" s="8">
        <f t="shared" si="184"/>
        <v>0</v>
      </c>
      <c r="BY163" s="8">
        <f t="shared" si="184"/>
        <v>0</v>
      </c>
      <c r="BZ163" s="8">
        <f t="shared" ref="BZ163:DA163" si="185">BZ161*AVG_PRE_TAX_RATE</f>
        <v>0</v>
      </c>
      <c r="CA163" s="8">
        <f t="shared" si="185"/>
        <v>0</v>
      </c>
      <c r="CB163" s="8">
        <f t="shared" si="185"/>
        <v>0</v>
      </c>
      <c r="CC163" s="8">
        <f t="shared" si="185"/>
        <v>0</v>
      </c>
      <c r="CD163" s="8">
        <f t="shared" si="185"/>
        <v>0</v>
      </c>
      <c r="CE163" s="8">
        <f t="shared" si="185"/>
        <v>0</v>
      </c>
      <c r="CF163" s="8">
        <f t="shared" si="185"/>
        <v>0</v>
      </c>
      <c r="CG163" s="8">
        <f t="shared" si="185"/>
        <v>0</v>
      </c>
      <c r="CH163" s="8">
        <f t="shared" si="185"/>
        <v>0</v>
      </c>
      <c r="CI163" s="8">
        <f t="shared" si="185"/>
        <v>0</v>
      </c>
      <c r="CJ163" s="8">
        <f t="shared" si="185"/>
        <v>0</v>
      </c>
      <c r="CK163" s="8">
        <f t="shared" si="185"/>
        <v>0</v>
      </c>
      <c r="CL163" s="8">
        <f t="shared" si="185"/>
        <v>0</v>
      </c>
      <c r="CM163" s="8">
        <f t="shared" si="185"/>
        <v>0</v>
      </c>
      <c r="CN163" s="8">
        <f t="shared" si="185"/>
        <v>0</v>
      </c>
      <c r="CO163" s="8">
        <f t="shared" si="185"/>
        <v>0</v>
      </c>
      <c r="CP163" s="8">
        <f t="shared" si="185"/>
        <v>0</v>
      </c>
      <c r="CQ163" s="8">
        <f t="shared" si="185"/>
        <v>0</v>
      </c>
      <c r="CR163" s="8">
        <f t="shared" si="185"/>
        <v>0</v>
      </c>
      <c r="CS163" s="8">
        <f t="shared" si="185"/>
        <v>0</v>
      </c>
      <c r="CT163" s="8">
        <f t="shared" si="185"/>
        <v>0</v>
      </c>
      <c r="CU163" s="8">
        <f t="shared" si="185"/>
        <v>0</v>
      </c>
      <c r="CV163" s="8">
        <f t="shared" si="185"/>
        <v>0</v>
      </c>
      <c r="CW163" s="8">
        <f t="shared" si="185"/>
        <v>0</v>
      </c>
      <c r="CX163" s="8">
        <f t="shared" si="185"/>
        <v>0</v>
      </c>
      <c r="CY163" s="8">
        <f t="shared" si="185"/>
        <v>0</v>
      </c>
      <c r="CZ163" s="8">
        <f t="shared" si="185"/>
        <v>0</v>
      </c>
      <c r="DA163" s="8">
        <f t="shared" si="185"/>
        <v>0</v>
      </c>
      <c r="DB163" s="8"/>
      <c r="DC163" s="8"/>
      <c r="DD163" s="8"/>
      <c r="DE163" s="8"/>
      <c r="DF163" s="8"/>
    </row>
    <row r="166" spans="3:111" x14ac:dyDescent="0.4">
      <c r="C166" s="58" t="str">
        <f>C149</f>
        <v>Investment year in service</v>
      </c>
      <c r="E166" t="str">
        <f>IF(E167&lt;$C167,"",E167-$C167)</f>
        <v/>
      </c>
      <c r="F166" t="str">
        <f>IF(F167&lt;$C167,"",F167-$C167)</f>
        <v/>
      </c>
      <c r="G166" t="str">
        <f t="shared" ref="G166:BR166" si="186">IF(G167&lt;$C167,"",G167-$C167)</f>
        <v/>
      </c>
      <c r="H166" t="str">
        <f t="shared" si="186"/>
        <v/>
      </c>
      <c r="I166" t="str">
        <f t="shared" si="186"/>
        <v/>
      </c>
      <c r="J166" t="str">
        <f t="shared" si="186"/>
        <v/>
      </c>
      <c r="K166" t="str">
        <f t="shared" si="186"/>
        <v/>
      </c>
      <c r="L166" t="str">
        <f t="shared" si="186"/>
        <v/>
      </c>
      <c r="M166" t="str">
        <f t="shared" si="186"/>
        <v/>
      </c>
      <c r="N166">
        <f t="shared" si="186"/>
        <v>0</v>
      </c>
      <c r="O166">
        <f t="shared" si="186"/>
        <v>1</v>
      </c>
      <c r="P166">
        <f t="shared" si="186"/>
        <v>2</v>
      </c>
      <c r="Q166">
        <f t="shared" si="186"/>
        <v>3</v>
      </c>
      <c r="R166">
        <f t="shared" si="186"/>
        <v>4</v>
      </c>
      <c r="S166">
        <f t="shared" si="186"/>
        <v>5</v>
      </c>
      <c r="T166">
        <f t="shared" si="186"/>
        <v>6</v>
      </c>
      <c r="U166">
        <f t="shared" si="186"/>
        <v>7</v>
      </c>
      <c r="V166">
        <f t="shared" si="186"/>
        <v>8</v>
      </c>
      <c r="W166">
        <f t="shared" si="186"/>
        <v>9</v>
      </c>
      <c r="X166">
        <f t="shared" si="186"/>
        <v>10</v>
      </c>
      <c r="Y166">
        <f t="shared" si="186"/>
        <v>11</v>
      </c>
      <c r="Z166">
        <f t="shared" si="186"/>
        <v>12</v>
      </c>
      <c r="AA166">
        <f t="shared" si="186"/>
        <v>13</v>
      </c>
      <c r="AB166">
        <f t="shared" si="186"/>
        <v>14</v>
      </c>
      <c r="AC166">
        <f t="shared" si="186"/>
        <v>15</v>
      </c>
      <c r="AD166">
        <f t="shared" si="186"/>
        <v>16</v>
      </c>
      <c r="AE166">
        <f t="shared" si="186"/>
        <v>17</v>
      </c>
      <c r="AF166">
        <f t="shared" si="186"/>
        <v>18</v>
      </c>
      <c r="AG166">
        <f t="shared" si="186"/>
        <v>19</v>
      </c>
      <c r="AH166">
        <f t="shared" si="186"/>
        <v>20</v>
      </c>
      <c r="AI166">
        <f t="shared" si="186"/>
        <v>21</v>
      </c>
      <c r="AJ166">
        <f t="shared" si="186"/>
        <v>22</v>
      </c>
      <c r="AK166">
        <f t="shared" si="186"/>
        <v>23</v>
      </c>
      <c r="AL166">
        <f t="shared" si="186"/>
        <v>24</v>
      </c>
      <c r="AM166">
        <f t="shared" si="186"/>
        <v>25</v>
      </c>
      <c r="AN166">
        <f t="shared" si="186"/>
        <v>26</v>
      </c>
      <c r="AO166">
        <f t="shared" si="186"/>
        <v>27</v>
      </c>
      <c r="AP166">
        <f t="shared" si="186"/>
        <v>28</v>
      </c>
      <c r="AQ166">
        <f t="shared" si="186"/>
        <v>29</v>
      </c>
      <c r="AR166">
        <f t="shared" si="186"/>
        <v>30</v>
      </c>
      <c r="AS166">
        <f t="shared" si="186"/>
        <v>31</v>
      </c>
      <c r="AT166">
        <f t="shared" si="186"/>
        <v>32</v>
      </c>
      <c r="AU166">
        <f t="shared" si="186"/>
        <v>33</v>
      </c>
      <c r="AV166">
        <f t="shared" si="186"/>
        <v>34</v>
      </c>
      <c r="AW166">
        <f t="shared" si="186"/>
        <v>35</v>
      </c>
      <c r="AX166">
        <f t="shared" si="186"/>
        <v>36</v>
      </c>
      <c r="AY166">
        <f t="shared" si="186"/>
        <v>37</v>
      </c>
      <c r="AZ166">
        <f t="shared" si="186"/>
        <v>38</v>
      </c>
      <c r="BA166">
        <f t="shared" si="186"/>
        <v>39</v>
      </c>
      <c r="BB166">
        <f t="shared" si="186"/>
        <v>40</v>
      </c>
      <c r="BC166">
        <f t="shared" si="186"/>
        <v>41</v>
      </c>
      <c r="BD166">
        <f t="shared" si="186"/>
        <v>42</v>
      </c>
      <c r="BE166">
        <f t="shared" si="186"/>
        <v>43</v>
      </c>
      <c r="BF166">
        <f t="shared" si="186"/>
        <v>44</v>
      </c>
      <c r="BG166">
        <f t="shared" si="186"/>
        <v>45</v>
      </c>
      <c r="BH166">
        <f t="shared" si="186"/>
        <v>46</v>
      </c>
      <c r="BI166">
        <f t="shared" si="186"/>
        <v>47</v>
      </c>
      <c r="BJ166">
        <f t="shared" si="186"/>
        <v>48</v>
      </c>
      <c r="BK166">
        <f t="shared" si="186"/>
        <v>49</v>
      </c>
      <c r="BL166">
        <f t="shared" si="186"/>
        <v>50</v>
      </c>
      <c r="BM166">
        <f t="shared" si="186"/>
        <v>51</v>
      </c>
      <c r="BN166">
        <f t="shared" si="186"/>
        <v>52</v>
      </c>
      <c r="BO166">
        <f t="shared" si="186"/>
        <v>53</v>
      </c>
      <c r="BP166">
        <f t="shared" si="186"/>
        <v>54</v>
      </c>
      <c r="BQ166">
        <f t="shared" si="186"/>
        <v>55</v>
      </c>
      <c r="BR166">
        <f t="shared" si="186"/>
        <v>56</v>
      </c>
      <c r="BS166">
        <f t="shared" ref="BS166:DA166" si="187">IF(BS167&lt;$C167,"",BS167-$C167)</f>
        <v>57</v>
      </c>
      <c r="BT166">
        <f t="shared" si="187"/>
        <v>58</v>
      </c>
      <c r="BU166">
        <f t="shared" si="187"/>
        <v>59</v>
      </c>
      <c r="BV166">
        <f t="shared" si="187"/>
        <v>60</v>
      </c>
      <c r="BW166">
        <f t="shared" si="187"/>
        <v>61</v>
      </c>
      <c r="BX166">
        <f t="shared" si="187"/>
        <v>62</v>
      </c>
      <c r="BY166">
        <f t="shared" si="187"/>
        <v>63</v>
      </c>
      <c r="BZ166">
        <f t="shared" si="187"/>
        <v>64</v>
      </c>
      <c r="CA166">
        <f t="shared" si="187"/>
        <v>65</v>
      </c>
      <c r="CB166">
        <f t="shared" si="187"/>
        <v>66</v>
      </c>
      <c r="CC166">
        <f t="shared" si="187"/>
        <v>67</v>
      </c>
      <c r="CD166">
        <f t="shared" si="187"/>
        <v>68</v>
      </c>
      <c r="CE166">
        <f t="shared" si="187"/>
        <v>69</v>
      </c>
      <c r="CF166">
        <f t="shared" si="187"/>
        <v>70</v>
      </c>
      <c r="CG166">
        <f t="shared" si="187"/>
        <v>71</v>
      </c>
      <c r="CH166">
        <f t="shared" si="187"/>
        <v>72</v>
      </c>
      <c r="CI166">
        <f t="shared" si="187"/>
        <v>73</v>
      </c>
      <c r="CJ166">
        <f t="shared" si="187"/>
        <v>74</v>
      </c>
      <c r="CK166">
        <f t="shared" si="187"/>
        <v>75</v>
      </c>
      <c r="CL166">
        <f t="shared" si="187"/>
        <v>76</v>
      </c>
      <c r="CM166">
        <f t="shared" si="187"/>
        <v>77</v>
      </c>
      <c r="CN166">
        <f t="shared" si="187"/>
        <v>78</v>
      </c>
      <c r="CO166">
        <f t="shared" si="187"/>
        <v>79</v>
      </c>
      <c r="CP166">
        <f t="shared" si="187"/>
        <v>80</v>
      </c>
      <c r="CQ166">
        <f t="shared" si="187"/>
        <v>81</v>
      </c>
      <c r="CR166">
        <f t="shared" si="187"/>
        <v>82</v>
      </c>
      <c r="CS166">
        <f t="shared" si="187"/>
        <v>83</v>
      </c>
      <c r="CT166">
        <f t="shared" si="187"/>
        <v>84</v>
      </c>
      <c r="CU166">
        <f t="shared" si="187"/>
        <v>85</v>
      </c>
      <c r="CV166">
        <f t="shared" si="187"/>
        <v>86</v>
      </c>
      <c r="CW166">
        <f t="shared" si="187"/>
        <v>87</v>
      </c>
      <c r="CX166">
        <f t="shared" si="187"/>
        <v>88</v>
      </c>
      <c r="CY166">
        <f t="shared" si="187"/>
        <v>89</v>
      </c>
      <c r="CZ166">
        <f t="shared" si="187"/>
        <v>90</v>
      </c>
      <c r="DA166">
        <f t="shared" si="187"/>
        <v>91</v>
      </c>
    </row>
    <row r="167" spans="3:111" x14ac:dyDescent="0.4">
      <c r="C167">
        <f>C150+1</f>
        <v>2036</v>
      </c>
      <c r="D167" s="5" t="s">
        <v>434</v>
      </c>
      <c r="E167" s="5">
        <v>2027</v>
      </c>
      <c r="F167" s="5">
        <v>2028</v>
      </c>
      <c r="G167" s="5">
        <v>2029</v>
      </c>
      <c r="H167" s="5">
        <v>2030</v>
      </c>
      <c r="I167" s="5">
        <v>2031</v>
      </c>
      <c r="J167" s="5">
        <v>2032</v>
      </c>
      <c r="K167" s="5">
        <v>2033</v>
      </c>
      <c r="L167" s="5">
        <v>2034</v>
      </c>
      <c r="M167" s="5">
        <v>2035</v>
      </c>
      <c r="N167" s="5">
        <v>2036</v>
      </c>
      <c r="O167" s="5">
        <v>2037</v>
      </c>
      <c r="P167" s="5">
        <v>2038</v>
      </c>
      <c r="Q167" s="5">
        <v>2039</v>
      </c>
      <c r="R167" s="5">
        <v>2040</v>
      </c>
      <c r="S167" s="5">
        <v>2041</v>
      </c>
      <c r="T167" s="5">
        <v>2042</v>
      </c>
      <c r="U167" s="5">
        <v>2043</v>
      </c>
      <c r="V167" s="5">
        <v>2044</v>
      </c>
      <c r="W167" s="5">
        <v>2045</v>
      </c>
      <c r="X167" s="5">
        <v>2046</v>
      </c>
      <c r="Y167" s="5">
        <v>2047</v>
      </c>
      <c r="Z167" s="5">
        <v>2048</v>
      </c>
      <c r="AA167" s="5">
        <v>2049</v>
      </c>
      <c r="AB167" s="5">
        <v>2050</v>
      </c>
      <c r="AC167" s="5">
        <v>2051</v>
      </c>
      <c r="AD167" s="5">
        <v>2052</v>
      </c>
      <c r="AE167" s="5">
        <v>2053</v>
      </c>
      <c r="AF167" s="5">
        <v>2054</v>
      </c>
      <c r="AG167" s="5">
        <v>2055</v>
      </c>
      <c r="AH167" s="5">
        <v>2056</v>
      </c>
      <c r="AI167" s="5">
        <v>2057</v>
      </c>
      <c r="AJ167" s="5">
        <v>2058</v>
      </c>
      <c r="AK167" s="5">
        <v>2059</v>
      </c>
      <c r="AL167" s="5">
        <v>2060</v>
      </c>
      <c r="AM167" s="5">
        <v>2061</v>
      </c>
      <c r="AN167" s="5">
        <v>2062</v>
      </c>
      <c r="AO167" s="5">
        <v>2063</v>
      </c>
      <c r="AP167" s="5">
        <v>2064</v>
      </c>
      <c r="AQ167" s="5">
        <v>2065</v>
      </c>
      <c r="AR167" s="5">
        <v>2066</v>
      </c>
      <c r="AS167" s="5">
        <v>2067</v>
      </c>
      <c r="AT167" s="5">
        <v>2068</v>
      </c>
      <c r="AU167" s="5">
        <v>2069</v>
      </c>
      <c r="AV167" s="5">
        <v>2070</v>
      </c>
      <c r="AW167" s="5">
        <v>2071</v>
      </c>
      <c r="AX167" s="5">
        <v>2072</v>
      </c>
      <c r="AY167" s="5">
        <v>2073</v>
      </c>
      <c r="AZ167" s="5">
        <v>2074</v>
      </c>
      <c r="BA167" s="5">
        <v>2075</v>
      </c>
      <c r="BB167" s="5">
        <v>2076</v>
      </c>
      <c r="BC167" s="5">
        <v>2077</v>
      </c>
      <c r="BD167" s="5">
        <v>2078</v>
      </c>
      <c r="BE167" s="5">
        <v>2079</v>
      </c>
      <c r="BF167" s="5">
        <v>2080</v>
      </c>
      <c r="BG167" s="5">
        <v>2081</v>
      </c>
      <c r="BH167" s="5">
        <v>2082</v>
      </c>
      <c r="BI167" s="5">
        <v>2083</v>
      </c>
      <c r="BJ167" s="5">
        <v>2084</v>
      </c>
      <c r="BK167" s="5">
        <v>2085</v>
      </c>
      <c r="BL167" s="5">
        <v>2086</v>
      </c>
      <c r="BM167" s="5">
        <v>2087</v>
      </c>
      <c r="BN167" s="5">
        <v>2088</v>
      </c>
      <c r="BO167" s="5">
        <v>2089</v>
      </c>
      <c r="BP167" s="5">
        <v>2090</v>
      </c>
      <c r="BQ167" s="5">
        <v>2091</v>
      </c>
      <c r="BR167" s="5">
        <v>2092</v>
      </c>
      <c r="BS167" s="5">
        <v>2093</v>
      </c>
      <c r="BT167" s="5">
        <v>2094</v>
      </c>
      <c r="BU167" s="5">
        <v>2095</v>
      </c>
      <c r="BV167" s="5">
        <v>2096</v>
      </c>
      <c r="BW167" s="5">
        <v>2097</v>
      </c>
      <c r="BX167" s="5">
        <v>2098</v>
      </c>
      <c r="BY167" s="5">
        <v>2099</v>
      </c>
      <c r="BZ167" s="5">
        <v>2100</v>
      </c>
      <c r="CA167" s="5">
        <v>2101</v>
      </c>
      <c r="CB167" s="5">
        <v>2102</v>
      </c>
      <c r="CC167" s="5">
        <v>2103</v>
      </c>
      <c r="CD167" s="5">
        <v>2104</v>
      </c>
      <c r="CE167" s="5">
        <v>2105</v>
      </c>
      <c r="CF167" s="5">
        <v>2106</v>
      </c>
      <c r="CG167" s="5">
        <v>2107</v>
      </c>
      <c r="CH167" s="5">
        <v>2108</v>
      </c>
      <c r="CI167" s="5">
        <v>2109</v>
      </c>
      <c r="CJ167" s="5">
        <v>2110</v>
      </c>
      <c r="CK167" s="5">
        <v>2111</v>
      </c>
      <c r="CL167" s="5">
        <v>2112</v>
      </c>
      <c r="CM167" s="5">
        <v>2113</v>
      </c>
      <c r="CN167" s="5">
        <v>2114</v>
      </c>
      <c r="CO167" s="5">
        <v>2115</v>
      </c>
      <c r="CP167" s="5">
        <v>2116</v>
      </c>
      <c r="CQ167" s="5">
        <v>2117</v>
      </c>
      <c r="CR167" s="5">
        <v>2118</v>
      </c>
      <c r="CS167" s="5">
        <v>2119</v>
      </c>
      <c r="CT167" s="5">
        <v>2120</v>
      </c>
      <c r="CU167" s="5">
        <v>2121</v>
      </c>
      <c r="CV167" s="5">
        <v>2122</v>
      </c>
      <c r="CW167" s="5">
        <v>2123</v>
      </c>
      <c r="CX167" s="5">
        <v>2124</v>
      </c>
      <c r="CY167" s="5">
        <v>2125</v>
      </c>
      <c r="CZ167" s="5">
        <v>2126</v>
      </c>
      <c r="DA167" s="5">
        <v>2127</v>
      </c>
    </row>
    <row r="168" spans="3:111" x14ac:dyDescent="0.4">
      <c r="D168" t="s">
        <v>207</v>
      </c>
      <c r="O168" s="8">
        <f>IF(O$13&lt;=$B$3,O169/$B$3,0)</f>
        <v>72598.647258785029</v>
      </c>
      <c r="P168" s="8">
        <f>IF(P166&lt;=$B$3,O168,0)</f>
        <v>72598.647258785029</v>
      </c>
      <c r="Q168" s="8">
        <f t="shared" ref="Q168:CB168" si="188">IF(Q166&lt;=$B$3,P168,0)</f>
        <v>72598.647258785029</v>
      </c>
      <c r="R168" s="8">
        <f t="shared" si="188"/>
        <v>72598.647258785029</v>
      </c>
      <c r="S168" s="8">
        <f t="shared" si="188"/>
        <v>72598.647258785029</v>
      </c>
      <c r="T168" s="8">
        <f t="shared" si="188"/>
        <v>72598.647258785029</v>
      </c>
      <c r="U168" s="8">
        <f t="shared" si="188"/>
        <v>72598.647258785029</v>
      </c>
      <c r="V168" s="8">
        <f t="shared" si="188"/>
        <v>72598.647258785029</v>
      </c>
      <c r="W168" s="8">
        <f t="shared" si="188"/>
        <v>72598.647258785029</v>
      </c>
      <c r="X168" s="8">
        <f t="shared" si="188"/>
        <v>72598.647258785029</v>
      </c>
      <c r="Y168" s="8">
        <f t="shared" si="188"/>
        <v>72598.647258785029</v>
      </c>
      <c r="Z168" s="8">
        <f t="shared" si="188"/>
        <v>72598.647258785029</v>
      </c>
      <c r="AA168" s="8">
        <f t="shared" si="188"/>
        <v>72598.647258785029</v>
      </c>
      <c r="AB168" s="8">
        <f t="shared" si="188"/>
        <v>72598.647258785029</v>
      </c>
      <c r="AC168" s="8">
        <f t="shared" si="188"/>
        <v>72598.647258785029</v>
      </c>
      <c r="AD168" s="8">
        <f t="shared" si="188"/>
        <v>72598.647258785029</v>
      </c>
      <c r="AE168" s="8">
        <f t="shared" si="188"/>
        <v>72598.647258785029</v>
      </c>
      <c r="AF168" s="8">
        <f t="shared" si="188"/>
        <v>72598.647258785029</v>
      </c>
      <c r="AG168" s="8">
        <f t="shared" si="188"/>
        <v>72598.647258785029</v>
      </c>
      <c r="AH168" s="8">
        <f t="shared" si="188"/>
        <v>72598.647258785029</v>
      </c>
      <c r="AI168" s="8">
        <f t="shared" si="188"/>
        <v>72598.647258785029</v>
      </c>
      <c r="AJ168" s="8">
        <f t="shared" si="188"/>
        <v>72598.647258785029</v>
      </c>
      <c r="AK168" s="8">
        <f t="shared" si="188"/>
        <v>72598.647258785029</v>
      </c>
      <c r="AL168" s="8">
        <f t="shared" si="188"/>
        <v>72598.647258785029</v>
      </c>
      <c r="AM168" s="8">
        <f t="shared" si="188"/>
        <v>72598.647258785029</v>
      </c>
      <c r="AN168" s="8">
        <f t="shared" si="188"/>
        <v>72598.647258785029</v>
      </c>
      <c r="AO168" s="8">
        <f t="shared" si="188"/>
        <v>72598.647258785029</v>
      </c>
      <c r="AP168" s="8">
        <f t="shared" si="188"/>
        <v>72598.647258785029</v>
      </c>
      <c r="AQ168" s="8">
        <f t="shared" si="188"/>
        <v>72598.647258785029</v>
      </c>
      <c r="AR168" s="8">
        <f t="shared" si="188"/>
        <v>72598.647258785029</v>
      </c>
      <c r="AS168" s="8">
        <f t="shared" si="188"/>
        <v>72598.647258785029</v>
      </c>
      <c r="AT168" s="8">
        <f t="shared" si="188"/>
        <v>72598.647258785029</v>
      </c>
      <c r="AU168" s="8">
        <f t="shared" si="188"/>
        <v>72598.647258785029</v>
      </c>
      <c r="AV168" s="8">
        <f t="shared" si="188"/>
        <v>72598.647258785029</v>
      </c>
      <c r="AW168" s="8">
        <f t="shared" si="188"/>
        <v>72598.647258785029</v>
      </c>
      <c r="AX168" s="8">
        <f t="shared" si="188"/>
        <v>72598.647258785029</v>
      </c>
      <c r="AY168" s="8">
        <f t="shared" si="188"/>
        <v>72598.647258785029</v>
      </c>
      <c r="AZ168" s="8">
        <f t="shared" si="188"/>
        <v>72598.647258785029</v>
      </c>
      <c r="BA168" s="8">
        <f t="shared" si="188"/>
        <v>72598.647258785029</v>
      </c>
      <c r="BB168" s="8">
        <f t="shared" si="188"/>
        <v>72598.647258785029</v>
      </c>
      <c r="BC168" s="8">
        <f t="shared" si="188"/>
        <v>72598.647258785029</v>
      </c>
      <c r="BD168" s="8">
        <f t="shared" si="188"/>
        <v>72598.647258785029</v>
      </c>
      <c r="BE168" s="8">
        <f t="shared" si="188"/>
        <v>72598.647258785029</v>
      </c>
      <c r="BF168" s="8">
        <f t="shared" si="188"/>
        <v>72598.647258785029</v>
      </c>
      <c r="BG168" s="8">
        <f t="shared" si="188"/>
        <v>72598.647258785029</v>
      </c>
      <c r="BH168" s="8">
        <f t="shared" si="188"/>
        <v>72598.647258785029</v>
      </c>
      <c r="BI168" s="8">
        <f t="shared" si="188"/>
        <v>72598.647258785029</v>
      </c>
      <c r="BJ168" s="8">
        <f t="shared" si="188"/>
        <v>72598.647258785029</v>
      </c>
      <c r="BK168" s="8">
        <f t="shared" si="188"/>
        <v>72598.647258785029</v>
      </c>
      <c r="BL168" s="8">
        <f t="shared" si="188"/>
        <v>72598.647258785029</v>
      </c>
      <c r="BM168" s="8">
        <f t="shared" si="188"/>
        <v>0</v>
      </c>
      <c r="BN168" s="8">
        <f t="shared" si="188"/>
        <v>0</v>
      </c>
      <c r="BO168" s="8">
        <f t="shared" si="188"/>
        <v>0</v>
      </c>
      <c r="BP168" s="8">
        <f t="shared" si="188"/>
        <v>0</v>
      </c>
      <c r="BQ168" s="8">
        <f t="shared" si="188"/>
        <v>0</v>
      </c>
      <c r="BR168" s="8">
        <f t="shared" si="188"/>
        <v>0</v>
      </c>
      <c r="BS168" s="8">
        <f t="shared" si="188"/>
        <v>0</v>
      </c>
      <c r="BT168" s="8">
        <f t="shared" si="188"/>
        <v>0</v>
      </c>
      <c r="BU168" s="8">
        <f t="shared" si="188"/>
        <v>0</v>
      </c>
      <c r="BV168" s="8">
        <f t="shared" si="188"/>
        <v>0</v>
      </c>
      <c r="BW168" s="8">
        <f t="shared" si="188"/>
        <v>0</v>
      </c>
      <c r="BX168" s="8">
        <f t="shared" si="188"/>
        <v>0</v>
      </c>
      <c r="BY168" s="8">
        <f t="shared" si="188"/>
        <v>0</v>
      </c>
      <c r="BZ168" s="8">
        <f t="shared" si="188"/>
        <v>0</v>
      </c>
      <c r="CA168" s="8">
        <f t="shared" si="188"/>
        <v>0</v>
      </c>
      <c r="CB168" s="8">
        <f t="shared" si="188"/>
        <v>0</v>
      </c>
      <c r="CC168" s="8">
        <f t="shared" ref="CC168:DA168" si="189">IF(CC166&lt;=$B$3,CB168,0)</f>
        <v>0</v>
      </c>
      <c r="CD168" s="8">
        <f t="shared" si="189"/>
        <v>0</v>
      </c>
      <c r="CE168" s="8">
        <f t="shared" si="189"/>
        <v>0</v>
      </c>
      <c r="CF168" s="8">
        <f t="shared" si="189"/>
        <v>0</v>
      </c>
      <c r="CG168" s="8">
        <f t="shared" si="189"/>
        <v>0</v>
      </c>
      <c r="CH168" s="8">
        <f t="shared" si="189"/>
        <v>0</v>
      </c>
      <c r="CI168" s="8">
        <f t="shared" si="189"/>
        <v>0</v>
      </c>
      <c r="CJ168" s="8">
        <f t="shared" si="189"/>
        <v>0</v>
      </c>
      <c r="CK168" s="8">
        <f t="shared" si="189"/>
        <v>0</v>
      </c>
      <c r="CL168" s="8">
        <f t="shared" si="189"/>
        <v>0</v>
      </c>
      <c r="CM168" s="8">
        <f t="shared" si="189"/>
        <v>0</v>
      </c>
      <c r="CN168" s="8">
        <f t="shared" si="189"/>
        <v>0</v>
      </c>
      <c r="CO168" s="8">
        <f t="shared" si="189"/>
        <v>0</v>
      </c>
      <c r="CP168" s="8">
        <f t="shared" si="189"/>
        <v>0</v>
      </c>
      <c r="CQ168" s="8">
        <f t="shared" si="189"/>
        <v>0</v>
      </c>
      <c r="CR168" s="8">
        <f t="shared" si="189"/>
        <v>0</v>
      </c>
      <c r="CS168" s="8">
        <f t="shared" si="189"/>
        <v>0</v>
      </c>
      <c r="CT168" s="8">
        <f t="shared" si="189"/>
        <v>0</v>
      </c>
      <c r="CU168" s="8">
        <f t="shared" si="189"/>
        <v>0</v>
      </c>
      <c r="CV168" s="8">
        <f t="shared" si="189"/>
        <v>0</v>
      </c>
      <c r="CW168" s="8">
        <f t="shared" si="189"/>
        <v>0</v>
      </c>
      <c r="CX168" s="8">
        <f t="shared" si="189"/>
        <v>0</v>
      </c>
      <c r="CY168" s="8">
        <f t="shared" si="189"/>
        <v>0</v>
      </c>
      <c r="CZ168" s="8">
        <f t="shared" si="189"/>
        <v>0</v>
      </c>
      <c r="DA168" s="8">
        <f t="shared" si="189"/>
        <v>0</v>
      </c>
      <c r="DB168" s="8"/>
      <c r="DC168" s="8"/>
      <c r="DD168" s="8"/>
      <c r="DE168" s="8"/>
      <c r="DF168" s="8"/>
      <c r="DG168" s="8"/>
    </row>
    <row r="169" spans="3:111" x14ac:dyDescent="0.4">
      <c r="D169" t="s">
        <v>154</v>
      </c>
      <c r="N169" s="8">
        <f>HLOOKUP(O167,$F$3:$O$10,7,0)</f>
        <v>3629932.3629392516</v>
      </c>
      <c r="O169" s="8">
        <f>IF(ROUND(N170,4)=-ROUND(N169,4),0,N169)</f>
        <v>3629932.3629392516</v>
      </c>
      <c r="P169" s="8">
        <f t="shared" ref="P169:CA169" si="190">IF(ROUND(O170,4)=-ROUND(O169,4),0,O169)</f>
        <v>3629932.3629392516</v>
      </c>
      <c r="Q169" s="8">
        <f t="shared" si="190"/>
        <v>3629932.3629392516</v>
      </c>
      <c r="R169" s="8">
        <f t="shared" si="190"/>
        <v>3629932.3629392516</v>
      </c>
      <c r="S169" s="8">
        <f t="shared" si="190"/>
        <v>3629932.3629392516</v>
      </c>
      <c r="T169" s="8">
        <f t="shared" si="190"/>
        <v>3629932.3629392516</v>
      </c>
      <c r="U169" s="8">
        <f t="shared" si="190"/>
        <v>3629932.3629392516</v>
      </c>
      <c r="V169" s="8">
        <f t="shared" si="190"/>
        <v>3629932.3629392516</v>
      </c>
      <c r="W169" s="8">
        <f t="shared" si="190"/>
        <v>3629932.3629392516</v>
      </c>
      <c r="X169" s="8">
        <f t="shared" si="190"/>
        <v>3629932.3629392516</v>
      </c>
      <c r="Y169" s="8">
        <f t="shared" si="190"/>
        <v>3629932.3629392516</v>
      </c>
      <c r="Z169" s="8">
        <f t="shared" si="190"/>
        <v>3629932.3629392516</v>
      </c>
      <c r="AA169" s="8">
        <f t="shared" si="190"/>
        <v>3629932.3629392516</v>
      </c>
      <c r="AB169" s="8">
        <f t="shared" si="190"/>
        <v>3629932.3629392516</v>
      </c>
      <c r="AC169" s="8">
        <f t="shared" si="190"/>
        <v>3629932.3629392516</v>
      </c>
      <c r="AD169" s="8">
        <f t="shared" si="190"/>
        <v>3629932.3629392516</v>
      </c>
      <c r="AE169" s="8">
        <f t="shared" si="190"/>
        <v>3629932.3629392516</v>
      </c>
      <c r="AF169" s="8">
        <f t="shared" si="190"/>
        <v>3629932.3629392516</v>
      </c>
      <c r="AG169" s="8">
        <f t="shared" si="190"/>
        <v>3629932.3629392516</v>
      </c>
      <c r="AH169" s="8">
        <f t="shared" si="190"/>
        <v>3629932.3629392516</v>
      </c>
      <c r="AI169" s="8">
        <f t="shared" si="190"/>
        <v>3629932.3629392516</v>
      </c>
      <c r="AJ169" s="8">
        <f t="shared" si="190"/>
        <v>3629932.3629392516</v>
      </c>
      <c r="AK169" s="8">
        <f t="shared" si="190"/>
        <v>3629932.3629392516</v>
      </c>
      <c r="AL169" s="8">
        <f t="shared" si="190"/>
        <v>3629932.3629392516</v>
      </c>
      <c r="AM169" s="8">
        <f t="shared" si="190"/>
        <v>3629932.3629392516</v>
      </c>
      <c r="AN169" s="8">
        <f t="shared" si="190"/>
        <v>3629932.3629392516</v>
      </c>
      <c r="AO169" s="8">
        <f t="shared" si="190"/>
        <v>3629932.3629392516</v>
      </c>
      <c r="AP169" s="8">
        <f t="shared" si="190"/>
        <v>3629932.3629392516</v>
      </c>
      <c r="AQ169" s="8">
        <f t="shared" si="190"/>
        <v>3629932.3629392516</v>
      </c>
      <c r="AR169" s="8">
        <f t="shared" si="190"/>
        <v>3629932.3629392516</v>
      </c>
      <c r="AS169" s="8">
        <f t="shared" si="190"/>
        <v>3629932.3629392516</v>
      </c>
      <c r="AT169" s="8">
        <f t="shared" si="190"/>
        <v>3629932.3629392516</v>
      </c>
      <c r="AU169" s="8">
        <f t="shared" si="190"/>
        <v>3629932.3629392516</v>
      </c>
      <c r="AV169" s="8">
        <f t="shared" si="190"/>
        <v>3629932.3629392516</v>
      </c>
      <c r="AW169" s="8">
        <f t="shared" si="190"/>
        <v>3629932.3629392516</v>
      </c>
      <c r="AX169" s="8">
        <f t="shared" si="190"/>
        <v>3629932.3629392516</v>
      </c>
      <c r="AY169" s="8">
        <f t="shared" si="190"/>
        <v>3629932.3629392516</v>
      </c>
      <c r="AZ169" s="8">
        <f t="shared" si="190"/>
        <v>3629932.3629392516</v>
      </c>
      <c r="BA169" s="8">
        <f t="shared" si="190"/>
        <v>3629932.3629392516</v>
      </c>
      <c r="BB169" s="8">
        <f t="shared" si="190"/>
        <v>3629932.3629392516</v>
      </c>
      <c r="BC169" s="8">
        <f t="shared" si="190"/>
        <v>3629932.3629392516</v>
      </c>
      <c r="BD169" s="8">
        <f t="shared" si="190"/>
        <v>3629932.3629392516</v>
      </c>
      <c r="BE169" s="8">
        <f t="shared" si="190"/>
        <v>3629932.3629392516</v>
      </c>
      <c r="BF169" s="8">
        <f t="shared" si="190"/>
        <v>3629932.3629392516</v>
      </c>
      <c r="BG169" s="8">
        <f t="shared" si="190"/>
        <v>3629932.3629392516</v>
      </c>
      <c r="BH169" s="8">
        <f t="shared" si="190"/>
        <v>3629932.3629392516</v>
      </c>
      <c r="BI169" s="8">
        <f t="shared" si="190"/>
        <v>3629932.3629392516</v>
      </c>
      <c r="BJ169" s="8">
        <f t="shared" si="190"/>
        <v>3629932.3629392516</v>
      </c>
      <c r="BK169" s="8">
        <f t="shared" si="190"/>
        <v>3629932.3629392516</v>
      </c>
      <c r="BL169" s="8">
        <f t="shared" si="190"/>
        <v>3629932.3629392516</v>
      </c>
      <c r="BM169" s="8">
        <f t="shared" si="190"/>
        <v>0</v>
      </c>
      <c r="BN169" s="8">
        <f t="shared" si="190"/>
        <v>0</v>
      </c>
      <c r="BO169" s="8">
        <f t="shared" si="190"/>
        <v>0</v>
      </c>
      <c r="BP169" s="8">
        <f t="shared" si="190"/>
        <v>0</v>
      </c>
      <c r="BQ169" s="8">
        <f t="shared" si="190"/>
        <v>0</v>
      </c>
      <c r="BR169" s="8">
        <f t="shared" si="190"/>
        <v>0</v>
      </c>
      <c r="BS169" s="8">
        <f t="shared" si="190"/>
        <v>0</v>
      </c>
      <c r="BT169" s="8">
        <f t="shared" si="190"/>
        <v>0</v>
      </c>
      <c r="BU169" s="8">
        <f t="shared" si="190"/>
        <v>0</v>
      </c>
      <c r="BV169" s="8">
        <f t="shared" si="190"/>
        <v>0</v>
      </c>
      <c r="BW169" s="8">
        <f t="shared" si="190"/>
        <v>0</v>
      </c>
      <c r="BX169" s="8">
        <f t="shared" si="190"/>
        <v>0</v>
      </c>
      <c r="BY169" s="8">
        <f t="shared" si="190"/>
        <v>0</v>
      </c>
      <c r="BZ169" s="8">
        <f t="shared" si="190"/>
        <v>0</v>
      </c>
      <c r="CA169" s="8">
        <f t="shared" si="190"/>
        <v>0</v>
      </c>
      <c r="CB169" s="8">
        <f t="shared" ref="CB169:DA169" si="191">IF(ROUND(CA170,4)=-ROUND(CA169,4),0,CA169)</f>
        <v>0</v>
      </c>
      <c r="CC169" s="8">
        <f t="shared" si="191"/>
        <v>0</v>
      </c>
      <c r="CD169" s="8">
        <f t="shared" si="191"/>
        <v>0</v>
      </c>
      <c r="CE169" s="8">
        <f t="shared" si="191"/>
        <v>0</v>
      </c>
      <c r="CF169" s="8">
        <f t="shared" si="191"/>
        <v>0</v>
      </c>
      <c r="CG169" s="8">
        <f t="shared" si="191"/>
        <v>0</v>
      </c>
      <c r="CH169" s="8">
        <f t="shared" si="191"/>
        <v>0</v>
      </c>
      <c r="CI169" s="8">
        <f t="shared" si="191"/>
        <v>0</v>
      </c>
      <c r="CJ169" s="8">
        <f t="shared" si="191"/>
        <v>0</v>
      </c>
      <c r="CK169" s="8">
        <f t="shared" si="191"/>
        <v>0</v>
      </c>
      <c r="CL169" s="8">
        <f t="shared" si="191"/>
        <v>0</v>
      </c>
      <c r="CM169" s="8">
        <f t="shared" si="191"/>
        <v>0</v>
      </c>
      <c r="CN169" s="8">
        <f t="shared" si="191"/>
        <v>0</v>
      </c>
      <c r="CO169" s="8">
        <f t="shared" si="191"/>
        <v>0</v>
      </c>
      <c r="CP169" s="8">
        <f t="shared" si="191"/>
        <v>0</v>
      </c>
      <c r="CQ169" s="8">
        <f t="shared" si="191"/>
        <v>0</v>
      </c>
      <c r="CR169" s="8">
        <f t="shared" si="191"/>
        <v>0</v>
      </c>
      <c r="CS169" s="8">
        <f t="shared" si="191"/>
        <v>0</v>
      </c>
      <c r="CT169" s="8">
        <f t="shared" si="191"/>
        <v>0</v>
      </c>
      <c r="CU169" s="8">
        <f t="shared" si="191"/>
        <v>0</v>
      </c>
      <c r="CV169" s="8">
        <f t="shared" si="191"/>
        <v>0</v>
      </c>
      <c r="CW169" s="8">
        <f t="shared" si="191"/>
        <v>0</v>
      </c>
      <c r="CX169" s="8">
        <f t="shared" si="191"/>
        <v>0</v>
      </c>
      <c r="CY169" s="8">
        <f t="shared" si="191"/>
        <v>0</v>
      </c>
      <c r="CZ169" s="8">
        <f t="shared" si="191"/>
        <v>0</v>
      </c>
      <c r="DA169" s="8">
        <f t="shared" si="191"/>
        <v>0</v>
      </c>
      <c r="DB169" s="8"/>
      <c r="DC169" s="8"/>
      <c r="DD169" s="8"/>
      <c r="DE169" s="8"/>
      <c r="DF169" s="8"/>
      <c r="DG169" s="8"/>
    </row>
    <row r="170" spans="3:111" x14ac:dyDescent="0.4">
      <c r="D170" t="s">
        <v>208</v>
      </c>
      <c r="N170" s="8"/>
      <c r="O170" s="8">
        <f>IF(O166&lt;=$B$3,-SUM($E168:O168),0)</f>
        <v>-72598.647258785029</v>
      </c>
      <c r="P170" s="8">
        <f>IF(P166&lt;=$B$3,-SUM($E168:P168),0)</f>
        <v>-145197.29451757006</v>
      </c>
      <c r="Q170" s="8">
        <f>IF(Q166&lt;=$B$3,-SUM($E168:Q168),0)</f>
        <v>-217795.94177635509</v>
      </c>
      <c r="R170" s="8">
        <f>IF(R166&lt;=$B$3,-SUM($E168:R168),0)</f>
        <v>-290394.58903514012</v>
      </c>
      <c r="S170" s="8">
        <f>IF(S166&lt;=$B$3,-SUM($E168:S168),0)</f>
        <v>-362993.23629392515</v>
      </c>
      <c r="T170" s="8">
        <f>IF(T166&lt;=$B$3,-SUM($E168:T168),0)</f>
        <v>-435591.88355271018</v>
      </c>
      <c r="U170" s="8">
        <f>IF(U166&lt;=$B$3,-SUM($E168:U168),0)</f>
        <v>-508190.53081149521</v>
      </c>
      <c r="V170" s="8">
        <f>IF(V166&lt;=$B$3,-SUM($E168:V168),0)</f>
        <v>-580789.17807028024</v>
      </c>
      <c r="W170" s="8">
        <f>IF(W166&lt;=$B$3,-SUM($E168:W168),0)</f>
        <v>-653387.82532906532</v>
      </c>
      <c r="X170" s="8">
        <f>IF(X166&lt;=$B$3,-SUM($E168:X168),0)</f>
        <v>-725986.47258785041</v>
      </c>
      <c r="Y170" s="8">
        <f>IF(Y166&lt;=$B$3,-SUM($E168:Y168),0)</f>
        <v>-798585.1198466355</v>
      </c>
      <c r="Z170" s="8">
        <f>IF(Z166&lt;=$B$3,-SUM($E168:Z168),0)</f>
        <v>-871183.76710542059</v>
      </c>
      <c r="AA170" s="8">
        <f>IF(AA166&lt;=$B$3,-SUM($E168:AA168),0)</f>
        <v>-943782.41436420567</v>
      </c>
      <c r="AB170" s="8">
        <f>IF(AB166&lt;=$B$3,-SUM($E168:AB168),0)</f>
        <v>-1016381.0616229908</v>
      </c>
      <c r="AC170" s="8">
        <f>IF(AC166&lt;=$B$3,-SUM($E168:AC168),0)</f>
        <v>-1088979.7088817758</v>
      </c>
      <c r="AD170" s="8">
        <f>IF(AD166&lt;=$B$3,-SUM($E168:AD168),0)</f>
        <v>-1161578.3561405609</v>
      </c>
      <c r="AE170" s="8">
        <f>IF(AE166&lt;=$B$3,-SUM($E168:AE168),0)</f>
        <v>-1234177.003399346</v>
      </c>
      <c r="AF170" s="8">
        <f>IF(AF166&lt;=$B$3,-SUM($E168:AF168),0)</f>
        <v>-1306775.6506581311</v>
      </c>
      <c r="AG170" s="8">
        <f>IF(AG166&lt;=$B$3,-SUM($E168:AG168),0)</f>
        <v>-1379374.2979169162</v>
      </c>
      <c r="AH170" s="8">
        <f>IF(AH166&lt;=$B$3,-SUM($E168:AH168),0)</f>
        <v>-1451972.9451757013</v>
      </c>
      <c r="AI170" s="8">
        <f>IF(AI166&lt;=$B$3,-SUM($E168:AI168),0)</f>
        <v>-1524571.5924344864</v>
      </c>
      <c r="AJ170" s="8">
        <f>IF(AJ166&lt;=$B$3,-SUM($E168:AJ168),0)</f>
        <v>-1597170.2396932715</v>
      </c>
      <c r="AK170" s="8">
        <f>IF(AK166&lt;=$B$3,-SUM($E168:AK168),0)</f>
        <v>-1669768.8869520565</v>
      </c>
      <c r="AL170" s="8">
        <f>IF(AL166&lt;=$B$3,-SUM($E168:AL168),0)</f>
        <v>-1742367.5342108416</v>
      </c>
      <c r="AM170" s="8">
        <f>IF(AM166&lt;=$B$3,-SUM($E168:AM168),0)</f>
        <v>-1814966.1814696267</v>
      </c>
      <c r="AN170" s="8">
        <f>IF(AN166&lt;=$B$3,-SUM($E168:AN168),0)</f>
        <v>-1887564.8287284118</v>
      </c>
      <c r="AO170" s="8">
        <f>IF(AO166&lt;=$B$3,-SUM($E168:AO168),0)</f>
        <v>-1960163.4759871969</v>
      </c>
      <c r="AP170" s="8">
        <f>IF(AP166&lt;=$B$3,-SUM($E168:AP168),0)</f>
        <v>-2032762.123245982</v>
      </c>
      <c r="AQ170" s="8">
        <f>IF(AQ166&lt;=$B$3,-SUM($E168:AQ168),0)</f>
        <v>-2105360.7705047671</v>
      </c>
      <c r="AR170" s="8">
        <f>IF(AR166&lt;=$B$3,-SUM($E168:AR168),0)</f>
        <v>-2177959.4177635522</v>
      </c>
      <c r="AS170" s="8">
        <f>IF(AS166&lt;=$B$3,-SUM($E168:AS168),0)</f>
        <v>-2250558.0650223373</v>
      </c>
      <c r="AT170" s="8">
        <f>IF(AT166&lt;=$B$3,-SUM($E168:AT168),0)</f>
        <v>-2323156.7122811223</v>
      </c>
      <c r="AU170" s="8">
        <f>IF(AU166&lt;=$B$3,-SUM($E168:AU168),0)</f>
        <v>-2395755.3595399074</v>
      </c>
      <c r="AV170" s="8">
        <f>IF(AV166&lt;=$B$3,-SUM($E168:AV168),0)</f>
        <v>-2468354.0067986925</v>
      </c>
      <c r="AW170" s="8">
        <f>IF(AW166&lt;=$B$3,-SUM($E168:AW168),0)</f>
        <v>-2540952.6540574776</v>
      </c>
      <c r="AX170" s="8">
        <f>IF(AX166&lt;=$B$3,-SUM($E168:AX168),0)</f>
        <v>-2613551.3013162627</v>
      </c>
      <c r="AY170" s="8">
        <f>IF(AY166&lt;=$B$3,-SUM($E168:AY168),0)</f>
        <v>-2686149.9485750478</v>
      </c>
      <c r="AZ170" s="8">
        <f>IF(AZ166&lt;=$B$3,-SUM($E168:AZ168),0)</f>
        <v>-2758748.5958338329</v>
      </c>
      <c r="BA170" s="8">
        <f>IF(BA166&lt;=$B$3,-SUM($E168:BA168),0)</f>
        <v>-2831347.243092618</v>
      </c>
      <c r="BB170" s="8">
        <f>IF(BB166&lt;=$B$3,-SUM($E168:BB168),0)</f>
        <v>-2903945.890351403</v>
      </c>
      <c r="BC170" s="8">
        <f>IF(BC166&lt;=$B$3,-SUM($E168:BC168),0)</f>
        <v>-2976544.5376101881</v>
      </c>
      <c r="BD170" s="8">
        <f>IF(BD166&lt;=$B$3,-SUM($E168:BD168),0)</f>
        <v>-3049143.1848689732</v>
      </c>
      <c r="BE170" s="8">
        <f>IF(BE166&lt;=$B$3,-SUM($E168:BE168),0)</f>
        <v>-3121741.8321277583</v>
      </c>
      <c r="BF170" s="8">
        <f>IF(BF166&lt;=$B$3,-SUM($E168:BF168),0)</f>
        <v>-3194340.4793865434</v>
      </c>
      <c r="BG170" s="8">
        <f>IF(BG166&lt;=$B$3,-SUM($E168:BG168),0)</f>
        <v>-3266939.1266453285</v>
      </c>
      <c r="BH170" s="8">
        <f>IF(BH166&lt;=$B$3,-SUM($E168:BH168),0)</f>
        <v>-3339537.7739041136</v>
      </c>
      <c r="BI170" s="8">
        <f>IF(BI166&lt;=$B$3,-SUM($E168:BI168),0)</f>
        <v>-3412136.4211628987</v>
      </c>
      <c r="BJ170" s="8">
        <f>IF(BJ166&lt;=$B$3,-SUM($E168:BJ168),0)</f>
        <v>-3484735.0684216837</v>
      </c>
      <c r="BK170" s="8">
        <f>IF(BK166&lt;=$B$3,-SUM($E168:BK168),0)</f>
        <v>-3557333.7156804688</v>
      </c>
      <c r="BL170" s="8">
        <f>IF(BL166&lt;=$B$3,-SUM($E168:BL168),0)</f>
        <v>-3629932.3629392539</v>
      </c>
      <c r="BM170" s="8">
        <f>IF(BM166&lt;=$B$3,-SUM($E168:BM168),0)</f>
        <v>0</v>
      </c>
      <c r="BN170" s="8">
        <f>IF(BN166&lt;=$B$3,-SUM($E168:BN168),0)</f>
        <v>0</v>
      </c>
      <c r="BO170" s="8">
        <f>IF(BO166&lt;=$B$3,-SUM($E168:BO168),0)</f>
        <v>0</v>
      </c>
      <c r="BP170" s="8">
        <f>IF(BP166&lt;=$B$3,-SUM($E168:BP168),0)</f>
        <v>0</v>
      </c>
      <c r="BQ170" s="8">
        <f>IF(BQ166&lt;=$B$3,-SUM($E168:BQ168),0)</f>
        <v>0</v>
      </c>
      <c r="BR170" s="8">
        <f>IF(BR166&lt;=$B$3,-SUM($E168:BR168),0)</f>
        <v>0</v>
      </c>
      <c r="BS170" s="8">
        <f>IF(BS166&lt;=$B$3,-SUM($E168:BS168),0)</f>
        <v>0</v>
      </c>
      <c r="BT170" s="8">
        <f>IF(BT166&lt;=$B$3,-SUM($E168:BT168),0)</f>
        <v>0</v>
      </c>
      <c r="BU170" s="8">
        <f>IF(BU166&lt;=$B$3,-SUM($E168:BU168),0)</f>
        <v>0</v>
      </c>
      <c r="BV170" s="8">
        <f>IF(BV166&lt;=$B$3,-SUM($E168:BV168),0)</f>
        <v>0</v>
      </c>
      <c r="BW170" s="8">
        <f>IF(BW166&lt;=$B$3,-SUM($E168:BW168),0)</f>
        <v>0</v>
      </c>
      <c r="BX170" s="8">
        <f>IF(BX166&lt;=$B$3,-SUM($E168:BX168),0)</f>
        <v>0</v>
      </c>
      <c r="BY170" s="8">
        <f>IF(BY166&lt;=$B$3,-SUM($E168:BY168),0)</f>
        <v>0</v>
      </c>
      <c r="BZ170" s="8">
        <f>IF(BZ166&lt;=$B$3,-SUM($E168:BZ168),0)</f>
        <v>0</v>
      </c>
      <c r="CA170" s="8">
        <f>IF(CA166&lt;=$B$3,-SUM($E168:CA168),0)</f>
        <v>0</v>
      </c>
      <c r="CB170" s="8">
        <f>IF(CB166&lt;=$B$3,-SUM($E168:CB168),0)</f>
        <v>0</v>
      </c>
      <c r="CC170" s="8">
        <f>IF(CC166&lt;=$B$3,-SUM($E168:CC168),0)</f>
        <v>0</v>
      </c>
      <c r="CD170" s="8">
        <f>IF(CD166&lt;=$B$3,-SUM($E168:CD168),0)</f>
        <v>0</v>
      </c>
      <c r="CE170" s="8">
        <f>IF(CE166&lt;=$B$3,-SUM($E168:CE168),0)</f>
        <v>0</v>
      </c>
      <c r="CF170" s="8">
        <f>IF(CF166&lt;=$B$3,-SUM($E168:CF168),0)</f>
        <v>0</v>
      </c>
      <c r="CG170" s="8">
        <f>IF(CG166&lt;=$B$3,-SUM($E168:CG168),0)</f>
        <v>0</v>
      </c>
      <c r="CH170" s="8">
        <f>IF(CH166&lt;=$B$3,-SUM($E168:CH168),0)</f>
        <v>0</v>
      </c>
      <c r="CI170" s="8">
        <f>IF(CI166&lt;=$B$3,-SUM($E168:CI168),0)</f>
        <v>0</v>
      </c>
      <c r="CJ170" s="8">
        <f>IF(CJ166&lt;=$B$3,-SUM($E168:CJ168),0)</f>
        <v>0</v>
      </c>
      <c r="CK170" s="8">
        <f>IF(CK166&lt;=$B$3,-SUM($E168:CK168),0)</f>
        <v>0</v>
      </c>
      <c r="CL170" s="8">
        <f>IF(CL166&lt;=$B$3,-SUM($E168:CL168),0)</f>
        <v>0</v>
      </c>
      <c r="CM170" s="8">
        <f>IF(CM166&lt;=$B$3,-SUM($E168:CM168),0)</f>
        <v>0</v>
      </c>
      <c r="CN170" s="8">
        <f>IF(CN166&lt;=$B$3,-SUM($E168:CN168),0)</f>
        <v>0</v>
      </c>
      <c r="CO170" s="8">
        <f>IF(CO166&lt;=$B$3,-SUM($E168:CO168),0)</f>
        <v>0</v>
      </c>
      <c r="CP170" s="8">
        <f>IF(CP166&lt;=$B$3,-SUM($E168:CP168),0)</f>
        <v>0</v>
      </c>
      <c r="CQ170" s="8">
        <f>IF(CQ166&lt;=$B$3,-SUM($E168:CQ168),0)</f>
        <v>0</v>
      </c>
      <c r="CR170" s="8">
        <f>IF(CR166&lt;=$B$3,-SUM($E168:CR168),0)</f>
        <v>0</v>
      </c>
      <c r="CS170" s="8">
        <f>IF(CS166&lt;=$B$3,-SUM($E168:CS168),0)</f>
        <v>0</v>
      </c>
      <c r="CT170" s="8">
        <f>IF(CT166&lt;=$B$3,-SUM($E168:CT168),0)</f>
        <v>0</v>
      </c>
      <c r="CU170" s="8">
        <f>IF(CU166&lt;=$B$3,-SUM($E168:CU168),0)</f>
        <v>0</v>
      </c>
      <c r="CV170" s="8">
        <f>IF(CV166&lt;=$B$3,-SUM($E168:CV168),0)</f>
        <v>0</v>
      </c>
      <c r="CW170" s="8">
        <f>IF(CW166&lt;=$B$3,-SUM($E168:CW168),0)</f>
        <v>0</v>
      </c>
      <c r="CX170" s="8">
        <f>IF(CX166&lt;=$B$3,-SUM($E168:CX168),0)</f>
        <v>0</v>
      </c>
      <c r="CY170" s="8">
        <f>IF(CY166&lt;=$B$3,-SUM($E168:CY168),0)</f>
        <v>0</v>
      </c>
      <c r="CZ170" s="8">
        <f>IF(CZ166&lt;=$B$3,-SUM($E168:CZ168),0)</f>
        <v>0</v>
      </c>
      <c r="DA170" s="8">
        <f>IF(DA166&lt;=$B$3,-SUM($E168:DA168),0)</f>
        <v>0</v>
      </c>
      <c r="DB170" s="8"/>
      <c r="DC170" s="8"/>
      <c r="DD170" s="8"/>
      <c r="DE170" s="8"/>
      <c r="DF170" s="8"/>
      <c r="DG170" s="8"/>
    </row>
    <row r="171" spans="3:111" x14ac:dyDescent="0.4">
      <c r="D171" t="s">
        <v>167</v>
      </c>
      <c r="N171" s="8"/>
      <c r="O171" s="8">
        <f>N172</f>
        <v>3629932.3629392516</v>
      </c>
      <c r="P171" s="8">
        <f t="shared" ref="P171:CA171" si="192">O172</f>
        <v>3557333.7156804665</v>
      </c>
      <c r="Q171" s="8">
        <f t="shared" si="192"/>
        <v>3484735.0684216814</v>
      </c>
      <c r="R171" s="8">
        <f t="shared" si="192"/>
        <v>3412136.4211628963</v>
      </c>
      <c r="S171" s="8">
        <f t="shared" si="192"/>
        <v>3339537.7739041112</v>
      </c>
      <c r="T171" s="8">
        <f t="shared" si="192"/>
        <v>3266939.1266453266</v>
      </c>
      <c r="U171" s="8">
        <f t="shared" si="192"/>
        <v>3194340.4793865415</v>
      </c>
      <c r="V171" s="8">
        <f t="shared" si="192"/>
        <v>3121741.8321277564</v>
      </c>
      <c r="W171" s="8">
        <f t="shared" si="192"/>
        <v>3049143.1848689714</v>
      </c>
      <c r="X171" s="8">
        <f t="shared" si="192"/>
        <v>2976544.5376101863</v>
      </c>
      <c r="Y171" s="8">
        <f t="shared" si="192"/>
        <v>2903945.8903514012</v>
      </c>
      <c r="Z171" s="8">
        <f t="shared" si="192"/>
        <v>2831347.2430926161</v>
      </c>
      <c r="AA171" s="8">
        <f t="shared" si="192"/>
        <v>2758748.595833831</v>
      </c>
      <c r="AB171" s="8">
        <f t="shared" si="192"/>
        <v>2686149.9485750459</v>
      </c>
      <c r="AC171" s="8">
        <f t="shared" si="192"/>
        <v>2613551.3013162608</v>
      </c>
      <c r="AD171" s="8">
        <f t="shared" si="192"/>
        <v>2540952.6540574757</v>
      </c>
      <c r="AE171" s="8">
        <f t="shared" si="192"/>
        <v>2468354.0067986907</v>
      </c>
      <c r="AF171" s="8">
        <f t="shared" si="192"/>
        <v>2395755.3595399056</v>
      </c>
      <c r="AG171" s="8">
        <f t="shared" si="192"/>
        <v>2323156.7122811205</v>
      </c>
      <c r="AH171" s="8">
        <f t="shared" si="192"/>
        <v>2250558.0650223354</v>
      </c>
      <c r="AI171" s="8">
        <f t="shared" si="192"/>
        <v>2177959.4177635503</v>
      </c>
      <c r="AJ171" s="8">
        <f t="shared" si="192"/>
        <v>2105360.7705047652</v>
      </c>
      <c r="AK171" s="8">
        <f t="shared" si="192"/>
        <v>2032762.1232459801</v>
      </c>
      <c r="AL171" s="8">
        <f t="shared" si="192"/>
        <v>1960163.475987195</v>
      </c>
      <c r="AM171" s="8">
        <f t="shared" si="192"/>
        <v>1887564.8287284099</v>
      </c>
      <c r="AN171" s="8">
        <f t="shared" si="192"/>
        <v>1814966.1814696249</v>
      </c>
      <c r="AO171" s="8">
        <f t="shared" si="192"/>
        <v>1742367.5342108398</v>
      </c>
      <c r="AP171" s="8">
        <f t="shared" si="192"/>
        <v>1669768.8869520547</v>
      </c>
      <c r="AQ171" s="8">
        <f t="shared" si="192"/>
        <v>1597170.2396932696</v>
      </c>
      <c r="AR171" s="8">
        <f t="shared" si="192"/>
        <v>1524571.5924344845</v>
      </c>
      <c r="AS171" s="8">
        <f t="shared" si="192"/>
        <v>1451972.9451756994</v>
      </c>
      <c r="AT171" s="8">
        <f t="shared" si="192"/>
        <v>1379374.2979169143</v>
      </c>
      <c r="AU171" s="8">
        <f t="shared" si="192"/>
        <v>1306775.6506581292</v>
      </c>
      <c r="AV171" s="8">
        <f t="shared" si="192"/>
        <v>1234177.0033993442</v>
      </c>
      <c r="AW171" s="8">
        <f t="shared" si="192"/>
        <v>1161578.3561405591</v>
      </c>
      <c r="AX171" s="8">
        <f t="shared" si="192"/>
        <v>1088979.708881774</v>
      </c>
      <c r="AY171" s="8">
        <f t="shared" si="192"/>
        <v>1016381.0616229889</v>
      </c>
      <c r="AZ171" s="8">
        <f t="shared" si="192"/>
        <v>943782.41436420381</v>
      </c>
      <c r="BA171" s="8">
        <f t="shared" si="192"/>
        <v>871183.76710541872</v>
      </c>
      <c r="BB171" s="8">
        <f t="shared" si="192"/>
        <v>798585.11984663364</v>
      </c>
      <c r="BC171" s="8">
        <f t="shared" si="192"/>
        <v>725986.47258784855</v>
      </c>
      <c r="BD171" s="8">
        <f t="shared" si="192"/>
        <v>653387.82532906346</v>
      </c>
      <c r="BE171" s="8">
        <f t="shared" si="192"/>
        <v>580789.17807027837</v>
      </c>
      <c r="BF171" s="8">
        <f t="shared" si="192"/>
        <v>508190.53081149329</v>
      </c>
      <c r="BG171" s="8">
        <f t="shared" si="192"/>
        <v>435591.8835527082</v>
      </c>
      <c r="BH171" s="8">
        <f t="shared" si="192"/>
        <v>362993.23629392311</v>
      </c>
      <c r="BI171" s="8">
        <f t="shared" si="192"/>
        <v>290394.58903513802</v>
      </c>
      <c r="BJ171" s="8">
        <f t="shared" si="192"/>
        <v>217795.94177635293</v>
      </c>
      <c r="BK171" s="8">
        <f t="shared" si="192"/>
        <v>145197.29451756785</v>
      </c>
      <c r="BL171" s="8">
        <f t="shared" si="192"/>
        <v>72598.647258782759</v>
      </c>
      <c r="BM171" s="8">
        <f t="shared" si="192"/>
        <v>0</v>
      </c>
      <c r="BN171" s="8">
        <f t="shared" si="192"/>
        <v>0</v>
      </c>
      <c r="BO171" s="8">
        <f t="shared" si="192"/>
        <v>0</v>
      </c>
      <c r="BP171" s="8">
        <f t="shared" si="192"/>
        <v>0</v>
      </c>
      <c r="BQ171" s="8">
        <f t="shared" si="192"/>
        <v>0</v>
      </c>
      <c r="BR171" s="8">
        <f t="shared" si="192"/>
        <v>0</v>
      </c>
      <c r="BS171" s="8">
        <f t="shared" si="192"/>
        <v>0</v>
      </c>
      <c r="BT171" s="8">
        <f t="shared" si="192"/>
        <v>0</v>
      </c>
      <c r="BU171" s="8">
        <f t="shared" si="192"/>
        <v>0</v>
      </c>
      <c r="BV171" s="8">
        <f t="shared" si="192"/>
        <v>0</v>
      </c>
      <c r="BW171" s="8">
        <f t="shared" si="192"/>
        <v>0</v>
      </c>
      <c r="BX171" s="8">
        <f t="shared" si="192"/>
        <v>0</v>
      </c>
      <c r="BY171" s="8">
        <f t="shared" si="192"/>
        <v>0</v>
      </c>
      <c r="BZ171" s="8">
        <f t="shared" si="192"/>
        <v>0</v>
      </c>
      <c r="CA171" s="8">
        <f t="shared" si="192"/>
        <v>0</v>
      </c>
      <c r="CB171" s="8">
        <f t="shared" ref="CB171:DA171" si="193">CA172</f>
        <v>0</v>
      </c>
      <c r="CC171" s="8">
        <f t="shared" si="193"/>
        <v>0</v>
      </c>
      <c r="CD171" s="8">
        <f t="shared" si="193"/>
        <v>0</v>
      </c>
      <c r="CE171" s="8">
        <f t="shared" si="193"/>
        <v>0</v>
      </c>
      <c r="CF171" s="8">
        <f t="shared" si="193"/>
        <v>0</v>
      </c>
      <c r="CG171" s="8">
        <f t="shared" si="193"/>
        <v>0</v>
      </c>
      <c r="CH171" s="8">
        <f t="shared" si="193"/>
        <v>0</v>
      </c>
      <c r="CI171" s="8">
        <f t="shared" si="193"/>
        <v>0</v>
      </c>
      <c r="CJ171" s="8">
        <f t="shared" si="193"/>
        <v>0</v>
      </c>
      <c r="CK171" s="8">
        <f t="shared" si="193"/>
        <v>0</v>
      </c>
      <c r="CL171" s="8">
        <f t="shared" si="193"/>
        <v>0</v>
      </c>
      <c r="CM171" s="8">
        <f t="shared" si="193"/>
        <v>0</v>
      </c>
      <c r="CN171" s="8">
        <f t="shared" si="193"/>
        <v>0</v>
      </c>
      <c r="CO171" s="8">
        <f t="shared" si="193"/>
        <v>0</v>
      </c>
      <c r="CP171" s="8">
        <f t="shared" si="193"/>
        <v>0</v>
      </c>
      <c r="CQ171" s="8">
        <f t="shared" si="193"/>
        <v>0</v>
      </c>
      <c r="CR171" s="8">
        <f t="shared" si="193"/>
        <v>0</v>
      </c>
      <c r="CS171" s="8">
        <f t="shared" si="193"/>
        <v>0</v>
      </c>
      <c r="CT171" s="8">
        <f t="shared" si="193"/>
        <v>0</v>
      </c>
      <c r="CU171" s="8">
        <f t="shared" si="193"/>
        <v>0</v>
      </c>
      <c r="CV171" s="8">
        <f t="shared" si="193"/>
        <v>0</v>
      </c>
      <c r="CW171" s="8">
        <f t="shared" si="193"/>
        <v>0</v>
      </c>
      <c r="CX171" s="8">
        <f t="shared" si="193"/>
        <v>0</v>
      </c>
      <c r="CY171" s="8">
        <f t="shared" si="193"/>
        <v>0</v>
      </c>
      <c r="CZ171" s="8">
        <f t="shared" si="193"/>
        <v>0</v>
      </c>
      <c r="DA171" s="8">
        <f t="shared" si="193"/>
        <v>0</v>
      </c>
      <c r="DB171" s="8"/>
      <c r="DC171" s="8"/>
      <c r="DD171" s="8"/>
      <c r="DE171" s="8"/>
      <c r="DF171" s="8"/>
      <c r="DG171" s="8"/>
    </row>
    <row r="172" spans="3:111" x14ac:dyDescent="0.4">
      <c r="D172" t="s">
        <v>168</v>
      </c>
      <c r="N172" s="8">
        <f>N169+N170</f>
        <v>3629932.3629392516</v>
      </c>
      <c r="O172" s="8">
        <f>O169+O170</f>
        <v>3557333.7156804665</v>
      </c>
      <c r="P172" s="8">
        <f t="shared" ref="P172:CA172" si="194">P169+P170</f>
        <v>3484735.0684216814</v>
      </c>
      <c r="Q172" s="8">
        <f t="shared" si="194"/>
        <v>3412136.4211628963</v>
      </c>
      <c r="R172" s="8">
        <f t="shared" si="194"/>
        <v>3339537.7739041112</v>
      </c>
      <c r="S172" s="8">
        <f t="shared" si="194"/>
        <v>3266939.1266453266</v>
      </c>
      <c r="T172" s="8">
        <f t="shared" si="194"/>
        <v>3194340.4793865415</v>
      </c>
      <c r="U172" s="8">
        <f t="shared" si="194"/>
        <v>3121741.8321277564</v>
      </c>
      <c r="V172" s="8">
        <f t="shared" si="194"/>
        <v>3049143.1848689714</v>
      </c>
      <c r="W172" s="8">
        <f t="shared" si="194"/>
        <v>2976544.5376101863</v>
      </c>
      <c r="X172" s="8">
        <f t="shared" si="194"/>
        <v>2903945.8903514012</v>
      </c>
      <c r="Y172" s="8">
        <f t="shared" si="194"/>
        <v>2831347.2430926161</v>
      </c>
      <c r="Z172" s="8">
        <f t="shared" si="194"/>
        <v>2758748.595833831</v>
      </c>
      <c r="AA172" s="8">
        <f t="shared" si="194"/>
        <v>2686149.9485750459</v>
      </c>
      <c r="AB172" s="8">
        <f t="shared" si="194"/>
        <v>2613551.3013162608</v>
      </c>
      <c r="AC172" s="8">
        <f t="shared" si="194"/>
        <v>2540952.6540574757</v>
      </c>
      <c r="AD172" s="8">
        <f t="shared" si="194"/>
        <v>2468354.0067986907</v>
      </c>
      <c r="AE172" s="8">
        <f t="shared" si="194"/>
        <v>2395755.3595399056</v>
      </c>
      <c r="AF172" s="8">
        <f t="shared" si="194"/>
        <v>2323156.7122811205</v>
      </c>
      <c r="AG172" s="8">
        <f t="shared" si="194"/>
        <v>2250558.0650223354</v>
      </c>
      <c r="AH172" s="8">
        <f t="shared" si="194"/>
        <v>2177959.4177635503</v>
      </c>
      <c r="AI172" s="8">
        <f t="shared" si="194"/>
        <v>2105360.7705047652</v>
      </c>
      <c r="AJ172" s="8">
        <f t="shared" si="194"/>
        <v>2032762.1232459801</v>
      </c>
      <c r="AK172" s="8">
        <f t="shared" si="194"/>
        <v>1960163.475987195</v>
      </c>
      <c r="AL172" s="8">
        <f t="shared" si="194"/>
        <v>1887564.8287284099</v>
      </c>
      <c r="AM172" s="8">
        <f t="shared" si="194"/>
        <v>1814966.1814696249</v>
      </c>
      <c r="AN172" s="8">
        <f t="shared" si="194"/>
        <v>1742367.5342108398</v>
      </c>
      <c r="AO172" s="8">
        <f t="shared" si="194"/>
        <v>1669768.8869520547</v>
      </c>
      <c r="AP172" s="8">
        <f t="shared" si="194"/>
        <v>1597170.2396932696</v>
      </c>
      <c r="AQ172" s="8">
        <f t="shared" si="194"/>
        <v>1524571.5924344845</v>
      </c>
      <c r="AR172" s="8">
        <f t="shared" si="194"/>
        <v>1451972.9451756994</v>
      </c>
      <c r="AS172" s="8">
        <f t="shared" si="194"/>
        <v>1379374.2979169143</v>
      </c>
      <c r="AT172" s="8">
        <f t="shared" si="194"/>
        <v>1306775.6506581292</v>
      </c>
      <c r="AU172" s="8">
        <f t="shared" si="194"/>
        <v>1234177.0033993442</v>
      </c>
      <c r="AV172" s="8">
        <f t="shared" si="194"/>
        <v>1161578.3561405591</v>
      </c>
      <c r="AW172" s="8">
        <f t="shared" si="194"/>
        <v>1088979.708881774</v>
      </c>
      <c r="AX172" s="8">
        <f t="shared" si="194"/>
        <v>1016381.0616229889</v>
      </c>
      <c r="AY172" s="8">
        <f t="shared" si="194"/>
        <v>943782.41436420381</v>
      </c>
      <c r="AZ172" s="8">
        <f t="shared" si="194"/>
        <v>871183.76710541872</v>
      </c>
      <c r="BA172" s="8">
        <f t="shared" si="194"/>
        <v>798585.11984663364</v>
      </c>
      <c r="BB172" s="8">
        <f t="shared" si="194"/>
        <v>725986.47258784855</v>
      </c>
      <c r="BC172" s="8">
        <f t="shared" si="194"/>
        <v>653387.82532906346</v>
      </c>
      <c r="BD172" s="8">
        <f t="shared" si="194"/>
        <v>580789.17807027837</v>
      </c>
      <c r="BE172" s="8">
        <f t="shared" si="194"/>
        <v>508190.53081149329</v>
      </c>
      <c r="BF172" s="8">
        <f t="shared" si="194"/>
        <v>435591.8835527082</v>
      </c>
      <c r="BG172" s="8">
        <f t="shared" si="194"/>
        <v>362993.23629392311</v>
      </c>
      <c r="BH172" s="8">
        <f t="shared" si="194"/>
        <v>290394.58903513802</v>
      </c>
      <c r="BI172" s="8">
        <f t="shared" si="194"/>
        <v>217795.94177635293</v>
      </c>
      <c r="BJ172" s="8">
        <f t="shared" si="194"/>
        <v>145197.29451756785</v>
      </c>
      <c r="BK172" s="8">
        <f t="shared" si="194"/>
        <v>72598.647258782759</v>
      </c>
      <c r="BL172" s="8">
        <f t="shared" si="194"/>
        <v>0</v>
      </c>
      <c r="BM172" s="8">
        <f t="shared" si="194"/>
        <v>0</v>
      </c>
      <c r="BN172" s="8">
        <f t="shared" si="194"/>
        <v>0</v>
      </c>
      <c r="BO172" s="8">
        <f t="shared" si="194"/>
        <v>0</v>
      </c>
      <c r="BP172" s="8">
        <f t="shared" si="194"/>
        <v>0</v>
      </c>
      <c r="BQ172" s="8">
        <f t="shared" si="194"/>
        <v>0</v>
      </c>
      <c r="BR172" s="8">
        <f t="shared" si="194"/>
        <v>0</v>
      </c>
      <c r="BS172" s="8">
        <f t="shared" si="194"/>
        <v>0</v>
      </c>
      <c r="BT172" s="8">
        <f t="shared" si="194"/>
        <v>0</v>
      </c>
      <c r="BU172" s="8">
        <f t="shared" si="194"/>
        <v>0</v>
      </c>
      <c r="BV172" s="8">
        <f t="shared" si="194"/>
        <v>0</v>
      </c>
      <c r="BW172" s="8">
        <f t="shared" si="194"/>
        <v>0</v>
      </c>
      <c r="BX172" s="8">
        <f t="shared" si="194"/>
        <v>0</v>
      </c>
      <c r="BY172" s="8">
        <f t="shared" si="194"/>
        <v>0</v>
      </c>
      <c r="BZ172" s="8">
        <f t="shared" si="194"/>
        <v>0</v>
      </c>
      <c r="CA172" s="8">
        <f t="shared" si="194"/>
        <v>0</v>
      </c>
      <c r="CB172" s="8">
        <f t="shared" ref="CB172:DA172" si="195">CB169+CB170</f>
        <v>0</v>
      </c>
      <c r="CC172" s="8">
        <f t="shared" si="195"/>
        <v>0</v>
      </c>
      <c r="CD172" s="8">
        <f t="shared" si="195"/>
        <v>0</v>
      </c>
      <c r="CE172" s="8">
        <f t="shared" si="195"/>
        <v>0</v>
      </c>
      <c r="CF172" s="8">
        <f t="shared" si="195"/>
        <v>0</v>
      </c>
      <c r="CG172" s="8">
        <f t="shared" si="195"/>
        <v>0</v>
      </c>
      <c r="CH172" s="8">
        <f t="shared" si="195"/>
        <v>0</v>
      </c>
      <c r="CI172" s="8">
        <f t="shared" si="195"/>
        <v>0</v>
      </c>
      <c r="CJ172" s="8">
        <f t="shared" si="195"/>
        <v>0</v>
      </c>
      <c r="CK172" s="8">
        <f t="shared" si="195"/>
        <v>0</v>
      </c>
      <c r="CL172" s="8">
        <f t="shared" si="195"/>
        <v>0</v>
      </c>
      <c r="CM172" s="8">
        <f t="shared" si="195"/>
        <v>0</v>
      </c>
      <c r="CN172" s="8">
        <f t="shared" si="195"/>
        <v>0</v>
      </c>
      <c r="CO172" s="8">
        <f t="shared" si="195"/>
        <v>0</v>
      </c>
      <c r="CP172" s="8">
        <f t="shared" si="195"/>
        <v>0</v>
      </c>
      <c r="CQ172" s="8">
        <f t="shared" si="195"/>
        <v>0</v>
      </c>
      <c r="CR172" s="8">
        <f t="shared" si="195"/>
        <v>0</v>
      </c>
      <c r="CS172" s="8">
        <f t="shared" si="195"/>
        <v>0</v>
      </c>
      <c r="CT172" s="8">
        <f t="shared" si="195"/>
        <v>0</v>
      </c>
      <c r="CU172" s="8">
        <f t="shared" si="195"/>
        <v>0</v>
      </c>
      <c r="CV172" s="8">
        <f t="shared" si="195"/>
        <v>0</v>
      </c>
      <c r="CW172" s="8">
        <f t="shared" si="195"/>
        <v>0</v>
      </c>
      <c r="CX172" s="8">
        <f t="shared" si="195"/>
        <v>0</v>
      </c>
      <c r="CY172" s="8">
        <f t="shared" si="195"/>
        <v>0</v>
      </c>
      <c r="CZ172" s="8">
        <f t="shared" si="195"/>
        <v>0</v>
      </c>
      <c r="DA172" s="8">
        <f t="shared" si="195"/>
        <v>0</v>
      </c>
      <c r="DB172" s="8"/>
      <c r="DC172" s="8"/>
      <c r="DD172" s="8"/>
      <c r="DE172" s="8"/>
      <c r="DF172" s="8"/>
      <c r="DG172" s="8"/>
    </row>
    <row r="173" spans="3:111" x14ac:dyDescent="0.4"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8"/>
      <c r="DD173" s="8"/>
      <c r="DE173" s="8"/>
      <c r="DF173" s="8"/>
      <c r="DG173" s="8"/>
    </row>
    <row r="174" spans="3:111" x14ac:dyDescent="0.4">
      <c r="D174" t="s">
        <v>169</v>
      </c>
      <c r="N174" s="8"/>
      <c r="O174" s="8">
        <f>IF(O166&lt;=$B$4+1,O169*VLOOKUP(O166,Assumptions!$A$70:$B$90,2,0),0)</f>
        <v>136122.46361022192</v>
      </c>
      <c r="P174" s="8">
        <f>IF(P166&lt;=$B$4+1,P169*VLOOKUP(P166,Assumptions!$A$70:$B$90,2,0),0)</f>
        <v>262044.8172805846</v>
      </c>
      <c r="Q174" s="8">
        <f>IF(Q166&lt;=$B$4+1,Q169*VLOOKUP(Q166,Assumptions!$A$70:$B$90,2,0),0)</f>
        <v>242370.58387345381</v>
      </c>
      <c r="R174" s="8">
        <f>IF(R166&lt;=$B$4+1,R169*VLOOKUP(R166,Assumptions!$A$70:$B$90,2,0),0)</f>
        <v>224220.92205875757</v>
      </c>
      <c r="S174" s="8">
        <f>IF(S166&lt;=$B$4+1,S169*VLOOKUP(S166,Assumptions!$A$70:$B$90,2,0),0)</f>
        <v>207378.03589471945</v>
      </c>
      <c r="T174" s="8">
        <f>IF(T166&lt;=$B$4+1,T169*VLOOKUP(T166,Assumptions!$A$70:$B$90,2,0),0)</f>
        <v>191841.92538133945</v>
      </c>
      <c r="U174" s="8">
        <f>IF(U166&lt;=$B$4+1,U169*VLOOKUP(U166,Assumptions!$A$70:$B$90,2,0),0)</f>
        <v>177431.09390047062</v>
      </c>
      <c r="V174" s="8">
        <f>IF(V166&lt;=$B$4+1,V169*VLOOKUP(V166,Assumptions!$A$70:$B$90,2,0),0)</f>
        <v>164145.54145211296</v>
      </c>
      <c r="W174" s="8">
        <f>IF(W166&lt;=$B$4+1,W169*VLOOKUP(W166,Assumptions!$A$70:$B$90,2,0),0)</f>
        <v>161967.58203434941</v>
      </c>
      <c r="X174" s="8">
        <f>IF(X166&lt;=$B$4+1,X169*VLOOKUP(X166,Assumptions!$A$70:$B$90,2,0),0)</f>
        <v>161931.28271072</v>
      </c>
      <c r="Y174" s="8">
        <f>IF(Y166&lt;=$B$4+1,Y169*VLOOKUP(Y166,Assumptions!$A$70:$B$90,2,0),0)</f>
        <v>161967.58203434941</v>
      </c>
      <c r="Z174" s="8">
        <f>IF(Z166&lt;=$B$4+1,Z169*VLOOKUP(Z166,Assumptions!$A$70:$B$90,2,0),0)</f>
        <v>161931.28271072</v>
      </c>
      <c r="AA174" s="8">
        <f>IF(AA166&lt;=$B$4+1,AA169*VLOOKUP(AA166,Assumptions!$A$70:$B$90,2,0),0)</f>
        <v>161967.58203434941</v>
      </c>
      <c r="AB174" s="8">
        <f>IF(AB166&lt;=$B$4+1,AB169*VLOOKUP(AB166,Assumptions!$A$70:$B$90,2,0),0)</f>
        <v>161931.28271072</v>
      </c>
      <c r="AC174" s="8">
        <f>IF(AC166&lt;=$B$4+1,AC169*VLOOKUP(AC166,Assumptions!$A$70:$B$90,2,0),0)</f>
        <v>161967.58203434941</v>
      </c>
      <c r="AD174" s="8">
        <f>IF(AD166&lt;=$B$4+1,AD169*VLOOKUP(AD166,Assumptions!$A$70:$B$90,2,0),0)</f>
        <v>161931.28271072</v>
      </c>
      <c r="AE174" s="8">
        <f>IF(AE166&lt;=$B$4+1,AE169*VLOOKUP(AE166,Assumptions!$A$70:$B$90,2,0),0)</f>
        <v>161967.58203434941</v>
      </c>
      <c r="AF174" s="8">
        <f>IF(AF166&lt;=$B$4+1,AF169*VLOOKUP(AF166,Assumptions!$A$70:$B$90,2,0),0)</f>
        <v>161931.28271072</v>
      </c>
      <c r="AG174" s="8">
        <f>IF(AG166&lt;=$B$4+1,AG169*VLOOKUP(AG166,Assumptions!$A$70:$B$90,2,0),0)</f>
        <v>161967.58203434941</v>
      </c>
      <c r="AH174" s="8">
        <f>IF(AH166&lt;=$B$4+1,AH169*VLOOKUP(AH166,Assumptions!$A$70:$B$90,2,0),0)</f>
        <v>161931.28271072</v>
      </c>
      <c r="AI174" s="8">
        <f>IF(AI166&lt;=$B$4+1,AI169*VLOOKUP(AI166,Assumptions!$A$70:$B$90,2,0),0)</f>
        <v>80983.791017174706</v>
      </c>
      <c r="AJ174" s="8">
        <f>IF(AJ166&lt;=$B$4+1,AJ169*VLOOKUP(AJ166,Assumptions!$A$70:$B$90,2,0),0)</f>
        <v>0</v>
      </c>
      <c r="AK174" s="8">
        <f>IF(AK166&lt;=$B$4+1,AK169*VLOOKUP(AK166,Assumptions!$A$70:$B$90,2,0),0)</f>
        <v>0</v>
      </c>
      <c r="AL174" s="8">
        <f>IF(AL166&lt;=$B$4+1,AL169*VLOOKUP(AL166,Assumptions!$A$70:$B$90,2,0),0)</f>
        <v>0</v>
      </c>
      <c r="AM174" s="8">
        <f>IF(AM166&lt;=$B$4+1,AM169*VLOOKUP(AM166,Assumptions!$A$70:$B$90,2,0),0)</f>
        <v>0</v>
      </c>
      <c r="AN174" s="8">
        <f>IF(AN166&lt;=$B$4+1,AN169*VLOOKUP(AN166,Assumptions!$A$70:$B$90,2,0),0)</f>
        <v>0</v>
      </c>
      <c r="AO174" s="8">
        <f>IF(AO166&lt;=$B$4+1,AO169*VLOOKUP(AO166,Assumptions!$A$70:$B$90,2,0),0)</f>
        <v>0</v>
      </c>
      <c r="AP174" s="8">
        <f>IF(AP166&lt;=$B$4+1,AP169*VLOOKUP(AP166,Assumptions!$A$70:$B$90,2,0),0)</f>
        <v>0</v>
      </c>
      <c r="AQ174" s="8">
        <f>IF(AQ166&lt;=$B$4+1,AQ169*VLOOKUP(AQ166,Assumptions!$A$70:$B$90,2,0),0)</f>
        <v>0</v>
      </c>
      <c r="AR174" s="8">
        <f>IF(AR166&lt;=$B$4+1,AR169*VLOOKUP(AR166,Assumptions!$A$70:$B$90,2,0),0)</f>
        <v>0</v>
      </c>
      <c r="AS174" s="8">
        <f>IF(AS166&lt;=$B$4+1,AS169*VLOOKUP(AS166,Assumptions!$A$70:$B$90,2,0),0)</f>
        <v>0</v>
      </c>
      <c r="AT174" s="8">
        <f>IF(AT166&lt;=$B$4+1,AT169*VLOOKUP(AT166,Assumptions!$A$70:$B$90,2,0),0)</f>
        <v>0</v>
      </c>
      <c r="AU174" s="8">
        <f>IF(AU166&lt;=$B$4+1,AU169*VLOOKUP(AU166,Assumptions!$A$70:$B$90,2,0),0)</f>
        <v>0</v>
      </c>
      <c r="AV174" s="8">
        <f>IF(AV166&lt;=$B$4+1,AV169*VLOOKUP(AV166,Assumptions!$A$70:$B$90,2,0),0)</f>
        <v>0</v>
      </c>
      <c r="AW174" s="8">
        <f>IF(AW166&lt;=$B$4+1,AW169*VLOOKUP(AW166,Assumptions!$A$70:$B$90,2,0),0)</f>
        <v>0</v>
      </c>
      <c r="AX174" s="8">
        <f>IF(AX166&lt;=$B$4+1,AX169*VLOOKUP(AX166,Assumptions!$A$70:$B$90,2,0),0)</f>
        <v>0</v>
      </c>
      <c r="AY174" s="8">
        <f>IF(AY166&lt;=$B$4+1,AY169*VLOOKUP(AY166,Assumptions!$A$70:$B$90,2,0),0)</f>
        <v>0</v>
      </c>
      <c r="AZ174" s="8">
        <f>IF(AZ166&lt;=$B$4+1,AZ169*VLOOKUP(AZ166,Assumptions!$A$70:$B$90,2,0),0)</f>
        <v>0</v>
      </c>
      <c r="BA174" s="8">
        <f>IF(BA166&lt;=$B$4+1,BA169*VLOOKUP(BA166,Assumptions!$A$70:$B$90,2,0),0)</f>
        <v>0</v>
      </c>
      <c r="BB174" s="8">
        <f>IF(BB166&lt;=$B$4+1,BB169*VLOOKUP(BB166,Assumptions!$A$70:$B$90,2,0),0)</f>
        <v>0</v>
      </c>
      <c r="BC174" s="8">
        <f>IF(BC166&lt;=$B$4+1,BC169*VLOOKUP(BC166,Assumptions!$A$70:$B$90,2,0),0)</f>
        <v>0</v>
      </c>
      <c r="BD174" s="8">
        <f>IF(BD166&lt;=$B$4+1,BD169*VLOOKUP(BD166,Assumptions!$A$70:$B$90,2,0),0)</f>
        <v>0</v>
      </c>
      <c r="BE174" s="8">
        <f>IF(BE166&lt;=$B$4+1,BE169*VLOOKUP(BE166,Assumptions!$A$70:$B$90,2,0),0)</f>
        <v>0</v>
      </c>
      <c r="BF174" s="8">
        <f>IF(BF166&lt;=$B$4+1,BF169*VLOOKUP(BF166,Assumptions!$A$70:$B$90,2,0),0)</f>
        <v>0</v>
      </c>
      <c r="BG174" s="8">
        <f>IF(BG166&lt;=$B$4+1,BG169*VLOOKUP(BG166,Assumptions!$A$70:$B$90,2,0),0)</f>
        <v>0</v>
      </c>
      <c r="BH174" s="8">
        <f>IF(BH166&lt;=$B$4+1,BH169*VLOOKUP(BH166,Assumptions!$A$70:$B$90,2,0),0)</f>
        <v>0</v>
      </c>
      <c r="BI174" s="8">
        <f>IF(BI166&lt;=$B$4+1,BI169*VLOOKUP(BI166,Assumptions!$A$70:$B$90,2,0),0)</f>
        <v>0</v>
      </c>
      <c r="BJ174" s="8">
        <f>IF(BJ166&lt;=$B$4+1,BJ169*VLOOKUP(BJ166,Assumptions!$A$70:$B$90,2,0),0)</f>
        <v>0</v>
      </c>
      <c r="BK174" s="8">
        <f>IF(BK166&lt;=$B$4+1,BK169*VLOOKUP(BK166,Assumptions!$A$70:$B$90,2,0),0)</f>
        <v>0</v>
      </c>
      <c r="BL174" s="8">
        <f>IF(BL166&lt;=$B$4+1,BL169*VLOOKUP(BL166,Assumptions!$A$70:$B$90,2,0),0)</f>
        <v>0</v>
      </c>
      <c r="BM174" s="8">
        <f>IF(BM166&lt;=$B$4+1,BM169*VLOOKUP(BM166,Assumptions!$A$70:$B$90,2,0),0)</f>
        <v>0</v>
      </c>
      <c r="BN174" s="8">
        <f>IF(BN166&lt;=$B$4+1,BN169*VLOOKUP(BN166,Assumptions!$A$70:$B$90,2,0),0)</f>
        <v>0</v>
      </c>
      <c r="BO174" s="8">
        <f>IF(BO166&lt;=$B$4+1,BO169*VLOOKUP(BO166,Assumptions!$A$70:$B$90,2,0),0)</f>
        <v>0</v>
      </c>
      <c r="BP174" s="8">
        <f>IF(BP166&lt;=$B$4+1,BP169*VLOOKUP(BP166,Assumptions!$A$70:$B$90,2,0),0)</f>
        <v>0</v>
      </c>
      <c r="BQ174" s="8">
        <f>IF(BQ166&lt;=$B$4+1,BQ169*VLOOKUP(BQ166,Assumptions!$A$70:$B$90,2,0),0)</f>
        <v>0</v>
      </c>
      <c r="BR174" s="8">
        <f>IF(BR166&lt;=$B$4+1,BR169*VLOOKUP(BR166,Assumptions!$A$70:$B$90,2,0),0)</f>
        <v>0</v>
      </c>
      <c r="BS174" s="8">
        <f>IF(BS166&lt;=$B$4+1,BS169*VLOOKUP(BS166,Assumptions!$A$70:$B$90,2,0),0)</f>
        <v>0</v>
      </c>
      <c r="BT174" s="8">
        <f>IF(BT166&lt;=$B$4+1,BT169*VLOOKUP(BT166,Assumptions!$A$70:$B$90,2,0),0)</f>
        <v>0</v>
      </c>
      <c r="BU174" s="8">
        <f>IF(BU166&lt;=$B$4+1,BU169*VLOOKUP(BU166,Assumptions!$A$70:$B$90,2,0),0)</f>
        <v>0</v>
      </c>
      <c r="BV174" s="8">
        <f>IF(BV166&lt;=$B$4+1,BV169*VLOOKUP(BV166,Assumptions!$A$70:$B$90,2,0),0)</f>
        <v>0</v>
      </c>
      <c r="BW174" s="8">
        <f>IF(BW166&lt;=$B$4+1,BW169*VLOOKUP(BW166,Assumptions!$A$70:$B$90,2,0),0)</f>
        <v>0</v>
      </c>
      <c r="BX174" s="8">
        <f>IF(BX166&lt;=$B$4+1,BX169*VLOOKUP(BX166,Assumptions!$A$70:$B$90,2,0),0)</f>
        <v>0</v>
      </c>
      <c r="BY174" s="8">
        <f>IF(BY166&lt;=$B$4+1,BY169*VLOOKUP(BY166,Assumptions!$A$70:$B$90,2,0),0)</f>
        <v>0</v>
      </c>
      <c r="BZ174" s="8">
        <f>IF(BZ166&lt;=$B$4+1,BZ169*VLOOKUP(BZ166,Assumptions!$A$70:$B$90,2,0),0)</f>
        <v>0</v>
      </c>
      <c r="CA174" s="8">
        <f>IF(CA166&lt;=$B$4+1,CA169*VLOOKUP(CA166,Assumptions!$A$70:$B$90,2,0),0)</f>
        <v>0</v>
      </c>
      <c r="CB174" s="8">
        <f>IF(CB166&lt;=$B$4+1,CB169*VLOOKUP(CB166,Assumptions!$A$70:$B$90,2,0),0)</f>
        <v>0</v>
      </c>
      <c r="CC174" s="8">
        <f>IF(CC166&lt;=$B$4+1,CC169*VLOOKUP(CC166,Assumptions!$A$70:$B$90,2,0),0)</f>
        <v>0</v>
      </c>
      <c r="CD174" s="8">
        <f>IF(CD166&lt;=$B$4+1,CD169*VLOOKUP(CD166,Assumptions!$A$70:$B$90,2,0),0)</f>
        <v>0</v>
      </c>
      <c r="CE174" s="8">
        <f>IF(CE166&lt;=$B$4+1,CE169*VLOOKUP(CE166,Assumptions!$A$70:$B$90,2,0),0)</f>
        <v>0</v>
      </c>
      <c r="CF174" s="8">
        <f>IF(CF166&lt;=$B$4+1,CF169*VLOOKUP(CF166,Assumptions!$A$70:$B$90,2,0),0)</f>
        <v>0</v>
      </c>
      <c r="CG174" s="8">
        <f>IF(CG166&lt;=$B$4+1,CG169*VLOOKUP(CG166,Assumptions!$A$70:$B$90,2,0),0)</f>
        <v>0</v>
      </c>
      <c r="CH174" s="8">
        <f>IF(CH166&lt;=$B$4+1,CH169*VLOOKUP(CH166,Assumptions!$A$70:$B$90,2,0),0)</f>
        <v>0</v>
      </c>
      <c r="CI174" s="8">
        <f>IF(CI166&lt;=$B$4+1,CI169*VLOOKUP(CI166,Assumptions!$A$70:$B$90,2,0),0)</f>
        <v>0</v>
      </c>
      <c r="CJ174" s="8">
        <f>IF(CJ166&lt;=$B$4+1,CJ169*VLOOKUP(CJ166,Assumptions!$A$70:$B$90,2,0),0)</f>
        <v>0</v>
      </c>
      <c r="CK174" s="8">
        <f>IF(CK166&lt;=$B$4+1,CK169*VLOOKUP(CK166,Assumptions!$A$70:$B$90,2,0),0)</f>
        <v>0</v>
      </c>
      <c r="CL174" s="8">
        <f>IF(CL166&lt;=$B$4+1,CL169*VLOOKUP(CL166,Assumptions!$A$70:$B$90,2,0),0)</f>
        <v>0</v>
      </c>
      <c r="CM174" s="8">
        <f>IF(CM166&lt;=$B$4+1,CM169*VLOOKUP(CM166,Assumptions!$A$70:$B$90,2,0),0)</f>
        <v>0</v>
      </c>
      <c r="CN174" s="8">
        <f>IF(CN166&lt;=$B$4+1,CN169*VLOOKUP(CN166,Assumptions!$A$70:$B$90,2,0),0)</f>
        <v>0</v>
      </c>
      <c r="CO174" s="8">
        <f>IF(CO166&lt;=$B$4+1,CO169*VLOOKUP(CO166,Assumptions!$A$70:$B$90,2,0),0)</f>
        <v>0</v>
      </c>
      <c r="CP174" s="8">
        <f>IF(CP166&lt;=$B$4+1,CP169*VLOOKUP(CP166,Assumptions!$A$70:$B$90,2,0),0)</f>
        <v>0</v>
      </c>
      <c r="CQ174" s="8">
        <f>IF(CQ166&lt;=$B$4+1,CQ169*VLOOKUP(CQ166,Assumptions!$A$70:$B$90,2,0),0)</f>
        <v>0</v>
      </c>
      <c r="CR174" s="8">
        <f>IF(CR166&lt;=$B$4+1,CR169*VLOOKUP(CR166,Assumptions!$A$70:$B$90,2,0),0)</f>
        <v>0</v>
      </c>
      <c r="CS174" s="8">
        <f>IF(CS166&lt;=$B$4+1,CS169*VLOOKUP(CS166,Assumptions!$A$70:$B$90,2,0),0)</f>
        <v>0</v>
      </c>
      <c r="CT174" s="8">
        <f>IF(CT166&lt;=$B$4+1,CT169*VLOOKUP(CT166,Assumptions!$A$70:$B$90,2,0),0)</f>
        <v>0</v>
      </c>
      <c r="CU174" s="8">
        <f>IF(CU166&lt;=$B$4+1,CU169*VLOOKUP(CU166,Assumptions!$A$70:$B$90,2,0),0)</f>
        <v>0</v>
      </c>
      <c r="CV174" s="8">
        <f>IF(CV166&lt;=$B$4+1,CV169*VLOOKUP(CV166,Assumptions!$A$70:$B$90,2,0),0)</f>
        <v>0</v>
      </c>
      <c r="CW174" s="8">
        <f>IF(CW166&lt;=$B$4+1,CW169*VLOOKUP(CW166,Assumptions!$A$70:$B$90,2,0),0)</f>
        <v>0</v>
      </c>
      <c r="CX174" s="8">
        <f>IF(CX166&lt;=$B$4+1,CX169*VLOOKUP(CX166,Assumptions!$A$70:$B$90,2,0),0)</f>
        <v>0</v>
      </c>
      <c r="CY174" s="8">
        <f>IF(CY166&lt;=$B$4+1,CY169*VLOOKUP(CY166,Assumptions!$A$70:$B$90,2,0),0)</f>
        <v>0</v>
      </c>
      <c r="CZ174" s="8">
        <f>IF(CZ166&lt;=$B$4+1,CZ169*VLOOKUP(CZ166,Assumptions!$A$70:$B$90,2,0),0)</f>
        <v>0</v>
      </c>
      <c r="DA174" s="8">
        <f>IF(DA166&lt;=$B$4+1,DA169*VLOOKUP(DA166,Assumptions!$A$70:$B$90,2,0),0)</f>
        <v>0</v>
      </c>
      <c r="DB174" s="8"/>
      <c r="DC174" s="8"/>
      <c r="DD174" s="8"/>
      <c r="DE174" s="8"/>
      <c r="DF174" s="8"/>
      <c r="DG174" s="8"/>
    </row>
    <row r="175" spans="3:111" x14ac:dyDescent="0.4">
      <c r="D175" t="s">
        <v>170</v>
      </c>
      <c r="N175" s="8"/>
      <c r="O175" s="8">
        <f>N176</f>
        <v>0</v>
      </c>
      <c r="P175" s="8">
        <f t="shared" ref="P175:CA175" si="196">O176</f>
        <v>-17605.625701800735</v>
      </c>
      <c r="Q175" s="8">
        <f t="shared" si="196"/>
        <v>-70110.631723342492</v>
      </c>
      <c r="R175" s="8">
        <f t="shared" si="196"/>
        <v>-117162.92395609795</v>
      </c>
      <c r="S175" s="8">
        <f t="shared" si="196"/>
        <v>-159185.03741691035</v>
      </c>
      <c r="T175" s="8">
        <f t="shared" si="196"/>
        <v>-196539.14497735957</v>
      </c>
      <c r="U175" s="8">
        <f t="shared" si="196"/>
        <v>-229587.41950902552</v>
      </c>
      <c r="V175" s="8">
        <f t="shared" si="196"/>
        <v>-258641.73209576868</v>
      </c>
      <c r="W175" s="8">
        <f t="shared" si="196"/>
        <v>-284013.95382144954</v>
      </c>
      <c r="X175" s="8">
        <f t="shared" si="196"/>
        <v>-308782.55409449723</v>
      </c>
      <c r="Y175" s="8">
        <f t="shared" si="196"/>
        <v>-333541.09401000099</v>
      </c>
      <c r="Z175" s="8">
        <f t="shared" si="196"/>
        <v>-358309.69428304868</v>
      </c>
      <c r="AA175" s="8">
        <f t="shared" si="196"/>
        <v>-383068.23419855244</v>
      </c>
      <c r="AB175" s="8">
        <f t="shared" si="196"/>
        <v>-407836.83447160013</v>
      </c>
      <c r="AC175" s="8">
        <f t="shared" si="196"/>
        <v>-432595.37438710389</v>
      </c>
      <c r="AD175" s="8">
        <f t="shared" si="196"/>
        <v>-457363.97466015158</v>
      </c>
      <c r="AE175" s="8">
        <f t="shared" si="196"/>
        <v>-482122.51457565534</v>
      </c>
      <c r="AF175" s="8">
        <f t="shared" si="196"/>
        <v>-506891.11484870303</v>
      </c>
      <c r="AG175" s="8">
        <f t="shared" si="196"/>
        <v>-531649.65476420685</v>
      </c>
      <c r="AH175" s="8">
        <f t="shared" si="196"/>
        <v>-556418.25503725454</v>
      </c>
      <c r="AI175" s="8">
        <f t="shared" si="196"/>
        <v>-581176.79495275836</v>
      </c>
      <c r="AJ175" s="8">
        <f t="shared" si="196"/>
        <v>-583500.73754539608</v>
      </c>
      <c r="AK175" s="8">
        <f t="shared" si="196"/>
        <v>-563380.02245762385</v>
      </c>
      <c r="AL175" s="8">
        <f t="shared" si="196"/>
        <v>-543259.30736985162</v>
      </c>
      <c r="AM175" s="8">
        <f t="shared" si="196"/>
        <v>-523138.59228207933</v>
      </c>
      <c r="AN175" s="8">
        <f t="shared" si="196"/>
        <v>-503017.87719430705</v>
      </c>
      <c r="AO175" s="8">
        <f t="shared" si="196"/>
        <v>-482897.16210653476</v>
      </c>
      <c r="AP175" s="8">
        <f t="shared" si="196"/>
        <v>-462776.44701876247</v>
      </c>
      <c r="AQ175" s="8">
        <f t="shared" si="196"/>
        <v>-442655.73193099018</v>
      </c>
      <c r="AR175" s="8">
        <f t="shared" si="196"/>
        <v>-422535.01684321789</v>
      </c>
      <c r="AS175" s="8">
        <f t="shared" si="196"/>
        <v>-402414.3017554456</v>
      </c>
      <c r="AT175" s="8">
        <f t="shared" si="196"/>
        <v>-382293.58666767331</v>
      </c>
      <c r="AU175" s="8">
        <f t="shared" si="196"/>
        <v>-362172.87157990102</v>
      </c>
      <c r="AV175" s="8">
        <f t="shared" si="196"/>
        <v>-342052.15649212874</v>
      </c>
      <c r="AW175" s="8">
        <f t="shared" si="196"/>
        <v>-321931.44140435645</v>
      </c>
      <c r="AX175" s="8">
        <f t="shared" si="196"/>
        <v>-301810.72631658416</v>
      </c>
      <c r="AY175" s="8">
        <f t="shared" si="196"/>
        <v>-281690.01122881187</v>
      </c>
      <c r="AZ175" s="8">
        <f t="shared" si="196"/>
        <v>-261569.29614103961</v>
      </c>
      <c r="BA175" s="8">
        <f t="shared" si="196"/>
        <v>-241448.58105326735</v>
      </c>
      <c r="BB175" s="8">
        <f t="shared" si="196"/>
        <v>-221327.86596549509</v>
      </c>
      <c r="BC175" s="8">
        <f t="shared" si="196"/>
        <v>-201207.15087772283</v>
      </c>
      <c r="BD175" s="8">
        <f t="shared" si="196"/>
        <v>-181086.43578995057</v>
      </c>
      <c r="BE175" s="8">
        <f t="shared" si="196"/>
        <v>-160965.72070217831</v>
      </c>
      <c r="BF175" s="8">
        <f t="shared" si="196"/>
        <v>-140845.00561440605</v>
      </c>
      <c r="BG175" s="8">
        <f t="shared" si="196"/>
        <v>-120724.29052663378</v>
      </c>
      <c r="BH175" s="8">
        <f t="shared" si="196"/>
        <v>-100603.5754388615</v>
      </c>
      <c r="BI175" s="8">
        <f t="shared" si="196"/>
        <v>-80482.860351089228</v>
      </c>
      <c r="BJ175" s="8">
        <f t="shared" si="196"/>
        <v>-60362.145263316954</v>
      </c>
      <c r="BK175" s="8">
        <f t="shared" si="196"/>
        <v>-40241.43017554468</v>
      </c>
      <c r="BL175" s="8">
        <f t="shared" si="196"/>
        <v>-20120.715087772409</v>
      </c>
      <c r="BM175" s="8">
        <f t="shared" si="196"/>
        <v>-1.3824319466948509E-10</v>
      </c>
      <c r="BN175" s="8">
        <f t="shared" si="196"/>
        <v>-1.3824319466948509E-10</v>
      </c>
      <c r="BO175" s="8">
        <f t="shared" si="196"/>
        <v>-1.3824319466948509E-10</v>
      </c>
      <c r="BP175" s="8">
        <f t="shared" si="196"/>
        <v>-1.3824319466948509E-10</v>
      </c>
      <c r="BQ175" s="8">
        <f t="shared" si="196"/>
        <v>-1.3824319466948509E-10</v>
      </c>
      <c r="BR175" s="8">
        <f t="shared" si="196"/>
        <v>-1.3824319466948509E-10</v>
      </c>
      <c r="BS175" s="8">
        <f t="shared" si="196"/>
        <v>-1.3824319466948509E-10</v>
      </c>
      <c r="BT175" s="8">
        <f t="shared" si="196"/>
        <v>-1.3824319466948509E-10</v>
      </c>
      <c r="BU175" s="8">
        <f t="shared" si="196"/>
        <v>-1.3824319466948509E-10</v>
      </c>
      <c r="BV175" s="8">
        <f t="shared" si="196"/>
        <v>-1.3824319466948509E-10</v>
      </c>
      <c r="BW175" s="8">
        <f t="shared" si="196"/>
        <v>-1.3824319466948509E-10</v>
      </c>
      <c r="BX175" s="8">
        <f t="shared" si="196"/>
        <v>-1.3824319466948509E-10</v>
      </c>
      <c r="BY175" s="8">
        <f t="shared" si="196"/>
        <v>-1.3824319466948509E-10</v>
      </c>
      <c r="BZ175" s="8">
        <f t="shared" si="196"/>
        <v>-1.3824319466948509E-10</v>
      </c>
      <c r="CA175" s="8">
        <f t="shared" si="196"/>
        <v>-1.3824319466948509E-10</v>
      </c>
      <c r="CB175" s="8">
        <f t="shared" ref="CB175:DA175" si="197">CA176</f>
        <v>-1.3824319466948509E-10</v>
      </c>
      <c r="CC175" s="8">
        <f t="shared" si="197"/>
        <v>-1.3824319466948509E-10</v>
      </c>
      <c r="CD175" s="8">
        <f t="shared" si="197"/>
        <v>-1.3824319466948509E-10</v>
      </c>
      <c r="CE175" s="8">
        <f t="shared" si="197"/>
        <v>-1.3824319466948509E-10</v>
      </c>
      <c r="CF175" s="8">
        <f t="shared" si="197"/>
        <v>-1.3824319466948509E-10</v>
      </c>
      <c r="CG175" s="8">
        <f t="shared" si="197"/>
        <v>-1.3824319466948509E-10</v>
      </c>
      <c r="CH175" s="8">
        <f t="shared" si="197"/>
        <v>-1.3824319466948509E-10</v>
      </c>
      <c r="CI175" s="8">
        <f t="shared" si="197"/>
        <v>-1.3824319466948509E-10</v>
      </c>
      <c r="CJ175" s="8">
        <f t="shared" si="197"/>
        <v>-1.3824319466948509E-10</v>
      </c>
      <c r="CK175" s="8">
        <f t="shared" si="197"/>
        <v>-1.3824319466948509E-10</v>
      </c>
      <c r="CL175" s="8">
        <f t="shared" si="197"/>
        <v>-1.3824319466948509E-10</v>
      </c>
      <c r="CM175" s="8">
        <f t="shared" si="197"/>
        <v>-1.3824319466948509E-10</v>
      </c>
      <c r="CN175" s="8">
        <f t="shared" si="197"/>
        <v>-1.3824319466948509E-10</v>
      </c>
      <c r="CO175" s="8">
        <f t="shared" si="197"/>
        <v>-1.3824319466948509E-10</v>
      </c>
      <c r="CP175" s="8">
        <f t="shared" si="197"/>
        <v>-1.3824319466948509E-10</v>
      </c>
      <c r="CQ175" s="8">
        <f t="shared" si="197"/>
        <v>-1.3824319466948509E-10</v>
      </c>
      <c r="CR175" s="8">
        <f t="shared" si="197"/>
        <v>-1.3824319466948509E-10</v>
      </c>
      <c r="CS175" s="8">
        <f t="shared" si="197"/>
        <v>-1.3824319466948509E-10</v>
      </c>
      <c r="CT175" s="8">
        <f t="shared" si="197"/>
        <v>-1.3824319466948509E-10</v>
      </c>
      <c r="CU175" s="8">
        <f t="shared" si="197"/>
        <v>-1.3824319466948509E-10</v>
      </c>
      <c r="CV175" s="8">
        <f t="shared" si="197"/>
        <v>-1.3824319466948509E-10</v>
      </c>
      <c r="CW175" s="8">
        <f t="shared" si="197"/>
        <v>-1.3824319466948509E-10</v>
      </c>
      <c r="CX175" s="8">
        <f t="shared" si="197"/>
        <v>-1.3824319466948509E-10</v>
      </c>
      <c r="CY175" s="8">
        <f t="shared" si="197"/>
        <v>-1.3824319466948509E-10</v>
      </c>
      <c r="CZ175" s="8">
        <f t="shared" si="197"/>
        <v>-1.3824319466948509E-10</v>
      </c>
      <c r="DA175" s="8">
        <f t="shared" si="197"/>
        <v>-1.3824319466948509E-10</v>
      </c>
      <c r="DB175" s="8"/>
      <c r="DC175" s="8"/>
      <c r="DD175" s="8"/>
      <c r="DE175" s="8"/>
      <c r="DF175" s="8"/>
      <c r="DG175" s="8"/>
    </row>
    <row r="176" spans="3:111" x14ac:dyDescent="0.4">
      <c r="D176" t="s">
        <v>171</v>
      </c>
      <c r="N176" s="8"/>
      <c r="O176" s="8">
        <f t="shared" ref="O176:AT176" si="198">N176+((O168-O174)*INC_TAX_RATE)</f>
        <v>-17605.625701800735</v>
      </c>
      <c r="P176" s="8">
        <f t="shared" si="198"/>
        <v>-70110.631723342492</v>
      </c>
      <c r="Q176" s="8">
        <f t="shared" si="198"/>
        <v>-117162.92395609795</v>
      </c>
      <c r="R176" s="8">
        <f t="shared" si="198"/>
        <v>-159185.03741691035</v>
      </c>
      <c r="S176" s="8">
        <f t="shared" si="198"/>
        <v>-196539.14497735957</v>
      </c>
      <c r="T176" s="8">
        <f t="shared" si="198"/>
        <v>-229587.41950902552</v>
      </c>
      <c r="U176" s="8">
        <f t="shared" si="198"/>
        <v>-258641.73209576868</v>
      </c>
      <c r="V176" s="8">
        <f t="shared" si="198"/>
        <v>-284013.95382144954</v>
      </c>
      <c r="W176" s="8">
        <f t="shared" si="198"/>
        <v>-308782.55409449723</v>
      </c>
      <c r="X176" s="8">
        <f t="shared" si="198"/>
        <v>-333541.09401000099</v>
      </c>
      <c r="Y176" s="8">
        <f t="shared" si="198"/>
        <v>-358309.69428304868</v>
      </c>
      <c r="Z176" s="8">
        <f t="shared" si="198"/>
        <v>-383068.23419855244</v>
      </c>
      <c r="AA176" s="8">
        <f t="shared" si="198"/>
        <v>-407836.83447160013</v>
      </c>
      <c r="AB176" s="8">
        <f t="shared" si="198"/>
        <v>-432595.37438710389</v>
      </c>
      <c r="AC176" s="8">
        <f t="shared" si="198"/>
        <v>-457363.97466015158</v>
      </c>
      <c r="AD176" s="8">
        <f t="shared" si="198"/>
        <v>-482122.51457565534</v>
      </c>
      <c r="AE176" s="8">
        <f t="shared" si="198"/>
        <v>-506891.11484870303</v>
      </c>
      <c r="AF176" s="8">
        <f t="shared" si="198"/>
        <v>-531649.65476420685</v>
      </c>
      <c r="AG176" s="8">
        <f t="shared" si="198"/>
        <v>-556418.25503725454</v>
      </c>
      <c r="AH176" s="8">
        <f t="shared" si="198"/>
        <v>-581176.79495275836</v>
      </c>
      <c r="AI176" s="8">
        <f t="shared" si="198"/>
        <v>-583500.73754539608</v>
      </c>
      <c r="AJ176" s="8">
        <f t="shared" si="198"/>
        <v>-563380.02245762385</v>
      </c>
      <c r="AK176" s="8">
        <f t="shared" si="198"/>
        <v>-543259.30736985162</v>
      </c>
      <c r="AL176" s="8">
        <f t="shared" si="198"/>
        <v>-523138.59228207933</v>
      </c>
      <c r="AM176" s="8">
        <f t="shared" si="198"/>
        <v>-503017.87719430705</v>
      </c>
      <c r="AN176" s="8">
        <f t="shared" si="198"/>
        <v>-482897.16210653476</v>
      </c>
      <c r="AO176" s="8">
        <f t="shared" si="198"/>
        <v>-462776.44701876247</v>
      </c>
      <c r="AP176" s="8">
        <f t="shared" si="198"/>
        <v>-442655.73193099018</v>
      </c>
      <c r="AQ176" s="8">
        <f t="shared" si="198"/>
        <v>-422535.01684321789</v>
      </c>
      <c r="AR176" s="8">
        <f t="shared" si="198"/>
        <v>-402414.3017554456</v>
      </c>
      <c r="AS176" s="8">
        <f t="shared" si="198"/>
        <v>-382293.58666767331</v>
      </c>
      <c r="AT176" s="8">
        <f t="shared" si="198"/>
        <v>-362172.87157990102</v>
      </c>
      <c r="AU176" s="8">
        <f t="shared" ref="AU176:BZ176" si="199">AT176+((AU168-AU174)*INC_TAX_RATE)</f>
        <v>-342052.15649212874</v>
      </c>
      <c r="AV176" s="8">
        <f t="shared" si="199"/>
        <v>-321931.44140435645</v>
      </c>
      <c r="AW176" s="8">
        <f t="shared" si="199"/>
        <v>-301810.72631658416</v>
      </c>
      <c r="AX176" s="8">
        <f t="shared" si="199"/>
        <v>-281690.01122881187</v>
      </c>
      <c r="AY176" s="8">
        <f t="shared" si="199"/>
        <v>-261569.29614103961</v>
      </c>
      <c r="AZ176" s="8">
        <f t="shared" si="199"/>
        <v>-241448.58105326735</v>
      </c>
      <c r="BA176" s="8">
        <f t="shared" si="199"/>
        <v>-221327.86596549509</v>
      </c>
      <c r="BB176" s="8">
        <f t="shared" si="199"/>
        <v>-201207.15087772283</v>
      </c>
      <c r="BC176" s="8">
        <f t="shared" si="199"/>
        <v>-181086.43578995057</v>
      </c>
      <c r="BD176" s="8">
        <f t="shared" si="199"/>
        <v>-160965.72070217831</v>
      </c>
      <c r="BE176" s="8">
        <f t="shared" si="199"/>
        <v>-140845.00561440605</v>
      </c>
      <c r="BF176" s="8">
        <f t="shared" si="199"/>
        <v>-120724.29052663378</v>
      </c>
      <c r="BG176" s="8">
        <f t="shared" si="199"/>
        <v>-100603.5754388615</v>
      </c>
      <c r="BH176" s="8">
        <f t="shared" si="199"/>
        <v>-80482.860351089228</v>
      </c>
      <c r="BI176" s="8">
        <f t="shared" si="199"/>
        <v>-60362.145263316954</v>
      </c>
      <c r="BJ176" s="8">
        <f t="shared" si="199"/>
        <v>-40241.43017554468</v>
      </c>
      <c r="BK176" s="8">
        <f t="shared" si="199"/>
        <v>-20120.715087772409</v>
      </c>
      <c r="BL176" s="8">
        <f t="shared" si="199"/>
        <v>-1.3824319466948509E-10</v>
      </c>
      <c r="BM176" s="8">
        <f t="shared" si="199"/>
        <v>-1.3824319466948509E-10</v>
      </c>
      <c r="BN176" s="8">
        <f t="shared" si="199"/>
        <v>-1.3824319466948509E-10</v>
      </c>
      <c r="BO176" s="8">
        <f t="shared" si="199"/>
        <v>-1.3824319466948509E-10</v>
      </c>
      <c r="BP176" s="8">
        <f t="shared" si="199"/>
        <v>-1.3824319466948509E-10</v>
      </c>
      <c r="BQ176" s="8">
        <f t="shared" si="199"/>
        <v>-1.3824319466948509E-10</v>
      </c>
      <c r="BR176" s="8">
        <f t="shared" si="199"/>
        <v>-1.3824319466948509E-10</v>
      </c>
      <c r="BS176" s="8">
        <f t="shared" si="199"/>
        <v>-1.3824319466948509E-10</v>
      </c>
      <c r="BT176" s="8">
        <f t="shared" si="199"/>
        <v>-1.3824319466948509E-10</v>
      </c>
      <c r="BU176" s="8">
        <f t="shared" si="199"/>
        <v>-1.3824319466948509E-10</v>
      </c>
      <c r="BV176" s="8">
        <f t="shared" si="199"/>
        <v>-1.3824319466948509E-10</v>
      </c>
      <c r="BW176" s="8">
        <f t="shared" si="199"/>
        <v>-1.3824319466948509E-10</v>
      </c>
      <c r="BX176" s="8">
        <f t="shared" si="199"/>
        <v>-1.3824319466948509E-10</v>
      </c>
      <c r="BY176" s="8">
        <f t="shared" si="199"/>
        <v>-1.3824319466948509E-10</v>
      </c>
      <c r="BZ176" s="8">
        <f t="shared" si="199"/>
        <v>-1.3824319466948509E-10</v>
      </c>
      <c r="CA176" s="8">
        <f t="shared" ref="CA176:DA176" si="200">BZ176+((CA168-CA174)*INC_TAX_RATE)</f>
        <v>-1.3824319466948509E-10</v>
      </c>
      <c r="CB176" s="8">
        <f t="shared" si="200"/>
        <v>-1.3824319466948509E-10</v>
      </c>
      <c r="CC176" s="8">
        <f t="shared" si="200"/>
        <v>-1.3824319466948509E-10</v>
      </c>
      <c r="CD176" s="8">
        <f t="shared" si="200"/>
        <v>-1.3824319466948509E-10</v>
      </c>
      <c r="CE176" s="8">
        <f t="shared" si="200"/>
        <v>-1.3824319466948509E-10</v>
      </c>
      <c r="CF176" s="8">
        <f t="shared" si="200"/>
        <v>-1.3824319466948509E-10</v>
      </c>
      <c r="CG176" s="8">
        <f t="shared" si="200"/>
        <v>-1.3824319466948509E-10</v>
      </c>
      <c r="CH176" s="8">
        <f t="shared" si="200"/>
        <v>-1.3824319466948509E-10</v>
      </c>
      <c r="CI176" s="8">
        <f t="shared" si="200"/>
        <v>-1.3824319466948509E-10</v>
      </c>
      <c r="CJ176" s="8">
        <f t="shared" si="200"/>
        <v>-1.3824319466948509E-10</v>
      </c>
      <c r="CK176" s="8">
        <f t="shared" si="200"/>
        <v>-1.3824319466948509E-10</v>
      </c>
      <c r="CL176" s="8">
        <f t="shared" si="200"/>
        <v>-1.3824319466948509E-10</v>
      </c>
      <c r="CM176" s="8">
        <f t="shared" si="200"/>
        <v>-1.3824319466948509E-10</v>
      </c>
      <c r="CN176" s="8">
        <f t="shared" si="200"/>
        <v>-1.3824319466948509E-10</v>
      </c>
      <c r="CO176" s="8">
        <f t="shared" si="200"/>
        <v>-1.3824319466948509E-10</v>
      </c>
      <c r="CP176" s="8">
        <f t="shared" si="200"/>
        <v>-1.3824319466948509E-10</v>
      </c>
      <c r="CQ176" s="8">
        <f t="shared" si="200"/>
        <v>-1.3824319466948509E-10</v>
      </c>
      <c r="CR176" s="8">
        <f t="shared" si="200"/>
        <v>-1.3824319466948509E-10</v>
      </c>
      <c r="CS176" s="8">
        <f t="shared" si="200"/>
        <v>-1.3824319466948509E-10</v>
      </c>
      <c r="CT176" s="8">
        <f t="shared" si="200"/>
        <v>-1.3824319466948509E-10</v>
      </c>
      <c r="CU176" s="8">
        <f t="shared" si="200"/>
        <v>-1.3824319466948509E-10</v>
      </c>
      <c r="CV176" s="8">
        <f t="shared" si="200"/>
        <v>-1.3824319466948509E-10</v>
      </c>
      <c r="CW176" s="8">
        <f t="shared" si="200"/>
        <v>-1.3824319466948509E-10</v>
      </c>
      <c r="CX176" s="8">
        <f t="shared" si="200"/>
        <v>-1.3824319466948509E-10</v>
      </c>
      <c r="CY176" s="8">
        <f t="shared" si="200"/>
        <v>-1.3824319466948509E-10</v>
      </c>
      <c r="CZ176" s="8">
        <f t="shared" si="200"/>
        <v>-1.3824319466948509E-10</v>
      </c>
      <c r="DA176" s="8">
        <f t="shared" si="200"/>
        <v>-1.3824319466948509E-10</v>
      </c>
      <c r="DB176" s="8"/>
      <c r="DC176" s="8"/>
      <c r="DD176" s="8"/>
      <c r="DE176" s="8"/>
      <c r="DF176" s="8"/>
      <c r="DG176" s="8"/>
    </row>
    <row r="177" spans="4:111" x14ac:dyDescent="0.4"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  <c r="CY177" s="8"/>
      <c r="CZ177" s="8"/>
      <c r="DA177" s="8"/>
      <c r="DB177" s="8"/>
      <c r="DC177" s="8"/>
      <c r="DD177" s="8"/>
      <c r="DE177" s="8"/>
      <c r="DF177" s="8"/>
      <c r="DG177" s="8"/>
    </row>
    <row r="178" spans="4:111" x14ac:dyDescent="0.4">
      <c r="D178" t="s">
        <v>158</v>
      </c>
      <c r="N178" s="8"/>
      <c r="O178" s="8">
        <f>AVERAGE(O171:O172)+AVERAGE(O175:O176)</f>
        <v>3584830.2264589588</v>
      </c>
      <c r="P178" s="8">
        <f t="shared" ref="P178:CA178" si="201">AVERAGE(P171:P172)+AVERAGE(P175:P176)</f>
        <v>3477176.263338502</v>
      </c>
      <c r="Q178" s="8">
        <f t="shared" si="201"/>
        <v>3354798.9669525689</v>
      </c>
      <c r="R178" s="8">
        <f t="shared" si="201"/>
        <v>3237663.1168469992</v>
      </c>
      <c r="S178" s="8">
        <f t="shared" si="201"/>
        <v>3125376.359077584</v>
      </c>
      <c r="T178" s="8">
        <f t="shared" si="201"/>
        <v>3017576.5207727416</v>
      </c>
      <c r="U178" s="8">
        <f t="shared" si="201"/>
        <v>2913926.5799547518</v>
      </c>
      <c r="V178" s="8">
        <f t="shared" si="201"/>
        <v>2814114.665539755</v>
      </c>
      <c r="W178" s="8">
        <f t="shared" si="201"/>
        <v>2716445.6072816052</v>
      </c>
      <c r="X178" s="8">
        <f t="shared" si="201"/>
        <v>2619083.3899285449</v>
      </c>
      <c r="Y178" s="8">
        <f t="shared" si="201"/>
        <v>2521721.1725754836</v>
      </c>
      <c r="Z178" s="8">
        <f t="shared" si="201"/>
        <v>2424358.9552224232</v>
      </c>
      <c r="AA178" s="8">
        <f t="shared" si="201"/>
        <v>2326996.7378693619</v>
      </c>
      <c r="AB178" s="8">
        <f t="shared" si="201"/>
        <v>2229634.5205163015</v>
      </c>
      <c r="AC178" s="8">
        <f t="shared" si="201"/>
        <v>2132272.3031632402</v>
      </c>
      <c r="AD178" s="8">
        <f t="shared" si="201"/>
        <v>2034910.0858101798</v>
      </c>
      <c r="AE178" s="8">
        <f t="shared" si="201"/>
        <v>1937547.8684571187</v>
      </c>
      <c r="AF178" s="8">
        <f t="shared" si="201"/>
        <v>1840185.6511040584</v>
      </c>
      <c r="AG178" s="8">
        <f t="shared" si="201"/>
        <v>1742823.4337509971</v>
      </c>
      <c r="AH178" s="8">
        <f t="shared" si="201"/>
        <v>1645461.2163979367</v>
      </c>
      <c r="AI178" s="8">
        <f t="shared" si="201"/>
        <v>1559321.3278850804</v>
      </c>
      <c r="AJ178" s="8">
        <f t="shared" si="201"/>
        <v>1495621.0668738626</v>
      </c>
      <c r="AK178" s="8">
        <f t="shared" si="201"/>
        <v>1443143.1347028499</v>
      </c>
      <c r="AL178" s="8">
        <f t="shared" si="201"/>
        <v>1390665.2025318369</v>
      </c>
      <c r="AM178" s="8">
        <f t="shared" si="201"/>
        <v>1338187.2703608242</v>
      </c>
      <c r="AN178" s="8">
        <f t="shared" si="201"/>
        <v>1285709.3381898114</v>
      </c>
      <c r="AO178" s="8">
        <f t="shared" si="201"/>
        <v>1233231.4060187987</v>
      </c>
      <c r="AP178" s="8">
        <f t="shared" si="201"/>
        <v>1180753.473847786</v>
      </c>
      <c r="AQ178" s="8">
        <f t="shared" si="201"/>
        <v>1128275.541676773</v>
      </c>
      <c r="AR178" s="8">
        <f t="shared" si="201"/>
        <v>1075797.6095057603</v>
      </c>
      <c r="AS178" s="8">
        <f t="shared" si="201"/>
        <v>1023319.6773347474</v>
      </c>
      <c r="AT178" s="8">
        <f t="shared" si="201"/>
        <v>970841.74516373465</v>
      </c>
      <c r="AU178" s="8">
        <f t="shared" si="201"/>
        <v>918363.8129927218</v>
      </c>
      <c r="AV178" s="8">
        <f t="shared" si="201"/>
        <v>865885.88082170906</v>
      </c>
      <c r="AW178" s="8">
        <f t="shared" si="201"/>
        <v>813407.9486506962</v>
      </c>
      <c r="AX178" s="8">
        <f t="shared" si="201"/>
        <v>760930.01647968346</v>
      </c>
      <c r="AY178" s="8">
        <f t="shared" si="201"/>
        <v>708452.0843086706</v>
      </c>
      <c r="AZ178" s="8">
        <f t="shared" si="201"/>
        <v>655974.15213765786</v>
      </c>
      <c r="BA178" s="8">
        <f t="shared" si="201"/>
        <v>603496.21996664489</v>
      </c>
      <c r="BB178" s="8">
        <f t="shared" si="201"/>
        <v>551018.28779563215</v>
      </c>
      <c r="BC178" s="8">
        <f t="shared" si="201"/>
        <v>498540.35562461929</v>
      </c>
      <c r="BD178" s="8">
        <f t="shared" si="201"/>
        <v>446062.42345360649</v>
      </c>
      <c r="BE178" s="8">
        <f t="shared" si="201"/>
        <v>393584.49128259363</v>
      </c>
      <c r="BF178" s="8">
        <f t="shared" si="201"/>
        <v>341106.55911158083</v>
      </c>
      <c r="BG178" s="8">
        <f t="shared" si="201"/>
        <v>288628.62694056798</v>
      </c>
      <c r="BH178" s="8">
        <f t="shared" si="201"/>
        <v>236150.69476955521</v>
      </c>
      <c r="BI178" s="8">
        <f t="shared" si="201"/>
        <v>183672.76259854238</v>
      </c>
      <c r="BJ178" s="8">
        <f t="shared" si="201"/>
        <v>131194.83042752958</v>
      </c>
      <c r="BK178" s="8">
        <f t="shared" si="201"/>
        <v>78716.898256516753</v>
      </c>
      <c r="BL178" s="8">
        <f t="shared" si="201"/>
        <v>26238.966085505104</v>
      </c>
      <c r="BM178" s="8">
        <f t="shared" si="201"/>
        <v>-1.3824319466948509E-10</v>
      </c>
      <c r="BN178" s="8">
        <f t="shared" si="201"/>
        <v>-1.3824319466948509E-10</v>
      </c>
      <c r="BO178" s="8">
        <f t="shared" si="201"/>
        <v>-1.3824319466948509E-10</v>
      </c>
      <c r="BP178" s="8">
        <f t="shared" si="201"/>
        <v>-1.3824319466948509E-10</v>
      </c>
      <c r="BQ178" s="8">
        <f t="shared" si="201"/>
        <v>-1.3824319466948509E-10</v>
      </c>
      <c r="BR178" s="8">
        <f t="shared" si="201"/>
        <v>-1.3824319466948509E-10</v>
      </c>
      <c r="BS178" s="8">
        <f t="shared" si="201"/>
        <v>-1.3824319466948509E-10</v>
      </c>
      <c r="BT178" s="8">
        <f t="shared" si="201"/>
        <v>-1.3824319466948509E-10</v>
      </c>
      <c r="BU178" s="8">
        <f t="shared" si="201"/>
        <v>-1.3824319466948509E-10</v>
      </c>
      <c r="BV178" s="8">
        <f t="shared" si="201"/>
        <v>-1.3824319466948509E-10</v>
      </c>
      <c r="BW178" s="8">
        <f t="shared" si="201"/>
        <v>-1.3824319466948509E-10</v>
      </c>
      <c r="BX178" s="8">
        <f t="shared" si="201"/>
        <v>-1.3824319466948509E-10</v>
      </c>
      <c r="BY178" s="8">
        <f t="shared" si="201"/>
        <v>-1.3824319466948509E-10</v>
      </c>
      <c r="BZ178" s="8">
        <f t="shared" si="201"/>
        <v>-1.3824319466948509E-10</v>
      </c>
      <c r="CA178" s="8">
        <f t="shared" si="201"/>
        <v>-1.3824319466948509E-10</v>
      </c>
      <c r="CB178" s="8">
        <f t="shared" ref="CB178:DA178" si="202">AVERAGE(CB171:CB172)+AVERAGE(CB175:CB176)</f>
        <v>-1.3824319466948509E-10</v>
      </c>
      <c r="CC178" s="8">
        <f t="shared" si="202"/>
        <v>-1.3824319466948509E-10</v>
      </c>
      <c r="CD178" s="8">
        <f t="shared" si="202"/>
        <v>-1.3824319466948509E-10</v>
      </c>
      <c r="CE178" s="8">
        <f t="shared" si="202"/>
        <v>-1.3824319466948509E-10</v>
      </c>
      <c r="CF178" s="8">
        <f t="shared" si="202"/>
        <v>-1.3824319466948509E-10</v>
      </c>
      <c r="CG178" s="8">
        <f t="shared" si="202"/>
        <v>-1.3824319466948509E-10</v>
      </c>
      <c r="CH178" s="8">
        <f t="shared" si="202"/>
        <v>-1.3824319466948509E-10</v>
      </c>
      <c r="CI178" s="8">
        <f t="shared" si="202"/>
        <v>-1.3824319466948509E-10</v>
      </c>
      <c r="CJ178" s="8">
        <f t="shared" si="202"/>
        <v>-1.3824319466948509E-10</v>
      </c>
      <c r="CK178" s="8">
        <f t="shared" si="202"/>
        <v>-1.3824319466948509E-10</v>
      </c>
      <c r="CL178" s="8">
        <f t="shared" si="202"/>
        <v>-1.3824319466948509E-10</v>
      </c>
      <c r="CM178" s="8">
        <f t="shared" si="202"/>
        <v>-1.3824319466948509E-10</v>
      </c>
      <c r="CN178" s="8">
        <f t="shared" si="202"/>
        <v>-1.3824319466948509E-10</v>
      </c>
      <c r="CO178" s="8">
        <f t="shared" si="202"/>
        <v>-1.3824319466948509E-10</v>
      </c>
      <c r="CP178" s="8">
        <f t="shared" si="202"/>
        <v>-1.3824319466948509E-10</v>
      </c>
      <c r="CQ178" s="8">
        <f t="shared" si="202"/>
        <v>-1.3824319466948509E-10</v>
      </c>
      <c r="CR178" s="8">
        <f t="shared" si="202"/>
        <v>-1.3824319466948509E-10</v>
      </c>
      <c r="CS178" s="8">
        <f t="shared" si="202"/>
        <v>-1.3824319466948509E-10</v>
      </c>
      <c r="CT178" s="8">
        <f t="shared" si="202"/>
        <v>-1.3824319466948509E-10</v>
      </c>
      <c r="CU178" s="8">
        <f t="shared" si="202"/>
        <v>-1.3824319466948509E-10</v>
      </c>
      <c r="CV178" s="8">
        <f t="shared" si="202"/>
        <v>-1.3824319466948509E-10</v>
      </c>
      <c r="CW178" s="8">
        <f t="shared" si="202"/>
        <v>-1.3824319466948509E-10</v>
      </c>
      <c r="CX178" s="8">
        <f t="shared" si="202"/>
        <v>-1.3824319466948509E-10</v>
      </c>
      <c r="CY178" s="8">
        <f t="shared" si="202"/>
        <v>-1.3824319466948509E-10</v>
      </c>
      <c r="CZ178" s="8">
        <f t="shared" si="202"/>
        <v>-1.3824319466948509E-10</v>
      </c>
      <c r="DA178" s="8">
        <f t="shared" si="202"/>
        <v>-1.3824319466948509E-10</v>
      </c>
      <c r="DB178" s="8"/>
      <c r="DC178" s="8"/>
      <c r="DD178" s="8"/>
      <c r="DE178" s="8"/>
      <c r="DF178" s="8"/>
      <c r="DG178" s="8"/>
    </row>
    <row r="179" spans="4:111" x14ac:dyDescent="0.4"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8"/>
      <c r="DD179" s="8"/>
      <c r="DE179" s="8"/>
      <c r="DF179" s="8"/>
      <c r="DG179" s="8"/>
    </row>
    <row r="180" spans="4:111" x14ac:dyDescent="0.4">
      <c r="D180" t="s">
        <v>209</v>
      </c>
      <c r="N180" s="8"/>
      <c r="O180" s="8">
        <f t="shared" ref="O180:AT180" si="203">O178*AVG_PRE_TAX_RATE</f>
        <v>320125.33922278503</v>
      </c>
      <c r="P180" s="8">
        <f t="shared" si="203"/>
        <v>310511.84031612822</v>
      </c>
      <c r="Q180" s="8">
        <f t="shared" si="203"/>
        <v>299583.5477488644</v>
      </c>
      <c r="R180" s="8">
        <f t="shared" si="203"/>
        <v>289123.31633443706</v>
      </c>
      <c r="S180" s="8">
        <f t="shared" si="203"/>
        <v>279096.10886562825</v>
      </c>
      <c r="T180" s="8">
        <f t="shared" si="203"/>
        <v>269469.58330500586</v>
      </c>
      <c r="U180" s="8">
        <f t="shared" si="203"/>
        <v>260213.64358995933</v>
      </c>
      <c r="V180" s="8">
        <f t="shared" si="203"/>
        <v>251300.43963270015</v>
      </c>
      <c r="W180" s="8">
        <f t="shared" si="203"/>
        <v>242578.59273024736</v>
      </c>
      <c r="X180" s="8">
        <f t="shared" si="203"/>
        <v>233884.14672061906</v>
      </c>
      <c r="Y180" s="8">
        <f t="shared" si="203"/>
        <v>225189.7007109907</v>
      </c>
      <c r="Z180" s="8">
        <f t="shared" si="203"/>
        <v>216495.2547013624</v>
      </c>
      <c r="AA180" s="8">
        <f t="shared" si="203"/>
        <v>207800.80869173404</v>
      </c>
      <c r="AB180" s="8">
        <f t="shared" si="203"/>
        <v>199106.36268210574</v>
      </c>
      <c r="AC180" s="8">
        <f t="shared" si="203"/>
        <v>190411.91667247735</v>
      </c>
      <c r="AD180" s="8">
        <f t="shared" si="203"/>
        <v>181717.47066284905</v>
      </c>
      <c r="AE180" s="8">
        <f t="shared" si="203"/>
        <v>173023.02465322072</v>
      </c>
      <c r="AF180" s="8">
        <f t="shared" si="203"/>
        <v>164328.57864359242</v>
      </c>
      <c r="AG180" s="8">
        <f t="shared" si="203"/>
        <v>155634.13263396404</v>
      </c>
      <c r="AH180" s="8">
        <f t="shared" si="203"/>
        <v>146939.68662433577</v>
      </c>
      <c r="AI180" s="8">
        <f t="shared" si="203"/>
        <v>139247.39458013768</v>
      </c>
      <c r="AJ180" s="8">
        <f t="shared" si="203"/>
        <v>133558.96127183593</v>
      </c>
      <c r="AK180" s="8">
        <f t="shared" si="203"/>
        <v>128872.68192896451</v>
      </c>
      <c r="AL180" s="8">
        <f t="shared" si="203"/>
        <v>124186.40258609304</v>
      </c>
      <c r="AM180" s="8">
        <f t="shared" si="203"/>
        <v>119500.12324322161</v>
      </c>
      <c r="AN180" s="8">
        <f t="shared" si="203"/>
        <v>114813.84390035017</v>
      </c>
      <c r="AO180" s="8">
        <f t="shared" si="203"/>
        <v>110127.56455747873</v>
      </c>
      <c r="AP180" s="8">
        <f t="shared" si="203"/>
        <v>105441.2852146073</v>
      </c>
      <c r="AQ180" s="8">
        <f t="shared" si="203"/>
        <v>100755.00587173583</v>
      </c>
      <c r="AR180" s="8">
        <f t="shared" si="203"/>
        <v>96068.726528864398</v>
      </c>
      <c r="AS180" s="8">
        <f t="shared" si="203"/>
        <v>91382.447185992947</v>
      </c>
      <c r="AT180" s="8">
        <f t="shared" si="203"/>
        <v>86696.167843121511</v>
      </c>
      <c r="AU180" s="8">
        <f t="shared" ref="AU180:BZ180" si="204">AU178*AVG_PRE_TAX_RATE</f>
        <v>82009.888500250061</v>
      </c>
      <c r="AV180" s="8">
        <f t="shared" si="204"/>
        <v>77323.609157378625</v>
      </c>
      <c r="AW180" s="8">
        <f t="shared" si="204"/>
        <v>72637.329814507175</v>
      </c>
      <c r="AX180" s="8">
        <f t="shared" si="204"/>
        <v>67951.050471635739</v>
      </c>
      <c r="AY180" s="8">
        <f t="shared" si="204"/>
        <v>63264.771128764289</v>
      </c>
      <c r="AZ180" s="8">
        <f t="shared" si="204"/>
        <v>58578.491785892853</v>
      </c>
      <c r="BA180" s="8">
        <f t="shared" si="204"/>
        <v>53892.212443021388</v>
      </c>
      <c r="BB180" s="8">
        <f t="shared" si="204"/>
        <v>49205.933100149952</v>
      </c>
      <c r="BC180" s="8">
        <f t="shared" si="204"/>
        <v>44519.653757278502</v>
      </c>
      <c r="BD180" s="8">
        <f t="shared" si="204"/>
        <v>39833.374414407059</v>
      </c>
      <c r="BE180" s="8">
        <f t="shared" si="204"/>
        <v>35147.095071535616</v>
      </c>
      <c r="BF180" s="8">
        <f t="shared" si="204"/>
        <v>30460.815728664169</v>
      </c>
      <c r="BG180" s="8">
        <f t="shared" si="204"/>
        <v>25774.536385792722</v>
      </c>
      <c r="BH180" s="8">
        <f t="shared" si="204"/>
        <v>21088.257042921283</v>
      </c>
      <c r="BI180" s="8">
        <f t="shared" si="204"/>
        <v>16401.977700049836</v>
      </c>
      <c r="BJ180" s="8">
        <f t="shared" si="204"/>
        <v>11715.698357178393</v>
      </c>
      <c r="BK180" s="8">
        <f t="shared" si="204"/>
        <v>7029.4190143069463</v>
      </c>
      <c r="BL180" s="8">
        <f t="shared" si="204"/>
        <v>2343.139671435606</v>
      </c>
      <c r="BM180" s="8">
        <f t="shared" si="204"/>
        <v>-1.2345117283985019E-11</v>
      </c>
      <c r="BN180" s="8">
        <f t="shared" si="204"/>
        <v>-1.2345117283985019E-11</v>
      </c>
      <c r="BO180" s="8">
        <f t="shared" si="204"/>
        <v>-1.2345117283985019E-11</v>
      </c>
      <c r="BP180" s="8">
        <f t="shared" si="204"/>
        <v>-1.2345117283985019E-11</v>
      </c>
      <c r="BQ180" s="8">
        <f t="shared" si="204"/>
        <v>-1.2345117283985019E-11</v>
      </c>
      <c r="BR180" s="8">
        <f t="shared" si="204"/>
        <v>-1.2345117283985019E-11</v>
      </c>
      <c r="BS180" s="8">
        <f t="shared" si="204"/>
        <v>-1.2345117283985019E-11</v>
      </c>
      <c r="BT180" s="8">
        <f t="shared" si="204"/>
        <v>-1.2345117283985019E-11</v>
      </c>
      <c r="BU180" s="8">
        <f t="shared" si="204"/>
        <v>-1.2345117283985019E-11</v>
      </c>
      <c r="BV180" s="8">
        <f t="shared" si="204"/>
        <v>-1.2345117283985019E-11</v>
      </c>
      <c r="BW180" s="8">
        <f t="shared" si="204"/>
        <v>-1.2345117283985019E-11</v>
      </c>
      <c r="BX180" s="8">
        <f t="shared" si="204"/>
        <v>-1.2345117283985019E-11</v>
      </c>
      <c r="BY180" s="8">
        <f t="shared" si="204"/>
        <v>-1.2345117283985019E-11</v>
      </c>
      <c r="BZ180" s="8">
        <f t="shared" si="204"/>
        <v>-1.2345117283985019E-11</v>
      </c>
      <c r="CA180" s="8">
        <f t="shared" ref="CA180:DA180" si="205">CA178*AVG_PRE_TAX_RATE</f>
        <v>-1.2345117283985019E-11</v>
      </c>
      <c r="CB180" s="8">
        <f t="shared" si="205"/>
        <v>-1.2345117283985019E-11</v>
      </c>
      <c r="CC180" s="8">
        <f t="shared" si="205"/>
        <v>-1.2345117283985019E-11</v>
      </c>
      <c r="CD180" s="8">
        <f t="shared" si="205"/>
        <v>-1.2345117283985019E-11</v>
      </c>
      <c r="CE180" s="8">
        <f t="shared" si="205"/>
        <v>-1.2345117283985019E-11</v>
      </c>
      <c r="CF180" s="8">
        <f t="shared" si="205"/>
        <v>-1.2345117283985019E-11</v>
      </c>
      <c r="CG180" s="8">
        <f t="shared" si="205"/>
        <v>-1.2345117283985019E-11</v>
      </c>
      <c r="CH180" s="8">
        <f t="shared" si="205"/>
        <v>-1.2345117283985019E-11</v>
      </c>
      <c r="CI180" s="8">
        <f t="shared" si="205"/>
        <v>-1.2345117283985019E-11</v>
      </c>
      <c r="CJ180" s="8">
        <f t="shared" si="205"/>
        <v>-1.2345117283985019E-11</v>
      </c>
      <c r="CK180" s="8">
        <f t="shared" si="205"/>
        <v>-1.2345117283985019E-11</v>
      </c>
      <c r="CL180" s="8">
        <f t="shared" si="205"/>
        <v>-1.2345117283985019E-11</v>
      </c>
      <c r="CM180" s="8">
        <f t="shared" si="205"/>
        <v>-1.2345117283985019E-11</v>
      </c>
      <c r="CN180" s="8">
        <f t="shared" si="205"/>
        <v>-1.2345117283985019E-11</v>
      </c>
      <c r="CO180" s="8">
        <f t="shared" si="205"/>
        <v>-1.2345117283985019E-11</v>
      </c>
      <c r="CP180" s="8">
        <f t="shared" si="205"/>
        <v>-1.2345117283985019E-11</v>
      </c>
      <c r="CQ180" s="8">
        <f t="shared" si="205"/>
        <v>-1.2345117283985019E-11</v>
      </c>
      <c r="CR180" s="8">
        <f t="shared" si="205"/>
        <v>-1.2345117283985019E-11</v>
      </c>
      <c r="CS180" s="8">
        <f t="shared" si="205"/>
        <v>-1.2345117283985019E-11</v>
      </c>
      <c r="CT180" s="8">
        <f t="shared" si="205"/>
        <v>-1.2345117283985019E-11</v>
      </c>
      <c r="CU180" s="8">
        <f t="shared" si="205"/>
        <v>-1.2345117283985019E-11</v>
      </c>
      <c r="CV180" s="8">
        <f t="shared" si="205"/>
        <v>-1.2345117283985019E-11</v>
      </c>
      <c r="CW180" s="8">
        <f t="shared" si="205"/>
        <v>-1.2345117283985019E-11</v>
      </c>
      <c r="CX180" s="8">
        <f t="shared" si="205"/>
        <v>-1.2345117283985019E-11</v>
      </c>
      <c r="CY180" s="8">
        <f t="shared" si="205"/>
        <v>-1.2345117283985019E-11</v>
      </c>
      <c r="CZ180" s="8">
        <f t="shared" si="205"/>
        <v>-1.2345117283985019E-11</v>
      </c>
      <c r="DA180" s="8">
        <f t="shared" si="205"/>
        <v>-1.2345117283985019E-11</v>
      </c>
      <c r="DB180" s="8"/>
      <c r="DC180" s="8"/>
      <c r="DD180" s="8"/>
      <c r="DE180" s="8"/>
      <c r="DF180" s="8"/>
      <c r="DG180" s="8"/>
    </row>
    <row r="182" spans="4:111" x14ac:dyDescent="0.4">
      <c r="D182" t="s">
        <v>435</v>
      </c>
      <c r="F182">
        <v>1</v>
      </c>
      <c r="G182">
        <v>2</v>
      </c>
      <c r="H182">
        <v>3</v>
      </c>
      <c r="I182">
        <v>4</v>
      </c>
      <c r="J182">
        <v>5</v>
      </c>
      <c r="K182">
        <v>6</v>
      </c>
      <c r="L182">
        <v>7</v>
      </c>
      <c r="M182">
        <v>8</v>
      </c>
      <c r="N182">
        <v>9</v>
      </c>
      <c r="O182">
        <v>10</v>
      </c>
      <c r="P182">
        <v>11</v>
      </c>
      <c r="Q182">
        <v>12</v>
      </c>
      <c r="R182">
        <v>13</v>
      </c>
      <c r="S182">
        <v>14</v>
      </c>
      <c r="T182">
        <v>15</v>
      </c>
      <c r="U182">
        <v>16</v>
      </c>
      <c r="V182">
        <v>17</v>
      </c>
      <c r="W182">
        <v>18</v>
      </c>
      <c r="X182">
        <v>19</v>
      </c>
      <c r="Y182">
        <v>20</v>
      </c>
      <c r="Z182">
        <v>21</v>
      </c>
      <c r="AA182">
        <v>22</v>
      </c>
      <c r="AB182">
        <v>23</v>
      </c>
      <c r="AC182">
        <v>24</v>
      </c>
      <c r="AD182">
        <v>25</v>
      </c>
      <c r="AE182">
        <v>26</v>
      </c>
      <c r="AF182">
        <v>27</v>
      </c>
      <c r="AG182">
        <v>28</v>
      </c>
      <c r="AH182">
        <v>29</v>
      </c>
      <c r="AI182">
        <v>30</v>
      </c>
      <c r="AJ182">
        <v>31</v>
      </c>
      <c r="AK182">
        <v>32</v>
      </c>
      <c r="AL182">
        <v>33</v>
      </c>
      <c r="AM182">
        <v>34</v>
      </c>
      <c r="AN182">
        <v>35</v>
      </c>
      <c r="AO182">
        <v>36</v>
      </c>
      <c r="AP182">
        <v>37</v>
      </c>
      <c r="AQ182">
        <v>38</v>
      </c>
      <c r="AR182">
        <v>39</v>
      </c>
      <c r="AS182">
        <v>40</v>
      </c>
      <c r="AT182">
        <v>41</v>
      </c>
      <c r="AU182">
        <v>42</v>
      </c>
      <c r="AV182">
        <v>43</v>
      </c>
      <c r="AW182">
        <v>44</v>
      </c>
      <c r="AX182">
        <v>45</v>
      </c>
      <c r="AY182">
        <v>46</v>
      </c>
      <c r="AZ182">
        <v>47</v>
      </c>
      <c r="BA182">
        <v>48</v>
      </c>
      <c r="BB182">
        <v>49</v>
      </c>
      <c r="BC182">
        <v>50</v>
      </c>
      <c r="BD182">
        <v>51</v>
      </c>
      <c r="BE182">
        <v>52</v>
      </c>
      <c r="BF182">
        <v>53</v>
      </c>
      <c r="BG182">
        <v>54</v>
      </c>
      <c r="BH182">
        <v>55</v>
      </c>
      <c r="BI182">
        <v>56</v>
      </c>
      <c r="BJ182">
        <v>57</v>
      </c>
      <c r="BK182">
        <v>58</v>
      </c>
      <c r="BL182">
        <v>59</v>
      </c>
      <c r="BM182">
        <v>60</v>
      </c>
      <c r="BN182">
        <v>61</v>
      </c>
      <c r="BO182">
        <v>62</v>
      </c>
      <c r="BP182">
        <v>63</v>
      </c>
      <c r="BQ182">
        <v>64</v>
      </c>
      <c r="BR182">
        <v>65</v>
      </c>
      <c r="BS182">
        <v>66</v>
      </c>
      <c r="BT182">
        <v>67</v>
      </c>
      <c r="BU182">
        <v>68</v>
      </c>
      <c r="BV182">
        <v>69</v>
      </c>
      <c r="BW182">
        <v>70</v>
      </c>
      <c r="BX182">
        <v>71</v>
      </c>
      <c r="BY182">
        <v>72</v>
      </c>
      <c r="BZ182">
        <v>73</v>
      </c>
      <c r="CA182">
        <v>74</v>
      </c>
      <c r="CB182">
        <v>75</v>
      </c>
      <c r="CC182">
        <v>76</v>
      </c>
      <c r="CD182">
        <v>77</v>
      </c>
      <c r="CE182">
        <v>78</v>
      </c>
      <c r="CF182">
        <v>79</v>
      </c>
      <c r="CG182">
        <v>80</v>
      </c>
      <c r="CH182">
        <v>81</v>
      </c>
      <c r="CI182">
        <v>82</v>
      </c>
      <c r="CJ182">
        <v>83</v>
      </c>
      <c r="CK182">
        <v>84</v>
      </c>
      <c r="CL182">
        <v>85</v>
      </c>
      <c r="CM182">
        <v>86</v>
      </c>
      <c r="CN182">
        <v>87</v>
      </c>
      <c r="CO182">
        <v>88</v>
      </c>
      <c r="CP182">
        <v>89</v>
      </c>
      <c r="CQ182">
        <v>90</v>
      </c>
      <c r="CR182">
        <v>91</v>
      </c>
      <c r="CS182">
        <v>92</v>
      </c>
      <c r="CT182">
        <v>93</v>
      </c>
      <c r="CU182">
        <v>94</v>
      </c>
      <c r="CV182">
        <v>95</v>
      </c>
      <c r="CW182">
        <v>96</v>
      </c>
      <c r="CX182">
        <v>97</v>
      </c>
      <c r="CY182">
        <v>98</v>
      </c>
      <c r="CZ182">
        <v>99</v>
      </c>
      <c r="DA182">
        <v>100</v>
      </c>
    </row>
    <row r="183" spans="4:111" x14ac:dyDescent="0.4">
      <c r="D183" s="5" t="s">
        <v>434</v>
      </c>
      <c r="E183" s="5">
        <v>2027</v>
      </c>
      <c r="F183" s="5">
        <v>2028</v>
      </c>
      <c r="G183" s="5">
        <v>2029</v>
      </c>
      <c r="H183" s="5">
        <v>2030</v>
      </c>
      <c r="I183" s="5">
        <v>2031</v>
      </c>
      <c r="J183" s="5">
        <v>2032</v>
      </c>
      <c r="K183" s="5">
        <v>2033</v>
      </c>
      <c r="L183" s="5">
        <v>2034</v>
      </c>
      <c r="M183" s="5">
        <v>2035</v>
      </c>
      <c r="N183" s="5">
        <v>2036</v>
      </c>
      <c r="O183" s="5">
        <v>2037</v>
      </c>
      <c r="P183" s="5">
        <v>2038</v>
      </c>
      <c r="Q183" s="5">
        <v>2039</v>
      </c>
      <c r="R183" s="5">
        <v>2040</v>
      </c>
      <c r="S183" s="5">
        <v>2041</v>
      </c>
      <c r="T183" s="5">
        <v>2042</v>
      </c>
      <c r="U183" s="5">
        <v>2043</v>
      </c>
      <c r="V183" s="5">
        <v>2044</v>
      </c>
      <c r="W183" s="5">
        <v>2045</v>
      </c>
      <c r="X183" s="5">
        <v>2046</v>
      </c>
      <c r="Y183" s="5">
        <v>2047</v>
      </c>
      <c r="Z183" s="5">
        <v>2048</v>
      </c>
      <c r="AA183" s="5">
        <v>2049</v>
      </c>
      <c r="AB183" s="5">
        <v>2050</v>
      </c>
      <c r="AC183" s="5">
        <v>2051</v>
      </c>
      <c r="AD183" s="5">
        <v>2052</v>
      </c>
      <c r="AE183" s="5">
        <v>2053</v>
      </c>
      <c r="AF183" s="5">
        <v>2054</v>
      </c>
      <c r="AG183" s="5">
        <v>2055</v>
      </c>
      <c r="AH183" s="5">
        <v>2056</v>
      </c>
      <c r="AI183" s="5">
        <v>2057</v>
      </c>
      <c r="AJ183" s="5">
        <v>2058</v>
      </c>
      <c r="AK183" s="5">
        <v>2059</v>
      </c>
      <c r="AL183" s="5">
        <v>2060</v>
      </c>
      <c r="AM183" s="5">
        <v>2061</v>
      </c>
      <c r="AN183" s="5">
        <v>2062</v>
      </c>
      <c r="AO183" s="5">
        <v>2063</v>
      </c>
      <c r="AP183" s="5">
        <v>2064</v>
      </c>
      <c r="AQ183" s="5">
        <v>2065</v>
      </c>
      <c r="AR183" s="5">
        <v>2066</v>
      </c>
      <c r="AS183" s="5">
        <v>2067</v>
      </c>
      <c r="AT183" s="5">
        <v>2068</v>
      </c>
      <c r="AU183" s="5">
        <v>2069</v>
      </c>
      <c r="AV183" s="5">
        <v>2070</v>
      </c>
      <c r="AW183" s="5">
        <v>2071</v>
      </c>
      <c r="AX183" s="5">
        <v>2072</v>
      </c>
      <c r="AY183" s="5">
        <v>2073</v>
      </c>
      <c r="AZ183" s="5">
        <v>2074</v>
      </c>
      <c r="BA183" s="5">
        <v>2075</v>
      </c>
      <c r="BB183" s="5">
        <v>2076</v>
      </c>
      <c r="BC183" s="5">
        <v>2077</v>
      </c>
      <c r="BD183" s="5">
        <v>2078</v>
      </c>
      <c r="BE183" s="5">
        <v>2079</v>
      </c>
      <c r="BF183" s="5">
        <v>2080</v>
      </c>
      <c r="BG183" s="5">
        <v>2081</v>
      </c>
      <c r="BH183" s="5">
        <v>2082</v>
      </c>
      <c r="BI183" s="5">
        <v>2083</v>
      </c>
      <c r="BJ183" s="5">
        <v>2084</v>
      </c>
      <c r="BK183" s="5">
        <v>2085</v>
      </c>
      <c r="BL183" s="5">
        <v>2086</v>
      </c>
      <c r="BM183" s="5">
        <v>2087</v>
      </c>
      <c r="BN183" s="5">
        <v>2088</v>
      </c>
      <c r="BO183" s="5">
        <v>2089</v>
      </c>
      <c r="BP183" s="5">
        <v>2090</v>
      </c>
      <c r="BQ183" s="5">
        <v>2091</v>
      </c>
      <c r="BR183" s="5">
        <v>2092</v>
      </c>
      <c r="BS183" s="5">
        <v>2093</v>
      </c>
      <c r="BT183" s="5">
        <v>2094</v>
      </c>
      <c r="BU183" s="5">
        <v>2095</v>
      </c>
      <c r="BV183" s="5">
        <v>2096</v>
      </c>
      <c r="BW183" s="5">
        <v>2097</v>
      </c>
      <c r="BX183" s="5">
        <v>2098</v>
      </c>
      <c r="BY183" s="5">
        <v>2099</v>
      </c>
      <c r="BZ183" s="5">
        <v>2100</v>
      </c>
      <c r="CA183" s="5">
        <v>2101</v>
      </c>
      <c r="CB183" s="5">
        <v>2102</v>
      </c>
      <c r="CC183" s="5">
        <v>2103</v>
      </c>
      <c r="CD183" s="5">
        <v>2104</v>
      </c>
      <c r="CE183" s="5">
        <v>2105</v>
      </c>
      <c r="CF183" s="5">
        <v>2106</v>
      </c>
      <c r="CG183" s="5">
        <v>2107</v>
      </c>
      <c r="CH183" s="5">
        <v>2108</v>
      </c>
      <c r="CI183" s="5">
        <v>2109</v>
      </c>
      <c r="CJ183" s="5">
        <v>2110</v>
      </c>
      <c r="CK183" s="5">
        <v>2111</v>
      </c>
      <c r="CL183" s="5">
        <v>2112</v>
      </c>
      <c r="CM183" s="5">
        <v>2113</v>
      </c>
      <c r="CN183" s="5">
        <v>2114</v>
      </c>
      <c r="CO183" s="5">
        <v>2115</v>
      </c>
      <c r="CP183" s="5">
        <v>2116</v>
      </c>
      <c r="CQ183" s="5">
        <v>2117</v>
      </c>
      <c r="CR183" s="5">
        <v>2118</v>
      </c>
      <c r="CS183" s="5">
        <v>2119</v>
      </c>
      <c r="CT183" s="5">
        <v>2120</v>
      </c>
      <c r="CU183" s="5">
        <v>2121</v>
      </c>
      <c r="CV183" s="5">
        <v>2122</v>
      </c>
      <c r="CW183" s="5">
        <v>2123</v>
      </c>
      <c r="CX183" s="5">
        <v>2124</v>
      </c>
      <c r="CY183" s="5">
        <v>2125</v>
      </c>
      <c r="CZ183" s="5">
        <v>2126</v>
      </c>
      <c r="DA183" s="5">
        <v>2127</v>
      </c>
    </row>
    <row r="184" spans="4:111" x14ac:dyDescent="0.4">
      <c r="D184" t="s">
        <v>207</v>
      </c>
      <c r="E184" s="8">
        <f>E15+E32+E49+E66+E83+E100+E117+E134+E151+E168</f>
        <v>0</v>
      </c>
      <c r="F184" s="8">
        <f t="shared" ref="F184:BQ188" si="206">F15+F32+F49+F66+F83+F100+F117+F134+F151+F168</f>
        <v>59685.724000000002</v>
      </c>
      <c r="G184" s="8">
        <f t="shared" si="206"/>
        <v>120684.533928</v>
      </c>
      <c r="H184" s="8">
        <f t="shared" si="206"/>
        <v>183025.317674416</v>
      </c>
      <c r="I184" s="8">
        <f t="shared" si="206"/>
        <v>246737.59866325316</v>
      </c>
      <c r="J184" s="8">
        <f t="shared" si="206"/>
        <v>311851.54983384471</v>
      </c>
      <c r="K184" s="8">
        <f t="shared" si="206"/>
        <v>378398.00793018931</v>
      </c>
      <c r="L184" s="8">
        <f t="shared" si="206"/>
        <v>446408.48810465349</v>
      </c>
      <c r="M184" s="8">
        <f t="shared" si="206"/>
        <v>515915.19884295587</v>
      </c>
      <c r="N184" s="8">
        <f t="shared" si="206"/>
        <v>586951.05721750087</v>
      </c>
      <c r="O184" s="8">
        <f t="shared" si="206"/>
        <v>659549.70447628596</v>
      </c>
      <c r="P184" s="8">
        <f t="shared" si="206"/>
        <v>659549.70447628596</v>
      </c>
      <c r="Q184" s="8">
        <f t="shared" si="206"/>
        <v>659549.70447628596</v>
      </c>
      <c r="R184" s="8">
        <f t="shared" si="206"/>
        <v>659549.70447628596</v>
      </c>
      <c r="S184" s="8">
        <f t="shared" si="206"/>
        <v>659549.70447628596</v>
      </c>
      <c r="T184" s="8">
        <f t="shared" si="206"/>
        <v>659549.70447628596</v>
      </c>
      <c r="U184" s="8">
        <f t="shared" si="206"/>
        <v>659549.70447628596</v>
      </c>
      <c r="V184" s="8">
        <f t="shared" si="206"/>
        <v>659549.70447628596</v>
      </c>
      <c r="W184" s="8">
        <f t="shared" si="206"/>
        <v>659549.70447628596</v>
      </c>
      <c r="X184" s="8">
        <f t="shared" si="206"/>
        <v>659549.70447628596</v>
      </c>
      <c r="Y184" s="8">
        <f t="shared" si="206"/>
        <v>659549.70447628596</v>
      </c>
      <c r="Z184" s="8">
        <f t="shared" si="206"/>
        <v>659549.70447628596</v>
      </c>
      <c r="AA184" s="8">
        <f t="shared" si="206"/>
        <v>659549.70447628596</v>
      </c>
      <c r="AB184" s="8">
        <f t="shared" si="206"/>
        <v>659549.70447628596</v>
      </c>
      <c r="AC184" s="8">
        <f t="shared" si="206"/>
        <v>659549.70447628596</v>
      </c>
      <c r="AD184" s="8">
        <f t="shared" si="206"/>
        <v>659549.70447628596</v>
      </c>
      <c r="AE184" s="8">
        <f t="shared" si="206"/>
        <v>659549.70447628596</v>
      </c>
      <c r="AF184" s="8">
        <f t="shared" si="206"/>
        <v>659549.70447628596</v>
      </c>
      <c r="AG184" s="8">
        <f t="shared" si="206"/>
        <v>659549.70447628596</v>
      </c>
      <c r="AH184" s="8">
        <f t="shared" si="206"/>
        <v>659549.70447628596</v>
      </c>
      <c r="AI184" s="8">
        <f t="shared" si="206"/>
        <v>659549.70447628596</v>
      </c>
      <c r="AJ184" s="8">
        <f t="shared" si="206"/>
        <v>659549.70447628596</v>
      </c>
      <c r="AK184" s="8">
        <f t="shared" si="206"/>
        <v>659549.70447628596</v>
      </c>
      <c r="AL184" s="8">
        <f t="shared" si="206"/>
        <v>659549.70447628596</v>
      </c>
      <c r="AM184" s="8">
        <f t="shared" si="206"/>
        <v>659549.70447628596</v>
      </c>
      <c r="AN184" s="8">
        <f t="shared" si="206"/>
        <v>659549.70447628596</v>
      </c>
      <c r="AO184" s="8">
        <f t="shared" si="206"/>
        <v>659549.70447628596</v>
      </c>
      <c r="AP184" s="8">
        <f t="shared" si="206"/>
        <v>659549.70447628596</v>
      </c>
      <c r="AQ184" s="8">
        <f t="shared" si="206"/>
        <v>659549.70447628596</v>
      </c>
      <c r="AR184" s="8">
        <f t="shared" si="206"/>
        <v>659549.70447628596</v>
      </c>
      <c r="AS184" s="8">
        <f t="shared" si="206"/>
        <v>659549.70447628596</v>
      </c>
      <c r="AT184" s="8">
        <f t="shared" si="206"/>
        <v>659549.70447628596</v>
      </c>
      <c r="AU184" s="8">
        <f t="shared" si="206"/>
        <v>659549.70447628596</v>
      </c>
      <c r="AV184" s="8">
        <f t="shared" si="206"/>
        <v>659549.70447628596</v>
      </c>
      <c r="AW184" s="8">
        <f t="shared" si="206"/>
        <v>659549.70447628596</v>
      </c>
      <c r="AX184" s="8">
        <f t="shared" si="206"/>
        <v>659549.70447628596</v>
      </c>
      <c r="AY184" s="8">
        <f t="shared" si="206"/>
        <v>659549.70447628596</v>
      </c>
      <c r="AZ184" s="8">
        <f t="shared" si="206"/>
        <v>659549.70447628596</v>
      </c>
      <c r="BA184" s="8">
        <f t="shared" si="206"/>
        <v>659549.70447628596</v>
      </c>
      <c r="BB184" s="8">
        <f t="shared" si="206"/>
        <v>659549.70447628596</v>
      </c>
      <c r="BC184" s="8">
        <f t="shared" si="206"/>
        <v>659549.70447628596</v>
      </c>
      <c r="BD184" s="8">
        <f t="shared" si="206"/>
        <v>599863.98047628603</v>
      </c>
      <c r="BE184" s="8">
        <f t="shared" si="206"/>
        <v>538865.17054828606</v>
      </c>
      <c r="BF184" s="8">
        <f t="shared" si="206"/>
        <v>476524.38680186996</v>
      </c>
      <c r="BG184" s="8">
        <f t="shared" si="206"/>
        <v>412812.10581303283</v>
      </c>
      <c r="BH184" s="8">
        <f t="shared" si="206"/>
        <v>347698.15464244125</v>
      </c>
      <c r="BI184" s="8">
        <f t="shared" si="206"/>
        <v>281151.69654609665</v>
      </c>
      <c r="BJ184" s="8">
        <f t="shared" si="206"/>
        <v>213141.21637163247</v>
      </c>
      <c r="BK184" s="8">
        <f t="shared" si="206"/>
        <v>143634.50563333009</v>
      </c>
      <c r="BL184" s="8">
        <f t="shared" si="206"/>
        <v>72598.647258785029</v>
      </c>
      <c r="BM184" s="8">
        <f t="shared" si="206"/>
        <v>0</v>
      </c>
      <c r="BN184" s="8">
        <f t="shared" si="206"/>
        <v>0</v>
      </c>
      <c r="BO184" s="8">
        <f t="shared" si="206"/>
        <v>0</v>
      </c>
      <c r="BP184" s="8">
        <f t="shared" si="206"/>
        <v>0</v>
      </c>
      <c r="BQ184" s="8">
        <f t="shared" si="206"/>
        <v>0</v>
      </c>
      <c r="BR184" s="8">
        <f t="shared" ref="BR184:DA188" si="207">BR15+BR32+BR49+BR66+BR83+BR100+BR117+BR134+BR151+BR168</f>
        <v>0</v>
      </c>
      <c r="BS184" s="8">
        <f t="shared" si="207"/>
        <v>0</v>
      </c>
      <c r="BT184" s="8">
        <f t="shared" si="207"/>
        <v>0</v>
      </c>
      <c r="BU184" s="8">
        <f t="shared" si="207"/>
        <v>0</v>
      </c>
      <c r="BV184" s="8">
        <f t="shared" si="207"/>
        <v>0</v>
      </c>
      <c r="BW184" s="8">
        <f t="shared" si="207"/>
        <v>0</v>
      </c>
      <c r="BX184" s="8">
        <f t="shared" si="207"/>
        <v>0</v>
      </c>
      <c r="BY184" s="8">
        <f t="shared" si="207"/>
        <v>0</v>
      </c>
      <c r="BZ184" s="8">
        <f t="shared" si="207"/>
        <v>0</v>
      </c>
      <c r="CA184" s="8">
        <f t="shared" si="207"/>
        <v>0</v>
      </c>
      <c r="CB184" s="8">
        <f t="shared" si="207"/>
        <v>0</v>
      </c>
      <c r="CC184" s="8">
        <f t="shared" si="207"/>
        <v>0</v>
      </c>
      <c r="CD184" s="8">
        <f t="shared" si="207"/>
        <v>0</v>
      </c>
      <c r="CE184" s="8">
        <f t="shared" si="207"/>
        <v>0</v>
      </c>
      <c r="CF184" s="8">
        <f t="shared" si="207"/>
        <v>0</v>
      </c>
      <c r="CG184" s="8">
        <f t="shared" si="207"/>
        <v>0</v>
      </c>
      <c r="CH184" s="8">
        <f t="shared" si="207"/>
        <v>0</v>
      </c>
      <c r="CI184" s="8">
        <f t="shared" si="207"/>
        <v>0</v>
      </c>
      <c r="CJ184" s="8">
        <f t="shared" si="207"/>
        <v>0</v>
      </c>
      <c r="CK184" s="8">
        <f t="shared" si="207"/>
        <v>0</v>
      </c>
      <c r="CL184" s="8">
        <f t="shared" si="207"/>
        <v>0</v>
      </c>
      <c r="CM184" s="8">
        <f t="shared" si="207"/>
        <v>0</v>
      </c>
      <c r="CN184" s="8">
        <f t="shared" si="207"/>
        <v>0</v>
      </c>
      <c r="CO184" s="8">
        <f t="shared" si="207"/>
        <v>0</v>
      </c>
      <c r="CP184" s="8">
        <f t="shared" si="207"/>
        <v>0</v>
      </c>
      <c r="CQ184" s="8">
        <f t="shared" si="207"/>
        <v>0</v>
      </c>
      <c r="CR184" s="8">
        <f t="shared" si="207"/>
        <v>0</v>
      </c>
      <c r="CS184" s="8">
        <f t="shared" si="207"/>
        <v>0</v>
      </c>
      <c r="CT184" s="8">
        <f t="shared" si="207"/>
        <v>0</v>
      </c>
      <c r="CU184" s="8">
        <f t="shared" si="207"/>
        <v>0</v>
      </c>
      <c r="CV184" s="8">
        <f t="shared" si="207"/>
        <v>0</v>
      </c>
      <c r="CW184" s="8">
        <f t="shared" si="207"/>
        <v>0</v>
      </c>
      <c r="CX184" s="8">
        <f t="shared" si="207"/>
        <v>0</v>
      </c>
      <c r="CY184" s="8">
        <f t="shared" si="207"/>
        <v>0</v>
      </c>
      <c r="CZ184" s="8">
        <f t="shared" si="207"/>
        <v>0</v>
      </c>
      <c r="DA184" s="8">
        <f t="shared" si="207"/>
        <v>0</v>
      </c>
    </row>
    <row r="185" spans="4:111" x14ac:dyDescent="0.4">
      <c r="D185" t="s">
        <v>154</v>
      </c>
      <c r="E185" s="8">
        <f>E16</f>
        <v>2984286.2</v>
      </c>
      <c r="F185" s="8">
        <f>F16</f>
        <v>2984286.2</v>
      </c>
      <c r="G185" s="8">
        <f>G16+G33</f>
        <v>6034226.6963999998</v>
      </c>
      <c r="H185" s="8">
        <f>H16+H33+H50</f>
        <v>9151265.8837208003</v>
      </c>
      <c r="I185" s="8">
        <f>I16+I33+I50+I67</f>
        <v>12336879.933162658</v>
      </c>
      <c r="J185" s="8">
        <f>J16+J33+J50+J67+J84</f>
        <v>15592577.491692236</v>
      </c>
      <c r="K185" s="8">
        <f>K16+K33+K50+K67+K84+K101</f>
        <v>18919900.396509465</v>
      </c>
      <c r="L185" s="8">
        <f>L16+L33+L50+L67+L84+L101+L118</f>
        <v>22320424.405232675</v>
      </c>
      <c r="M185" s="8">
        <f>M16+M33+M50+M67+M84+M101+M118+M135</f>
        <v>25795759.942147795</v>
      </c>
      <c r="N185" s="8">
        <f>N16+N33+N50+N67+N84+N101+N118+N135</f>
        <v>25795759.942147795</v>
      </c>
      <c r="O185" s="8">
        <f t="shared" si="206"/>
        <v>32977485.223814301</v>
      </c>
      <c r="P185" s="8">
        <f t="shared" si="206"/>
        <v>32977485.223814301</v>
      </c>
      <c r="Q185" s="8">
        <f t="shared" si="206"/>
        <v>32977485.223814301</v>
      </c>
      <c r="R185" s="8">
        <f t="shared" si="206"/>
        <v>32977485.223814301</v>
      </c>
      <c r="S185" s="8">
        <f t="shared" si="206"/>
        <v>32977485.223814301</v>
      </c>
      <c r="T185" s="8">
        <f t="shared" si="206"/>
        <v>32977485.223814301</v>
      </c>
      <c r="U185" s="8">
        <f t="shared" si="206"/>
        <v>32977485.223814301</v>
      </c>
      <c r="V185" s="8">
        <f t="shared" si="206"/>
        <v>32977485.223814301</v>
      </c>
      <c r="W185" s="8">
        <f t="shared" si="206"/>
        <v>32977485.223814301</v>
      </c>
      <c r="X185" s="8">
        <f t="shared" si="206"/>
        <v>32977485.223814301</v>
      </c>
      <c r="Y185" s="8">
        <f t="shared" si="206"/>
        <v>32977485.223814301</v>
      </c>
      <c r="Z185" s="8">
        <f t="shared" si="206"/>
        <v>32977485.223814301</v>
      </c>
      <c r="AA185" s="8">
        <f t="shared" si="206"/>
        <v>32977485.223814301</v>
      </c>
      <c r="AB185" s="8">
        <f t="shared" si="206"/>
        <v>32977485.223814301</v>
      </c>
      <c r="AC185" s="8">
        <f t="shared" si="206"/>
        <v>32977485.223814301</v>
      </c>
      <c r="AD185" s="8">
        <f t="shared" si="206"/>
        <v>32977485.223814301</v>
      </c>
      <c r="AE185" s="8">
        <f t="shared" si="206"/>
        <v>32977485.223814301</v>
      </c>
      <c r="AF185" s="8">
        <f t="shared" si="206"/>
        <v>32977485.223814301</v>
      </c>
      <c r="AG185" s="8">
        <f t="shared" si="206"/>
        <v>32977485.223814301</v>
      </c>
      <c r="AH185" s="8">
        <f t="shared" si="206"/>
        <v>32977485.223814301</v>
      </c>
      <c r="AI185" s="8">
        <f t="shared" si="206"/>
        <v>32977485.223814301</v>
      </c>
      <c r="AJ185" s="8">
        <f t="shared" si="206"/>
        <v>32977485.223814301</v>
      </c>
      <c r="AK185" s="8">
        <f t="shared" si="206"/>
        <v>32977485.223814301</v>
      </c>
      <c r="AL185" s="8">
        <f t="shared" si="206"/>
        <v>32977485.223814301</v>
      </c>
      <c r="AM185" s="8">
        <f t="shared" si="206"/>
        <v>32977485.223814301</v>
      </c>
      <c r="AN185" s="8">
        <f t="shared" si="206"/>
        <v>32977485.223814301</v>
      </c>
      <c r="AO185" s="8">
        <f t="shared" si="206"/>
        <v>32977485.223814301</v>
      </c>
      <c r="AP185" s="8">
        <f t="shared" si="206"/>
        <v>32977485.223814301</v>
      </c>
      <c r="AQ185" s="8">
        <f t="shared" si="206"/>
        <v>32977485.223814301</v>
      </c>
      <c r="AR185" s="8">
        <f t="shared" si="206"/>
        <v>32977485.223814301</v>
      </c>
      <c r="AS185" s="8">
        <f t="shared" si="206"/>
        <v>32977485.223814301</v>
      </c>
      <c r="AT185" s="8">
        <f t="shared" si="206"/>
        <v>32977485.223814301</v>
      </c>
      <c r="AU185" s="8">
        <f t="shared" si="206"/>
        <v>32977485.223814301</v>
      </c>
      <c r="AV185" s="8">
        <f t="shared" si="206"/>
        <v>32977485.223814301</v>
      </c>
      <c r="AW185" s="8">
        <f t="shared" si="206"/>
        <v>32977485.223814301</v>
      </c>
      <c r="AX185" s="8">
        <f t="shared" si="206"/>
        <v>32977485.223814301</v>
      </c>
      <c r="AY185" s="8">
        <f t="shared" si="206"/>
        <v>32977485.223814301</v>
      </c>
      <c r="AZ185" s="8">
        <f t="shared" si="206"/>
        <v>32977485.223814301</v>
      </c>
      <c r="BA185" s="8">
        <f t="shared" si="206"/>
        <v>32977485.223814301</v>
      </c>
      <c r="BB185" s="8">
        <f t="shared" si="206"/>
        <v>32977485.223814301</v>
      </c>
      <c r="BC185" s="8">
        <f t="shared" si="206"/>
        <v>32977485.223814301</v>
      </c>
      <c r="BD185" s="8">
        <f t="shared" si="206"/>
        <v>29993199.023814298</v>
      </c>
      <c r="BE185" s="8">
        <f t="shared" si="206"/>
        <v>26943258.5274143</v>
      </c>
      <c r="BF185" s="8">
        <f t="shared" si="206"/>
        <v>23826219.340093501</v>
      </c>
      <c r="BG185" s="8">
        <f t="shared" si="206"/>
        <v>20640605.290651642</v>
      </c>
      <c r="BH185" s="8">
        <f t="shared" si="206"/>
        <v>17384907.732122064</v>
      </c>
      <c r="BI185" s="8">
        <f t="shared" si="206"/>
        <v>14057584.827304833</v>
      </c>
      <c r="BJ185" s="8">
        <f t="shared" si="206"/>
        <v>10657060.818581624</v>
      </c>
      <c r="BK185" s="8">
        <f t="shared" si="206"/>
        <v>7181725.2816665042</v>
      </c>
      <c r="BL185" s="8">
        <f t="shared" si="206"/>
        <v>3629932.3629392516</v>
      </c>
      <c r="BM185" s="8">
        <f t="shared" si="206"/>
        <v>0</v>
      </c>
      <c r="BN185" s="8">
        <f t="shared" si="206"/>
        <v>0</v>
      </c>
      <c r="BO185" s="8">
        <f t="shared" si="206"/>
        <v>0</v>
      </c>
      <c r="BP185" s="8">
        <f t="shared" si="206"/>
        <v>0</v>
      </c>
      <c r="BQ185" s="8">
        <f t="shared" si="206"/>
        <v>0</v>
      </c>
      <c r="BR185" s="8">
        <f t="shared" si="207"/>
        <v>0</v>
      </c>
      <c r="BS185" s="8">
        <f t="shared" si="207"/>
        <v>0</v>
      </c>
      <c r="BT185" s="8">
        <f t="shared" si="207"/>
        <v>0</v>
      </c>
      <c r="BU185" s="8">
        <f t="shared" si="207"/>
        <v>0</v>
      </c>
      <c r="BV185" s="8">
        <f t="shared" si="207"/>
        <v>0</v>
      </c>
      <c r="BW185" s="8">
        <f t="shared" si="207"/>
        <v>0</v>
      </c>
      <c r="BX185" s="8">
        <f t="shared" si="207"/>
        <v>0</v>
      </c>
      <c r="BY185" s="8">
        <f t="shared" si="207"/>
        <v>0</v>
      </c>
      <c r="BZ185" s="8">
        <f t="shared" si="207"/>
        <v>0</v>
      </c>
      <c r="CA185" s="8">
        <f t="shared" si="207"/>
        <v>0</v>
      </c>
      <c r="CB185" s="8">
        <f t="shared" si="207"/>
        <v>0</v>
      </c>
      <c r="CC185" s="8">
        <f t="shared" si="207"/>
        <v>0</v>
      </c>
      <c r="CD185" s="8">
        <f t="shared" si="207"/>
        <v>0</v>
      </c>
      <c r="CE185" s="8">
        <f t="shared" si="207"/>
        <v>0</v>
      </c>
      <c r="CF185" s="8">
        <f t="shared" si="207"/>
        <v>0</v>
      </c>
      <c r="CG185" s="8">
        <f t="shared" si="207"/>
        <v>0</v>
      </c>
      <c r="CH185" s="8">
        <f t="shared" si="207"/>
        <v>0</v>
      </c>
      <c r="CI185" s="8">
        <f t="shared" si="207"/>
        <v>0</v>
      </c>
      <c r="CJ185" s="8">
        <f t="shared" si="207"/>
        <v>0</v>
      </c>
      <c r="CK185" s="8">
        <f t="shared" si="207"/>
        <v>0</v>
      </c>
      <c r="CL185" s="8">
        <f t="shared" si="207"/>
        <v>0</v>
      </c>
      <c r="CM185" s="8">
        <f t="shared" si="207"/>
        <v>0</v>
      </c>
      <c r="CN185" s="8">
        <f t="shared" si="207"/>
        <v>0</v>
      </c>
      <c r="CO185" s="8">
        <f t="shared" si="207"/>
        <v>0</v>
      </c>
      <c r="CP185" s="8">
        <f t="shared" si="207"/>
        <v>0</v>
      </c>
      <c r="CQ185" s="8">
        <f t="shared" si="207"/>
        <v>0</v>
      </c>
      <c r="CR185" s="8">
        <f t="shared" si="207"/>
        <v>0</v>
      </c>
      <c r="CS185" s="8">
        <f t="shared" si="207"/>
        <v>0</v>
      </c>
      <c r="CT185" s="8">
        <f t="shared" si="207"/>
        <v>0</v>
      </c>
      <c r="CU185" s="8">
        <f t="shared" si="207"/>
        <v>0</v>
      </c>
      <c r="CV185" s="8">
        <f t="shared" si="207"/>
        <v>0</v>
      </c>
      <c r="CW185" s="8">
        <f t="shared" si="207"/>
        <v>0</v>
      </c>
      <c r="CX185" s="8">
        <f t="shared" si="207"/>
        <v>0</v>
      </c>
      <c r="CY185" s="8">
        <f t="shared" si="207"/>
        <v>0</v>
      </c>
      <c r="CZ185" s="8">
        <f t="shared" si="207"/>
        <v>0</v>
      </c>
      <c r="DA185" s="8">
        <f t="shared" si="207"/>
        <v>0</v>
      </c>
    </row>
    <row r="186" spans="4:111" x14ac:dyDescent="0.4">
      <c r="D186" t="s">
        <v>208</v>
      </c>
      <c r="E186" s="8">
        <f t="shared" ref="E186:BP192" si="208">E17+E34+E51+E68+E85+E102+E119+E136+E153+E170</f>
        <v>0</v>
      </c>
      <c r="F186" s="8">
        <f t="shared" si="208"/>
        <v>-59685.724000000002</v>
      </c>
      <c r="G186" s="8">
        <f t="shared" si="208"/>
        <v>-180370.25792800001</v>
      </c>
      <c r="H186" s="8">
        <f t="shared" si="208"/>
        <v>-363395.57560241601</v>
      </c>
      <c r="I186" s="8">
        <f t="shared" si="208"/>
        <v>-610133.17426566908</v>
      </c>
      <c r="J186" s="8">
        <f t="shared" si="208"/>
        <v>-921984.72409951373</v>
      </c>
      <c r="K186" s="8">
        <f t="shared" si="208"/>
        <v>-1300382.732029703</v>
      </c>
      <c r="L186" s="8">
        <f t="shared" si="208"/>
        <v>-1746791.2201343565</v>
      </c>
      <c r="M186" s="8">
        <f t="shared" si="208"/>
        <v>-2262706.4189773123</v>
      </c>
      <c r="N186" s="8">
        <f t="shared" si="208"/>
        <v>-2849657.4761948129</v>
      </c>
      <c r="O186" s="8">
        <f t="shared" si="208"/>
        <v>-3509207.1806710991</v>
      </c>
      <c r="P186" s="8">
        <f t="shared" si="208"/>
        <v>-4168756.8851473853</v>
      </c>
      <c r="Q186" s="8">
        <f t="shared" si="208"/>
        <v>-4828306.589623671</v>
      </c>
      <c r="R186" s="8">
        <f t="shared" si="208"/>
        <v>-5487856.2940999568</v>
      </c>
      <c r="S186" s="8">
        <f t="shared" si="208"/>
        <v>-6147405.9985762425</v>
      </c>
      <c r="T186" s="8">
        <f t="shared" si="208"/>
        <v>-6806955.7030525301</v>
      </c>
      <c r="U186" s="8">
        <f t="shared" si="208"/>
        <v>-7466505.4075288139</v>
      </c>
      <c r="V186" s="8">
        <f t="shared" si="208"/>
        <v>-8126055.1120050997</v>
      </c>
      <c r="W186" s="8">
        <f t="shared" si="208"/>
        <v>-8785604.8164813854</v>
      </c>
      <c r="X186" s="8">
        <f t="shared" si="208"/>
        <v>-9445154.520957673</v>
      </c>
      <c r="Y186" s="8">
        <f t="shared" si="208"/>
        <v>-10104704.225433957</v>
      </c>
      <c r="Z186" s="8">
        <f t="shared" si="208"/>
        <v>-10764253.929910246</v>
      </c>
      <c r="AA186" s="8">
        <f t="shared" si="208"/>
        <v>-11423803.63438653</v>
      </c>
      <c r="AB186" s="8">
        <f t="shared" si="208"/>
        <v>-12083353.338862816</v>
      </c>
      <c r="AC186" s="8">
        <f t="shared" si="208"/>
        <v>-12742903.0433391</v>
      </c>
      <c r="AD186" s="8">
        <f t="shared" si="208"/>
        <v>-13402452.747815387</v>
      </c>
      <c r="AE186" s="8">
        <f t="shared" si="208"/>
        <v>-14062002.452291675</v>
      </c>
      <c r="AF186" s="8">
        <f t="shared" si="208"/>
        <v>-14721552.156767957</v>
      </c>
      <c r="AG186" s="8">
        <f t="shared" si="208"/>
        <v>-15381101.861244246</v>
      </c>
      <c r="AH186" s="8">
        <f t="shared" si="208"/>
        <v>-16040651.565720534</v>
      </c>
      <c r="AI186" s="8">
        <f t="shared" si="208"/>
        <v>-16700201.270196816</v>
      </c>
      <c r="AJ186" s="8">
        <f t="shared" si="208"/>
        <v>-17359750.974673104</v>
      </c>
      <c r="AK186" s="8">
        <f t="shared" si="208"/>
        <v>-18019300.679149389</v>
      </c>
      <c r="AL186" s="8">
        <f t="shared" si="208"/>
        <v>-18678850.383625679</v>
      </c>
      <c r="AM186" s="8">
        <f t="shared" si="208"/>
        <v>-19338400.088101961</v>
      </c>
      <c r="AN186" s="8">
        <f t="shared" si="208"/>
        <v>-19997949.792578246</v>
      </c>
      <c r="AO186" s="8">
        <f t="shared" si="208"/>
        <v>-20657499.497054532</v>
      </c>
      <c r="AP186" s="8">
        <f t="shared" si="208"/>
        <v>-21317049.201530818</v>
      </c>
      <c r="AQ186" s="8">
        <f t="shared" si="208"/>
        <v>-21976598.906007111</v>
      </c>
      <c r="AR186" s="8">
        <f t="shared" si="208"/>
        <v>-22636148.610483393</v>
      </c>
      <c r="AS186" s="8">
        <f t="shared" si="208"/>
        <v>-23295698.314959679</v>
      </c>
      <c r="AT186" s="8">
        <f t="shared" si="208"/>
        <v>-23955248.019435965</v>
      </c>
      <c r="AU186" s="8">
        <f t="shared" si="208"/>
        <v>-24614797.72391225</v>
      </c>
      <c r="AV186" s="8">
        <f t="shared" si="208"/>
        <v>-25274347.428388536</v>
      </c>
      <c r="AW186" s="8">
        <f t="shared" si="208"/>
        <v>-25933897.132864822</v>
      </c>
      <c r="AX186" s="8">
        <f t="shared" si="208"/>
        <v>-26593446.837341104</v>
      </c>
      <c r="AY186" s="8">
        <f t="shared" si="208"/>
        <v>-27252996.541817397</v>
      </c>
      <c r="AZ186" s="8">
        <f t="shared" si="208"/>
        <v>-27912546.246293679</v>
      </c>
      <c r="BA186" s="8">
        <f t="shared" si="208"/>
        <v>-28572095.950769961</v>
      </c>
      <c r="BB186" s="8">
        <f t="shared" si="208"/>
        <v>-29231645.65524625</v>
      </c>
      <c r="BC186" s="8">
        <f t="shared" si="208"/>
        <v>-29891195.359722536</v>
      </c>
      <c r="BD186" s="8">
        <f t="shared" si="208"/>
        <v>-27506773.140198823</v>
      </c>
      <c r="BE186" s="8">
        <f t="shared" si="208"/>
        <v>-24995697.814347111</v>
      </c>
      <c r="BF186" s="8">
        <f t="shared" si="208"/>
        <v>-22355183.013828173</v>
      </c>
      <c r="BG186" s="8">
        <f t="shared" si="208"/>
        <v>-19582381.070199348</v>
      </c>
      <c r="BH186" s="8">
        <f t="shared" si="208"/>
        <v>-16674381.666312212</v>
      </c>
      <c r="BI186" s="8">
        <f t="shared" si="208"/>
        <v>-13628210.458041083</v>
      </c>
      <c r="BJ186" s="8">
        <f t="shared" si="208"/>
        <v>-10440827.665689506</v>
      </c>
      <c r="BK186" s="8">
        <f t="shared" si="208"/>
        <v>-7109126.6344077187</v>
      </c>
      <c r="BL186" s="8">
        <f t="shared" si="208"/>
        <v>-3629932.3629392539</v>
      </c>
      <c r="BM186" s="8">
        <f t="shared" si="208"/>
        <v>0</v>
      </c>
      <c r="BN186" s="8">
        <f t="shared" si="208"/>
        <v>0</v>
      </c>
      <c r="BO186" s="8">
        <f t="shared" si="208"/>
        <v>0</v>
      </c>
      <c r="BP186" s="8">
        <f t="shared" si="208"/>
        <v>0</v>
      </c>
      <c r="BQ186" s="8">
        <f t="shared" si="206"/>
        <v>0</v>
      </c>
      <c r="BR186" s="8">
        <f t="shared" si="207"/>
        <v>0</v>
      </c>
      <c r="BS186" s="8">
        <f t="shared" si="207"/>
        <v>0</v>
      </c>
      <c r="BT186" s="8">
        <f t="shared" si="207"/>
        <v>0</v>
      </c>
      <c r="BU186" s="8">
        <f t="shared" si="207"/>
        <v>0</v>
      </c>
      <c r="BV186" s="8">
        <f t="shared" si="207"/>
        <v>0</v>
      </c>
      <c r="BW186" s="8">
        <f t="shared" si="207"/>
        <v>0</v>
      </c>
      <c r="BX186" s="8">
        <f t="shared" si="207"/>
        <v>0</v>
      </c>
      <c r="BY186" s="8">
        <f t="shared" si="207"/>
        <v>0</v>
      </c>
      <c r="BZ186" s="8">
        <f t="shared" si="207"/>
        <v>0</v>
      </c>
      <c r="CA186" s="8">
        <f t="shared" si="207"/>
        <v>0</v>
      </c>
      <c r="CB186" s="8">
        <f t="shared" si="207"/>
        <v>0</v>
      </c>
      <c r="CC186" s="8">
        <f t="shared" si="207"/>
        <v>0</v>
      </c>
      <c r="CD186" s="8">
        <f t="shared" si="207"/>
        <v>0</v>
      </c>
      <c r="CE186" s="8">
        <f t="shared" si="207"/>
        <v>0</v>
      </c>
      <c r="CF186" s="8">
        <f t="shared" si="207"/>
        <v>0</v>
      </c>
      <c r="CG186" s="8">
        <f t="shared" si="207"/>
        <v>0</v>
      </c>
      <c r="CH186" s="8">
        <f t="shared" si="207"/>
        <v>0</v>
      </c>
      <c r="CI186" s="8">
        <f t="shared" si="207"/>
        <v>0</v>
      </c>
      <c r="CJ186" s="8">
        <f t="shared" si="207"/>
        <v>0</v>
      </c>
      <c r="CK186" s="8">
        <f t="shared" si="207"/>
        <v>0</v>
      </c>
      <c r="CL186" s="8">
        <f t="shared" si="207"/>
        <v>0</v>
      </c>
      <c r="CM186" s="8">
        <f t="shared" si="207"/>
        <v>0</v>
      </c>
      <c r="CN186" s="8">
        <f t="shared" si="207"/>
        <v>0</v>
      </c>
      <c r="CO186" s="8">
        <f t="shared" si="207"/>
        <v>0</v>
      </c>
      <c r="CP186" s="8">
        <f t="shared" si="207"/>
        <v>0</v>
      </c>
      <c r="CQ186" s="8">
        <f t="shared" si="207"/>
        <v>0</v>
      </c>
      <c r="CR186" s="8">
        <f t="shared" si="207"/>
        <v>0</v>
      </c>
      <c r="CS186" s="8">
        <f t="shared" si="207"/>
        <v>0</v>
      </c>
      <c r="CT186" s="8">
        <f t="shared" si="207"/>
        <v>0</v>
      </c>
      <c r="CU186" s="8">
        <f t="shared" si="207"/>
        <v>0</v>
      </c>
      <c r="CV186" s="8">
        <f t="shared" si="207"/>
        <v>0</v>
      </c>
      <c r="CW186" s="8">
        <f t="shared" si="207"/>
        <v>0</v>
      </c>
      <c r="CX186" s="8">
        <f t="shared" si="207"/>
        <v>0</v>
      </c>
      <c r="CY186" s="8">
        <f t="shared" si="207"/>
        <v>0</v>
      </c>
      <c r="CZ186" s="8">
        <f t="shared" si="207"/>
        <v>0</v>
      </c>
      <c r="DA186" s="8">
        <f t="shared" si="207"/>
        <v>0</v>
      </c>
    </row>
    <row r="187" spans="4:111" x14ac:dyDescent="0.4">
      <c r="D187" t="s">
        <v>167</v>
      </c>
      <c r="E187" s="8">
        <f t="shared" si="208"/>
        <v>0</v>
      </c>
      <c r="F187" s="8">
        <f t="shared" si="206"/>
        <v>2984286.2</v>
      </c>
      <c r="G187" s="8">
        <f t="shared" si="206"/>
        <v>5974540.9724000003</v>
      </c>
      <c r="H187" s="8">
        <f t="shared" si="206"/>
        <v>8970895.6257928014</v>
      </c>
      <c r="I187" s="8">
        <f t="shared" si="206"/>
        <v>11973484.357560242</v>
      </c>
      <c r="J187" s="8">
        <f t="shared" si="206"/>
        <v>14982444.317426566</v>
      </c>
      <c r="K187" s="8">
        <f t="shared" si="206"/>
        <v>17997915.672409952</v>
      </c>
      <c r="L187" s="8">
        <f t="shared" si="206"/>
        <v>21020041.673202969</v>
      </c>
      <c r="M187" s="8">
        <f t="shared" si="206"/>
        <v>24048968.722013436</v>
      </c>
      <c r="N187" s="8">
        <f t="shared" si="206"/>
        <v>27084846.441897735</v>
      </c>
      <c r="O187" s="8">
        <f t="shared" si="206"/>
        <v>30127827.747619487</v>
      </c>
      <c r="P187" s="8">
        <f t="shared" si="206"/>
        <v>29468278.043143198</v>
      </c>
      <c r="Q187" s="8">
        <f t="shared" si="206"/>
        <v>28808728.338666916</v>
      </c>
      <c r="R187" s="8">
        <f t="shared" si="206"/>
        <v>28149178.63419063</v>
      </c>
      <c r="S187" s="8">
        <f t="shared" si="206"/>
        <v>27489628.929714341</v>
      </c>
      <c r="T187" s="8">
        <f t="shared" si="206"/>
        <v>26830079.225238051</v>
      </c>
      <c r="U187" s="8">
        <f t="shared" si="206"/>
        <v>26170529.520761773</v>
      </c>
      <c r="V187" s="8">
        <f t="shared" si="206"/>
        <v>25510979.816285484</v>
      </c>
      <c r="W187" s="8">
        <f t="shared" si="206"/>
        <v>24851430.111809202</v>
      </c>
      <c r="X187" s="8">
        <f t="shared" si="206"/>
        <v>24191880.407332912</v>
      </c>
      <c r="Y187" s="8">
        <f t="shared" si="206"/>
        <v>23532330.702856623</v>
      </c>
      <c r="Z187" s="8">
        <f t="shared" si="206"/>
        <v>22872780.998380337</v>
      </c>
      <c r="AA187" s="8">
        <f t="shared" si="206"/>
        <v>22213231.293904051</v>
      </c>
      <c r="AB187" s="8">
        <f t="shared" si="206"/>
        <v>21553681.589427769</v>
      </c>
      <c r="AC187" s="8">
        <f t="shared" si="206"/>
        <v>20894131.884951483</v>
      </c>
      <c r="AD187" s="8">
        <f t="shared" si="206"/>
        <v>20234582.180475198</v>
      </c>
      <c r="AE187" s="8">
        <f t="shared" si="206"/>
        <v>19575032.475998908</v>
      </c>
      <c r="AF187" s="8">
        <f t="shared" si="206"/>
        <v>18915482.771522626</v>
      </c>
      <c r="AG187" s="8">
        <f t="shared" si="206"/>
        <v>18255933.067046337</v>
      </c>
      <c r="AH187" s="8">
        <f t="shared" si="206"/>
        <v>17596383.362570051</v>
      </c>
      <c r="AI187" s="8">
        <f t="shared" si="206"/>
        <v>16936833.658093765</v>
      </c>
      <c r="AJ187" s="8">
        <f t="shared" si="206"/>
        <v>16277283.953617482</v>
      </c>
      <c r="AK187" s="8">
        <f t="shared" si="206"/>
        <v>15617734.249141194</v>
      </c>
      <c r="AL187" s="8">
        <f t="shared" si="206"/>
        <v>14958184.544664908</v>
      </c>
      <c r="AM187" s="8">
        <f t="shared" si="206"/>
        <v>14298634.840188622</v>
      </c>
      <c r="AN187" s="8">
        <f t="shared" si="206"/>
        <v>13639085.135712337</v>
      </c>
      <c r="AO187" s="8">
        <f t="shared" si="206"/>
        <v>12979535.431236051</v>
      </c>
      <c r="AP187" s="8">
        <f t="shared" si="206"/>
        <v>12319985.726759765</v>
      </c>
      <c r="AQ187" s="8">
        <f t="shared" si="206"/>
        <v>11660436.022283476</v>
      </c>
      <c r="AR187" s="8">
        <f t="shared" si="206"/>
        <v>11000886.317807192</v>
      </c>
      <c r="AS187" s="8">
        <f t="shared" si="206"/>
        <v>10341336.613330906</v>
      </c>
      <c r="AT187" s="8">
        <f t="shared" si="206"/>
        <v>9681786.9088546187</v>
      </c>
      <c r="AU187" s="8">
        <f t="shared" si="206"/>
        <v>9022237.2043783348</v>
      </c>
      <c r="AV187" s="8">
        <f t="shared" si="206"/>
        <v>8362687.4999020491</v>
      </c>
      <c r="AW187" s="8">
        <f t="shared" si="206"/>
        <v>7703137.7954257634</v>
      </c>
      <c r="AX187" s="8">
        <f t="shared" si="206"/>
        <v>7043588.0909494767</v>
      </c>
      <c r="AY187" s="8">
        <f t="shared" si="206"/>
        <v>6384038.3864731919</v>
      </c>
      <c r="AZ187" s="8">
        <f t="shared" si="206"/>
        <v>5724488.6819969062</v>
      </c>
      <c r="BA187" s="8">
        <f t="shared" si="206"/>
        <v>5064938.9775206205</v>
      </c>
      <c r="BB187" s="8">
        <f t="shared" si="206"/>
        <v>4405389.2730443347</v>
      </c>
      <c r="BC187" s="8">
        <f t="shared" si="206"/>
        <v>3745839.5685680485</v>
      </c>
      <c r="BD187" s="8">
        <f t="shared" si="206"/>
        <v>3086289.8640917609</v>
      </c>
      <c r="BE187" s="8">
        <f t="shared" si="206"/>
        <v>2486425.8836154742</v>
      </c>
      <c r="BF187" s="8">
        <f t="shared" si="206"/>
        <v>1947560.7130671917</v>
      </c>
      <c r="BG187" s="8">
        <f t="shared" si="206"/>
        <v>1471036.3262653211</v>
      </c>
      <c r="BH187" s="8">
        <f t="shared" si="206"/>
        <v>1058224.2204522905</v>
      </c>
      <c r="BI187" s="8">
        <f t="shared" si="206"/>
        <v>710526.06580984639</v>
      </c>
      <c r="BJ187" s="8">
        <f t="shared" si="206"/>
        <v>429374.36926375004</v>
      </c>
      <c r="BK187" s="8">
        <f t="shared" si="206"/>
        <v>216233.15289211506</v>
      </c>
      <c r="BL187" s="8">
        <f t="shared" si="206"/>
        <v>72598.647258782759</v>
      </c>
      <c r="BM187" s="8">
        <f t="shared" si="206"/>
        <v>0</v>
      </c>
      <c r="BN187" s="8">
        <f t="shared" si="206"/>
        <v>0</v>
      </c>
      <c r="BO187" s="8">
        <f t="shared" si="206"/>
        <v>0</v>
      </c>
      <c r="BP187" s="8">
        <f t="shared" si="206"/>
        <v>0</v>
      </c>
      <c r="BQ187" s="8">
        <f t="shared" si="206"/>
        <v>0</v>
      </c>
      <c r="BR187" s="8">
        <f t="shared" si="207"/>
        <v>0</v>
      </c>
      <c r="BS187" s="8">
        <f t="shared" si="207"/>
        <v>0</v>
      </c>
      <c r="BT187" s="8">
        <f t="shared" si="207"/>
        <v>0</v>
      </c>
      <c r="BU187" s="8">
        <f t="shared" si="207"/>
        <v>0</v>
      </c>
      <c r="BV187" s="8">
        <f t="shared" si="207"/>
        <v>0</v>
      </c>
      <c r="BW187" s="8">
        <f t="shared" si="207"/>
        <v>0</v>
      </c>
      <c r="BX187" s="8">
        <f t="shared" si="207"/>
        <v>0</v>
      </c>
      <c r="BY187" s="8">
        <f t="shared" si="207"/>
        <v>0</v>
      </c>
      <c r="BZ187" s="8">
        <f t="shared" si="207"/>
        <v>0</v>
      </c>
      <c r="CA187" s="8">
        <f t="shared" si="207"/>
        <v>0</v>
      </c>
      <c r="CB187" s="8">
        <f t="shared" si="207"/>
        <v>0</v>
      </c>
      <c r="CC187" s="8">
        <f t="shared" si="207"/>
        <v>0</v>
      </c>
      <c r="CD187" s="8">
        <f t="shared" si="207"/>
        <v>0</v>
      </c>
      <c r="CE187" s="8">
        <f t="shared" si="207"/>
        <v>0</v>
      </c>
      <c r="CF187" s="8">
        <f t="shared" si="207"/>
        <v>0</v>
      </c>
      <c r="CG187" s="8">
        <f t="shared" si="207"/>
        <v>0</v>
      </c>
      <c r="CH187" s="8">
        <f t="shared" si="207"/>
        <v>0</v>
      </c>
      <c r="CI187" s="8">
        <f t="shared" si="207"/>
        <v>0</v>
      </c>
      <c r="CJ187" s="8">
        <f t="shared" si="207"/>
        <v>0</v>
      </c>
      <c r="CK187" s="8">
        <f t="shared" si="207"/>
        <v>0</v>
      </c>
      <c r="CL187" s="8">
        <f t="shared" si="207"/>
        <v>0</v>
      </c>
      <c r="CM187" s="8">
        <f t="shared" si="207"/>
        <v>0</v>
      </c>
      <c r="CN187" s="8">
        <f t="shared" si="207"/>
        <v>0</v>
      </c>
      <c r="CO187" s="8">
        <f t="shared" si="207"/>
        <v>0</v>
      </c>
      <c r="CP187" s="8">
        <f t="shared" si="207"/>
        <v>0</v>
      </c>
      <c r="CQ187" s="8">
        <f t="shared" si="207"/>
        <v>0</v>
      </c>
      <c r="CR187" s="8">
        <f t="shared" si="207"/>
        <v>0</v>
      </c>
      <c r="CS187" s="8">
        <f t="shared" si="207"/>
        <v>0</v>
      </c>
      <c r="CT187" s="8">
        <f t="shared" si="207"/>
        <v>0</v>
      </c>
      <c r="CU187" s="8">
        <f t="shared" si="207"/>
        <v>0</v>
      </c>
      <c r="CV187" s="8">
        <f t="shared" si="207"/>
        <v>0</v>
      </c>
      <c r="CW187" s="8">
        <f t="shared" si="207"/>
        <v>0</v>
      </c>
      <c r="CX187" s="8">
        <f t="shared" si="207"/>
        <v>0</v>
      </c>
      <c r="CY187" s="8">
        <f t="shared" si="207"/>
        <v>0</v>
      </c>
      <c r="CZ187" s="8">
        <f t="shared" si="207"/>
        <v>0</v>
      </c>
      <c r="DA187" s="8">
        <f t="shared" si="207"/>
        <v>0</v>
      </c>
    </row>
    <row r="188" spans="4:111" x14ac:dyDescent="0.4">
      <c r="D188" t="s">
        <v>168</v>
      </c>
      <c r="E188" s="8">
        <f t="shared" si="208"/>
        <v>2984286.2</v>
      </c>
      <c r="F188" s="8">
        <f t="shared" si="206"/>
        <v>5974540.9724000003</v>
      </c>
      <c r="G188" s="8">
        <f t="shared" si="206"/>
        <v>8970895.6257928014</v>
      </c>
      <c r="H188" s="8">
        <f t="shared" si="206"/>
        <v>11973484.357560242</v>
      </c>
      <c r="I188" s="8">
        <f t="shared" si="206"/>
        <v>14982444.317426566</v>
      </c>
      <c r="J188" s="8">
        <f t="shared" si="206"/>
        <v>17997915.672409952</v>
      </c>
      <c r="K188" s="8">
        <f t="shared" si="206"/>
        <v>21020041.673202969</v>
      </c>
      <c r="L188" s="8">
        <f t="shared" si="206"/>
        <v>24048968.722013436</v>
      </c>
      <c r="M188" s="8">
        <f t="shared" si="206"/>
        <v>27084846.441897735</v>
      </c>
      <c r="N188" s="8">
        <f t="shared" si="206"/>
        <v>30127827.747619487</v>
      </c>
      <c r="O188" s="8">
        <f t="shared" si="206"/>
        <v>29468278.043143198</v>
      </c>
      <c r="P188" s="8">
        <f t="shared" si="206"/>
        <v>28808728.338666916</v>
      </c>
      <c r="Q188" s="8">
        <f t="shared" si="206"/>
        <v>28149178.63419063</v>
      </c>
      <c r="R188" s="8">
        <f t="shared" si="206"/>
        <v>27489628.929714341</v>
      </c>
      <c r="S188" s="8">
        <f t="shared" si="206"/>
        <v>26830079.225238051</v>
      </c>
      <c r="T188" s="8">
        <f t="shared" si="206"/>
        <v>26170529.520761773</v>
      </c>
      <c r="U188" s="8">
        <f t="shared" si="206"/>
        <v>25510979.816285484</v>
      </c>
      <c r="V188" s="8">
        <f t="shared" si="206"/>
        <v>24851430.111809202</v>
      </c>
      <c r="W188" s="8">
        <f t="shared" si="206"/>
        <v>24191880.407332912</v>
      </c>
      <c r="X188" s="8">
        <f t="shared" si="206"/>
        <v>23532330.702856623</v>
      </c>
      <c r="Y188" s="8">
        <f t="shared" si="206"/>
        <v>22872780.998380337</v>
      </c>
      <c r="Z188" s="8">
        <f t="shared" si="206"/>
        <v>22213231.293904051</v>
      </c>
      <c r="AA188" s="8">
        <f t="shared" si="206"/>
        <v>21553681.589427769</v>
      </c>
      <c r="AB188" s="8">
        <f t="shared" si="206"/>
        <v>20894131.884951483</v>
      </c>
      <c r="AC188" s="8">
        <f t="shared" si="206"/>
        <v>20234582.180475198</v>
      </c>
      <c r="AD188" s="8">
        <f t="shared" si="206"/>
        <v>19575032.475998908</v>
      </c>
      <c r="AE188" s="8">
        <f t="shared" si="206"/>
        <v>18915482.771522626</v>
      </c>
      <c r="AF188" s="8">
        <f t="shared" si="206"/>
        <v>18255933.067046337</v>
      </c>
      <c r="AG188" s="8">
        <f t="shared" si="206"/>
        <v>17596383.362570051</v>
      </c>
      <c r="AH188" s="8">
        <f t="shared" si="206"/>
        <v>16936833.658093765</v>
      </c>
      <c r="AI188" s="8">
        <f t="shared" si="206"/>
        <v>16277283.953617482</v>
      </c>
      <c r="AJ188" s="8">
        <f t="shared" si="206"/>
        <v>15617734.249141194</v>
      </c>
      <c r="AK188" s="8">
        <f t="shared" si="206"/>
        <v>14958184.544664908</v>
      </c>
      <c r="AL188" s="8">
        <f t="shared" si="206"/>
        <v>14298634.840188622</v>
      </c>
      <c r="AM188" s="8">
        <f t="shared" si="206"/>
        <v>13639085.135712337</v>
      </c>
      <c r="AN188" s="8">
        <f t="shared" si="206"/>
        <v>12979535.431236051</v>
      </c>
      <c r="AO188" s="8">
        <f t="shared" si="206"/>
        <v>12319985.726759765</v>
      </c>
      <c r="AP188" s="8">
        <f t="shared" si="206"/>
        <v>11660436.022283476</v>
      </c>
      <c r="AQ188" s="8">
        <f t="shared" si="206"/>
        <v>11000886.317807192</v>
      </c>
      <c r="AR188" s="8">
        <f t="shared" si="206"/>
        <v>10341336.613330906</v>
      </c>
      <c r="AS188" s="8">
        <f t="shared" si="206"/>
        <v>9681786.9088546187</v>
      </c>
      <c r="AT188" s="8">
        <f t="shared" si="206"/>
        <v>9022237.2043783348</v>
      </c>
      <c r="AU188" s="8">
        <f t="shared" si="206"/>
        <v>8362687.4999020491</v>
      </c>
      <c r="AV188" s="8">
        <f t="shared" si="206"/>
        <v>7703137.7954257634</v>
      </c>
      <c r="AW188" s="8">
        <f t="shared" si="206"/>
        <v>7043588.0909494767</v>
      </c>
      <c r="AX188" s="8">
        <f t="shared" si="206"/>
        <v>6384038.3864731919</v>
      </c>
      <c r="AY188" s="8">
        <f t="shared" si="206"/>
        <v>5724488.6819969062</v>
      </c>
      <c r="AZ188" s="8">
        <f t="shared" si="206"/>
        <v>5064938.9775206205</v>
      </c>
      <c r="BA188" s="8">
        <f t="shared" si="206"/>
        <v>4405389.2730443347</v>
      </c>
      <c r="BB188" s="8">
        <f t="shared" si="206"/>
        <v>3745839.5685680485</v>
      </c>
      <c r="BC188" s="8">
        <f t="shared" si="206"/>
        <v>3086289.8640917609</v>
      </c>
      <c r="BD188" s="8">
        <f t="shared" si="206"/>
        <v>2486425.8836154742</v>
      </c>
      <c r="BE188" s="8">
        <f t="shared" si="206"/>
        <v>1947560.7130671917</v>
      </c>
      <c r="BF188" s="8">
        <f t="shared" si="206"/>
        <v>1471036.3262653211</v>
      </c>
      <c r="BG188" s="8">
        <f t="shared" si="206"/>
        <v>1058224.2204522905</v>
      </c>
      <c r="BH188" s="8">
        <f t="shared" si="206"/>
        <v>710526.06580984639</v>
      </c>
      <c r="BI188" s="8">
        <f t="shared" si="206"/>
        <v>429374.36926375004</v>
      </c>
      <c r="BJ188" s="8">
        <f t="shared" si="206"/>
        <v>216233.15289211506</v>
      </c>
      <c r="BK188" s="8">
        <f t="shared" si="206"/>
        <v>72598.647258782759</v>
      </c>
      <c r="BL188" s="8">
        <f t="shared" si="206"/>
        <v>0</v>
      </c>
      <c r="BM188" s="8">
        <f t="shared" si="206"/>
        <v>0</v>
      </c>
      <c r="BN188" s="8">
        <f t="shared" si="206"/>
        <v>0</v>
      </c>
      <c r="BO188" s="8">
        <f t="shared" si="206"/>
        <v>0</v>
      </c>
      <c r="BP188" s="8">
        <f t="shared" si="206"/>
        <v>0</v>
      </c>
      <c r="BQ188" s="8">
        <f t="shared" si="206"/>
        <v>0</v>
      </c>
      <c r="BR188" s="8">
        <f t="shared" si="207"/>
        <v>0</v>
      </c>
      <c r="BS188" s="8">
        <f t="shared" si="207"/>
        <v>0</v>
      </c>
      <c r="BT188" s="8">
        <f t="shared" si="207"/>
        <v>0</v>
      </c>
      <c r="BU188" s="8">
        <f t="shared" si="207"/>
        <v>0</v>
      </c>
      <c r="BV188" s="8">
        <f t="shared" si="207"/>
        <v>0</v>
      </c>
      <c r="BW188" s="8">
        <f t="shared" si="207"/>
        <v>0</v>
      </c>
      <c r="BX188" s="8">
        <f t="shared" si="207"/>
        <v>0</v>
      </c>
      <c r="BY188" s="8">
        <f t="shared" si="207"/>
        <v>0</v>
      </c>
      <c r="BZ188" s="8">
        <f t="shared" si="207"/>
        <v>0</v>
      </c>
      <c r="CA188" s="8">
        <f t="shared" si="207"/>
        <v>0</v>
      </c>
      <c r="CB188" s="8">
        <f t="shared" si="207"/>
        <v>0</v>
      </c>
      <c r="CC188" s="8">
        <f t="shared" si="207"/>
        <v>0</v>
      </c>
      <c r="CD188" s="8">
        <f t="shared" si="207"/>
        <v>0</v>
      </c>
      <c r="CE188" s="8">
        <f t="shared" si="207"/>
        <v>0</v>
      </c>
      <c r="CF188" s="8">
        <f t="shared" si="207"/>
        <v>0</v>
      </c>
      <c r="CG188" s="8">
        <f t="shared" si="207"/>
        <v>0</v>
      </c>
      <c r="CH188" s="8">
        <f t="shared" si="207"/>
        <v>0</v>
      </c>
      <c r="CI188" s="8">
        <f t="shared" si="207"/>
        <v>0</v>
      </c>
      <c r="CJ188" s="8">
        <f t="shared" si="207"/>
        <v>0</v>
      </c>
      <c r="CK188" s="8">
        <f t="shared" si="207"/>
        <v>0</v>
      </c>
      <c r="CL188" s="8">
        <f t="shared" si="207"/>
        <v>0</v>
      </c>
      <c r="CM188" s="8">
        <f t="shared" si="207"/>
        <v>0</v>
      </c>
      <c r="CN188" s="8">
        <f t="shared" si="207"/>
        <v>0</v>
      </c>
      <c r="CO188" s="8">
        <f t="shared" si="207"/>
        <v>0</v>
      </c>
      <c r="CP188" s="8">
        <f t="shared" si="207"/>
        <v>0</v>
      </c>
      <c r="CQ188" s="8">
        <f t="shared" si="207"/>
        <v>0</v>
      </c>
      <c r="CR188" s="8">
        <f t="shared" si="207"/>
        <v>0</v>
      </c>
      <c r="CS188" s="8">
        <f t="shared" si="207"/>
        <v>0</v>
      </c>
      <c r="CT188" s="8">
        <f t="shared" si="207"/>
        <v>0</v>
      </c>
      <c r="CU188" s="8">
        <f t="shared" si="207"/>
        <v>0</v>
      </c>
      <c r="CV188" s="8">
        <f t="shared" si="207"/>
        <v>0</v>
      </c>
      <c r="CW188" s="8">
        <f t="shared" si="207"/>
        <v>0</v>
      </c>
      <c r="CX188" s="8">
        <f t="shared" si="207"/>
        <v>0</v>
      </c>
      <c r="CY188" s="8">
        <f t="shared" si="207"/>
        <v>0</v>
      </c>
      <c r="CZ188" s="8">
        <f t="shared" si="207"/>
        <v>0</v>
      </c>
      <c r="DA188" s="8">
        <f t="shared" si="207"/>
        <v>0</v>
      </c>
    </row>
    <row r="189" spans="4:111" x14ac:dyDescent="0.4"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</row>
    <row r="190" spans="4:111" x14ac:dyDescent="0.4">
      <c r="D190" t="s">
        <v>169</v>
      </c>
      <c r="E190" s="8">
        <f t="shared" si="208"/>
        <v>0</v>
      </c>
      <c r="F190" s="8">
        <f t="shared" si="208"/>
        <v>111910.7325</v>
      </c>
      <c r="G190" s="8">
        <f t="shared" si="208"/>
        <v>329808.38939299999</v>
      </c>
      <c r="H190" s="8">
        <f t="shared" si="208"/>
        <v>536324.96353364596</v>
      </c>
      <c r="I190" s="8">
        <f t="shared" si="208"/>
        <v>732463.47130538616</v>
      </c>
      <c r="J190" s="8">
        <f t="shared" si="208"/>
        <v>919069.93828010466</v>
      </c>
      <c r="K190" s="8">
        <f t="shared" si="208"/>
        <v>1097009.002592267</v>
      </c>
      <c r="L190" s="8">
        <f t="shared" si="208"/>
        <v>1267015.1101052971</v>
      </c>
      <c r="M190" s="8">
        <f t="shared" si="208"/>
        <v>1429838.8644916136</v>
      </c>
      <c r="N190" s="8">
        <f t="shared" si="208"/>
        <v>1594454.1697544293</v>
      </c>
      <c r="O190" s="8">
        <f t="shared" si="208"/>
        <v>1762661.1688710265</v>
      </c>
      <c r="P190" s="8">
        <f t="shared" si="208"/>
        <v>1795481.4070205423</v>
      </c>
      <c r="Q190" s="8">
        <f t="shared" si="208"/>
        <v>1700301.2020962369</v>
      </c>
      <c r="R190" s="8">
        <f t="shared" si="208"/>
        <v>1623163.9420676844</v>
      </c>
      <c r="S190" s="8">
        <f t="shared" si="208"/>
        <v>1562848.773831123</v>
      </c>
      <c r="T190" s="8">
        <f t="shared" si="208"/>
        <v>1518449.9444150045</v>
      </c>
      <c r="U190" s="8">
        <f t="shared" si="208"/>
        <v>1488922.4028344057</v>
      </c>
      <c r="V190" s="8">
        <f t="shared" si="208"/>
        <v>1473502.9679744816</v>
      </c>
      <c r="W190" s="8">
        <f t="shared" si="208"/>
        <v>1471292.2972878609</v>
      </c>
      <c r="X190" s="8">
        <f t="shared" si="208"/>
        <v>1471288.7092330889</v>
      </c>
      <c r="Y190" s="8">
        <f t="shared" si="208"/>
        <v>1471292.2972878609</v>
      </c>
      <c r="Z190" s="8">
        <f t="shared" si="208"/>
        <v>1404709.2841110891</v>
      </c>
      <c r="AA190" s="8">
        <f t="shared" si="208"/>
        <v>1270119.1174311771</v>
      </c>
      <c r="AB190" s="8">
        <f t="shared" si="208"/>
        <v>1132530.869175558</v>
      </c>
      <c r="AC190" s="8">
        <f t="shared" si="208"/>
        <v>991952.77736706426</v>
      </c>
      <c r="AD190" s="8">
        <f t="shared" si="208"/>
        <v>848244.86963003466</v>
      </c>
      <c r="AE190" s="8">
        <f t="shared" si="208"/>
        <v>701412.4858315395</v>
      </c>
      <c r="AF190" s="8">
        <f t="shared" si="208"/>
        <v>551312.69168072823</v>
      </c>
      <c r="AG190" s="8">
        <f t="shared" si="208"/>
        <v>397947.79996734846</v>
      </c>
      <c r="AH190" s="8">
        <f t="shared" si="208"/>
        <v>241171.78272752499</v>
      </c>
      <c r="AI190" s="8">
        <f t="shared" si="208"/>
        <v>80983.791017174706</v>
      </c>
      <c r="AJ190" s="8">
        <f t="shared" si="208"/>
        <v>0</v>
      </c>
      <c r="AK190" s="8">
        <f t="shared" si="208"/>
        <v>0</v>
      </c>
      <c r="AL190" s="8">
        <f t="shared" si="208"/>
        <v>0</v>
      </c>
      <c r="AM190" s="8">
        <f t="shared" si="208"/>
        <v>0</v>
      </c>
      <c r="AN190" s="8">
        <f t="shared" si="208"/>
        <v>0</v>
      </c>
      <c r="AO190" s="8">
        <f t="shared" si="208"/>
        <v>0</v>
      </c>
      <c r="AP190" s="8">
        <f t="shared" si="208"/>
        <v>0</v>
      </c>
      <c r="AQ190" s="8">
        <f t="shared" si="208"/>
        <v>0</v>
      </c>
      <c r="AR190" s="8">
        <f t="shared" si="208"/>
        <v>0</v>
      </c>
      <c r="AS190" s="8">
        <f t="shared" si="208"/>
        <v>0</v>
      </c>
      <c r="AT190" s="8">
        <f t="shared" si="208"/>
        <v>0</v>
      </c>
      <c r="AU190" s="8">
        <f t="shared" si="208"/>
        <v>0</v>
      </c>
      <c r="AV190" s="8">
        <f t="shared" si="208"/>
        <v>0</v>
      </c>
      <c r="AW190" s="8">
        <f t="shared" si="208"/>
        <v>0</v>
      </c>
      <c r="AX190" s="8">
        <f t="shared" si="208"/>
        <v>0</v>
      </c>
      <c r="AY190" s="8">
        <f t="shared" si="208"/>
        <v>0</v>
      </c>
      <c r="AZ190" s="8">
        <f t="shared" si="208"/>
        <v>0</v>
      </c>
      <c r="BA190" s="8">
        <f t="shared" si="208"/>
        <v>0</v>
      </c>
      <c r="BB190" s="8">
        <f t="shared" si="208"/>
        <v>0</v>
      </c>
      <c r="BC190" s="8">
        <f t="shared" si="208"/>
        <v>0</v>
      </c>
      <c r="BD190" s="8">
        <f t="shared" si="208"/>
        <v>0</v>
      </c>
      <c r="BE190" s="8">
        <f t="shared" si="208"/>
        <v>0</v>
      </c>
      <c r="BF190" s="8">
        <f t="shared" si="208"/>
        <v>0</v>
      </c>
      <c r="BG190" s="8">
        <f t="shared" si="208"/>
        <v>0</v>
      </c>
      <c r="BH190" s="8">
        <f t="shared" si="208"/>
        <v>0</v>
      </c>
      <c r="BI190" s="8">
        <f t="shared" si="208"/>
        <v>0</v>
      </c>
      <c r="BJ190" s="8">
        <f t="shared" si="208"/>
        <v>0</v>
      </c>
      <c r="BK190" s="8">
        <f t="shared" si="208"/>
        <v>0</v>
      </c>
      <c r="BL190" s="8">
        <f t="shared" si="208"/>
        <v>0</v>
      </c>
      <c r="BM190" s="8">
        <f t="shared" si="208"/>
        <v>0</v>
      </c>
      <c r="BN190" s="8">
        <f t="shared" si="208"/>
        <v>0</v>
      </c>
      <c r="BO190" s="8">
        <f t="shared" si="208"/>
        <v>0</v>
      </c>
      <c r="BP190" s="8">
        <f t="shared" si="208"/>
        <v>0</v>
      </c>
      <c r="BQ190" s="8">
        <f t="shared" ref="BQ190:DA192" si="209">BQ21+BQ38+BQ55+BQ72+BQ89+BQ106+BQ123+BQ140+BQ157+BQ174</f>
        <v>0</v>
      </c>
      <c r="BR190" s="8">
        <f t="shared" si="209"/>
        <v>0</v>
      </c>
      <c r="BS190" s="8">
        <f t="shared" si="209"/>
        <v>0</v>
      </c>
      <c r="BT190" s="8">
        <f t="shared" si="209"/>
        <v>0</v>
      </c>
      <c r="BU190" s="8">
        <f t="shared" si="209"/>
        <v>0</v>
      </c>
      <c r="BV190" s="8">
        <f t="shared" si="209"/>
        <v>0</v>
      </c>
      <c r="BW190" s="8">
        <f t="shared" si="209"/>
        <v>0</v>
      </c>
      <c r="BX190" s="8">
        <f t="shared" si="209"/>
        <v>0</v>
      </c>
      <c r="BY190" s="8">
        <f t="shared" si="209"/>
        <v>0</v>
      </c>
      <c r="BZ190" s="8">
        <f t="shared" si="209"/>
        <v>0</v>
      </c>
      <c r="CA190" s="8">
        <f t="shared" si="209"/>
        <v>0</v>
      </c>
      <c r="CB190" s="8">
        <f t="shared" si="209"/>
        <v>0</v>
      </c>
      <c r="CC190" s="8">
        <f t="shared" si="209"/>
        <v>0</v>
      </c>
      <c r="CD190" s="8">
        <f t="shared" si="209"/>
        <v>0</v>
      </c>
      <c r="CE190" s="8">
        <f t="shared" si="209"/>
        <v>0</v>
      </c>
      <c r="CF190" s="8">
        <f t="shared" si="209"/>
        <v>0</v>
      </c>
      <c r="CG190" s="8">
        <f t="shared" si="209"/>
        <v>0</v>
      </c>
      <c r="CH190" s="8">
        <f t="shared" si="209"/>
        <v>0</v>
      </c>
      <c r="CI190" s="8">
        <f t="shared" si="209"/>
        <v>0</v>
      </c>
      <c r="CJ190" s="8">
        <f t="shared" si="209"/>
        <v>0</v>
      </c>
      <c r="CK190" s="8">
        <f t="shared" si="209"/>
        <v>0</v>
      </c>
      <c r="CL190" s="8">
        <f t="shared" si="209"/>
        <v>0</v>
      </c>
      <c r="CM190" s="8">
        <f t="shared" si="209"/>
        <v>0</v>
      </c>
      <c r="CN190" s="8">
        <f t="shared" si="209"/>
        <v>0</v>
      </c>
      <c r="CO190" s="8">
        <f t="shared" si="209"/>
        <v>0</v>
      </c>
      <c r="CP190" s="8">
        <f t="shared" si="209"/>
        <v>0</v>
      </c>
      <c r="CQ190" s="8">
        <f t="shared" si="209"/>
        <v>0</v>
      </c>
      <c r="CR190" s="8">
        <f t="shared" si="209"/>
        <v>0</v>
      </c>
      <c r="CS190" s="8">
        <f t="shared" si="209"/>
        <v>0</v>
      </c>
      <c r="CT190" s="8">
        <f t="shared" si="209"/>
        <v>0</v>
      </c>
      <c r="CU190" s="8">
        <f t="shared" si="209"/>
        <v>0</v>
      </c>
      <c r="CV190" s="8">
        <f t="shared" si="209"/>
        <v>0</v>
      </c>
      <c r="CW190" s="8">
        <f t="shared" si="209"/>
        <v>0</v>
      </c>
      <c r="CX190" s="8">
        <f t="shared" si="209"/>
        <v>0</v>
      </c>
      <c r="CY190" s="8">
        <f t="shared" si="209"/>
        <v>0</v>
      </c>
      <c r="CZ190" s="8">
        <f t="shared" si="209"/>
        <v>0</v>
      </c>
      <c r="DA190" s="8">
        <f t="shared" si="209"/>
        <v>0</v>
      </c>
    </row>
    <row r="191" spans="4:111" x14ac:dyDescent="0.4">
      <c r="D191" t="s">
        <v>170</v>
      </c>
      <c r="E191" s="8">
        <f t="shared" si="208"/>
        <v>0</v>
      </c>
      <c r="F191" s="8">
        <f t="shared" si="208"/>
        <v>0</v>
      </c>
      <c r="G191" s="8">
        <f t="shared" si="208"/>
        <v>-14474.161105775</v>
      </c>
      <c r="H191" s="8">
        <f t="shared" si="208"/>
        <v>-72432.837647899738</v>
      </c>
      <c r="I191" s="8">
        <f t="shared" si="208"/>
        <v>-170349.83449778537</v>
      </c>
      <c r="J191" s="8">
        <f t="shared" si="208"/>
        <v>-304968.76010055258</v>
      </c>
      <c r="K191" s="8">
        <f t="shared" si="208"/>
        <v>-473259.33645843354</v>
      </c>
      <c r="L191" s="8">
        <f t="shared" si="208"/>
        <v>-672422.37362902833</v>
      </c>
      <c r="M191" s="8">
        <f t="shared" si="208"/>
        <v>-899853.49891650677</v>
      </c>
      <c r="N191" s="8">
        <f t="shared" si="208"/>
        <v>-1153147.4428510321</v>
      </c>
      <c r="O191" s="8">
        <f t="shared" si="208"/>
        <v>-1432376.9304906419</v>
      </c>
      <c r="P191" s="8">
        <f t="shared" si="208"/>
        <v>-1738104.2728476438</v>
      </c>
      <c r="Q191" s="8">
        <f t="shared" si="208"/>
        <v>-2052927.744207785</v>
      </c>
      <c r="R191" s="8">
        <f t="shared" si="208"/>
        <v>-2341372.0217731539</v>
      </c>
      <c r="S191" s="8">
        <f t="shared" si="208"/>
        <v>-2608437.7077216101</v>
      </c>
      <c r="T191" s="8">
        <f t="shared" si="208"/>
        <v>-2858787.0447933036</v>
      </c>
      <c r="U191" s="8">
        <f t="shared" si="208"/>
        <v>-3096831.2462923191</v>
      </c>
      <c r="V191" s="8">
        <f t="shared" si="208"/>
        <v>-3326691.8896422721</v>
      </c>
      <c r="W191" s="8">
        <f t="shared" si="208"/>
        <v>-3552279.0366207976</v>
      </c>
      <c r="X191" s="8">
        <f t="shared" si="208"/>
        <v>-3777253.4962185253</v>
      </c>
      <c r="Y191" s="8">
        <f t="shared" si="208"/>
        <v>-4002226.9613868734</v>
      </c>
      <c r="Z191" s="8">
        <f t="shared" si="208"/>
        <v>-4227201.4209846016</v>
      </c>
      <c r="AA191" s="8">
        <f t="shared" si="208"/>
        <v>-4433722.3984803865</v>
      </c>
      <c r="AB191" s="8">
        <f t="shared" si="208"/>
        <v>-4602941.7112808349</v>
      </c>
      <c r="AC191" s="8">
        <f t="shared" si="208"/>
        <v>-4734028.4410772379</v>
      </c>
      <c r="AD191" s="8">
        <f t="shared" si="208"/>
        <v>-4826153.9527289178</v>
      </c>
      <c r="AE191" s="8">
        <f t="shared" si="208"/>
        <v>-4878450.8177512782</v>
      </c>
      <c r="AF191" s="8">
        <f t="shared" si="208"/>
        <v>-4890053.0876038866</v>
      </c>
      <c r="AG191" s="8">
        <f t="shared" si="208"/>
        <v>-4860055.1995075988</v>
      </c>
      <c r="AH191" s="8">
        <f t="shared" si="208"/>
        <v>-4787552.2316729464</v>
      </c>
      <c r="AI191" s="8">
        <f t="shared" si="208"/>
        <v>-4671598.790660277</v>
      </c>
      <c r="AJ191" s="8">
        <f t="shared" si="208"/>
        <v>-4511249.2477450855</v>
      </c>
      <c r="AK191" s="8">
        <f t="shared" si="208"/>
        <v>-4328455.0471494822</v>
      </c>
      <c r="AL191" s="8">
        <f t="shared" si="208"/>
        <v>-4145660.8465538798</v>
      </c>
      <c r="AM191" s="8">
        <f t="shared" si="208"/>
        <v>-3962866.6459582769</v>
      </c>
      <c r="AN191" s="8">
        <f t="shared" si="208"/>
        <v>-3780072.445362675</v>
      </c>
      <c r="AO191" s="8">
        <f t="shared" si="208"/>
        <v>-3597278.2447670721</v>
      </c>
      <c r="AP191" s="8">
        <f t="shared" si="208"/>
        <v>-3414484.0441714693</v>
      </c>
      <c r="AQ191" s="8">
        <f t="shared" si="208"/>
        <v>-3231689.8435758674</v>
      </c>
      <c r="AR191" s="8">
        <f t="shared" si="208"/>
        <v>-3048895.642980264</v>
      </c>
      <c r="AS191" s="8">
        <f t="shared" si="208"/>
        <v>-2866101.4423846616</v>
      </c>
      <c r="AT191" s="8">
        <f t="shared" si="208"/>
        <v>-2683307.2417890592</v>
      </c>
      <c r="AU191" s="8">
        <f t="shared" si="208"/>
        <v>-2500513.0411934564</v>
      </c>
      <c r="AV191" s="8">
        <f t="shared" si="208"/>
        <v>-2317718.840597854</v>
      </c>
      <c r="AW191" s="8">
        <f t="shared" si="208"/>
        <v>-2134924.6400022511</v>
      </c>
      <c r="AX191" s="8">
        <f t="shared" si="208"/>
        <v>-1952130.4394066487</v>
      </c>
      <c r="AY191" s="8">
        <f t="shared" si="208"/>
        <v>-1769336.2388110461</v>
      </c>
      <c r="AZ191" s="8">
        <f t="shared" si="208"/>
        <v>-1586542.038215443</v>
      </c>
      <c r="BA191" s="8">
        <f t="shared" si="208"/>
        <v>-1403747.8376198406</v>
      </c>
      <c r="BB191" s="8">
        <f t="shared" si="208"/>
        <v>-1220953.637024238</v>
      </c>
      <c r="BC191" s="8">
        <f t="shared" si="208"/>
        <v>-1038159.4364286354</v>
      </c>
      <c r="BD191" s="8">
        <f t="shared" si="208"/>
        <v>-855365.23583303252</v>
      </c>
      <c r="BE191" s="8">
        <f t="shared" si="208"/>
        <v>-689112.93364402989</v>
      </c>
      <c r="BF191" s="8">
        <f t="shared" si="208"/>
        <v>-539766.45162657241</v>
      </c>
      <c r="BG191" s="8">
        <f t="shared" si="208"/>
        <v>-407697.71782443422</v>
      </c>
      <c r="BH191" s="8">
        <f t="shared" si="208"/>
        <v>-293286.84269835212</v>
      </c>
      <c r="BI191" s="8">
        <f t="shared" si="208"/>
        <v>-196922.29913919949</v>
      </c>
      <c r="BJ191" s="8">
        <f t="shared" si="208"/>
        <v>-119001.10644144882</v>
      </c>
      <c r="BK191" s="8">
        <f t="shared" si="208"/>
        <v>-59929.018324050863</v>
      </c>
      <c r="BL191" s="8">
        <f t="shared" si="208"/>
        <v>-20120.715087773428</v>
      </c>
      <c r="BM191" s="8">
        <f t="shared" si="208"/>
        <v>-1.1568772606551647E-9</v>
      </c>
      <c r="BN191" s="8">
        <f t="shared" si="208"/>
        <v>-1.1568772606551647E-9</v>
      </c>
      <c r="BO191" s="8">
        <f t="shared" si="208"/>
        <v>-1.1568772606551647E-9</v>
      </c>
      <c r="BP191" s="8">
        <f t="shared" si="208"/>
        <v>-1.1568772606551647E-9</v>
      </c>
      <c r="BQ191" s="8">
        <f t="shared" si="209"/>
        <v>-1.1568772606551647E-9</v>
      </c>
      <c r="BR191" s="8">
        <f t="shared" si="209"/>
        <v>-1.1568772606551647E-9</v>
      </c>
      <c r="BS191" s="8">
        <f t="shared" si="209"/>
        <v>-1.1568772606551647E-9</v>
      </c>
      <c r="BT191" s="8">
        <f t="shared" si="209"/>
        <v>-1.1568772606551647E-9</v>
      </c>
      <c r="BU191" s="8">
        <f t="shared" si="209"/>
        <v>-1.1568772606551647E-9</v>
      </c>
      <c r="BV191" s="8">
        <f t="shared" si="209"/>
        <v>-1.1568772606551647E-9</v>
      </c>
      <c r="BW191" s="8">
        <f t="shared" si="209"/>
        <v>-1.1568772606551647E-9</v>
      </c>
      <c r="BX191" s="8">
        <f t="shared" si="209"/>
        <v>-1.1568772606551647E-9</v>
      </c>
      <c r="BY191" s="8">
        <f t="shared" si="209"/>
        <v>-1.1568772606551647E-9</v>
      </c>
      <c r="BZ191" s="8">
        <f t="shared" si="209"/>
        <v>-1.1568772606551647E-9</v>
      </c>
      <c r="CA191" s="8">
        <f t="shared" si="209"/>
        <v>-1.1568772606551647E-9</v>
      </c>
      <c r="CB191" s="8">
        <f t="shared" si="209"/>
        <v>-1.1568772606551647E-9</v>
      </c>
      <c r="CC191" s="8">
        <f t="shared" si="209"/>
        <v>-1.1568772606551647E-9</v>
      </c>
      <c r="CD191" s="8">
        <f t="shared" si="209"/>
        <v>-1.1568772606551647E-9</v>
      </c>
      <c r="CE191" s="8">
        <f t="shared" si="209"/>
        <v>-1.1568772606551647E-9</v>
      </c>
      <c r="CF191" s="8">
        <f t="shared" si="209"/>
        <v>-1.1568772606551647E-9</v>
      </c>
      <c r="CG191" s="8">
        <f t="shared" si="209"/>
        <v>-1.1568772606551647E-9</v>
      </c>
      <c r="CH191" s="8">
        <f t="shared" si="209"/>
        <v>-1.1568772606551647E-9</v>
      </c>
      <c r="CI191" s="8">
        <f t="shared" si="209"/>
        <v>-1.1568772606551647E-9</v>
      </c>
      <c r="CJ191" s="8">
        <f t="shared" si="209"/>
        <v>-1.1568772606551647E-9</v>
      </c>
      <c r="CK191" s="8">
        <f t="shared" si="209"/>
        <v>-1.1568772606551647E-9</v>
      </c>
      <c r="CL191" s="8">
        <f t="shared" si="209"/>
        <v>-1.1568772606551647E-9</v>
      </c>
      <c r="CM191" s="8">
        <f t="shared" si="209"/>
        <v>-1.1568772606551647E-9</v>
      </c>
      <c r="CN191" s="8">
        <f t="shared" si="209"/>
        <v>-1.1568772606551647E-9</v>
      </c>
      <c r="CO191" s="8">
        <f t="shared" si="209"/>
        <v>-1.1568772606551647E-9</v>
      </c>
      <c r="CP191" s="8">
        <f t="shared" si="209"/>
        <v>-1.1568772606551647E-9</v>
      </c>
      <c r="CQ191" s="8">
        <f t="shared" si="209"/>
        <v>-1.1568772606551647E-9</v>
      </c>
      <c r="CR191" s="8">
        <f t="shared" si="209"/>
        <v>-1.1568772606551647E-9</v>
      </c>
      <c r="CS191" s="8">
        <f t="shared" si="209"/>
        <v>-1.1568772606551647E-9</v>
      </c>
      <c r="CT191" s="8">
        <f t="shared" si="209"/>
        <v>-1.1568772606551647E-9</v>
      </c>
      <c r="CU191" s="8">
        <f t="shared" si="209"/>
        <v>-1.1568772606551647E-9</v>
      </c>
      <c r="CV191" s="8">
        <f t="shared" si="209"/>
        <v>-1.1568772606551647E-9</v>
      </c>
      <c r="CW191" s="8">
        <f t="shared" si="209"/>
        <v>-1.1568772606551647E-9</v>
      </c>
      <c r="CX191" s="8">
        <f t="shared" si="209"/>
        <v>-1.1568772606551647E-9</v>
      </c>
      <c r="CY191" s="8">
        <f t="shared" si="209"/>
        <v>-1.1568772606551647E-9</v>
      </c>
      <c r="CZ191" s="8">
        <f t="shared" si="209"/>
        <v>-1.1568772606551647E-9</v>
      </c>
      <c r="DA191" s="8">
        <f t="shared" si="209"/>
        <v>-1.1568772606551647E-9</v>
      </c>
    </row>
    <row r="192" spans="4:111" x14ac:dyDescent="0.4">
      <c r="D192" t="s">
        <v>171</v>
      </c>
      <c r="E192" s="8">
        <f t="shared" si="208"/>
        <v>0</v>
      </c>
      <c r="F192" s="8">
        <f t="shared" si="208"/>
        <v>-14474.161105775</v>
      </c>
      <c r="G192" s="8">
        <f t="shared" si="208"/>
        <v>-72432.837647899738</v>
      </c>
      <c r="H192" s="8">
        <f t="shared" si="208"/>
        <v>-170349.83449778537</v>
      </c>
      <c r="I192" s="8">
        <f t="shared" si="208"/>
        <v>-304968.76010055258</v>
      </c>
      <c r="J192" s="8">
        <f t="shared" si="208"/>
        <v>-473259.33645843354</v>
      </c>
      <c r="K192" s="8">
        <f t="shared" si="208"/>
        <v>-672422.37362902833</v>
      </c>
      <c r="L192" s="8">
        <f t="shared" si="208"/>
        <v>-899853.49891650677</v>
      </c>
      <c r="M192" s="8">
        <f t="shared" si="208"/>
        <v>-1153147.4428510321</v>
      </c>
      <c r="N192" s="8">
        <f t="shared" si="208"/>
        <v>-1432376.9304906419</v>
      </c>
      <c r="O192" s="8">
        <f t="shared" si="208"/>
        <v>-1738104.2728476438</v>
      </c>
      <c r="P192" s="8">
        <f t="shared" si="208"/>
        <v>-2052927.744207785</v>
      </c>
      <c r="Q192" s="8">
        <f t="shared" si="208"/>
        <v>-2341372.0217731539</v>
      </c>
      <c r="R192" s="8">
        <f t="shared" si="208"/>
        <v>-2608437.7077216101</v>
      </c>
      <c r="S192" s="8">
        <f t="shared" si="208"/>
        <v>-2858787.0447933036</v>
      </c>
      <c r="T192" s="8">
        <f t="shared" si="208"/>
        <v>-3096831.2462923191</v>
      </c>
      <c r="U192" s="8">
        <f t="shared" si="208"/>
        <v>-3326691.8896422721</v>
      </c>
      <c r="V192" s="8">
        <f t="shared" si="208"/>
        <v>-3552279.0366207976</v>
      </c>
      <c r="W192" s="8">
        <f t="shared" si="208"/>
        <v>-3777253.4962185253</v>
      </c>
      <c r="X192" s="8">
        <f t="shared" si="208"/>
        <v>-4002226.9613868734</v>
      </c>
      <c r="Y192" s="8">
        <f t="shared" si="208"/>
        <v>-4227201.4209846016</v>
      </c>
      <c r="Z192" s="8">
        <f t="shared" si="208"/>
        <v>-4433722.3984803865</v>
      </c>
      <c r="AA192" s="8">
        <f t="shared" si="208"/>
        <v>-4602941.7112808349</v>
      </c>
      <c r="AB192" s="8">
        <f t="shared" si="208"/>
        <v>-4734028.4410772379</v>
      </c>
      <c r="AC192" s="8">
        <f t="shared" si="208"/>
        <v>-4826153.9527289178</v>
      </c>
      <c r="AD192" s="8">
        <f t="shared" si="208"/>
        <v>-4878450.8177512782</v>
      </c>
      <c r="AE192" s="8">
        <f t="shared" si="208"/>
        <v>-4890053.0876038866</v>
      </c>
      <c r="AF192" s="8">
        <f t="shared" si="208"/>
        <v>-4860055.1995075988</v>
      </c>
      <c r="AG192" s="8">
        <f t="shared" si="208"/>
        <v>-4787552.2316729464</v>
      </c>
      <c r="AH192" s="8">
        <f t="shared" si="208"/>
        <v>-4671598.790660277</v>
      </c>
      <c r="AI192" s="8">
        <f t="shared" si="208"/>
        <v>-4511249.2477450855</v>
      </c>
      <c r="AJ192" s="8">
        <f t="shared" si="208"/>
        <v>-4328455.0471494822</v>
      </c>
      <c r="AK192" s="8">
        <f t="shared" si="208"/>
        <v>-4145660.8465538798</v>
      </c>
      <c r="AL192" s="8">
        <f t="shared" si="208"/>
        <v>-3962866.6459582769</v>
      </c>
      <c r="AM192" s="8">
        <f t="shared" si="208"/>
        <v>-3780072.445362675</v>
      </c>
      <c r="AN192" s="8">
        <f t="shared" si="208"/>
        <v>-3597278.2447670721</v>
      </c>
      <c r="AO192" s="8">
        <f t="shared" si="208"/>
        <v>-3414484.0441714693</v>
      </c>
      <c r="AP192" s="8">
        <f t="shared" si="208"/>
        <v>-3231689.8435758674</v>
      </c>
      <c r="AQ192" s="8">
        <f t="shared" si="208"/>
        <v>-3048895.642980264</v>
      </c>
      <c r="AR192" s="8">
        <f t="shared" si="208"/>
        <v>-2866101.4423846616</v>
      </c>
      <c r="AS192" s="8">
        <f t="shared" si="208"/>
        <v>-2683307.2417890592</v>
      </c>
      <c r="AT192" s="8">
        <f t="shared" si="208"/>
        <v>-2500513.0411934564</v>
      </c>
      <c r="AU192" s="8">
        <f t="shared" si="208"/>
        <v>-2317718.840597854</v>
      </c>
      <c r="AV192" s="8">
        <f t="shared" si="208"/>
        <v>-2134924.6400022511</v>
      </c>
      <c r="AW192" s="8">
        <f t="shared" si="208"/>
        <v>-1952130.4394066487</v>
      </c>
      <c r="AX192" s="8">
        <f t="shared" si="208"/>
        <v>-1769336.2388110461</v>
      </c>
      <c r="AY192" s="8">
        <f t="shared" si="208"/>
        <v>-1586542.038215443</v>
      </c>
      <c r="AZ192" s="8">
        <f t="shared" si="208"/>
        <v>-1403747.8376198406</v>
      </c>
      <c r="BA192" s="8">
        <f t="shared" si="208"/>
        <v>-1220953.637024238</v>
      </c>
      <c r="BB192" s="8">
        <f t="shared" si="208"/>
        <v>-1038159.4364286354</v>
      </c>
      <c r="BC192" s="8">
        <f t="shared" si="208"/>
        <v>-855365.23583303252</v>
      </c>
      <c r="BD192" s="8">
        <f t="shared" si="208"/>
        <v>-689112.93364402989</v>
      </c>
      <c r="BE192" s="8">
        <f t="shared" si="208"/>
        <v>-539766.45162657241</v>
      </c>
      <c r="BF192" s="8">
        <f t="shared" si="208"/>
        <v>-407697.71782443422</v>
      </c>
      <c r="BG192" s="8">
        <f t="shared" si="208"/>
        <v>-293286.84269835212</v>
      </c>
      <c r="BH192" s="8">
        <f t="shared" si="208"/>
        <v>-196922.29913919949</v>
      </c>
      <c r="BI192" s="8">
        <f t="shared" si="208"/>
        <v>-119001.10644144882</v>
      </c>
      <c r="BJ192" s="8">
        <f t="shared" si="208"/>
        <v>-59929.018324050863</v>
      </c>
      <c r="BK192" s="8">
        <f t="shared" si="208"/>
        <v>-20120.715087773428</v>
      </c>
      <c r="BL192" s="8">
        <f t="shared" si="208"/>
        <v>-1.1568772606551647E-9</v>
      </c>
      <c r="BM192" s="8">
        <f t="shared" si="208"/>
        <v>-1.1568772606551647E-9</v>
      </c>
      <c r="BN192" s="8">
        <f t="shared" ref="BN192:BQ192" si="210">BN23+BN40+BN57+BN74+BN91+BN108+BN125+BN142+BN159+BN176</f>
        <v>-1.1568772606551647E-9</v>
      </c>
      <c r="BO192" s="8">
        <f t="shared" si="210"/>
        <v>-1.1568772606551647E-9</v>
      </c>
      <c r="BP192" s="8">
        <f t="shared" si="210"/>
        <v>-1.1568772606551647E-9</v>
      </c>
      <c r="BQ192" s="8">
        <f t="shared" si="210"/>
        <v>-1.1568772606551647E-9</v>
      </c>
      <c r="BR192" s="8">
        <f t="shared" si="209"/>
        <v>-1.1568772606551647E-9</v>
      </c>
      <c r="BS192" s="8">
        <f t="shared" si="209"/>
        <v>-1.1568772606551647E-9</v>
      </c>
      <c r="BT192" s="8">
        <f t="shared" si="209"/>
        <v>-1.1568772606551647E-9</v>
      </c>
      <c r="BU192" s="8">
        <f t="shared" si="209"/>
        <v>-1.1568772606551647E-9</v>
      </c>
      <c r="BV192" s="8">
        <f t="shared" si="209"/>
        <v>-1.1568772606551647E-9</v>
      </c>
      <c r="BW192" s="8">
        <f t="shared" si="209"/>
        <v>-1.1568772606551647E-9</v>
      </c>
      <c r="BX192" s="8">
        <f t="shared" si="209"/>
        <v>-1.1568772606551647E-9</v>
      </c>
      <c r="BY192" s="8">
        <f t="shared" si="209"/>
        <v>-1.1568772606551647E-9</v>
      </c>
      <c r="BZ192" s="8">
        <f t="shared" si="209"/>
        <v>-1.1568772606551647E-9</v>
      </c>
      <c r="CA192" s="8">
        <f t="shared" si="209"/>
        <v>-1.1568772606551647E-9</v>
      </c>
      <c r="CB192" s="8">
        <f t="shared" si="209"/>
        <v>-1.1568772606551647E-9</v>
      </c>
      <c r="CC192" s="8">
        <f t="shared" si="209"/>
        <v>-1.1568772606551647E-9</v>
      </c>
      <c r="CD192" s="8">
        <f t="shared" si="209"/>
        <v>-1.1568772606551647E-9</v>
      </c>
      <c r="CE192" s="8">
        <f t="shared" si="209"/>
        <v>-1.1568772606551647E-9</v>
      </c>
      <c r="CF192" s="8">
        <f t="shared" si="209"/>
        <v>-1.1568772606551647E-9</v>
      </c>
      <c r="CG192" s="8">
        <f t="shared" si="209"/>
        <v>-1.1568772606551647E-9</v>
      </c>
      <c r="CH192" s="8">
        <f t="shared" si="209"/>
        <v>-1.1568772606551647E-9</v>
      </c>
      <c r="CI192" s="8">
        <f t="shared" si="209"/>
        <v>-1.1568772606551647E-9</v>
      </c>
      <c r="CJ192" s="8">
        <f t="shared" si="209"/>
        <v>-1.1568772606551647E-9</v>
      </c>
      <c r="CK192" s="8">
        <f t="shared" si="209"/>
        <v>-1.1568772606551647E-9</v>
      </c>
      <c r="CL192" s="8">
        <f t="shared" si="209"/>
        <v>-1.1568772606551647E-9</v>
      </c>
      <c r="CM192" s="8">
        <f t="shared" si="209"/>
        <v>-1.1568772606551647E-9</v>
      </c>
      <c r="CN192" s="8">
        <f t="shared" si="209"/>
        <v>-1.1568772606551647E-9</v>
      </c>
      <c r="CO192" s="8">
        <f t="shared" si="209"/>
        <v>-1.1568772606551647E-9</v>
      </c>
      <c r="CP192" s="8">
        <f t="shared" si="209"/>
        <v>-1.1568772606551647E-9</v>
      </c>
      <c r="CQ192" s="8">
        <f t="shared" si="209"/>
        <v>-1.1568772606551647E-9</v>
      </c>
      <c r="CR192" s="8">
        <f t="shared" si="209"/>
        <v>-1.1568772606551647E-9</v>
      </c>
      <c r="CS192" s="8">
        <f t="shared" si="209"/>
        <v>-1.1568772606551647E-9</v>
      </c>
      <c r="CT192" s="8">
        <f t="shared" si="209"/>
        <v>-1.1568772606551647E-9</v>
      </c>
      <c r="CU192" s="8">
        <f t="shared" si="209"/>
        <v>-1.1568772606551647E-9</v>
      </c>
      <c r="CV192" s="8">
        <f t="shared" si="209"/>
        <v>-1.1568772606551647E-9</v>
      </c>
      <c r="CW192" s="8">
        <f t="shared" si="209"/>
        <v>-1.1568772606551647E-9</v>
      </c>
      <c r="CX192" s="8">
        <f t="shared" si="209"/>
        <v>-1.1568772606551647E-9</v>
      </c>
      <c r="CY192" s="8">
        <f t="shared" si="209"/>
        <v>-1.1568772606551647E-9</v>
      </c>
      <c r="CZ192" s="8">
        <f t="shared" si="209"/>
        <v>-1.1568772606551647E-9</v>
      </c>
      <c r="DA192" s="8">
        <f t="shared" si="209"/>
        <v>-1.1568772606551647E-9</v>
      </c>
    </row>
    <row r="193" spans="4:105" x14ac:dyDescent="0.4"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</row>
    <row r="194" spans="4:105" x14ac:dyDescent="0.4">
      <c r="D194" t="s">
        <v>158</v>
      </c>
      <c r="E194" s="8">
        <f t="shared" ref="E194:BP196" si="211">E25+E42+E59+E76+E93+E110+E127+E144+E161+E178</f>
        <v>0</v>
      </c>
      <c r="F194" s="8">
        <f t="shared" si="211"/>
        <v>2947206.2574471128</v>
      </c>
      <c r="G194" s="8">
        <f t="shared" si="211"/>
        <v>5870745.2060591625</v>
      </c>
      <c r="H194" s="8">
        <f t="shared" si="211"/>
        <v>8757991.6308827493</v>
      </c>
      <c r="I194" s="8">
        <f t="shared" si="211"/>
        <v>11612456.260929447</v>
      </c>
      <c r="J194" s="8">
        <f t="shared" si="211"/>
        <v>14437404.494230151</v>
      </c>
      <c r="K194" s="8">
        <f t="shared" si="211"/>
        <v>17235875.813401125</v>
      </c>
      <c r="L194" s="8">
        <f t="shared" si="211"/>
        <v>20010699.492877878</v>
      </c>
      <c r="M194" s="8">
        <f t="shared" si="211"/>
        <v>22764510.651708193</v>
      </c>
      <c r="N194" s="8">
        <f t="shared" si="211"/>
        <v>25498608.726618145</v>
      </c>
      <c r="O194" s="8">
        <f t="shared" si="211"/>
        <v>28212812.293712202</v>
      </c>
      <c r="P194" s="8">
        <f t="shared" si="211"/>
        <v>27242987.182377342</v>
      </c>
      <c r="Q194" s="8">
        <f t="shared" si="211"/>
        <v>26281803.603438299</v>
      </c>
      <c r="R194" s="8">
        <f t="shared" si="211"/>
        <v>25344498.917205095</v>
      </c>
      <c r="S194" s="8">
        <f t="shared" si="211"/>
        <v>24426241.701218743</v>
      </c>
      <c r="T194" s="8">
        <f t="shared" si="211"/>
        <v>23522495.227457102</v>
      </c>
      <c r="U194" s="8">
        <f t="shared" si="211"/>
        <v>22628993.100556329</v>
      </c>
      <c r="V194" s="8">
        <f t="shared" si="211"/>
        <v>21741719.500915807</v>
      </c>
      <c r="W194" s="8">
        <f t="shared" si="211"/>
        <v>20856888.993151393</v>
      </c>
      <c r="X194" s="8">
        <f t="shared" si="211"/>
        <v>19972365.326292071</v>
      </c>
      <c r="Y194" s="8">
        <f t="shared" si="211"/>
        <v>19087841.659432746</v>
      </c>
      <c r="Z194" s="8">
        <f t="shared" si="211"/>
        <v>18212544.236409705</v>
      </c>
      <c r="AA194" s="8">
        <f t="shared" si="211"/>
        <v>17365124.386785302</v>
      </c>
      <c r="AB194" s="8">
        <f t="shared" si="211"/>
        <v>16555421.661010589</v>
      </c>
      <c r="AC194" s="8">
        <f t="shared" si="211"/>
        <v>15784265.835810259</v>
      </c>
      <c r="AD194" s="8">
        <f t="shared" si="211"/>
        <v>15052504.942996953</v>
      </c>
      <c r="AE194" s="8">
        <f t="shared" si="211"/>
        <v>14361005.671083184</v>
      </c>
      <c r="AF194" s="8">
        <f t="shared" si="211"/>
        <v>13710653.77572874</v>
      </c>
      <c r="AG194" s="8">
        <f t="shared" si="211"/>
        <v>13102354.499217922</v>
      </c>
      <c r="AH194" s="8">
        <f t="shared" si="211"/>
        <v>12537032.999165297</v>
      </c>
      <c r="AI194" s="8">
        <f t="shared" si="211"/>
        <v>12015634.786652943</v>
      </c>
      <c r="AJ194" s="8">
        <f t="shared" si="211"/>
        <v>11527656.953932056</v>
      </c>
      <c r="AK194" s="8">
        <f t="shared" si="211"/>
        <v>11050901.450051371</v>
      </c>
      <c r="AL194" s="8">
        <f t="shared" si="211"/>
        <v>10574145.946170686</v>
      </c>
      <c r="AM194" s="8">
        <f t="shared" si="211"/>
        <v>10097390.442290004</v>
      </c>
      <c r="AN194" s="8">
        <f t="shared" si="211"/>
        <v>9620634.938409321</v>
      </c>
      <c r="AO194" s="8">
        <f t="shared" si="211"/>
        <v>9143879.4345286377</v>
      </c>
      <c r="AP194" s="8">
        <f t="shared" si="211"/>
        <v>8667123.9306479525</v>
      </c>
      <c r="AQ194" s="8">
        <f t="shared" si="211"/>
        <v>8190368.4267672682</v>
      </c>
      <c r="AR194" s="8">
        <f t="shared" si="211"/>
        <v>7713612.9228865858</v>
      </c>
      <c r="AS194" s="8">
        <f t="shared" si="211"/>
        <v>7236857.4190059025</v>
      </c>
      <c r="AT194" s="8">
        <f t="shared" si="211"/>
        <v>6760101.9151252192</v>
      </c>
      <c r="AU194" s="8">
        <f t="shared" si="211"/>
        <v>6283346.4112445358</v>
      </c>
      <c r="AV194" s="8">
        <f t="shared" si="211"/>
        <v>5806590.9073638543</v>
      </c>
      <c r="AW194" s="8">
        <f t="shared" si="211"/>
        <v>5329835.4034831701</v>
      </c>
      <c r="AX194" s="8">
        <f t="shared" si="211"/>
        <v>4853079.8996024868</v>
      </c>
      <c r="AY194" s="8">
        <f t="shared" si="211"/>
        <v>4376324.3957218044</v>
      </c>
      <c r="AZ194" s="8">
        <f t="shared" si="211"/>
        <v>3899568.891841121</v>
      </c>
      <c r="BA194" s="8">
        <f t="shared" si="211"/>
        <v>3422813.3879604382</v>
      </c>
      <c r="BB194" s="8">
        <f t="shared" si="211"/>
        <v>2946057.8840797548</v>
      </c>
      <c r="BC194" s="8">
        <f t="shared" si="211"/>
        <v>2469302.380199071</v>
      </c>
      <c r="BD194" s="8">
        <f t="shared" si="211"/>
        <v>2014118.7891150864</v>
      </c>
      <c r="BE194" s="8">
        <f t="shared" si="211"/>
        <v>1602553.6057060319</v>
      </c>
      <c r="BF194" s="8">
        <f t="shared" si="211"/>
        <v>1235566.434940753</v>
      </c>
      <c r="BG194" s="8">
        <f t="shared" si="211"/>
        <v>914137.99309741263</v>
      </c>
      <c r="BH194" s="8">
        <f t="shared" si="211"/>
        <v>639270.5722122927</v>
      </c>
      <c r="BI194" s="8">
        <f t="shared" si="211"/>
        <v>411988.51474647404</v>
      </c>
      <c r="BJ194" s="8">
        <f t="shared" si="211"/>
        <v>233338.69869518271</v>
      </c>
      <c r="BK194" s="8">
        <f t="shared" si="211"/>
        <v>104391.03336953676</v>
      </c>
      <c r="BL194" s="8">
        <f t="shared" si="211"/>
        <v>26238.966085504086</v>
      </c>
      <c r="BM194" s="8">
        <f t="shared" si="211"/>
        <v>-1.1568772606551647E-9</v>
      </c>
      <c r="BN194" s="8">
        <f t="shared" si="211"/>
        <v>-1.1568772606551647E-9</v>
      </c>
      <c r="BO194" s="8">
        <f t="shared" si="211"/>
        <v>-1.1568772606551647E-9</v>
      </c>
      <c r="BP194" s="8">
        <f t="shared" si="211"/>
        <v>-1.1568772606551647E-9</v>
      </c>
      <c r="BQ194" s="8">
        <f t="shared" ref="BQ194:DA194" si="212">BQ25+BQ42+BQ59+BQ76+BQ93+BQ110+BQ127+BQ144+BQ161+BQ178</f>
        <v>-1.1568772606551647E-9</v>
      </c>
      <c r="BR194" s="8">
        <f t="shared" si="212"/>
        <v>-1.1568772606551647E-9</v>
      </c>
      <c r="BS194" s="8">
        <f t="shared" si="212"/>
        <v>-1.1568772606551647E-9</v>
      </c>
      <c r="BT194" s="8">
        <f t="shared" si="212"/>
        <v>-1.1568772606551647E-9</v>
      </c>
      <c r="BU194" s="8">
        <f t="shared" si="212"/>
        <v>-1.1568772606551647E-9</v>
      </c>
      <c r="BV194" s="8">
        <f t="shared" si="212"/>
        <v>-1.1568772606551647E-9</v>
      </c>
      <c r="BW194" s="8">
        <f t="shared" si="212"/>
        <v>-1.1568772606551647E-9</v>
      </c>
      <c r="BX194" s="8">
        <f t="shared" si="212"/>
        <v>-1.1568772606551647E-9</v>
      </c>
      <c r="BY194" s="8">
        <f t="shared" si="212"/>
        <v>-1.1568772606551647E-9</v>
      </c>
      <c r="BZ194" s="8">
        <f t="shared" si="212"/>
        <v>-1.1568772606551647E-9</v>
      </c>
      <c r="CA194" s="8">
        <f t="shared" si="212"/>
        <v>-1.1568772606551647E-9</v>
      </c>
      <c r="CB194" s="8">
        <f t="shared" si="212"/>
        <v>-1.1568772606551647E-9</v>
      </c>
      <c r="CC194" s="8">
        <f t="shared" si="212"/>
        <v>-1.1568772606551647E-9</v>
      </c>
      <c r="CD194" s="8">
        <f t="shared" si="212"/>
        <v>-1.1568772606551647E-9</v>
      </c>
      <c r="CE194" s="8">
        <f t="shared" si="212"/>
        <v>-1.1568772606551647E-9</v>
      </c>
      <c r="CF194" s="8">
        <f t="shared" si="212"/>
        <v>-1.1568772606551647E-9</v>
      </c>
      <c r="CG194" s="8">
        <f t="shared" si="212"/>
        <v>-1.1568772606551647E-9</v>
      </c>
      <c r="CH194" s="8">
        <f t="shared" si="212"/>
        <v>-1.1568772606551647E-9</v>
      </c>
      <c r="CI194" s="8">
        <f t="shared" si="212"/>
        <v>-1.1568772606551647E-9</v>
      </c>
      <c r="CJ194" s="8">
        <f t="shared" si="212"/>
        <v>-1.1568772606551647E-9</v>
      </c>
      <c r="CK194" s="8">
        <f t="shared" si="212"/>
        <v>-1.1568772606551647E-9</v>
      </c>
      <c r="CL194" s="8">
        <f t="shared" si="212"/>
        <v>-1.1568772606551647E-9</v>
      </c>
      <c r="CM194" s="8">
        <f t="shared" si="212"/>
        <v>-1.1568772606551647E-9</v>
      </c>
      <c r="CN194" s="8">
        <f t="shared" si="212"/>
        <v>-1.1568772606551647E-9</v>
      </c>
      <c r="CO194" s="8">
        <f t="shared" si="212"/>
        <v>-1.1568772606551647E-9</v>
      </c>
      <c r="CP194" s="8">
        <f t="shared" si="212"/>
        <v>-1.1568772606551647E-9</v>
      </c>
      <c r="CQ194" s="8">
        <f t="shared" si="212"/>
        <v>-1.1568772606551647E-9</v>
      </c>
      <c r="CR194" s="8">
        <f t="shared" si="212"/>
        <v>-1.1568772606551647E-9</v>
      </c>
      <c r="CS194" s="8">
        <f t="shared" si="212"/>
        <v>-1.1568772606551647E-9</v>
      </c>
      <c r="CT194" s="8">
        <f t="shared" si="212"/>
        <v>-1.1568772606551647E-9</v>
      </c>
      <c r="CU194" s="8">
        <f t="shared" si="212"/>
        <v>-1.1568772606551647E-9</v>
      </c>
      <c r="CV194" s="8">
        <f t="shared" si="212"/>
        <v>-1.1568772606551647E-9</v>
      </c>
      <c r="CW194" s="8">
        <f t="shared" si="212"/>
        <v>-1.1568772606551647E-9</v>
      </c>
      <c r="CX194" s="8">
        <f t="shared" si="212"/>
        <v>-1.1568772606551647E-9</v>
      </c>
      <c r="CY194" s="8">
        <f t="shared" si="212"/>
        <v>-1.1568772606551647E-9</v>
      </c>
      <c r="CZ194" s="8">
        <f t="shared" si="212"/>
        <v>-1.1568772606551647E-9</v>
      </c>
      <c r="DA194" s="8">
        <f t="shared" si="212"/>
        <v>-1.1568772606551647E-9</v>
      </c>
    </row>
    <row r="195" spans="4:105" x14ac:dyDescent="0.4"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</row>
    <row r="196" spans="4:105" x14ac:dyDescent="0.4">
      <c r="D196" t="s">
        <v>209</v>
      </c>
      <c r="E196" s="8">
        <f t="shared" si="211"/>
        <v>0</v>
      </c>
      <c r="F196" s="8">
        <f t="shared" si="211"/>
        <v>263185.51879002718</v>
      </c>
      <c r="G196" s="8">
        <f t="shared" si="211"/>
        <v>524257.5469010832</v>
      </c>
      <c r="H196" s="8">
        <f t="shared" si="211"/>
        <v>782088.65263782954</v>
      </c>
      <c r="I196" s="8">
        <f t="shared" si="211"/>
        <v>1036992.3441009996</v>
      </c>
      <c r="J196" s="8">
        <f t="shared" si="211"/>
        <v>1289260.2213347526</v>
      </c>
      <c r="K196" s="8">
        <f t="shared" si="211"/>
        <v>1539163.7101367207</v>
      </c>
      <c r="L196" s="8">
        <f t="shared" si="211"/>
        <v>1786955.4647139946</v>
      </c>
      <c r="M196" s="8">
        <f t="shared" si="211"/>
        <v>2032870.8011975414</v>
      </c>
      <c r="N196" s="8">
        <f t="shared" si="211"/>
        <v>2277025.7592870006</v>
      </c>
      <c r="O196" s="8">
        <f t="shared" si="211"/>
        <v>2519404.1378284995</v>
      </c>
      <c r="P196" s="8">
        <f t="shared" si="211"/>
        <v>2432798.7553862967</v>
      </c>
      <c r="Q196" s="8">
        <f t="shared" si="211"/>
        <v>2346965.0617870404</v>
      </c>
      <c r="R196" s="8">
        <f t="shared" si="211"/>
        <v>2263263.7533064159</v>
      </c>
      <c r="S196" s="8">
        <f t="shared" si="211"/>
        <v>2181263.3839188339</v>
      </c>
      <c r="T196" s="8">
        <f t="shared" si="211"/>
        <v>2100558.8238119194</v>
      </c>
      <c r="U196" s="8">
        <f t="shared" si="211"/>
        <v>2020769.0838796804</v>
      </c>
      <c r="V196" s="8">
        <f t="shared" si="211"/>
        <v>1941535.5514317816</v>
      </c>
      <c r="W196" s="8">
        <f t="shared" si="211"/>
        <v>1862520.1870884195</v>
      </c>
      <c r="X196" s="8">
        <f t="shared" si="211"/>
        <v>1783532.2236378822</v>
      </c>
      <c r="Y196" s="8">
        <f t="shared" si="211"/>
        <v>1704544.2601873442</v>
      </c>
      <c r="Z196" s="8">
        <f t="shared" si="211"/>
        <v>1626380.2003113865</v>
      </c>
      <c r="AA196" s="8">
        <f t="shared" si="211"/>
        <v>1550705.6077399272</v>
      </c>
      <c r="AB196" s="8">
        <f t="shared" si="211"/>
        <v>1478399.1543282457</v>
      </c>
      <c r="AC196" s="8">
        <f t="shared" si="211"/>
        <v>1409534.9391378562</v>
      </c>
      <c r="AD196" s="8">
        <f t="shared" si="211"/>
        <v>1344188.6914096284</v>
      </c>
      <c r="AE196" s="8">
        <f t="shared" si="211"/>
        <v>1282437.8064277286</v>
      </c>
      <c r="AF196" s="8">
        <f t="shared" si="211"/>
        <v>1224361.3821725762</v>
      </c>
      <c r="AG196" s="8">
        <f t="shared" si="211"/>
        <v>1170040.2567801606</v>
      </c>
      <c r="AH196" s="8">
        <f t="shared" si="211"/>
        <v>1119557.0468254611</v>
      </c>
      <c r="AI196" s="8">
        <f t="shared" si="211"/>
        <v>1072996.1864481079</v>
      </c>
      <c r="AJ196" s="8">
        <f t="shared" si="211"/>
        <v>1029419.7659861324</v>
      </c>
      <c r="AK196" s="8">
        <f t="shared" si="211"/>
        <v>986845.4994895875</v>
      </c>
      <c r="AL196" s="8">
        <f t="shared" si="211"/>
        <v>944271.23299304245</v>
      </c>
      <c r="AM196" s="8">
        <f t="shared" si="211"/>
        <v>901696.96649649763</v>
      </c>
      <c r="AN196" s="8">
        <f t="shared" si="211"/>
        <v>859122.69999995234</v>
      </c>
      <c r="AO196" s="8">
        <f t="shared" si="211"/>
        <v>816548.43350340729</v>
      </c>
      <c r="AP196" s="8">
        <f t="shared" si="211"/>
        <v>773974.16700686212</v>
      </c>
      <c r="AQ196" s="8">
        <f t="shared" si="211"/>
        <v>731399.90051031706</v>
      </c>
      <c r="AR196" s="8">
        <f t="shared" si="211"/>
        <v>688825.63401377213</v>
      </c>
      <c r="AS196" s="8">
        <f t="shared" si="211"/>
        <v>646251.36751722707</v>
      </c>
      <c r="AT196" s="8">
        <f t="shared" si="211"/>
        <v>603677.10102068214</v>
      </c>
      <c r="AU196" s="8">
        <f t="shared" si="211"/>
        <v>561102.83452413708</v>
      </c>
      <c r="AV196" s="8">
        <f t="shared" si="211"/>
        <v>518528.56802759209</v>
      </c>
      <c r="AW196" s="8">
        <f t="shared" si="211"/>
        <v>475954.30153104704</v>
      </c>
      <c r="AX196" s="8">
        <f t="shared" si="211"/>
        <v>433380.03503450216</v>
      </c>
      <c r="AY196" s="8">
        <f t="shared" si="211"/>
        <v>390805.7685379571</v>
      </c>
      <c r="AZ196" s="8">
        <f t="shared" si="211"/>
        <v>348231.50204141217</v>
      </c>
      <c r="BA196" s="8">
        <f t="shared" si="211"/>
        <v>305657.23554486712</v>
      </c>
      <c r="BB196" s="8">
        <f t="shared" si="211"/>
        <v>263082.96904832212</v>
      </c>
      <c r="BC196" s="8">
        <f t="shared" si="211"/>
        <v>220508.70255177707</v>
      </c>
      <c r="BD196" s="8">
        <f t="shared" si="211"/>
        <v>179860.80786797722</v>
      </c>
      <c r="BE196" s="8">
        <f t="shared" si="211"/>
        <v>143108.03698954865</v>
      </c>
      <c r="BF196" s="8">
        <f t="shared" si="211"/>
        <v>110336.08264020925</v>
      </c>
      <c r="BG196" s="8">
        <f t="shared" si="211"/>
        <v>81632.52278359895</v>
      </c>
      <c r="BH196" s="8">
        <f t="shared" si="211"/>
        <v>57086.862098557744</v>
      </c>
      <c r="BI196" s="8">
        <f t="shared" si="211"/>
        <v>36790.574366860135</v>
      </c>
      <c r="BJ196" s="8">
        <f t="shared" si="211"/>
        <v>20837.145793479816</v>
      </c>
      <c r="BK196" s="8">
        <f t="shared" si="211"/>
        <v>9322.1192798996326</v>
      </c>
      <c r="BL196" s="8">
        <f t="shared" si="211"/>
        <v>2343.1396714355151</v>
      </c>
      <c r="BM196" s="8">
        <f t="shared" si="211"/>
        <v>-1.0330913937650621E-10</v>
      </c>
      <c r="BN196" s="8">
        <f t="shared" si="211"/>
        <v>-1.0330913937650621E-10</v>
      </c>
      <c r="BO196" s="8">
        <f t="shared" si="211"/>
        <v>-1.0330913937650621E-10</v>
      </c>
      <c r="BP196" s="8">
        <f t="shared" si="211"/>
        <v>-1.0330913937650621E-10</v>
      </c>
      <c r="BQ196" s="8">
        <f t="shared" ref="BQ196:DA196" si="213">BQ27+BQ44+BQ61+BQ78+BQ95+BQ112+BQ129+BQ146+BQ163+BQ180</f>
        <v>-1.0330913937650621E-10</v>
      </c>
      <c r="BR196" s="8">
        <f t="shared" si="213"/>
        <v>-1.0330913937650621E-10</v>
      </c>
      <c r="BS196" s="8">
        <f t="shared" si="213"/>
        <v>-1.0330913937650621E-10</v>
      </c>
      <c r="BT196" s="8">
        <f t="shared" si="213"/>
        <v>-1.0330913937650621E-10</v>
      </c>
      <c r="BU196" s="8">
        <f t="shared" si="213"/>
        <v>-1.0330913937650621E-10</v>
      </c>
      <c r="BV196" s="8">
        <f t="shared" si="213"/>
        <v>-1.0330913937650621E-10</v>
      </c>
      <c r="BW196" s="8">
        <f t="shared" si="213"/>
        <v>-1.0330913937650621E-10</v>
      </c>
      <c r="BX196" s="8">
        <f t="shared" si="213"/>
        <v>-1.0330913937650621E-10</v>
      </c>
      <c r="BY196" s="8">
        <f t="shared" si="213"/>
        <v>-1.0330913937650621E-10</v>
      </c>
      <c r="BZ196" s="8">
        <f t="shared" si="213"/>
        <v>-1.0330913937650621E-10</v>
      </c>
      <c r="CA196" s="8">
        <f t="shared" si="213"/>
        <v>-1.0330913937650621E-10</v>
      </c>
      <c r="CB196" s="8">
        <f t="shared" si="213"/>
        <v>-1.0330913937650621E-10</v>
      </c>
      <c r="CC196" s="8">
        <f t="shared" si="213"/>
        <v>-1.0330913937650621E-10</v>
      </c>
      <c r="CD196" s="8">
        <f t="shared" si="213"/>
        <v>-1.0330913937650621E-10</v>
      </c>
      <c r="CE196" s="8">
        <f t="shared" si="213"/>
        <v>-1.0330913937650621E-10</v>
      </c>
      <c r="CF196" s="8">
        <f t="shared" si="213"/>
        <v>-1.0330913937650621E-10</v>
      </c>
      <c r="CG196" s="8">
        <f t="shared" si="213"/>
        <v>-1.0330913937650621E-10</v>
      </c>
      <c r="CH196" s="8">
        <f t="shared" si="213"/>
        <v>-1.0330913937650621E-10</v>
      </c>
      <c r="CI196" s="8">
        <f t="shared" si="213"/>
        <v>-1.0330913937650621E-10</v>
      </c>
      <c r="CJ196" s="8">
        <f t="shared" si="213"/>
        <v>-1.0330913937650621E-10</v>
      </c>
      <c r="CK196" s="8">
        <f t="shared" si="213"/>
        <v>-1.0330913937650621E-10</v>
      </c>
      <c r="CL196" s="8">
        <f t="shared" si="213"/>
        <v>-1.0330913937650621E-10</v>
      </c>
      <c r="CM196" s="8">
        <f t="shared" si="213"/>
        <v>-1.0330913937650621E-10</v>
      </c>
      <c r="CN196" s="8">
        <f t="shared" si="213"/>
        <v>-1.0330913937650621E-10</v>
      </c>
      <c r="CO196" s="8">
        <f t="shared" si="213"/>
        <v>-1.0330913937650621E-10</v>
      </c>
      <c r="CP196" s="8">
        <f t="shared" si="213"/>
        <v>-1.0330913937650621E-10</v>
      </c>
      <c r="CQ196" s="8">
        <f t="shared" si="213"/>
        <v>-1.0330913937650621E-10</v>
      </c>
      <c r="CR196" s="8">
        <f t="shared" si="213"/>
        <v>-1.0330913937650621E-10</v>
      </c>
      <c r="CS196" s="8">
        <f t="shared" si="213"/>
        <v>-1.0330913937650621E-10</v>
      </c>
      <c r="CT196" s="8">
        <f t="shared" si="213"/>
        <v>-1.0330913937650621E-10</v>
      </c>
      <c r="CU196" s="8">
        <f t="shared" si="213"/>
        <v>-1.0330913937650621E-10</v>
      </c>
      <c r="CV196" s="8">
        <f t="shared" si="213"/>
        <v>-1.0330913937650621E-10</v>
      </c>
      <c r="CW196" s="8">
        <f t="shared" si="213"/>
        <v>-1.0330913937650621E-10</v>
      </c>
      <c r="CX196" s="8">
        <f t="shared" si="213"/>
        <v>-1.0330913937650621E-10</v>
      </c>
      <c r="CY196" s="8">
        <f t="shared" si="213"/>
        <v>-1.0330913937650621E-10</v>
      </c>
      <c r="CZ196" s="8">
        <f t="shared" si="213"/>
        <v>-1.0330913937650621E-10</v>
      </c>
      <c r="DA196" s="8">
        <f t="shared" si="213"/>
        <v>-1.0330913937650621E-10</v>
      </c>
    </row>
  </sheetData>
  <pageMargins left="0.7" right="0.7" top="0.75" bottom="0.75" header="0.3" footer="0.3"/>
  <pageSetup scale="55" orientation="portrait" r:id="rId1"/>
  <colBreaks count="1" manualBreakCount="1">
    <brk id="9" max="19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A75A2-FB4E-4529-A496-DB980CB71CC1}">
  <dimension ref="A1:M74"/>
  <sheetViews>
    <sheetView view="pageBreakPreview" zoomScale="60" zoomScaleNormal="40" workbookViewId="0">
      <selection activeCell="N75" sqref="A1:N75"/>
    </sheetView>
  </sheetViews>
  <sheetFormatPr defaultRowHeight="18.75" x14ac:dyDescent="0.4"/>
  <cols>
    <col min="2" max="2" width="12.44140625" bestFit="1" customWidth="1"/>
    <col min="3" max="12" width="11.77734375" customWidth="1"/>
    <col min="13" max="13" width="10.21875" bestFit="1" customWidth="1"/>
    <col min="16" max="16" width="31.21875" customWidth="1"/>
    <col min="17" max="20" width="13.21875" customWidth="1"/>
  </cols>
  <sheetData>
    <row r="1" spans="1:11" x14ac:dyDescent="0.4">
      <c r="A1" t="s">
        <v>462</v>
      </c>
    </row>
    <row r="2" spans="1:11" x14ac:dyDescent="0.4">
      <c r="A2" t="s">
        <v>460</v>
      </c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  <c r="J2">
        <v>9</v>
      </c>
      <c r="K2">
        <v>10</v>
      </c>
    </row>
    <row r="3" spans="1:11" x14ac:dyDescent="0.4">
      <c r="A3" s="25" t="s">
        <v>213</v>
      </c>
      <c r="B3" s="25">
        <f t="shared" ref="B3:K3" si="0">Distance_OH_1PH</f>
        <v>19.95</v>
      </c>
      <c r="C3" s="25">
        <f t="shared" si="0"/>
        <v>19.95</v>
      </c>
      <c r="D3" s="25">
        <f t="shared" si="0"/>
        <v>19.95</v>
      </c>
      <c r="E3" s="25">
        <f t="shared" si="0"/>
        <v>19.95</v>
      </c>
      <c r="F3" s="25">
        <f t="shared" si="0"/>
        <v>19.95</v>
      </c>
      <c r="G3" s="25">
        <f t="shared" si="0"/>
        <v>19.95</v>
      </c>
      <c r="H3" s="25">
        <f t="shared" si="0"/>
        <v>19.95</v>
      </c>
      <c r="I3" s="25">
        <f t="shared" si="0"/>
        <v>19.95</v>
      </c>
      <c r="J3" s="25">
        <f t="shared" si="0"/>
        <v>19.95</v>
      </c>
      <c r="K3" s="25">
        <f t="shared" si="0"/>
        <v>19.95</v>
      </c>
    </row>
    <row r="4" spans="1:11" x14ac:dyDescent="0.4">
      <c r="A4" s="25" t="s">
        <v>214</v>
      </c>
      <c r="B4">
        <f t="shared" ref="B4:K4" si="1">Distance_OH_3PH</f>
        <v>51.319999999999993</v>
      </c>
      <c r="C4">
        <f t="shared" si="1"/>
        <v>51.319999999999993</v>
      </c>
      <c r="D4">
        <f t="shared" si="1"/>
        <v>51.319999999999993</v>
      </c>
      <c r="E4">
        <f t="shared" si="1"/>
        <v>51.319999999999993</v>
      </c>
      <c r="F4">
        <f t="shared" si="1"/>
        <v>51.319999999999993</v>
      </c>
      <c r="G4">
        <f t="shared" si="1"/>
        <v>51.319999999999993</v>
      </c>
      <c r="H4">
        <f t="shared" si="1"/>
        <v>51.319999999999993</v>
      </c>
      <c r="I4">
        <f t="shared" si="1"/>
        <v>51.319999999999993</v>
      </c>
      <c r="J4">
        <f t="shared" si="1"/>
        <v>51.319999999999993</v>
      </c>
      <c r="K4">
        <f t="shared" si="1"/>
        <v>51.319999999999993</v>
      </c>
    </row>
    <row r="5" spans="1:11" x14ac:dyDescent="0.4">
      <c r="A5" s="25" t="s">
        <v>215</v>
      </c>
      <c r="B5" s="25">
        <f t="shared" ref="B5:K5" si="2">Distance_UG_1PH</f>
        <v>49.600000000000009</v>
      </c>
      <c r="C5" s="25">
        <f t="shared" si="2"/>
        <v>49.600000000000009</v>
      </c>
      <c r="D5" s="25">
        <f t="shared" si="2"/>
        <v>49.600000000000009</v>
      </c>
      <c r="E5" s="25">
        <f t="shared" si="2"/>
        <v>49.600000000000009</v>
      </c>
      <c r="F5" s="25">
        <f t="shared" si="2"/>
        <v>49.600000000000009</v>
      </c>
      <c r="G5" s="25">
        <f t="shared" si="2"/>
        <v>49.600000000000009</v>
      </c>
      <c r="H5" s="25">
        <f t="shared" si="2"/>
        <v>49.600000000000009</v>
      </c>
      <c r="I5" s="25">
        <f t="shared" si="2"/>
        <v>49.600000000000009</v>
      </c>
      <c r="J5" s="25">
        <f t="shared" si="2"/>
        <v>49.600000000000009</v>
      </c>
      <c r="K5" s="25">
        <f t="shared" si="2"/>
        <v>49.600000000000009</v>
      </c>
    </row>
    <row r="6" spans="1:11" x14ac:dyDescent="0.4">
      <c r="B6" s="25">
        <f>SUM(B3:B5)</f>
        <v>120.87</v>
      </c>
      <c r="C6" s="25">
        <f t="shared" ref="C6:K6" si="3">SUM(C3:C5)</f>
        <v>120.87</v>
      </c>
      <c r="D6" s="25">
        <f t="shared" si="3"/>
        <v>120.87</v>
      </c>
      <c r="E6" s="25">
        <f t="shared" si="3"/>
        <v>120.87</v>
      </c>
      <c r="F6" s="25">
        <f t="shared" si="3"/>
        <v>120.87</v>
      </c>
      <c r="G6" s="25">
        <f t="shared" si="3"/>
        <v>120.87</v>
      </c>
      <c r="H6" s="25">
        <f t="shared" si="3"/>
        <v>120.87</v>
      </c>
      <c r="I6" s="25">
        <f t="shared" si="3"/>
        <v>120.87</v>
      </c>
      <c r="J6" s="25">
        <f t="shared" si="3"/>
        <v>120.87</v>
      </c>
      <c r="K6" s="25">
        <f t="shared" si="3"/>
        <v>120.87</v>
      </c>
    </row>
    <row r="7" spans="1:11" x14ac:dyDescent="0.4">
      <c r="A7" t="s">
        <v>211</v>
      </c>
    </row>
    <row r="8" spans="1:11" x14ac:dyDescent="0.4">
      <c r="A8" t="s">
        <v>95</v>
      </c>
    </row>
    <row r="9" spans="1:11" x14ac:dyDescent="0.4">
      <c r="A9" t="s">
        <v>460</v>
      </c>
      <c r="B9">
        <v>1</v>
      </c>
      <c r="C9">
        <v>2</v>
      </c>
      <c r="D9">
        <v>3</v>
      </c>
      <c r="E9">
        <v>4</v>
      </c>
      <c r="F9">
        <v>5</v>
      </c>
      <c r="G9">
        <v>6</v>
      </c>
      <c r="H9">
        <v>7</v>
      </c>
      <c r="I9">
        <v>8</v>
      </c>
      <c r="J9">
        <v>9</v>
      </c>
      <c r="K9">
        <v>10</v>
      </c>
    </row>
    <row r="10" spans="1:11" x14ac:dyDescent="0.4">
      <c r="A10" s="25" t="s">
        <v>213</v>
      </c>
      <c r="B10" s="1">
        <f t="shared" ref="B10:K10" si="4">B41*(STORM_AVG_ANNUAL_COST_PER_MILE_OH+STORM_AVG_ANNUAL_INCREASE_PER_MILE*B$9)+B34*((STORM_AVG_ANNUAL_COST_PER_MILE_OH+STORM_AVG_ANNUAL_INCREASE_PER_MILE*B$9)*(1-EFF_SCORE_OH))</f>
        <v>48666.928727549835</v>
      </c>
      <c r="C10" s="1">
        <f t="shared" si="4"/>
        <v>48421.890300548272</v>
      </c>
      <c r="D10" s="1">
        <f t="shared" si="4"/>
        <v>47509.987369512841</v>
      </c>
      <c r="E10" s="1">
        <f t="shared" si="4"/>
        <v>45979.761744503412</v>
      </c>
      <c r="F10" s="1">
        <f t="shared" si="4"/>
        <v>43876.772218910337</v>
      </c>
      <c r="G10" s="1">
        <f t="shared" si="4"/>
        <v>41243.763203230767</v>
      </c>
      <c r="H10" s="1">
        <f t="shared" si="4"/>
        <v>38120.824289551776</v>
      </c>
      <c r="I10" s="1">
        <f t="shared" si="4"/>
        <v>34545.541218567989</v>
      </c>
      <c r="J10" s="1">
        <f t="shared" si="4"/>
        <v>30553.138696989357</v>
      </c>
      <c r="K10" s="1">
        <f t="shared" si="4"/>
        <v>26176.615490419576</v>
      </c>
    </row>
    <row r="11" spans="1:11" x14ac:dyDescent="0.4">
      <c r="A11" s="25" t="s">
        <v>214</v>
      </c>
      <c r="B11" s="1">
        <f t="shared" ref="B11:K11" si="5">B42*(STORM_AVG_ANNUAL_COST_PER_MILE_OH+STORM_AVG_ANNUAL_INCREASE_PER_MILE*B$9)+B35*((STORM_AVG_ANNUAL_COST_PER_MILE_OH+STORM_AVG_ANNUAL_INCREASE_PER_MILE*B$9)*(1-EFF_SCORE_OH))</f>
        <v>125192.31991467957</v>
      </c>
      <c r="C11" s="1">
        <f t="shared" si="5"/>
        <v>124561.9754498314</v>
      </c>
      <c r="D11" s="1">
        <f t="shared" si="5"/>
        <v>122216.16801019543</v>
      </c>
      <c r="E11" s="1">
        <f t="shared" si="5"/>
        <v>118279.76805653708</v>
      </c>
      <c r="F11" s="1">
        <f t="shared" si="5"/>
        <v>112869.97244483599</v>
      </c>
      <c r="G11" s="1">
        <f t="shared" si="5"/>
        <v>106096.73822505276</v>
      </c>
      <c r="H11" s="1">
        <f t="shared" si="5"/>
        <v>98063.193109764252</v>
      </c>
      <c r="I11" s="1">
        <f t="shared" si="5"/>
        <v>88866.023826411474</v>
      </c>
      <c r="J11" s="1">
        <f t="shared" si="5"/>
        <v>78595.843505237775</v>
      </c>
      <c r="K11" s="1">
        <f t="shared" si="5"/>
        <v>67337.53919640767</v>
      </c>
    </row>
    <row r="12" spans="1:11" x14ac:dyDescent="0.4">
      <c r="A12" s="25" t="s">
        <v>215</v>
      </c>
      <c r="B12" s="1">
        <f t="shared" ref="B12:K12" si="6">B43*(STORM_AVG_ANNUAL_COST_PER_MILE_OH+STORM_AVG_ANNUAL_INCREASE_PER_MILE*B$9)+B36*((STORM_AVG_ANNUAL_COST_PER_MILE_OH+STORM_AVG_ANNUAL_INCREASE_PER_MILE*B$9)*(1-EFF_SCORE_UG))</f>
        <v>119932.76916068183</v>
      </c>
      <c r="C12" s="1">
        <f t="shared" si="6"/>
        <v>118101.04432293725</v>
      </c>
      <c r="D12" s="1">
        <f t="shared" si="6"/>
        <v>114463.97558031506</v>
      </c>
      <c r="E12" s="1">
        <f t="shared" si="6"/>
        <v>109152.97592659912</v>
      </c>
      <c r="F12" s="1">
        <f t="shared" si="6"/>
        <v>102291.3826956306</v>
      </c>
      <c r="G12" s="1">
        <f t="shared" si="6"/>
        <v>93994.914088771009</v>
      </c>
      <c r="H12" s="1">
        <f t="shared" si="6"/>
        <v>84372.101149861526</v>
      </c>
      <c r="I12" s="1">
        <f t="shared" si="6"/>
        <v>73524.696465016576</v>
      </c>
      <c r="J12" s="1">
        <f t="shared" si="6"/>
        <v>61548.060799691826</v>
      </c>
      <c r="K12" s="1">
        <f t="shared" si="6"/>
        <v>48531.528823810171</v>
      </c>
    </row>
    <row r="14" spans="1:11" x14ac:dyDescent="0.4">
      <c r="A14" t="s">
        <v>114</v>
      </c>
    </row>
    <row r="15" spans="1:11" x14ac:dyDescent="0.4">
      <c r="A15" t="s">
        <v>460</v>
      </c>
      <c r="B15">
        <v>1</v>
      </c>
      <c r="C15">
        <v>2</v>
      </c>
      <c r="D15">
        <v>3</v>
      </c>
      <c r="E15">
        <v>4</v>
      </c>
      <c r="F15">
        <v>5</v>
      </c>
      <c r="G15">
        <v>6</v>
      </c>
      <c r="H15">
        <v>7</v>
      </c>
      <c r="I15">
        <v>8</v>
      </c>
      <c r="J15">
        <v>9</v>
      </c>
      <c r="K15">
        <v>10</v>
      </c>
    </row>
    <row r="16" spans="1:11" x14ac:dyDescent="0.4">
      <c r="A16" s="25" t="s">
        <v>213</v>
      </c>
      <c r="B16" s="1">
        <f t="shared" ref="B16:K16" si="7">B3*(STORM_AVG_ANNUAL_COST_PER_MILE_OH+STORM_AVG_ANNUAL_INCREASE_PER_MILE*B$15)*(1-EFF_SCORE_OH)</f>
        <v>5348.0141458845965</v>
      </c>
      <c r="C16" s="1">
        <f t="shared" si="7"/>
        <v>5876.6883294030304</v>
      </c>
      <c r="D16" s="1">
        <f t="shared" si="7"/>
        <v>6405.3625129214643</v>
      </c>
      <c r="E16" s="1">
        <f t="shared" si="7"/>
        <v>6934.0366964398982</v>
      </c>
      <c r="F16" s="1">
        <f t="shared" si="7"/>
        <v>7462.710879958332</v>
      </c>
      <c r="G16" s="1">
        <f t="shared" si="7"/>
        <v>7991.3850634767659</v>
      </c>
      <c r="H16" s="1">
        <f t="shared" si="7"/>
        <v>8520.0592469951989</v>
      </c>
      <c r="I16" s="1">
        <f t="shared" si="7"/>
        <v>9048.7334305136337</v>
      </c>
      <c r="J16" s="1">
        <f t="shared" si="7"/>
        <v>9577.4076140320685</v>
      </c>
      <c r="K16" s="1">
        <f t="shared" si="7"/>
        <v>10106.081797550502</v>
      </c>
    </row>
    <row r="17" spans="1:12" x14ac:dyDescent="0.4">
      <c r="A17" s="25" t="s">
        <v>214</v>
      </c>
      <c r="B17" s="1">
        <f t="shared" ref="B17:K17" si="8">B4*(STORM_AVG_ANNUAL_COST_PER_MILE_OH+STORM_AVG_ANNUAL_INCREASE_PER_MILE*B$15)*(1-EFF_SCORE_OH)</f>
        <v>13757.397792821928</v>
      </c>
      <c r="C17" s="1">
        <f t="shared" si="8"/>
        <v>15117.375692479372</v>
      </c>
      <c r="D17" s="1">
        <f t="shared" si="8"/>
        <v>16477.35359213682</v>
      </c>
      <c r="E17" s="1">
        <f t="shared" si="8"/>
        <v>17837.331491794263</v>
      </c>
      <c r="F17" s="1">
        <f t="shared" si="8"/>
        <v>19197.309391451709</v>
      </c>
      <c r="G17" s="1">
        <f t="shared" si="8"/>
        <v>20557.287291109151</v>
      </c>
      <c r="H17" s="1">
        <f t="shared" si="8"/>
        <v>21917.265190766597</v>
      </c>
      <c r="I17" s="1">
        <f t="shared" si="8"/>
        <v>23277.243090424043</v>
      </c>
      <c r="J17" s="1">
        <f t="shared" si="8"/>
        <v>24637.220990081485</v>
      </c>
      <c r="K17" s="1">
        <f t="shared" si="8"/>
        <v>25997.198889738931</v>
      </c>
    </row>
    <row r="18" spans="1:12" x14ac:dyDescent="0.4">
      <c r="A18" s="25" t="s">
        <v>215</v>
      </c>
      <c r="B18" s="1">
        <f t="shared" ref="B18:K18" si="9">B5*(STORM_AVG_ANNUAL_COST_PER_MILE_OH+STORM_AVG_ANNUAL_INCREASE_PER_MILE*B$15)*(1-EFF_SCORE_UG)</f>
        <v>2659.2631742944995</v>
      </c>
      <c r="C18" s="1">
        <f t="shared" si="9"/>
        <v>2922.1427683046686</v>
      </c>
      <c r="D18" s="1">
        <f t="shared" si="9"/>
        <v>3185.0223623148377</v>
      </c>
      <c r="E18" s="1">
        <f t="shared" si="9"/>
        <v>3447.9019563250063</v>
      </c>
      <c r="F18" s="1">
        <f t="shared" si="9"/>
        <v>3710.7815503351753</v>
      </c>
      <c r="G18" s="1">
        <f t="shared" si="9"/>
        <v>3973.6611443453439</v>
      </c>
      <c r="H18" s="1">
        <f t="shared" si="9"/>
        <v>4236.5407383555139</v>
      </c>
      <c r="I18" s="1">
        <f t="shared" si="9"/>
        <v>4499.420332365683</v>
      </c>
      <c r="J18" s="1">
        <f t="shared" si="9"/>
        <v>4762.299926375852</v>
      </c>
      <c r="K18" s="1">
        <f t="shared" si="9"/>
        <v>5025.1795203860202</v>
      </c>
    </row>
    <row r="20" spans="1:12" x14ac:dyDescent="0.4">
      <c r="A20" s="101" t="s">
        <v>212</v>
      </c>
    </row>
    <row r="21" spans="1:12" x14ac:dyDescent="0.4">
      <c r="A21" t="s">
        <v>460</v>
      </c>
      <c r="B21">
        <v>1</v>
      </c>
      <c r="C21">
        <v>2</v>
      </c>
      <c r="D21">
        <v>3</v>
      </c>
      <c r="E21">
        <v>4</v>
      </c>
      <c r="F21">
        <v>5</v>
      </c>
      <c r="G21">
        <v>6</v>
      </c>
      <c r="H21">
        <v>7</v>
      </c>
      <c r="I21">
        <v>8</v>
      </c>
      <c r="J21">
        <v>9</v>
      </c>
      <c r="K21">
        <v>10</v>
      </c>
    </row>
    <row r="22" spans="1:12" x14ac:dyDescent="0.4">
      <c r="A22" s="25" t="s">
        <v>213</v>
      </c>
      <c r="B22" s="1">
        <f>Total_All_In_Cost_Per_Mile_OH1PH</f>
        <v>502821.6040100251</v>
      </c>
      <c r="C22" s="1">
        <f t="shared" ref="C22:K22" si="10">B22*(1+Handy_Whitman_Escalator_Avg_10_yr)</f>
        <v>537570.22269296786</v>
      </c>
      <c r="D22" s="1">
        <f t="shared" si="10"/>
        <v>574720.22288128536</v>
      </c>
      <c r="E22" s="1">
        <f t="shared" si="10"/>
        <v>614437.55744887376</v>
      </c>
      <c r="F22" s="1">
        <f t="shared" si="10"/>
        <v>656899.64781650226</v>
      </c>
      <c r="G22" s="1">
        <f t="shared" si="10"/>
        <v>702296.17651155789</v>
      </c>
      <c r="H22" s="1">
        <f t="shared" si="10"/>
        <v>750829.9344994151</v>
      </c>
      <c r="I22" s="1">
        <f t="shared" si="10"/>
        <v>802717.72707154742</v>
      </c>
      <c r="J22" s="1">
        <f t="shared" si="10"/>
        <v>858191.34233707516</v>
      </c>
      <c r="K22" s="1">
        <f t="shared" si="10"/>
        <v>917498.58664410224</v>
      </c>
      <c r="L22" s="51"/>
    </row>
    <row r="23" spans="1:12" x14ac:dyDescent="0.4">
      <c r="A23" s="25" t="s">
        <v>214</v>
      </c>
      <c r="B23" s="1">
        <f>Total_All_In_Cost_Per_Mile_OH3PH</f>
        <v>703872.23304754496</v>
      </c>
      <c r="C23" s="1">
        <f t="shared" ref="C23:K23" si="11">B23*(1+Handy_Whitman_Escalator_Avg_10_yr)</f>
        <v>752514.90796966874</v>
      </c>
      <c r="D23" s="1">
        <f t="shared" si="11"/>
        <v>804519.14442595746</v>
      </c>
      <c r="E23" s="1">
        <f t="shared" si="11"/>
        <v>860117.2506923452</v>
      </c>
      <c r="F23" s="1">
        <f t="shared" si="11"/>
        <v>919557.58923104778</v>
      </c>
      <c r="G23" s="1">
        <f t="shared" si="11"/>
        <v>983105.68615124025</v>
      </c>
      <c r="H23" s="1">
        <f t="shared" si="11"/>
        <v>1051045.4173415117</v>
      </c>
      <c r="I23" s="1">
        <f t="shared" si="11"/>
        <v>1123680.2765726724</v>
      </c>
      <c r="J23" s="1">
        <f t="shared" si="11"/>
        <v>1201334.7312356604</v>
      </c>
      <c r="K23" s="1">
        <f t="shared" si="11"/>
        <v>1284355.6717707673</v>
      </c>
      <c r="L23" s="51"/>
    </row>
    <row r="24" spans="1:12" x14ac:dyDescent="0.4">
      <c r="A24" s="25" t="s">
        <v>215</v>
      </c>
      <c r="B24" s="1">
        <f>Total_All_In_Cost_Per_Mile_UG1PH</f>
        <v>601670.60483870958</v>
      </c>
      <c r="C24" s="1">
        <f t="shared" ref="C24:K24" si="12">B24*(1+Handy_Whitman_Escalator_Avg_10_yr)</f>
        <v>643250.40621068678</v>
      </c>
      <c r="D24" s="1">
        <f t="shared" si="12"/>
        <v>687703.67334321339</v>
      </c>
      <c r="E24" s="1">
        <f t="shared" si="12"/>
        <v>735228.98355519434</v>
      </c>
      <c r="F24" s="1">
        <f t="shared" si="12"/>
        <v>786038.63729811029</v>
      </c>
      <c r="G24" s="1">
        <f t="shared" si="12"/>
        <v>840359.60652398178</v>
      </c>
      <c r="H24" s="1">
        <f t="shared" si="12"/>
        <v>898434.54859243636</v>
      </c>
      <c r="I24" s="1">
        <f t="shared" si="12"/>
        <v>960522.89024610538</v>
      </c>
      <c r="J24" s="1">
        <f t="shared" si="12"/>
        <v>1026901.9864965809</v>
      </c>
      <c r="K24" s="1">
        <f t="shared" si="12"/>
        <v>1097868.3595977945</v>
      </c>
      <c r="L24" s="51"/>
    </row>
    <row r="26" spans="1:12" x14ac:dyDescent="0.4">
      <c r="A26" s="143" t="s">
        <v>457</v>
      </c>
    </row>
    <row r="27" spans="1:12" x14ac:dyDescent="0.4">
      <c r="A27" t="s">
        <v>460</v>
      </c>
      <c r="B27">
        <v>1</v>
      </c>
      <c r="C27">
        <v>2</v>
      </c>
      <c r="D27">
        <v>3</v>
      </c>
      <c r="E27">
        <v>4</v>
      </c>
      <c r="F27">
        <v>5</v>
      </c>
      <c r="G27">
        <v>6</v>
      </c>
      <c r="H27">
        <v>7</v>
      </c>
      <c r="I27">
        <v>8</v>
      </c>
      <c r="J27">
        <v>9</v>
      </c>
      <c r="K27">
        <v>10</v>
      </c>
    </row>
    <row r="28" spans="1:12" x14ac:dyDescent="0.4">
      <c r="A28" s="25" t="s">
        <v>213</v>
      </c>
      <c r="B28" s="1">
        <f>'Rev Req''t_Baseline_OH1PH'!F9</f>
        <v>1003129.1000000001</v>
      </c>
      <c r="C28" s="1">
        <f>'Rev Req''t_Baseline_OH1PH'!G9</f>
        <v>1025197.9402000001</v>
      </c>
      <c r="D28" s="1">
        <f>'Rev Req''t_Baseline_OH1PH'!H9</f>
        <v>1047752.2948844001</v>
      </c>
      <c r="E28" s="1">
        <f>'Rev Req''t_Baseline_OH1PH'!I9</f>
        <v>1070802.8453718568</v>
      </c>
      <c r="F28" s="1">
        <f>'Rev Req''t_Baseline_OH1PH'!J9</f>
        <v>1094360.5079700379</v>
      </c>
      <c r="G28" s="1">
        <f>'Rev Req''t_Baseline_OH1PH'!K9</f>
        <v>1118436.4391453785</v>
      </c>
      <c r="H28" s="1">
        <f>'Rev Req''t_Baseline_OH1PH'!L9</f>
        <v>1143042.0408065771</v>
      </c>
      <c r="I28" s="1">
        <f>'Rev Req''t_Baseline_OH1PH'!M9</f>
        <v>1168188.9657043219</v>
      </c>
      <c r="J28" s="1">
        <f>'Rev Req''t_Baseline_OH1PH'!N9</f>
        <v>1193889.1229498168</v>
      </c>
      <c r="K28" s="1">
        <f>'Rev Req''t_Baseline_OH1PH'!O9</f>
        <v>1220154.6836547127</v>
      </c>
      <c r="L28" s="1"/>
    </row>
    <row r="29" spans="1:12" x14ac:dyDescent="0.4">
      <c r="A29" s="25" t="s">
        <v>214</v>
      </c>
      <c r="B29" s="1">
        <f>'Rev Req''t_Baseline_OH3PH'!F9</f>
        <v>3612272.3000000003</v>
      </c>
      <c r="C29" s="1">
        <f>'Rev Req''t_Baseline_OH3PH'!G9</f>
        <v>3691742.2906000004</v>
      </c>
      <c r="D29" s="1">
        <f>'Rev Req''t_Baseline_OH3PH'!H9</f>
        <v>3772960.6209932002</v>
      </c>
      <c r="E29" s="1">
        <f>'Rev Req''t_Baseline_OH3PH'!I9</f>
        <v>3855965.7546550506</v>
      </c>
      <c r="F29" s="1">
        <f>'Rev Req''t_Baseline_OH3PH'!J9</f>
        <v>3940797.001257462</v>
      </c>
      <c r="G29" s="1">
        <f>'Rev Req''t_Baseline_OH3PH'!K9</f>
        <v>4027494.535285126</v>
      </c>
      <c r="H29" s="1">
        <f>'Rev Req''t_Baseline_OH3PH'!L9</f>
        <v>4116099.4150613993</v>
      </c>
      <c r="I29" s="1">
        <f>'Rev Req''t_Baseline_OH3PH'!M9</f>
        <v>4206653.6021927502</v>
      </c>
      <c r="J29" s="1">
        <f>'Rev Req''t_Baseline_OH3PH'!N9</f>
        <v>4299199.9814409902</v>
      </c>
      <c r="K29" s="1">
        <f>'Rev Req''t_Baseline_OH3PH'!O9</f>
        <v>4393782.3810326923</v>
      </c>
      <c r="L29" s="1"/>
    </row>
    <row r="30" spans="1:12" x14ac:dyDescent="0.4">
      <c r="A30" s="25" t="s">
        <v>215</v>
      </c>
      <c r="B30" s="1">
        <f>'Rev Req''t_Baseline_UG1PH'!F9</f>
        <v>2984286.2</v>
      </c>
      <c r="C30" s="1">
        <f>'Rev Req''t_Baseline_UG1PH'!G9</f>
        <v>3049940.4964000001</v>
      </c>
      <c r="D30" s="1">
        <f>'Rev Req''t_Baseline_UG1PH'!H9</f>
        <v>3117039.1873208</v>
      </c>
      <c r="E30" s="1">
        <f>'Rev Req''t_Baseline_UG1PH'!I9</f>
        <v>3185614.0494418577</v>
      </c>
      <c r="F30" s="1">
        <f>'Rev Req''t_Baseline_UG1PH'!J9</f>
        <v>3255697.5585295786</v>
      </c>
      <c r="G30" s="1">
        <f>'Rev Req''t_Baseline_UG1PH'!K9</f>
        <v>3327322.9048172296</v>
      </c>
      <c r="H30" s="1">
        <f>'Rev Req''t_Baseline_UG1PH'!L9</f>
        <v>3400524.0087232087</v>
      </c>
      <c r="I30" s="1">
        <f>'Rev Req''t_Baseline_UG1PH'!M9</f>
        <v>3475335.5369151197</v>
      </c>
      <c r="J30" s="1">
        <f>'Rev Req''t_Baseline_UG1PH'!N9</f>
        <v>3551792.9187272522</v>
      </c>
      <c r="K30" s="1">
        <f>'Rev Req''t_Baseline_UG1PH'!O9</f>
        <v>3629932.3629392516</v>
      </c>
      <c r="L30" s="1"/>
    </row>
    <row r="32" spans="1:12" x14ac:dyDescent="0.4">
      <c r="A32" t="s">
        <v>458</v>
      </c>
    </row>
    <row r="33" spans="1:13" x14ac:dyDescent="0.4">
      <c r="A33" t="s">
        <v>460</v>
      </c>
      <c r="B33">
        <v>1</v>
      </c>
      <c r="C33">
        <v>2</v>
      </c>
      <c r="D33">
        <v>3</v>
      </c>
      <c r="E33">
        <v>4</v>
      </c>
      <c r="F33">
        <v>5</v>
      </c>
      <c r="G33">
        <v>6</v>
      </c>
      <c r="H33">
        <v>7</v>
      </c>
      <c r="I33">
        <v>8</v>
      </c>
      <c r="J33">
        <v>9</v>
      </c>
      <c r="K33">
        <v>10</v>
      </c>
      <c r="L33" s="54" t="s">
        <v>216</v>
      </c>
    </row>
    <row r="34" spans="1:13" x14ac:dyDescent="0.4">
      <c r="A34" s="25" t="s">
        <v>213</v>
      </c>
      <c r="B34" s="25">
        <f>B28/B22</f>
        <v>1.9950000000000001</v>
      </c>
      <c r="C34" s="25">
        <f t="shared" ref="C34:K34" si="13">C28/C22+B34</f>
        <v>3.9020958489185884</v>
      </c>
      <c r="D34" s="25">
        <f t="shared" si="13"/>
        <v>5.7251607997769902</v>
      </c>
      <c r="E34" s="25">
        <f t="shared" si="13"/>
        <v>7.4678974414266284</v>
      </c>
      <c r="F34" s="25">
        <f t="shared" si="13"/>
        <v>9.1338452183932191</v>
      </c>
      <c r="G34" s="25">
        <f t="shared" si="13"/>
        <v>10.726387619379752</v>
      </c>
      <c r="H34" s="25">
        <f t="shared" si="13"/>
        <v>12.248759049028003</v>
      </c>
      <c r="I34" s="25">
        <f t="shared" si="13"/>
        <v>13.704051396894888</v>
      </c>
      <c r="J34" s="25">
        <f t="shared" si="13"/>
        <v>15.095220316985076</v>
      </c>
      <c r="K34" s="25">
        <f t="shared" si="13"/>
        <v>16.425091230593374</v>
      </c>
      <c r="L34" s="25"/>
    </row>
    <row r="35" spans="1:13" x14ac:dyDescent="0.4">
      <c r="A35" s="25" t="s">
        <v>214</v>
      </c>
      <c r="B35" s="25">
        <f>B29/B23</f>
        <v>5.1319999999999997</v>
      </c>
      <c r="C35" s="25">
        <f t="shared" ref="C35:K35" si="14">C29/C23+B35</f>
        <v>10.037872629899848</v>
      </c>
      <c r="D35" s="25">
        <f t="shared" si="14"/>
        <v>14.727581566143115</v>
      </c>
      <c r="E35" s="25">
        <f t="shared" si="14"/>
        <v>19.210651463359127</v>
      </c>
      <c r="F35" s="25">
        <f t="shared" si="14"/>
        <v>23.496187298643608</v>
      </c>
      <c r="G35" s="25">
        <f t="shared" si="14"/>
        <v>27.592892863487162</v>
      </c>
      <c r="H35" s="25">
        <f t="shared" si="14"/>
        <v>31.509088440908126</v>
      </c>
      <c r="I35" s="25">
        <f t="shared" si="14"/>
        <v>35.252727703691512</v>
      </c>
      <c r="J35" s="25">
        <f t="shared" si="14"/>
        <v>38.831413868053836</v>
      </c>
      <c r="K35" s="25">
        <f t="shared" si="14"/>
        <v>42.25241513554144</v>
      </c>
      <c r="L35" s="25"/>
    </row>
    <row r="36" spans="1:13" x14ac:dyDescent="0.4">
      <c r="A36" s="25" t="s">
        <v>215</v>
      </c>
      <c r="B36" s="25">
        <f>B30/B24</f>
        <v>4.9600000000000009</v>
      </c>
      <c r="C36" s="25">
        <f t="shared" ref="C36:K36" si="15">C30/C24+B36</f>
        <v>9.7014513336522317</v>
      </c>
      <c r="D36" s="25">
        <f t="shared" si="15"/>
        <v>14.233983742803948</v>
      </c>
      <c r="E36" s="25">
        <f t="shared" si="15"/>
        <v>18.56680266139152</v>
      </c>
      <c r="F36" s="25">
        <f t="shared" si="15"/>
        <v>22.70870791139367</v>
      </c>
      <c r="G36" s="25">
        <f t="shared" si="15"/>
        <v>26.668111574999287</v>
      </c>
      <c r="H36" s="25">
        <f t="shared" si="15"/>
        <v>30.453055079287672</v>
      </c>
      <c r="I36" s="25">
        <f t="shared" si="15"/>
        <v>34.071225528119626</v>
      </c>
      <c r="J36" s="25">
        <f t="shared" si="15"/>
        <v>37.529971314409018</v>
      </c>
      <c r="K36" s="25">
        <f t="shared" si="15"/>
        <v>40.836317044482776</v>
      </c>
      <c r="L36" s="25"/>
    </row>
    <row r="37" spans="1:13" x14ac:dyDescent="0.4">
      <c r="A37" s="25" t="s">
        <v>217</v>
      </c>
      <c r="B37" s="25">
        <f t="shared" ref="B37:K37" si="16">SUM(B34:B36)</f>
        <v>12.087</v>
      </c>
      <c r="C37" s="25">
        <f t="shared" si="16"/>
        <v>23.641419812470666</v>
      </c>
      <c r="D37" s="25">
        <f t="shared" si="16"/>
        <v>34.686726108724052</v>
      </c>
      <c r="E37" s="25">
        <f t="shared" si="16"/>
        <v>45.245351566177277</v>
      </c>
      <c r="F37" s="25">
        <f t="shared" si="16"/>
        <v>55.338740428430498</v>
      </c>
      <c r="G37" s="25">
        <f t="shared" si="16"/>
        <v>64.987392057866202</v>
      </c>
      <c r="H37" s="25">
        <f t="shared" si="16"/>
        <v>74.210902569223805</v>
      </c>
      <c r="I37" s="25">
        <f t="shared" si="16"/>
        <v>83.028004628706029</v>
      </c>
      <c r="J37" s="25">
        <f t="shared" si="16"/>
        <v>91.456605499447932</v>
      </c>
      <c r="K37" s="25">
        <f t="shared" si="16"/>
        <v>99.51382341061759</v>
      </c>
      <c r="L37" s="102">
        <f>K37/SUM(Results!U3:U5)</f>
        <v>0.82331284363876556</v>
      </c>
      <c r="M37" s="89" t="str">
        <f>"so this means "&amp;ROUND(L37,2)*100&amp;"% of the accelerated case miles treated in the baseline scenario"</f>
        <v>so this means 82% of the accelerated case miles treated in the baseline scenario</v>
      </c>
    </row>
    <row r="38" spans="1:13" x14ac:dyDescent="0.4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</row>
    <row r="39" spans="1:13" x14ac:dyDescent="0.4">
      <c r="A39" s="25" t="s">
        <v>459</v>
      </c>
    </row>
    <row r="40" spans="1:13" x14ac:dyDescent="0.4">
      <c r="A40" t="s">
        <v>460</v>
      </c>
      <c r="B40">
        <v>1</v>
      </c>
      <c r="C40">
        <v>2</v>
      </c>
      <c r="D40">
        <v>3</v>
      </c>
      <c r="E40">
        <v>4</v>
      </c>
      <c r="F40">
        <v>5</v>
      </c>
      <c r="G40">
        <v>6</v>
      </c>
      <c r="H40">
        <v>7</v>
      </c>
      <c r="I40">
        <v>8</v>
      </c>
      <c r="J40">
        <v>9</v>
      </c>
      <c r="K40">
        <v>10</v>
      </c>
    </row>
    <row r="41" spans="1:13" x14ac:dyDescent="0.4">
      <c r="A41" s="25" t="s">
        <v>213</v>
      </c>
      <c r="B41" s="25">
        <f t="shared" ref="B41:K41" si="17">B3-B34</f>
        <v>17.954999999999998</v>
      </c>
      <c r="C41" s="25">
        <f t="shared" si="17"/>
        <v>16.047904151081411</v>
      </c>
      <c r="D41" s="25">
        <f t="shared" si="17"/>
        <v>14.224839200223009</v>
      </c>
      <c r="E41" s="25">
        <f t="shared" si="17"/>
        <v>12.48210255857337</v>
      </c>
      <c r="F41" s="25">
        <f t="shared" si="17"/>
        <v>10.81615478160678</v>
      </c>
      <c r="G41" s="25">
        <f t="shared" si="17"/>
        <v>9.2236123806202475</v>
      </c>
      <c r="H41" s="25">
        <f t="shared" si="17"/>
        <v>7.7012409509719966</v>
      </c>
      <c r="I41" s="25">
        <f t="shared" si="17"/>
        <v>6.245948603105111</v>
      </c>
      <c r="J41" s="25">
        <f t="shared" si="17"/>
        <v>4.8547796830149235</v>
      </c>
      <c r="K41" s="25">
        <f t="shared" si="17"/>
        <v>3.5249087694066255</v>
      </c>
    </row>
    <row r="42" spans="1:13" x14ac:dyDescent="0.4">
      <c r="A42" s="25" t="s">
        <v>214</v>
      </c>
      <c r="B42" s="25">
        <f t="shared" ref="B42:K42" si="18">B4-B35</f>
        <v>46.187999999999995</v>
      </c>
      <c r="C42" s="25">
        <f t="shared" si="18"/>
        <v>41.282127370100142</v>
      </c>
      <c r="D42" s="25">
        <f t="shared" si="18"/>
        <v>36.592418433856878</v>
      </c>
      <c r="E42" s="25">
        <f t="shared" si="18"/>
        <v>32.109348536640866</v>
      </c>
      <c r="F42" s="25">
        <f t="shared" si="18"/>
        <v>27.823812701356385</v>
      </c>
      <c r="G42" s="25">
        <f t="shared" si="18"/>
        <v>23.727107136512831</v>
      </c>
      <c r="H42" s="25">
        <f t="shared" si="18"/>
        <v>19.810911559091867</v>
      </c>
      <c r="I42" s="25">
        <f t="shared" si="18"/>
        <v>16.067272296308481</v>
      </c>
      <c r="J42" s="25">
        <f t="shared" si="18"/>
        <v>12.488586131946157</v>
      </c>
      <c r="K42" s="25">
        <f t="shared" si="18"/>
        <v>9.0675848644585528</v>
      </c>
    </row>
    <row r="43" spans="1:13" x14ac:dyDescent="0.4">
      <c r="A43" s="25" t="s">
        <v>215</v>
      </c>
      <c r="B43" s="25">
        <f t="shared" ref="B43:K43" si="19">B5-B36</f>
        <v>44.640000000000008</v>
      </c>
      <c r="C43" s="25">
        <f t="shared" si="19"/>
        <v>39.898548666347779</v>
      </c>
      <c r="D43" s="25">
        <f t="shared" si="19"/>
        <v>35.366016257196058</v>
      </c>
      <c r="E43" s="25">
        <f t="shared" si="19"/>
        <v>31.033197338608488</v>
      </c>
      <c r="F43" s="25">
        <f t="shared" si="19"/>
        <v>26.891292088606338</v>
      </c>
      <c r="G43" s="25">
        <f t="shared" si="19"/>
        <v>22.931888425000722</v>
      </c>
      <c r="H43" s="25">
        <f t="shared" si="19"/>
        <v>19.146944920712336</v>
      </c>
      <c r="I43" s="25">
        <f t="shared" si="19"/>
        <v>15.528774471880382</v>
      </c>
      <c r="J43" s="25">
        <f t="shared" si="19"/>
        <v>12.070028685590991</v>
      </c>
      <c r="K43" s="25">
        <f t="shared" si="19"/>
        <v>8.7636829555172326</v>
      </c>
    </row>
    <row r="44" spans="1:13" x14ac:dyDescent="0.4">
      <c r="A44" s="25" t="s">
        <v>217</v>
      </c>
      <c r="B44" s="25">
        <f t="shared" ref="B44:K44" si="20">SUM(B41:B43)</f>
        <v>108.78300000000002</v>
      </c>
      <c r="C44" s="25">
        <f t="shared" si="20"/>
        <v>97.228580187529332</v>
      </c>
      <c r="D44" s="25">
        <f t="shared" si="20"/>
        <v>86.183273891275945</v>
      </c>
      <c r="E44" s="25">
        <f t="shared" si="20"/>
        <v>75.624648433822728</v>
      </c>
      <c r="F44" s="25">
        <f t="shared" si="20"/>
        <v>65.531259571569507</v>
      </c>
      <c r="G44" s="25">
        <f t="shared" si="20"/>
        <v>55.882607942133802</v>
      </c>
      <c r="H44" s="25">
        <f t="shared" si="20"/>
        <v>46.6590974307762</v>
      </c>
      <c r="I44" s="25">
        <f t="shared" si="20"/>
        <v>37.841995371293976</v>
      </c>
      <c r="J44" s="25">
        <f t="shared" si="20"/>
        <v>29.413394500552073</v>
      </c>
      <c r="K44" s="25">
        <f t="shared" si="20"/>
        <v>21.356176589382411</v>
      </c>
      <c r="L44" s="89">
        <f>(K44+K37)-SUM(Results!U3:U5)</f>
        <v>0</v>
      </c>
      <c r="M44" s="54" t="s">
        <v>218</v>
      </c>
    </row>
    <row r="45" spans="1:13" x14ac:dyDescent="0.4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</row>
    <row r="46" spans="1:13" x14ac:dyDescent="0.4">
      <c r="A46" s="25" t="s">
        <v>461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</row>
    <row r="47" spans="1:13" x14ac:dyDescent="0.4">
      <c r="A47" s="25" t="s">
        <v>219</v>
      </c>
    </row>
    <row r="48" spans="1:13" x14ac:dyDescent="0.4">
      <c r="A48" t="s">
        <v>460</v>
      </c>
      <c r="B48">
        <v>1</v>
      </c>
      <c r="C48">
        <v>2</v>
      </c>
      <c r="D48">
        <v>3</v>
      </c>
      <c r="E48">
        <v>4</v>
      </c>
      <c r="F48">
        <v>5</v>
      </c>
      <c r="G48">
        <v>6</v>
      </c>
      <c r="H48">
        <v>7</v>
      </c>
      <c r="I48">
        <v>8</v>
      </c>
      <c r="J48">
        <v>9</v>
      </c>
      <c r="K48">
        <v>10</v>
      </c>
    </row>
    <row r="49" spans="1:13" x14ac:dyDescent="0.4">
      <c r="A49" s="25" t="s">
        <v>213</v>
      </c>
      <c r="B49" s="4">
        <f t="shared" ref="B49:K49" si="21">B34/B3</f>
        <v>0.1</v>
      </c>
      <c r="C49" s="4">
        <f t="shared" si="21"/>
        <v>0.1955937768881498</v>
      </c>
      <c r="D49" s="4">
        <f t="shared" si="21"/>
        <v>0.28697547868556345</v>
      </c>
      <c r="E49" s="4">
        <f t="shared" si="21"/>
        <v>0.37433069881837738</v>
      </c>
      <c r="F49" s="4">
        <f t="shared" si="21"/>
        <v>0.45783685305229171</v>
      </c>
      <c r="G49" s="4">
        <f t="shared" si="21"/>
        <v>0.53766353981853399</v>
      </c>
      <c r="H49" s="4">
        <f t="shared" si="21"/>
        <v>0.61397288466305777</v>
      </c>
      <c r="I49" s="4">
        <f t="shared" si="21"/>
        <v>0.68691986951854078</v>
      </c>
      <c r="J49" s="4">
        <f t="shared" si="21"/>
        <v>0.7566526474679236</v>
      </c>
      <c r="K49" s="4">
        <f t="shared" si="21"/>
        <v>0.82331284363876567</v>
      </c>
    </row>
    <row r="50" spans="1:13" x14ac:dyDescent="0.4">
      <c r="A50" s="25" t="s">
        <v>214</v>
      </c>
      <c r="B50" s="4">
        <f t="shared" ref="B50:K50" si="22">B35/B4</f>
        <v>0.1</v>
      </c>
      <c r="C50" s="4">
        <f t="shared" si="22"/>
        <v>0.19559377688814983</v>
      </c>
      <c r="D50" s="4">
        <f t="shared" si="22"/>
        <v>0.28697547868556345</v>
      </c>
      <c r="E50" s="4">
        <f t="shared" si="22"/>
        <v>0.37433069881837744</v>
      </c>
      <c r="F50" s="4">
        <f t="shared" si="22"/>
        <v>0.45783685305229171</v>
      </c>
      <c r="G50" s="4">
        <f t="shared" si="22"/>
        <v>0.53766353981853399</v>
      </c>
      <c r="H50" s="4">
        <f t="shared" si="22"/>
        <v>0.61397288466305788</v>
      </c>
      <c r="I50" s="4">
        <f t="shared" si="22"/>
        <v>0.68691986951854089</v>
      </c>
      <c r="J50" s="4">
        <f t="shared" si="22"/>
        <v>0.7566526474679236</v>
      </c>
      <c r="K50" s="4">
        <f t="shared" si="22"/>
        <v>0.82331284363876556</v>
      </c>
    </row>
    <row r="51" spans="1:13" x14ac:dyDescent="0.4">
      <c r="A51" s="25" t="s">
        <v>215</v>
      </c>
      <c r="B51" s="4">
        <f t="shared" ref="B51:K51" si="23">B36/B5</f>
        <v>0.1</v>
      </c>
      <c r="C51" s="4">
        <f t="shared" si="23"/>
        <v>0.1955937768881498</v>
      </c>
      <c r="D51" s="4">
        <f t="shared" si="23"/>
        <v>0.28697547868556345</v>
      </c>
      <c r="E51" s="4">
        <f t="shared" si="23"/>
        <v>0.37433069881837738</v>
      </c>
      <c r="F51" s="4">
        <f t="shared" si="23"/>
        <v>0.45783685305229166</v>
      </c>
      <c r="G51" s="4">
        <f t="shared" si="23"/>
        <v>0.53766353981853388</v>
      </c>
      <c r="H51" s="4">
        <f t="shared" si="23"/>
        <v>0.61397288466305777</v>
      </c>
      <c r="I51" s="4">
        <f t="shared" si="23"/>
        <v>0.68691986951854078</v>
      </c>
      <c r="J51" s="4">
        <f t="shared" si="23"/>
        <v>0.7566526474679236</v>
      </c>
      <c r="K51" s="4">
        <f t="shared" si="23"/>
        <v>0.82331284363876545</v>
      </c>
    </row>
    <row r="53" spans="1:13" x14ac:dyDescent="0.4">
      <c r="A53" s="25" t="s">
        <v>220</v>
      </c>
    </row>
    <row r="54" spans="1:13" x14ac:dyDescent="0.4">
      <c r="A54" t="s">
        <v>460</v>
      </c>
      <c r="B54">
        <v>1</v>
      </c>
      <c r="C54">
        <v>2</v>
      </c>
      <c r="D54">
        <v>3</v>
      </c>
      <c r="E54">
        <v>4</v>
      </c>
      <c r="F54">
        <v>5</v>
      </c>
      <c r="G54">
        <v>6</v>
      </c>
      <c r="H54">
        <v>7</v>
      </c>
      <c r="I54">
        <v>8</v>
      </c>
      <c r="J54">
        <v>9</v>
      </c>
      <c r="K54">
        <v>10</v>
      </c>
    </row>
    <row r="55" spans="1:13" x14ac:dyDescent="0.4">
      <c r="A55" s="25" t="s">
        <v>213</v>
      </c>
      <c r="B55" s="4">
        <f t="shared" ref="B55:K55" si="24">B41/B3</f>
        <v>0.89999999999999991</v>
      </c>
      <c r="C55" s="4">
        <f t="shared" si="24"/>
        <v>0.80440622311185017</v>
      </c>
      <c r="D55" s="4">
        <f t="shared" si="24"/>
        <v>0.71302452131443661</v>
      </c>
      <c r="E55" s="4">
        <f t="shared" si="24"/>
        <v>0.62566930118162256</v>
      </c>
      <c r="F55" s="4">
        <f t="shared" si="24"/>
        <v>0.54216314694770829</v>
      </c>
      <c r="G55" s="4">
        <f t="shared" si="24"/>
        <v>0.46233646018146607</v>
      </c>
      <c r="H55" s="4">
        <f t="shared" si="24"/>
        <v>0.38602711533694217</v>
      </c>
      <c r="I55" s="4">
        <f t="shared" si="24"/>
        <v>0.31308013048145922</v>
      </c>
      <c r="J55" s="4">
        <f t="shared" si="24"/>
        <v>0.24334735253207637</v>
      </c>
      <c r="K55" s="4">
        <f t="shared" si="24"/>
        <v>0.17668715636123436</v>
      </c>
    </row>
    <row r="56" spans="1:13" x14ac:dyDescent="0.4">
      <c r="A56" s="25" t="s">
        <v>214</v>
      </c>
      <c r="B56" s="4">
        <f t="shared" ref="B56:K56" si="25">B42/B4</f>
        <v>0.9</v>
      </c>
      <c r="C56" s="4">
        <f t="shared" si="25"/>
        <v>0.80440622311185006</v>
      </c>
      <c r="D56" s="4">
        <f t="shared" si="25"/>
        <v>0.7130245213144365</v>
      </c>
      <c r="E56" s="4">
        <f t="shared" si="25"/>
        <v>0.62566930118162256</v>
      </c>
      <c r="F56" s="4">
        <f t="shared" si="25"/>
        <v>0.54216314694770829</v>
      </c>
      <c r="G56" s="4">
        <f t="shared" si="25"/>
        <v>0.46233646018146601</v>
      </c>
      <c r="H56" s="4">
        <f t="shared" si="25"/>
        <v>0.38602711533694212</v>
      </c>
      <c r="I56" s="4">
        <f t="shared" si="25"/>
        <v>0.31308013048145916</v>
      </c>
      <c r="J56" s="4">
        <f t="shared" si="25"/>
        <v>0.24334735253207634</v>
      </c>
      <c r="K56" s="4">
        <f t="shared" si="25"/>
        <v>0.1766871563612345</v>
      </c>
    </row>
    <row r="57" spans="1:13" x14ac:dyDescent="0.4">
      <c r="A57" s="25" t="s">
        <v>215</v>
      </c>
      <c r="B57" s="4">
        <f t="shared" ref="B57:K57" si="26">B43/B5</f>
        <v>0.9</v>
      </c>
      <c r="C57" s="4">
        <f t="shared" si="26"/>
        <v>0.80440622311185028</v>
      </c>
      <c r="D57" s="4">
        <f t="shared" si="26"/>
        <v>0.7130245213144365</v>
      </c>
      <c r="E57" s="4">
        <f t="shared" si="26"/>
        <v>0.62566930118162267</v>
      </c>
      <c r="F57" s="4">
        <f t="shared" si="26"/>
        <v>0.54216314694770829</v>
      </c>
      <c r="G57" s="4">
        <f t="shared" si="26"/>
        <v>0.46233646018146607</v>
      </c>
      <c r="H57" s="4">
        <f t="shared" si="26"/>
        <v>0.38602711533694217</v>
      </c>
      <c r="I57" s="4">
        <f t="shared" si="26"/>
        <v>0.31308013048145927</v>
      </c>
      <c r="J57" s="4">
        <f t="shared" si="26"/>
        <v>0.2433473525320764</v>
      </c>
      <c r="K57" s="4">
        <f t="shared" si="26"/>
        <v>0.1766871563612345</v>
      </c>
    </row>
    <row r="59" spans="1:13" x14ac:dyDescent="0.4">
      <c r="A59" s="89" t="s">
        <v>186</v>
      </c>
      <c r="B59" s="90">
        <f t="shared" ref="B59:K59" si="27">B49+B55</f>
        <v>0.99999999999999989</v>
      </c>
      <c r="C59" s="90">
        <f t="shared" si="27"/>
        <v>1</v>
      </c>
      <c r="D59" s="90">
        <f t="shared" si="27"/>
        <v>1</v>
      </c>
      <c r="E59" s="90">
        <f t="shared" si="27"/>
        <v>1</v>
      </c>
      <c r="F59" s="90">
        <f t="shared" si="27"/>
        <v>1</v>
      </c>
      <c r="G59" s="90">
        <f t="shared" si="27"/>
        <v>1</v>
      </c>
      <c r="H59" s="90">
        <f t="shared" si="27"/>
        <v>1</v>
      </c>
      <c r="I59" s="90">
        <f t="shared" si="27"/>
        <v>1</v>
      </c>
      <c r="J59" s="90">
        <f t="shared" si="27"/>
        <v>1</v>
      </c>
      <c r="K59" s="90">
        <f t="shared" si="27"/>
        <v>1</v>
      </c>
    </row>
    <row r="61" spans="1:13" x14ac:dyDescent="0.4">
      <c r="A61" t="s">
        <v>305</v>
      </c>
    </row>
    <row r="62" spans="1:13" x14ac:dyDescent="0.4">
      <c r="A62" t="s">
        <v>460</v>
      </c>
      <c r="B62">
        <v>1</v>
      </c>
      <c r="C62">
        <v>2</v>
      </c>
      <c r="D62">
        <v>3</v>
      </c>
      <c r="E62">
        <v>4</v>
      </c>
      <c r="F62">
        <v>5</v>
      </c>
      <c r="G62">
        <v>6</v>
      </c>
      <c r="H62">
        <v>7</v>
      </c>
      <c r="I62">
        <v>8</v>
      </c>
      <c r="J62">
        <v>9</v>
      </c>
      <c r="K62">
        <v>10</v>
      </c>
    </row>
    <row r="63" spans="1:13" x14ac:dyDescent="0.4">
      <c r="A63" t="s">
        <v>213</v>
      </c>
      <c r="B63" s="1">
        <f>SUMIFS('Baseline Projects'!BZ$4:BZ$48,'Baseline Projects'!$G$4:$G$48,'Baseline scaling factors'!$M63,'Baseline Projects'!$H$4:$H$48,'Baseline scaling factors'!$L63)</f>
        <v>7329.9045041168647</v>
      </c>
      <c r="C63" s="1">
        <f>SUMIFS('Baseline Projects'!CA$4:CA$48,'Baseline Projects'!$G$4:$G$48,'Baseline scaling factors'!$M63,'Baseline Projects'!$H$4:$H$48,'Baseline scaling factors'!$L63)</f>
        <v>6783.8426590039526</v>
      </c>
      <c r="D63" s="1">
        <f>SUMIFS('Baseline Projects'!CB$4:CB$48,'Baseline Projects'!$G$4:$G$48,'Baseline scaling factors'!$M63,'Baseline Projects'!$H$4:$H$48,'Baseline scaling factors'!$L63)</f>
        <v>6261.841517115402</v>
      </c>
      <c r="E63" s="1">
        <f>SUMIFS('Baseline Projects'!CC$4:CC$48,'Baseline Projects'!$G$4:$G$48,'Baseline scaling factors'!$M63,'Baseline Projects'!$H$4:$H$48,'Baseline scaling factors'!$L63)</f>
        <v>5762.8409101848647</v>
      </c>
      <c r="F63" s="1">
        <f>SUMIFS('Baseline Projects'!CD$4:CD$48,'Baseline Projects'!$G$4:$G$48,'Baseline scaling factors'!$M63,'Baseline Projects'!$H$4:$H$48,'Baseline scaling factors'!$L63)</f>
        <v>5285.827383325176</v>
      </c>
      <c r="G63" s="1">
        <f>SUMIFS('Baseline Projects'!CE$4:CE$48,'Baseline Projects'!$G$4:$G$48,'Baseline scaling factors'!$M63,'Baseline Projects'!$H$4:$H$48,'Baseline scaling factors'!$L63)</f>
        <v>4829.8321367326298</v>
      </c>
      <c r="H63" s="1">
        <f>SUMIFS('Baseline Projects'!CF$4:CF$48,'Baseline Projects'!$G$4:$G$48,'Baseline scaling factors'!$M63,'Baseline Projects'!$H$4:$H$48,'Baseline scaling factors'!$L63)</f>
        <v>4393.9290580843817</v>
      </c>
      <c r="I63" s="1">
        <f>SUMIFS('Baseline Projects'!CG$4:CG$48,'Baseline Projects'!$G$4:$G$48,'Baseline scaling factors'!$M63,'Baseline Projects'!$H$4:$H$48,'Baseline scaling factors'!$L63)</f>
        <v>3977.2328416327996</v>
      </c>
      <c r="J63" s="1">
        <f>SUMIFS('Baseline Projects'!CH$4:CH$48,'Baseline Projects'!$G$4:$G$48,'Baseline scaling factors'!$M63,'Baseline Projects'!$H$4:$H$48,'Baseline scaling factors'!$L63)</f>
        <v>3578.8971901767127</v>
      </c>
      <c r="K63" s="1">
        <f>SUMIFS('Baseline Projects'!CI$4:CI$48,'Baseline Projects'!$G$4:$G$48,'Baseline scaling factors'!$M63,'Baseline Projects'!$H$4:$H$48,'Baseline scaling factors'!$L63)</f>
        <v>3198.1130962578227</v>
      </c>
      <c r="L63" t="s">
        <v>15</v>
      </c>
      <c r="M63" t="s">
        <v>37</v>
      </c>
    </row>
    <row r="64" spans="1:13" x14ac:dyDescent="0.4">
      <c r="A64" t="s">
        <v>214</v>
      </c>
      <c r="B64" s="1">
        <f>SUMIFS('Baseline Projects'!BZ$4:BZ$48,'Baseline Projects'!$G$4:$G$48,'Baseline scaling factors'!$M64,'Baseline Projects'!$H$4:$H$48,'Baseline scaling factors'!$L64)</f>
        <v>82617.496464413038</v>
      </c>
      <c r="C64" s="1">
        <f>SUMIFS('Baseline Projects'!CA$4:CA$48,'Baseline Projects'!$G$4:$G$48,'Baseline scaling factors'!$M64,'Baseline Projects'!$H$4:$H$48,'Baseline scaling factors'!$L64)</f>
        <v>76462.673774345472</v>
      </c>
      <c r="D64" s="1">
        <f>SUMIFS('Baseline Projects'!CB$4:CB$48,'Baseline Projects'!$G$4:$G$48,'Baseline scaling factors'!$M64,'Baseline Projects'!$H$4:$H$48,'Baseline scaling factors'!$L64)</f>
        <v>70579.046304141055</v>
      </c>
      <c r="E64" s="1">
        <f>SUMIFS('Baseline Projects'!CC$4:CC$48,'Baseline Projects'!$G$4:$G$48,'Baseline scaling factors'!$M64,'Baseline Projects'!$H$4:$H$48,'Baseline scaling factors'!$L64)</f>
        <v>64954.66458734397</v>
      </c>
      <c r="F64" s="1">
        <f>SUMIFS('Baseline Projects'!CD$4:CD$48,'Baseline Projects'!$G$4:$G$48,'Baseline scaling factors'!$M64,'Baseline Projects'!$H$4:$H$48,'Baseline scaling factors'!$L64)</f>
        <v>59578.105677651081</v>
      </c>
      <c r="G64" s="1">
        <f>SUMIFS('Baseline Projects'!CE$4:CE$48,'Baseline Projects'!$G$4:$G$48,'Baseline scaling factors'!$M64,'Baseline Projects'!$H$4:$H$48,'Baseline scaling factors'!$L64)</f>
        <v>54438.449949259317</v>
      </c>
      <c r="H64" s="1">
        <f>SUMIFS('Baseline Projects'!CF$4:CF$48,'Baseline Projects'!$G$4:$G$48,'Baseline scaling factors'!$M64,'Baseline Projects'!$H$4:$H$48,'Baseline scaling factors'!$L64)</f>
        <v>49525.258919441476</v>
      </c>
      <c r="I64" s="1">
        <f>SUMIFS('Baseline Projects'!CG$4:CG$48,'Baseline Projects'!$G$4:$G$48,'Baseline scaling factors'!$M64,'Baseline Projects'!$H$4:$H$48,'Baseline scaling factors'!$L64)</f>
        <v>44828.554048308833</v>
      </c>
      <c r="J64" s="1">
        <f>SUMIFS('Baseline Projects'!CH$4:CH$48,'Baseline Projects'!$G$4:$G$48,'Baseline scaling factors'!$M64,'Baseline Projects'!$H$4:$H$48,'Baseline scaling factors'!$L64)</f>
        <v>40338.79647270342</v>
      </c>
      <c r="K64" s="1">
        <f>SUMIFS('Baseline Projects'!CI$4:CI$48,'Baseline Projects'!$G$4:$G$48,'Baseline scaling factors'!$M64,'Baseline Projects'!$H$4:$H$48,'Baseline scaling factors'!$L64)</f>
        <v>36046.867633060378</v>
      </c>
      <c r="L64" t="s">
        <v>15</v>
      </c>
      <c r="M64" t="s">
        <v>39</v>
      </c>
    </row>
    <row r="65" spans="1:13" x14ac:dyDescent="0.4">
      <c r="A65" t="s">
        <v>215</v>
      </c>
      <c r="B65" s="1">
        <f>SUMIFS('Baseline Projects'!BZ$4:BZ$48,'Baseline Projects'!$G$4:$G$48,'Baseline scaling factors'!$M65,'Baseline Projects'!$H$4:$H$48,'Baseline scaling factors'!$L65)</f>
        <v>22138.117976529345</v>
      </c>
      <c r="C65" s="1">
        <f>SUMIFS('Baseline Projects'!CA$4:CA$48,'Baseline Projects'!$G$4:$G$48,'Baseline scaling factors'!$M65,'Baseline Projects'!$H$4:$H$48,'Baseline scaling factors'!$L65)</f>
        <v>20255.50272033468</v>
      </c>
      <c r="D65" s="1">
        <f>SUMIFS('Baseline Projects'!CB$4:CB$48,'Baseline Projects'!$G$4:$G$48,'Baseline scaling factors'!$M65,'Baseline Projects'!$H$4:$H$48,'Baseline scaling factors'!$L65)</f>
        <v>18455.839692665675</v>
      </c>
      <c r="E65" s="1">
        <f>SUMIFS('Baseline Projects'!CC$4:CC$48,'Baseline Projects'!$G$4:$G$48,'Baseline scaling factors'!$M65,'Baseline Projects'!$H$4:$H$48,'Baseline scaling factors'!$L65)</f>
        <v>16735.473833257256</v>
      </c>
      <c r="F65" s="1">
        <f>SUMIFS('Baseline Projects'!CD$4:CD$48,'Baseline Projects'!$G$4:$G$48,'Baseline scaling factors'!$M65,'Baseline Projects'!$H$4:$H$48,'Baseline scaling factors'!$L65)</f>
        <v>15090.911131954461</v>
      </c>
      <c r="G65" s="1">
        <f>SUMIFS('Baseline Projects'!CE$4:CE$48,'Baseline Projects'!$G$4:$G$48,'Baseline scaling factors'!$M65,'Baseline Projects'!$H$4:$H$48,'Baseline scaling factors'!$L65)</f>
        <v>13518.811532485342</v>
      </c>
      <c r="H65" s="1">
        <f>SUMIFS('Baseline Projects'!CF$4:CF$48,'Baseline Projects'!$G$4:$G$48,'Baseline scaling factors'!$M65,'Baseline Projects'!$H$4:$H$48,'Baseline scaling factors'!$L65)</f>
        <v>12015.982148909337</v>
      </c>
      <c r="I65" s="1">
        <f>SUMIFS('Baseline Projects'!CG$4:CG$48,'Baseline Projects'!$G$4:$G$48,'Baseline scaling factors'!$M65,'Baseline Projects'!$H$4:$H$48,'Baseline scaling factors'!$L65)</f>
        <v>10579.370780964133</v>
      </c>
      <c r="J65" s="1">
        <f>SUMIFS('Baseline Projects'!CH$4:CH$48,'Baseline Projects'!$G$4:$G$48,'Baseline scaling factors'!$M65,'Baseline Projects'!$H$4:$H$48,'Baseline scaling factors'!$L65)</f>
        <v>9206.0597151407965</v>
      </c>
      <c r="K65" s="1">
        <f>SUMIFS('Baseline Projects'!CI$4:CI$48,'Baseline Projects'!$G$4:$G$48,'Baseline scaling factors'!$M65,'Baseline Projects'!$H$4:$H$48,'Baseline scaling factors'!$L65)</f>
        <v>7893.2597988973648</v>
      </c>
      <c r="L65" t="s">
        <v>16</v>
      </c>
      <c r="M65" t="s">
        <v>37</v>
      </c>
    </row>
    <row r="66" spans="1:13" x14ac:dyDescent="0.4">
      <c r="A66" t="s">
        <v>74</v>
      </c>
      <c r="B66" s="1">
        <f t="shared" ref="B66:K66" si="28">SUM(B63:B65)</f>
        <v>112085.51894505924</v>
      </c>
      <c r="C66" s="1">
        <f t="shared" si="28"/>
        <v>103502.01915368412</v>
      </c>
      <c r="D66" s="1">
        <f t="shared" si="28"/>
        <v>95296.727513922131</v>
      </c>
      <c r="E66" s="1">
        <f t="shared" si="28"/>
        <v>87452.979330786096</v>
      </c>
      <c r="F66" s="1">
        <f t="shared" si="28"/>
        <v>79954.844192930716</v>
      </c>
      <c r="G66" s="1">
        <f t="shared" si="28"/>
        <v>72787.093618477287</v>
      </c>
      <c r="H66" s="1">
        <f t="shared" si="28"/>
        <v>65935.170126435201</v>
      </c>
      <c r="I66" s="1">
        <f t="shared" si="28"/>
        <v>59385.15767090577</v>
      </c>
      <c r="J66" s="1">
        <f t="shared" si="28"/>
        <v>53123.753378020934</v>
      </c>
      <c r="K66" s="1">
        <f t="shared" si="28"/>
        <v>47138.240528215567</v>
      </c>
    </row>
    <row r="68" spans="1:13" x14ac:dyDescent="0.4">
      <c r="A68" t="s">
        <v>306</v>
      </c>
    </row>
    <row r="69" spans="1:13" x14ac:dyDescent="0.4">
      <c r="A69" t="s">
        <v>460</v>
      </c>
      <c r="B69">
        <v>1</v>
      </c>
      <c r="C69">
        <v>2</v>
      </c>
      <c r="D69">
        <v>3</v>
      </c>
      <c r="E69">
        <v>4</v>
      </c>
      <c r="F69">
        <v>5</v>
      </c>
      <c r="G69">
        <v>6</v>
      </c>
      <c r="H69">
        <v>7</v>
      </c>
      <c r="I69">
        <v>8</v>
      </c>
      <c r="J69">
        <v>9</v>
      </c>
      <c r="K69">
        <v>10</v>
      </c>
    </row>
    <row r="70" spans="1:13" x14ac:dyDescent="0.4">
      <c r="A70" t="s">
        <v>213</v>
      </c>
      <c r="B70" s="1">
        <f>SUMIFS('Mitigation Projects'!$AF:$AF,'Mitigation Projects'!$G:$G,'Baseline scaling factors'!$M70,'Mitigation Projects'!$H:$H,'Baseline scaling factors'!$L70)</f>
        <v>3137.126808640236</v>
      </c>
      <c r="C70" s="1">
        <f>SUMIFS('Mitigation Projects'!$AF:$AF,'Mitigation Projects'!$G:$G,'Baseline scaling factors'!$M70,'Mitigation Projects'!$H:$H,'Baseline scaling factors'!$L70)</f>
        <v>3137.126808640236</v>
      </c>
      <c r="D70" s="1">
        <f>SUMIFS('Mitigation Projects'!$AF:$AF,'Mitigation Projects'!$G:$G,'Baseline scaling factors'!$M70,'Mitigation Projects'!$H:$H,'Baseline scaling factors'!$L70)</f>
        <v>3137.126808640236</v>
      </c>
      <c r="E70" s="1">
        <f>SUMIFS('Mitigation Projects'!$AF:$AF,'Mitigation Projects'!$G:$G,'Baseline scaling factors'!$M70,'Mitigation Projects'!$H:$H,'Baseline scaling factors'!$L70)</f>
        <v>3137.126808640236</v>
      </c>
      <c r="F70" s="1">
        <f>SUMIFS('Mitigation Projects'!$AF:$AF,'Mitigation Projects'!$G:$G,'Baseline scaling factors'!$M70,'Mitigation Projects'!$H:$H,'Baseline scaling factors'!$L70)</f>
        <v>3137.126808640236</v>
      </c>
      <c r="G70" s="1">
        <f>SUMIFS('Mitigation Projects'!$AF:$AF,'Mitigation Projects'!$G:$G,'Baseline scaling factors'!$M70,'Mitigation Projects'!$H:$H,'Baseline scaling factors'!$L70)</f>
        <v>3137.126808640236</v>
      </c>
      <c r="H70" s="1">
        <f>SUMIFS('Mitigation Projects'!$AF:$AF,'Mitigation Projects'!$G:$G,'Baseline scaling factors'!$M70,'Mitigation Projects'!$H:$H,'Baseline scaling factors'!$L70)</f>
        <v>3137.126808640236</v>
      </c>
      <c r="I70" s="1">
        <f>SUMIFS('Mitigation Projects'!$AF:$AF,'Mitigation Projects'!$G:$G,'Baseline scaling factors'!$M70,'Mitigation Projects'!$H:$H,'Baseline scaling factors'!$L70)</f>
        <v>3137.126808640236</v>
      </c>
      <c r="J70" s="1">
        <f>SUMIFS('Mitigation Projects'!$AF:$AF,'Mitigation Projects'!$G:$G,'Baseline scaling factors'!$M70,'Mitigation Projects'!$H:$H,'Baseline scaling factors'!$L70)</f>
        <v>3137.126808640236</v>
      </c>
      <c r="K70" s="1">
        <f>SUMIFS('Mitigation Projects'!$AF:$AF,'Mitigation Projects'!$G:$G,'Baseline scaling factors'!$M70,'Mitigation Projects'!$H:$H,'Baseline scaling factors'!$L70)</f>
        <v>3137.126808640236</v>
      </c>
      <c r="L70" t="s">
        <v>15</v>
      </c>
      <c r="M70" t="s">
        <v>37</v>
      </c>
    </row>
    <row r="71" spans="1:13" x14ac:dyDescent="0.4">
      <c r="A71" t="s">
        <v>214</v>
      </c>
      <c r="B71" s="1">
        <f>SUMIFS('Mitigation Projects'!$AF:$AF,'Mitigation Projects'!$G:$G,'Baseline scaling factors'!$M71,'Mitigation Projects'!$H:$H,'Baseline scaling factors'!$L71)</f>
        <v>23617.24101262457</v>
      </c>
      <c r="C71" s="1">
        <f>SUMIFS('Mitigation Projects'!$AF:$AF,'Mitigation Projects'!$G:$G,'Baseline scaling factors'!$M71,'Mitigation Projects'!$H:$H,'Baseline scaling factors'!$L71)</f>
        <v>23617.24101262457</v>
      </c>
      <c r="D71" s="1">
        <f>SUMIFS('Mitigation Projects'!$AF:$AF,'Mitigation Projects'!$G:$G,'Baseline scaling factors'!$M71,'Mitigation Projects'!$H:$H,'Baseline scaling factors'!$L71)</f>
        <v>23617.24101262457</v>
      </c>
      <c r="E71" s="1">
        <f>SUMIFS('Mitigation Projects'!$AF:$AF,'Mitigation Projects'!$G:$G,'Baseline scaling factors'!$M71,'Mitigation Projects'!$H:$H,'Baseline scaling factors'!$L71)</f>
        <v>23617.24101262457</v>
      </c>
      <c r="F71" s="1">
        <f>SUMIFS('Mitigation Projects'!$AF:$AF,'Mitigation Projects'!$G:$G,'Baseline scaling factors'!$M71,'Mitigation Projects'!$H:$H,'Baseline scaling factors'!$L71)</f>
        <v>23617.24101262457</v>
      </c>
      <c r="G71" s="1">
        <f>SUMIFS('Mitigation Projects'!$AF:$AF,'Mitigation Projects'!$G:$G,'Baseline scaling factors'!$M71,'Mitigation Projects'!$H:$H,'Baseline scaling factors'!$L71)</f>
        <v>23617.24101262457</v>
      </c>
      <c r="H71" s="1">
        <f>SUMIFS('Mitigation Projects'!$AF:$AF,'Mitigation Projects'!$G:$G,'Baseline scaling factors'!$M71,'Mitigation Projects'!$H:$H,'Baseline scaling factors'!$L71)</f>
        <v>23617.24101262457</v>
      </c>
      <c r="I71" s="1">
        <f>SUMIFS('Mitigation Projects'!$AF:$AF,'Mitigation Projects'!$G:$G,'Baseline scaling factors'!$M71,'Mitigation Projects'!$H:$H,'Baseline scaling factors'!$L71)</f>
        <v>23617.24101262457</v>
      </c>
      <c r="J71" s="1">
        <f>SUMIFS('Mitigation Projects'!$AF:$AF,'Mitigation Projects'!$G:$G,'Baseline scaling factors'!$M71,'Mitigation Projects'!$H:$H,'Baseline scaling factors'!$L71)</f>
        <v>23617.24101262457</v>
      </c>
      <c r="K71" s="1">
        <f>SUMIFS('Mitigation Projects'!$AF:$AF,'Mitigation Projects'!$G:$G,'Baseline scaling factors'!$M71,'Mitigation Projects'!$H:$H,'Baseline scaling factors'!$L71)</f>
        <v>23617.24101262457</v>
      </c>
      <c r="L71" t="s">
        <v>15</v>
      </c>
      <c r="M71" t="s">
        <v>39</v>
      </c>
    </row>
    <row r="72" spans="1:13" x14ac:dyDescent="0.4">
      <c r="A72" t="s">
        <v>215</v>
      </c>
      <c r="B72" s="1">
        <f>SUMIFS('Mitigation Projects'!$AF:$AF,'Mitigation Projects'!$G:$G,'Baseline scaling factors'!$M72,'Mitigation Projects'!$H:$H,'Baseline scaling factors'!$L72)</f>
        <v>5311.7254012954963</v>
      </c>
      <c r="C72" s="1">
        <f>SUMIFS('Mitigation Projects'!$AF:$AF,'Mitigation Projects'!$G:$G,'Baseline scaling factors'!$M72,'Mitigation Projects'!$H:$H,'Baseline scaling factors'!$L72)</f>
        <v>5311.7254012954963</v>
      </c>
      <c r="D72" s="1">
        <f>SUMIFS('Mitigation Projects'!$AF:$AF,'Mitigation Projects'!$G:$G,'Baseline scaling factors'!$M72,'Mitigation Projects'!$H:$H,'Baseline scaling factors'!$L72)</f>
        <v>5311.7254012954963</v>
      </c>
      <c r="E72" s="1">
        <f>SUMIFS('Mitigation Projects'!$AF:$AF,'Mitigation Projects'!$G:$G,'Baseline scaling factors'!$M72,'Mitigation Projects'!$H:$H,'Baseline scaling factors'!$L72)</f>
        <v>5311.7254012954963</v>
      </c>
      <c r="F72" s="1">
        <f>SUMIFS('Mitigation Projects'!$AF:$AF,'Mitigation Projects'!$G:$G,'Baseline scaling factors'!$M72,'Mitigation Projects'!$H:$H,'Baseline scaling factors'!$L72)</f>
        <v>5311.7254012954963</v>
      </c>
      <c r="G72" s="1">
        <f>SUMIFS('Mitigation Projects'!$AF:$AF,'Mitigation Projects'!$G:$G,'Baseline scaling factors'!$M72,'Mitigation Projects'!$H:$H,'Baseline scaling factors'!$L72)</f>
        <v>5311.7254012954963</v>
      </c>
      <c r="H72" s="1">
        <f>SUMIFS('Mitigation Projects'!$AF:$AF,'Mitigation Projects'!$G:$G,'Baseline scaling factors'!$M72,'Mitigation Projects'!$H:$H,'Baseline scaling factors'!$L72)</f>
        <v>5311.7254012954963</v>
      </c>
      <c r="I72" s="1">
        <f>SUMIFS('Mitigation Projects'!$AF:$AF,'Mitigation Projects'!$G:$G,'Baseline scaling factors'!$M72,'Mitigation Projects'!$H:$H,'Baseline scaling factors'!$L72)</f>
        <v>5311.7254012954963</v>
      </c>
      <c r="J72" s="1">
        <f>SUMIFS('Mitigation Projects'!$AF:$AF,'Mitigation Projects'!$G:$G,'Baseline scaling factors'!$M72,'Mitigation Projects'!$H:$H,'Baseline scaling factors'!$L72)</f>
        <v>5311.7254012954963</v>
      </c>
      <c r="K72" s="1">
        <f>SUMIFS('Mitigation Projects'!$AF:$AF,'Mitigation Projects'!$G:$G,'Baseline scaling factors'!$M72,'Mitigation Projects'!$H:$H,'Baseline scaling factors'!$L72)</f>
        <v>5311.7254012954963</v>
      </c>
      <c r="L72" t="s">
        <v>16</v>
      </c>
      <c r="M72" t="s">
        <v>37</v>
      </c>
    </row>
    <row r="73" spans="1:13" x14ac:dyDescent="0.4">
      <c r="A73" t="s">
        <v>74</v>
      </c>
      <c r="B73" s="1">
        <f t="shared" ref="B73:K73" si="29">SUM(B70:B72)</f>
        <v>32066.093222560303</v>
      </c>
      <c r="C73" s="1">
        <f t="shared" si="29"/>
        <v>32066.093222560303</v>
      </c>
      <c r="D73" s="1">
        <f t="shared" si="29"/>
        <v>32066.093222560303</v>
      </c>
      <c r="E73" s="1">
        <f t="shared" si="29"/>
        <v>32066.093222560303</v>
      </c>
      <c r="F73" s="1">
        <f t="shared" si="29"/>
        <v>32066.093222560303</v>
      </c>
      <c r="G73" s="1">
        <f t="shared" si="29"/>
        <v>32066.093222560303</v>
      </c>
      <c r="H73" s="1">
        <f t="shared" si="29"/>
        <v>32066.093222560303</v>
      </c>
      <c r="I73" s="1">
        <f t="shared" si="29"/>
        <v>32066.093222560303</v>
      </c>
      <c r="J73" s="1">
        <f t="shared" si="29"/>
        <v>32066.093222560303</v>
      </c>
      <c r="K73" s="1">
        <f t="shared" si="29"/>
        <v>32066.093222560303</v>
      </c>
    </row>
    <row r="74" spans="1:13" x14ac:dyDescent="0.4">
      <c r="B74" s="1"/>
      <c r="C74" s="1"/>
      <c r="D74" s="1"/>
      <c r="E74" s="1"/>
      <c r="F74" s="1"/>
      <c r="G74" s="1"/>
      <c r="H74" s="1"/>
      <c r="I74" s="1"/>
      <c r="J74" s="1"/>
      <c r="K74" s="1"/>
    </row>
  </sheetData>
  <pageMargins left="0.7" right="0.7" top="0.75" bottom="0.75" header="0.3" footer="0.3"/>
  <pageSetup scale="4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BBDC8-C792-43D4-BBE2-D37AE0BD195F}">
  <dimension ref="A1:DC56"/>
  <sheetViews>
    <sheetView view="pageBreakPreview" zoomScale="25" zoomScaleNormal="25" zoomScaleSheetLayoutView="25" workbookViewId="0">
      <selection activeCell="DE71" sqref="DE71"/>
    </sheetView>
  </sheetViews>
  <sheetFormatPr defaultRowHeight="18.75" x14ac:dyDescent="0.4"/>
  <cols>
    <col min="2" max="2" width="12.21875" bestFit="1" customWidth="1"/>
    <col min="3" max="3" width="14.77734375" bestFit="1" customWidth="1"/>
    <col min="4" max="4" width="47.109375" bestFit="1" customWidth="1"/>
    <col min="5" max="5" width="16.21875" customWidth="1"/>
    <col min="6" max="6" width="15.21875" customWidth="1"/>
    <col min="7" max="8" width="8.21875" customWidth="1"/>
    <col min="9" max="10" width="9.77734375" customWidth="1"/>
    <col min="11" max="11" width="9.77734375" style="1" customWidth="1"/>
    <col min="12" max="13" width="13.109375" customWidth="1"/>
    <col min="14" max="14" width="12.109375" customWidth="1"/>
    <col min="15" max="16" width="11.5546875" customWidth="1"/>
    <col min="37" max="39" width="13.109375" customWidth="1"/>
    <col min="40" max="46" width="11.5546875" customWidth="1"/>
    <col min="47" max="66" width="12.5546875" customWidth="1"/>
    <col min="67" max="70" width="10.77734375" customWidth="1"/>
    <col min="78" max="87" width="12.33203125" customWidth="1"/>
    <col min="88" max="106" width="10.77734375" customWidth="1"/>
    <col min="107" max="107" width="13.21875" customWidth="1"/>
    <col min="16377" max="16378" width="8.77734375" bestFit="1" customWidth="1"/>
    <col min="16379" max="16384" width="8.77734375" customWidth="1"/>
  </cols>
  <sheetData>
    <row r="1" spans="1:107" x14ac:dyDescent="0.4">
      <c r="Q1" t="s">
        <v>221</v>
      </c>
      <c r="AA1" t="s">
        <v>222</v>
      </c>
      <c r="AK1" t="s">
        <v>223</v>
      </c>
      <c r="AU1" t="s">
        <v>224</v>
      </c>
      <c r="BE1" t="s">
        <v>225</v>
      </c>
      <c r="BO1" t="s">
        <v>302</v>
      </c>
      <c r="CJ1" t="s">
        <v>322</v>
      </c>
      <c r="CT1" t="s">
        <v>323</v>
      </c>
    </row>
    <row r="2" spans="1:107" x14ac:dyDescent="0.4">
      <c r="A2" t="s">
        <v>226</v>
      </c>
      <c r="L2" s="217" t="s">
        <v>439</v>
      </c>
      <c r="M2" s="217"/>
      <c r="Q2" t="s">
        <v>58</v>
      </c>
      <c r="AA2" t="s">
        <v>58</v>
      </c>
      <c r="AK2" t="s">
        <v>58</v>
      </c>
      <c r="AU2" t="s">
        <v>58</v>
      </c>
      <c r="BE2" t="s">
        <v>58</v>
      </c>
      <c r="BP2">
        <v>1</v>
      </c>
      <c r="BQ2">
        <v>2</v>
      </c>
      <c r="BR2">
        <v>3</v>
      </c>
      <c r="BS2">
        <v>4</v>
      </c>
      <c r="BT2">
        <v>5</v>
      </c>
      <c r="BU2">
        <v>6</v>
      </c>
      <c r="BV2">
        <v>7</v>
      </c>
      <c r="BW2">
        <v>8</v>
      </c>
      <c r="BX2">
        <v>9</v>
      </c>
      <c r="BY2">
        <v>10</v>
      </c>
      <c r="BZ2">
        <v>1</v>
      </c>
      <c r="CA2">
        <v>2</v>
      </c>
      <c r="CB2">
        <v>3</v>
      </c>
      <c r="CC2">
        <v>4</v>
      </c>
      <c r="CD2">
        <v>5</v>
      </c>
      <c r="CE2">
        <v>6</v>
      </c>
      <c r="CF2">
        <v>7</v>
      </c>
      <c r="CG2">
        <v>8</v>
      </c>
      <c r="CH2">
        <v>9</v>
      </c>
      <c r="CI2">
        <v>10</v>
      </c>
      <c r="CJ2">
        <v>1</v>
      </c>
      <c r="CK2">
        <v>2</v>
      </c>
      <c r="CL2">
        <v>3</v>
      </c>
      <c r="CM2">
        <v>4</v>
      </c>
      <c r="CN2">
        <v>5</v>
      </c>
      <c r="CO2">
        <v>6</v>
      </c>
      <c r="CP2">
        <v>7</v>
      </c>
      <c r="CQ2">
        <v>8</v>
      </c>
      <c r="CR2">
        <v>9</v>
      </c>
      <c r="CS2">
        <v>10</v>
      </c>
      <c r="CT2">
        <v>1</v>
      </c>
      <c r="CU2">
        <v>2</v>
      </c>
      <c r="CV2">
        <v>3</v>
      </c>
      <c r="CW2">
        <v>4</v>
      </c>
      <c r="CX2">
        <v>5</v>
      </c>
      <c r="CY2">
        <v>6</v>
      </c>
      <c r="CZ2">
        <v>7</v>
      </c>
      <c r="DA2">
        <v>8</v>
      </c>
      <c r="DB2">
        <v>9</v>
      </c>
      <c r="DC2">
        <v>10</v>
      </c>
    </row>
    <row r="3" spans="1:107" ht="131.25" x14ac:dyDescent="0.4">
      <c r="A3" s="109" t="str">
        <f>'Mitigation Projects'!A3</f>
        <v>Circuit</v>
      </c>
      <c r="B3" s="106" t="str">
        <f>'Mitigation Projects'!B3</f>
        <v>District</v>
      </c>
      <c r="C3" s="106" t="str">
        <f>'Mitigation Projects'!C3</f>
        <v xml:space="preserve">Project </v>
      </c>
      <c r="D3" s="106" t="str">
        <f>'Mitigation Projects'!D3</f>
        <v>Name</v>
      </c>
      <c r="E3" s="106" t="str">
        <f>'Mitigation Projects'!E3</f>
        <v>Start Tag</v>
      </c>
      <c r="F3" s="106" t="str">
        <f>'Mitigation Projects'!F3</f>
        <v>Protective device</v>
      </c>
      <c r="G3" s="106" t="str">
        <f>'Mitigation Projects'!G3</f>
        <v>Phase</v>
      </c>
      <c r="H3" s="106" t="str">
        <f>'Mitigation Projects'!H3</f>
        <v>OH/UG</v>
      </c>
      <c r="I3" s="106" t="str">
        <f>'Mitigation Projects'!J3</f>
        <v xml:space="preserve">Zone </v>
      </c>
      <c r="J3" s="106" t="str">
        <f>'Mitigation Projects'!K3</f>
        <v>Customers on project</v>
      </c>
      <c r="K3" s="110" t="str">
        <f>'Mitigation Projects'!L3</f>
        <v>Construction Cost Estimate (fully loaded)</v>
      </c>
      <c r="L3" s="27" t="str">
        <f>'Mitigation Projects'!Q3</f>
        <v>RES %</v>
      </c>
      <c r="M3" s="27" t="str">
        <f>'Mitigation Projects'!R3</f>
        <v>NONRES %</v>
      </c>
      <c r="N3" s="27" t="str">
        <f>'Mitigation Projects'!S3</f>
        <v>Percent of Customers Impacted by Mitigation</v>
      </c>
      <c r="O3" s="27" t="s">
        <v>227</v>
      </c>
      <c r="P3" s="27" t="s">
        <v>22</v>
      </c>
      <c r="Q3" s="52">
        <v>1</v>
      </c>
      <c r="R3" s="52">
        <v>2</v>
      </c>
      <c r="S3" s="52">
        <v>3</v>
      </c>
      <c r="T3" s="52">
        <v>4</v>
      </c>
      <c r="U3" s="52">
        <v>5</v>
      </c>
      <c r="V3" s="52">
        <v>6</v>
      </c>
      <c r="W3" s="52">
        <v>7</v>
      </c>
      <c r="X3" s="52">
        <v>8</v>
      </c>
      <c r="Y3" s="52">
        <v>9</v>
      </c>
      <c r="Z3" s="52">
        <v>10</v>
      </c>
      <c r="AA3" s="52">
        <v>1</v>
      </c>
      <c r="AB3" s="52">
        <v>2</v>
      </c>
      <c r="AC3" s="52">
        <v>3</v>
      </c>
      <c r="AD3" s="52">
        <v>4</v>
      </c>
      <c r="AE3" s="52">
        <v>5</v>
      </c>
      <c r="AF3" s="52">
        <v>6</v>
      </c>
      <c r="AG3" s="52">
        <v>7</v>
      </c>
      <c r="AH3" s="52">
        <v>8</v>
      </c>
      <c r="AI3" s="52">
        <v>9</v>
      </c>
      <c r="AJ3" s="52">
        <v>10</v>
      </c>
      <c r="AK3" s="52">
        <v>1</v>
      </c>
      <c r="AL3" s="52">
        <v>2</v>
      </c>
      <c r="AM3" s="52">
        <v>3</v>
      </c>
      <c r="AN3" s="52">
        <v>4</v>
      </c>
      <c r="AO3" s="52">
        <v>5</v>
      </c>
      <c r="AP3" s="52">
        <v>6</v>
      </c>
      <c r="AQ3" s="52">
        <v>7</v>
      </c>
      <c r="AR3" s="52">
        <v>8</v>
      </c>
      <c r="AS3" s="52">
        <v>9</v>
      </c>
      <c r="AT3" s="52">
        <v>10</v>
      </c>
      <c r="AU3" s="52">
        <v>1</v>
      </c>
      <c r="AV3" s="52">
        <v>2</v>
      </c>
      <c r="AW3" s="52">
        <v>3</v>
      </c>
      <c r="AX3" s="52">
        <v>4</v>
      </c>
      <c r="AY3" s="52">
        <v>5</v>
      </c>
      <c r="AZ3" s="52">
        <v>6</v>
      </c>
      <c r="BA3" s="52">
        <v>7</v>
      </c>
      <c r="BB3" s="52">
        <v>8</v>
      </c>
      <c r="BC3" s="52">
        <v>9</v>
      </c>
      <c r="BD3" s="52">
        <v>10</v>
      </c>
      <c r="BE3" s="52">
        <v>1</v>
      </c>
      <c r="BF3" s="52">
        <v>2</v>
      </c>
      <c r="BG3" s="52">
        <v>3</v>
      </c>
      <c r="BH3" s="52">
        <v>4</v>
      </c>
      <c r="BI3" s="52">
        <v>5</v>
      </c>
      <c r="BJ3" s="52">
        <v>6</v>
      </c>
      <c r="BK3" s="52">
        <v>7</v>
      </c>
      <c r="BL3" s="52">
        <v>8</v>
      </c>
      <c r="BM3" s="52">
        <v>9</v>
      </c>
      <c r="BN3" s="52">
        <v>10</v>
      </c>
      <c r="BO3" s="105" t="s">
        <v>300</v>
      </c>
      <c r="BP3" s="105" t="s">
        <v>442</v>
      </c>
      <c r="BZ3" s="105" t="s">
        <v>241</v>
      </c>
    </row>
    <row r="4" spans="1:107" x14ac:dyDescent="0.4">
      <c r="A4" s="38" t="str">
        <f>'Mitigation Projects'!A4</f>
        <v>BV-G43</v>
      </c>
      <c r="B4" s="38" t="str">
        <f>'Mitigation Projects'!B4</f>
        <v>Springfield</v>
      </c>
      <c r="C4" s="39">
        <f>'Mitigation Projects'!C4</f>
        <v>201153</v>
      </c>
      <c r="D4" s="39" t="str">
        <f>'Mitigation Projects'!D4</f>
        <v>201153: L438 BROWNSVILLE - CIC</v>
      </c>
      <c r="E4" s="39">
        <f>'Mitigation Projects'!E4</f>
        <v>0</v>
      </c>
      <c r="F4" s="39">
        <f>'Mitigation Projects'!F4</f>
        <v>0</v>
      </c>
      <c r="G4" s="39" t="str">
        <f>'Mitigation Projects'!G4</f>
        <v>1PH</v>
      </c>
      <c r="H4" s="39" t="str">
        <f>'Mitigation Projects'!H4</f>
        <v>UG</v>
      </c>
      <c r="I4" s="39" t="str">
        <f>'Mitigation Projects'!J4</f>
        <v>Zone 3</v>
      </c>
      <c r="J4" s="39">
        <f>'Mitigation Projects'!K4</f>
        <v>165</v>
      </c>
      <c r="K4" s="40">
        <f>'Mitigation Projects'!L4*BASELINE_CAP_SPEND</f>
        <v>144234.5</v>
      </c>
      <c r="L4" s="97">
        <f>'Mitigation Projects'!Q4</f>
        <v>0.87308228730822868</v>
      </c>
      <c r="M4" s="97">
        <f>'Mitigation Projects'!R4</f>
        <v>0.12691771269177132</v>
      </c>
      <c r="N4" s="98">
        <f>'Mitigation Projects'!S4</f>
        <v>0.5</v>
      </c>
      <c r="O4" s="26">
        <f t="shared" ref="O4:O48" si="0">IF($H4="OH",EFF_SCORE_OH,EFF_SCORE_UG)</f>
        <v>0.98</v>
      </c>
      <c r="P4" s="26">
        <f t="shared" ref="P4:P48" si="1">IF($H4="OH",APPLICABILITY_SCORE_OH,APPLICABILITY_SCORE_UG)</f>
        <v>0.83359200333362127</v>
      </c>
      <c r="Q4" s="112">
        <f>VLOOKUP($A4,'Outage by Zone inputs'!$A$4:$E$13,MATCH('Baseline Projects'!$I4,'Outage by Zone inputs'!$A$3:$E$3,0),0)*'Baseline Projects'!$L4*$N4*('Baseline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Projects'!Q$3,'Baseline scaling factors'!$B$54:$K$54,0))+VLOOKUP($A4,'Outage by Zone inputs'!$A$4:$E$13,MATCH('Baseline Projects'!$I4,'Outage by Zone inputs'!$A$3:$E$3,0),0)*'Baseline Projects'!$L4*$N4*('Baseline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Projects'!Q$3,'Baseline scaling factors'!$B$48:$K$48,0))</f>
        <v>180.53663727622182</v>
      </c>
      <c r="R4" s="112">
        <f>VLOOKUP($A4,'Outage by Zone inputs'!$A$4:$E$13,MATCH('Baseline Projects'!$I4,'Outage by Zone inputs'!$A$3:$E$3,0),0)*'Baseline Projects'!$L4*$N4*('Baseline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Projects'!R$3,'Baseline scaling factors'!$B$54:$K$54,0))+VLOOKUP($A4,'Outage by Zone inputs'!$A$4:$E$13,MATCH('Baseline Projects'!$I4,'Outage by Zone inputs'!$A$3:$E$3,0),0)*'Baseline Projects'!$L4*$N4*('Baseline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Projects'!R$3,'Baseline scaling factors'!$B$48:$K$48,0))</f>
        <v>165.18388561058174</v>
      </c>
      <c r="S4" s="112">
        <f>VLOOKUP($A4,'Outage by Zone inputs'!$A$4:$E$13,MATCH('Baseline Projects'!$I4,'Outage by Zone inputs'!$A$3:$E$3,0),0)*'Baseline Projects'!$L4*$N4*('Baseline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Projects'!S$3,'Baseline scaling factors'!$B$54:$K$54,0))+VLOOKUP($A4,'Outage by Zone inputs'!$A$4:$E$13,MATCH('Baseline Projects'!$I4,'Outage by Zone inputs'!$A$3:$E$3,0),0)*'Baseline Projects'!$L4*$N4*('Baseline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Projects'!S$3,'Baseline scaling factors'!$B$48:$K$48,0))</f>
        <v>150.507610437138</v>
      </c>
      <c r="T4" s="112">
        <f>VLOOKUP($A4,'Outage by Zone inputs'!$A$4:$E$13,MATCH('Baseline Projects'!$I4,'Outage by Zone inputs'!$A$3:$E$3,0),0)*'Baseline Projects'!$L4*$N4*('Baseline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Projects'!T$3,'Baseline scaling factors'!$B$54:$K$54,0))+VLOOKUP($A4,'Outage by Zone inputs'!$A$4:$E$13,MATCH('Baseline Projects'!$I4,'Outage by Zone inputs'!$A$3:$E$3,0),0)*'Baseline Projects'!$L4*$N4*('Baseline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Projects'!T$3,'Baseline scaling factors'!$B$48:$K$48,0))</f>
        <v>136.47800469234534</v>
      </c>
      <c r="U4" s="112">
        <f>VLOOKUP($A4,'Outage by Zone inputs'!$A$4:$E$13,MATCH('Baseline Projects'!$I4,'Outage by Zone inputs'!$A$3:$E$3,0),0)*'Baseline Projects'!$L4*$N4*('Baseline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Projects'!U$3,'Baseline scaling factors'!$B$54:$K$54,0))+VLOOKUP($A4,'Outage by Zone inputs'!$A$4:$E$13,MATCH('Baseline Projects'!$I4,'Outage by Zone inputs'!$A$3:$E$3,0),0)*'Baseline Projects'!$L4*$N4*('Baseline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Projects'!U$3,'Baseline scaling factors'!$B$48:$K$48,0))</f>
        <v>123.06657467838113</v>
      </c>
      <c r="V4" s="112">
        <f>VLOOKUP($A4,'Outage by Zone inputs'!$A$4:$E$13,MATCH('Baseline Projects'!$I4,'Outage by Zone inputs'!$A$3:$E$3,0),0)*'Baseline Projects'!$L4*$N4*('Baseline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Projects'!V$3,'Baseline scaling factors'!$B$54:$K$54,0))+VLOOKUP($A4,'Outage by Zone inputs'!$A$4:$E$13,MATCH('Baseline Projects'!$I4,'Outage by Zone inputs'!$A$3:$E$3,0),0)*'Baseline Projects'!$L4*$N4*('Baseline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Projects'!V$3,'Baseline scaling factors'!$B$48:$K$48,0))</f>
        <v>110.24608219332188</v>
      </c>
      <c r="W4" s="112">
        <f>VLOOKUP($A4,'Outage by Zone inputs'!$A$4:$E$13,MATCH('Baseline Projects'!$I4,'Outage by Zone inputs'!$A$3:$E$3,0),0)*'Baseline Projects'!$L4*$N4*('Baseline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Projects'!W$3,'Baseline scaling factors'!$B$54:$K$54,0))+VLOOKUP($A4,'Outage by Zone inputs'!$A$4:$E$13,MATCH('Baseline Projects'!$I4,'Outage by Zone inputs'!$A$3:$E$3,0),0)*'Baseline Projects'!$L4*$N4*('Baseline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Projects'!W$3,'Baseline scaling factors'!$B$48:$K$48,0))</f>
        <v>97.990489211192298</v>
      </c>
      <c r="X4" s="112">
        <f>VLOOKUP($A4,'Outage by Zone inputs'!$A$4:$E$13,MATCH('Baseline Projects'!$I4,'Outage by Zone inputs'!$A$3:$E$3,0),0)*'Baseline Projects'!$L4*$N4*('Baseline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Projects'!X$3,'Baseline scaling factors'!$B$54:$K$54,0))+VLOOKUP($A4,'Outage by Zone inputs'!$A$4:$E$13,MATCH('Baseline Projects'!$I4,'Outage by Zone inputs'!$A$3:$E$3,0),0)*'Baseline Projects'!$L4*$N4*('Baseline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Projects'!X$3,'Baseline scaling factors'!$B$48:$K$48,0))</f>
        <v>86.274904999535636</v>
      </c>
      <c r="Y4" s="112">
        <f>VLOOKUP($A4,'Outage by Zone inputs'!$A$4:$E$13,MATCH('Baseline Projects'!$I4,'Outage by Zone inputs'!$A$3:$E$3,0),0)*'Baseline Projects'!$L4*$N4*('Baseline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Projects'!Y$3,'Baseline scaling factors'!$B$54:$K$54,0))+VLOOKUP($A4,'Outage by Zone inputs'!$A$4:$E$13,MATCH('Baseline Projects'!$I4,'Outage by Zone inputs'!$A$3:$E$3,0),0)*'Baseline Projects'!$L4*$N4*('Baseline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Projects'!Y$3,'Baseline scaling factors'!$B$48:$K$48,0))</f>
        <v>75.075535567101227</v>
      </c>
      <c r="Z4" s="112">
        <f>VLOOKUP($A4,'Outage by Zone inputs'!$A$4:$E$13,MATCH('Baseline Projects'!$I4,'Outage by Zone inputs'!$A$3:$E$3,0),0)*'Baseline Projects'!$L4*$N4*('Baseline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Projects'!Z$3,'Baseline scaling factors'!$B$54:$K$54,0))+VLOOKUP($A4,'Outage by Zone inputs'!$A$4:$E$13,MATCH('Baseline Projects'!$I4,'Outage by Zone inputs'!$A$3:$E$3,0),0)*'Baseline Projects'!$L4*$N4*('Baseline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Projects'!Z$3,'Baseline scaling factors'!$B$48:$K$48,0))</f>
        <v>64.369635338980245</v>
      </c>
      <c r="AA4" s="34">
        <f>VLOOKUP($A4,'Outage by Zone inputs'!$A$4:$E$13,MATCH('Baseline Projects'!$I4,'Outage by Zone inputs'!$A$3:$E$3,0),0)*$M4*$N4*('Baseline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Projects'!AA$3,'Baseline scaling factors'!$B$54:$K$54,0))+VLOOKUP($A4,'Outage by Zone inputs'!$A$4:$E$13,MATCH('Baseline Projects'!$I4,'Outage by Zone inputs'!$A$3:$E$3,0),0)*$M4*$N4*('Baseline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Projects'!AA$3,'Baseline scaling factors'!$B$48:$K$48,0))</f>
        <v>26.244143757406061</v>
      </c>
      <c r="AB4" s="34">
        <f>VLOOKUP($A4,'Outage by Zone inputs'!$A$4:$E$13,MATCH('Baseline Projects'!$I4,'Outage by Zone inputs'!$A$3:$E$3,0),0)*$M4*$N4*('Baseline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Projects'!AB$3,'Baseline scaling factors'!$B$54:$K$54,0))+VLOOKUP($A4,'Outage by Zone inputs'!$A$4:$E$13,MATCH('Baseline Projects'!$I4,'Outage by Zone inputs'!$A$3:$E$3,0),0)*$M4*$N4*('Baseline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Projects'!AB$3,'Baseline scaling factors'!$B$48:$K$48,0))</f>
        <v>24.012353978535053</v>
      </c>
      <c r="AC4" s="34">
        <f>VLOOKUP($A4,'Outage by Zone inputs'!$A$4:$E$13,MATCH('Baseline Projects'!$I4,'Outage by Zone inputs'!$A$3:$E$3,0),0)*$M4*$N4*('Baseline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Projects'!AC$3,'Baseline scaling factors'!$B$54:$K$54,0))+VLOOKUP($A4,'Outage by Zone inputs'!$A$4:$E$13,MATCH('Baseline Projects'!$I4,'Outage by Zone inputs'!$A$3:$E$3,0),0)*$M4*$N4*('Baseline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Projects'!AC$3,'Baseline scaling factors'!$B$48:$K$48,0))</f>
        <v>21.878901836708572</v>
      </c>
      <c r="AD4" s="34">
        <f>VLOOKUP($A4,'Outage by Zone inputs'!$A$4:$E$13,MATCH('Baseline Projects'!$I4,'Outage by Zone inputs'!$A$3:$E$3,0),0)*$M4*$N4*('Baseline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Projects'!AD$3,'Baseline scaling factors'!$B$54:$K$54,0))+VLOOKUP($A4,'Outage by Zone inputs'!$A$4:$E$13,MATCH('Baseline Projects'!$I4,'Outage by Zone inputs'!$A$3:$E$3,0),0)*$M4*$N4*('Baseline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Projects'!AD$3,'Baseline scaling factors'!$B$48:$K$48,0))</f>
        <v>19.839454356235514</v>
      </c>
      <c r="AE4" s="34">
        <f>VLOOKUP($A4,'Outage by Zone inputs'!$A$4:$E$13,MATCH('Baseline Projects'!$I4,'Outage by Zone inputs'!$A$3:$E$3,0),0)*$M4*$N4*('Baseline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Projects'!AE$3,'Baseline scaling factors'!$B$54:$K$54,0))+VLOOKUP($A4,'Outage by Zone inputs'!$A$4:$E$13,MATCH('Baseline Projects'!$I4,'Outage by Zone inputs'!$A$3:$E$3,0),0)*$M4*$N4*('Baseline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Projects'!AE$3,'Baseline scaling factors'!$B$48:$K$48,0))</f>
        <v>17.889869482001099</v>
      </c>
      <c r="AF4" s="34">
        <f>VLOOKUP($A4,'Outage by Zone inputs'!$A$4:$E$13,MATCH('Baseline Projects'!$I4,'Outage by Zone inputs'!$A$3:$E$3,0),0)*$M4*$N4*('Baseline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Projects'!AF$3,'Baseline scaling factors'!$B$54:$K$54,0))+VLOOKUP($A4,'Outage by Zone inputs'!$A$4:$E$13,MATCH('Baseline Projects'!$I4,'Outage by Zone inputs'!$A$3:$E$3,0),0)*$M4*$N4*('Baseline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Projects'!AF$3,'Baseline scaling factors'!$B$48:$K$48,0))</f>
        <v>16.026187667080347</v>
      </c>
      <c r="AG4" s="34">
        <f>VLOOKUP($A4,'Outage by Zone inputs'!$A$4:$E$13,MATCH('Baseline Projects'!$I4,'Outage by Zone inputs'!$A$3:$E$3,0),0)*$M4*$N4*('Baseline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Projects'!AG$3,'Baseline scaling factors'!$B$54:$K$54,0))+VLOOKUP($A4,'Outage by Zone inputs'!$A$4:$E$13,MATCH('Baseline Projects'!$I4,'Outage by Zone inputs'!$A$3:$E$3,0),0)*$M4*$N4*('Baseline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Projects'!AG$3,'Baseline scaling factors'!$B$48:$K$48,0))</f>
        <v>14.244623831019974</v>
      </c>
      <c r="AH4" s="34">
        <f>VLOOKUP($A4,'Outage by Zone inputs'!$A$4:$E$13,MATCH('Baseline Projects'!$I4,'Outage by Zone inputs'!$A$3:$E$3,0),0)*$M4*$N4*('Baseline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Projects'!AH$3,'Baseline scaling factors'!$B$54:$K$54,0))+VLOOKUP($A4,'Outage by Zone inputs'!$A$4:$E$13,MATCH('Baseline Projects'!$I4,'Outage by Zone inputs'!$A$3:$E$3,0),0)*$M4*$N4*('Baseline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Projects'!AH$3,'Baseline scaling factors'!$B$48:$K$48,0))</f>
        <v>12.541559672456465</v>
      </c>
      <c r="AI4" s="34">
        <f>VLOOKUP($A4,'Outage by Zone inputs'!$A$4:$E$13,MATCH('Baseline Projects'!$I4,'Outage by Zone inputs'!$A$3:$E$3,0),0)*$M4*$N4*('Baseline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Projects'!AI$3,'Baseline scaling factors'!$B$54:$K$54,0))+VLOOKUP($A4,'Outage by Zone inputs'!$A$4:$E$13,MATCH('Baseline Projects'!$I4,'Outage by Zone inputs'!$A$3:$E$3,0),0)*$M4*$N4*('Baseline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Projects'!AI$3,'Baseline scaling factors'!$B$48:$K$48,0))</f>
        <v>10.913536320457213</v>
      </c>
      <c r="AJ4" s="34">
        <f>VLOOKUP($A4,'Outage by Zone inputs'!$A$4:$E$13,MATCH('Baseline Projects'!$I4,'Outage by Zone inputs'!$A$3:$E$3,0),0)*$M4*$N4*('Baseline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Projects'!AJ$3,'Baseline scaling factors'!$B$54:$K$54,0))+VLOOKUP($A4,'Outage by Zone inputs'!$A$4:$E$13,MATCH('Baseline Projects'!$I4,'Outage by Zone inputs'!$A$3:$E$3,0),0)*$M4*$N4*('Baseline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Projects'!AJ$3,'Baseline scaling factors'!$B$48:$K$48,0))</f>
        <v>9.3572473096600728</v>
      </c>
      <c r="AK4" s="1">
        <f t="shared" ref="AK4:AK48" si="2">Q4*ICE_VALUE_RES_WTD</f>
        <v>3791.2693828006581</v>
      </c>
      <c r="AL4" s="1">
        <f t="shared" ref="AL4:AL48" si="3">R4*ICE_VALUE_RES_WTD</f>
        <v>3468.8615978222165</v>
      </c>
      <c r="AM4" s="1">
        <f t="shared" ref="AM4:AM48" si="4">S4*ICE_VALUE_RES_WTD</f>
        <v>3160.659819179898</v>
      </c>
      <c r="AN4" s="1">
        <f t="shared" ref="AN4:AN48" si="5">T4*ICE_VALUE_RES_WTD</f>
        <v>2866.0380985392521</v>
      </c>
      <c r="AO4" s="1">
        <f t="shared" ref="AO4:AO48" si="6">U4*ICE_VALUE_RES_WTD</f>
        <v>2584.3980682460037</v>
      </c>
      <c r="AP4" s="1">
        <f t="shared" ref="AP4:AP48" si="7">V4*ICE_VALUE_RES_WTD</f>
        <v>2315.1677260597594</v>
      </c>
      <c r="AQ4" s="1">
        <f t="shared" ref="AQ4:AQ48" si="8">W4*ICE_VALUE_RES_WTD</f>
        <v>2057.8002734350384</v>
      </c>
      <c r="AR4" s="1">
        <f t="shared" ref="AR4:AR48" si="9">X4*ICE_VALUE_RES_WTD</f>
        <v>1811.7730049902484</v>
      </c>
      <c r="AS4" s="1">
        <f t="shared" ref="AS4:AS48" si="10">Y4*ICE_VALUE_RES_WTD</f>
        <v>1576.5862469091257</v>
      </c>
      <c r="AT4" s="1">
        <f t="shared" ref="AT4:AT48" si="11">Z4*ICE_VALUE_RES_WTD</f>
        <v>1351.7623421185851</v>
      </c>
      <c r="AU4" s="1">
        <f t="shared" ref="AU4:AU48" si="12">AA4*ICE_VALUE_NONRES_WTD</f>
        <v>101958.49849752255</v>
      </c>
      <c r="AV4" s="1">
        <f t="shared" ref="AV4:AV48" si="13">AB4*ICE_VALUE_NONRES_WTD</f>
        <v>93287.995206608684</v>
      </c>
      <c r="AW4" s="1">
        <f t="shared" ref="AW4:AW48" si="14">AC4*ICE_VALUE_NONRES_WTD</f>
        <v>84999.533635612795</v>
      </c>
      <c r="AX4" s="1">
        <f t="shared" ref="AX4:AX48" si="15">AD4*ICE_VALUE_NONRES_WTD</f>
        <v>77076.28017397497</v>
      </c>
      <c r="AY4" s="1">
        <f t="shared" ref="AY4:AY48" si="16">AE4*ICE_VALUE_NONRES_WTD</f>
        <v>69502.142937574274</v>
      </c>
      <c r="AZ4" s="1">
        <f t="shared" ref="AZ4:AZ48" si="17">AF4*ICE_VALUE_NONRES_WTD</f>
        <v>62261.739086607144</v>
      </c>
      <c r="BA4" s="1">
        <f t="shared" ref="BA4:BA48" si="18">AG4*ICE_VALUE_NONRES_WTD</f>
        <v>55340.363583512597</v>
      </c>
      <c r="BB4" s="1">
        <f t="shared" ref="BB4:BB48" si="19">AH4*ICE_VALUE_NONRES_WTD</f>
        <v>48723.959327493365</v>
      </c>
      <c r="BC4" s="1">
        <f t="shared" ref="BC4:BC48" si="20">AI4*ICE_VALUE_NONRES_WTD</f>
        <v>42399.08860497627</v>
      </c>
      <c r="BD4" s="1">
        <f t="shared" ref="BD4:BD48" si="21">AJ4*ICE_VALUE_NONRES_WTD</f>
        <v>36352.90579802938</v>
      </c>
      <c r="BE4" s="1">
        <f t="shared" ref="BE4:BE48" si="22">AK4+AU4</f>
        <v>105749.76788032321</v>
      </c>
      <c r="BF4" s="1">
        <f t="shared" ref="BF4:BF48" si="23">AL4+AV4</f>
        <v>96756.856804430907</v>
      </c>
      <c r="BG4" s="1">
        <f t="shared" ref="BG4:BG48" si="24">AM4+AW4</f>
        <v>88160.193454792694</v>
      </c>
      <c r="BH4" s="1">
        <f t="shared" ref="BH4:BH48" si="25">AN4+AX4</f>
        <v>79942.318272514225</v>
      </c>
      <c r="BI4" s="1">
        <f t="shared" ref="BI4:BI48" si="26">AO4+AY4</f>
        <v>72086.541005820283</v>
      </c>
      <c r="BJ4" s="1">
        <f t="shared" ref="BJ4:BJ48" si="27">AP4+AZ4</f>
        <v>64576.906812666901</v>
      </c>
      <c r="BK4" s="1">
        <f t="shared" ref="BK4:BK48" si="28">AQ4+BA4</f>
        <v>57398.163856947634</v>
      </c>
      <c r="BL4" s="1">
        <f t="shared" ref="BL4:BL48" si="29">AR4+BB4</f>
        <v>50535.732332483611</v>
      </c>
      <c r="BM4" s="1">
        <f t="shared" ref="BM4:BM48" si="30">AS4+BC4</f>
        <v>43975.674851885393</v>
      </c>
      <c r="BN4" s="1">
        <f t="shared" ref="BN4:BN48" si="31">AT4+BD4</f>
        <v>37704.668140147965</v>
      </c>
      <c r="BO4" s="25">
        <f>VLOOKUP($A4,'Outage by Zone inputs'!$A$59:$E$68,MATCH('Baseline Projects'!$I4,'Outage by Zone inputs'!$A$58:$E$58,0),0)*AVG_INCIDENT_PERCENT_NON_STORM</f>
        <v>6.4615535975131593</v>
      </c>
      <c r="BP4" s="25">
        <f>$BO4*$N4*('Baseline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Projects'!Q$3,'Baseline scaling factors'!$B$54:$K$54,0))+$BO4*$N4*('Baseline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Projects'!Q$3,'Baseline scaling factors'!$B$48:$K$48,0))</f>
        <v>1.9122263323483095</v>
      </c>
      <c r="BQ4" s="25">
        <f>$BO4*$N4*('Baseline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Projects'!R$3,'Baseline scaling factors'!$B$54:$K$54,0))+$BO4*$N4*('Baseline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Projects'!R$3,'Baseline scaling factors'!$B$48:$K$48,0))</f>
        <v>1.7496114944297125</v>
      </c>
      <c r="BR4" s="25">
        <f>$BO4*$N4*('Baseline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Projects'!S$3,'Baseline scaling factors'!$B$54:$K$54,0))+$BO4*$N4*('Baseline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Projects'!S$3,'Baseline scaling factors'!$B$48:$K$48,0))</f>
        <v>1.5941618290827819</v>
      </c>
      <c r="BS4" s="25">
        <f>$BO4*$N4*('Baseline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Projects'!T$3,'Baseline scaling factors'!$B$54:$K$54,0))+$BO4*$N4*('Baseline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Projects'!T$3,'Baseline scaling factors'!$B$48:$K$48,0))</f>
        <v>1.4455616228176624</v>
      </c>
      <c r="BT4" s="25">
        <f>$BO4*$N4*('Baseline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Projects'!U$3,'Baseline scaling factors'!$B$54:$K$54,0))+$BO4*$N4*('Baseline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Projects'!U$3,'Baseline scaling factors'!$B$48:$K$48,0))</f>
        <v>1.303509073185253</v>
      </c>
      <c r="BU4" s="25">
        <f>$BO4*$N4*('Baseline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Projects'!V$3,'Baseline scaling factors'!$B$54:$K$54,0))+$BO4*$N4*('Baseline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Projects'!V$3,'Baseline scaling factors'!$B$48:$K$48,0))</f>
        <v>1.1677156758257197</v>
      </c>
      <c r="BV4" s="25">
        <f>$BO4*$N4*('Baseline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Projects'!W$3,'Baseline scaling factors'!$B$54:$K$54,0))+$BO4*$N4*('Baseline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Projects'!W$3,'Baseline scaling factors'!$B$48:$K$48,0))</f>
        <v>1.0379056385250085</v>
      </c>
      <c r="BW4" s="25">
        <f>$BO4*$N4*('Baseline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Projects'!X$3,'Baseline scaling factors'!$B$54:$K$54,0))+$BO4*$N4*('Baseline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Projects'!X$3,'Baseline scaling factors'!$B$48:$K$48,0))</f>
        <v>0.91381532108934282</v>
      </c>
      <c r="BX4" s="25">
        <f>$BO4*$N4*('Baseline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Projects'!Y$3,'Baseline scaling factors'!$B$54:$K$54,0))+$BO4*$N4*('Baseline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Projects'!Y$3,'Baseline scaling factors'!$B$48:$K$48,0))</f>
        <v>0.79519269990009556</v>
      </c>
      <c r="BY4" s="25">
        <f>$BO4*$N4*('Baseline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Projects'!Z$3,'Baseline scaling factors'!$B$54:$K$54,0))+$BO4*$N4*('Baseline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Projects'!Z$3,'Baseline scaling factors'!$B$48:$K$48,0))</f>
        <v>0.68179685606157148</v>
      </c>
      <c r="BZ4" s="12">
        <f t="shared" ref="BZ4:BZ48" si="32">BP4*OM_AVG_RESTORATION_COST_PER_INCIDENT</f>
        <v>902.57082886840215</v>
      </c>
      <c r="CA4" s="12">
        <f t="shared" ref="CA4:CA48" si="33">BQ4*OM_AVG_RESTORATION_COST_PER_INCIDENT</f>
        <v>825.81662537082434</v>
      </c>
      <c r="CB4" s="12">
        <f t="shared" ref="CB4:CB48" si="34">BR4*OM_AVG_RESTORATION_COST_PER_INCIDENT</f>
        <v>752.44438332707307</v>
      </c>
      <c r="CC4" s="12">
        <f t="shared" ref="CC4:CC48" si="35">BS4*OM_AVG_RESTORATION_COST_PER_INCIDENT</f>
        <v>682.30508596993661</v>
      </c>
      <c r="CD4" s="12">
        <f t="shared" ref="CD4:CD48" si="36">BT4*OM_AVG_RESTORATION_COST_PER_INCIDENT</f>
        <v>615.2562825434394</v>
      </c>
      <c r="CE4" s="12">
        <f t="shared" ref="CE4:CE48" si="37">BU4*OM_AVG_RESTORATION_COST_PER_INCIDENT</f>
        <v>551.16179898973974</v>
      </c>
      <c r="CF4" s="12">
        <f t="shared" ref="CF4:CF48" si="38">BV4*OM_AVG_RESTORATION_COST_PER_INCIDENT</f>
        <v>489.89146138380403</v>
      </c>
      <c r="CG4" s="12">
        <f t="shared" ref="CG4:CG48" si="39">BW4*OM_AVG_RESTORATION_COST_PER_INCIDENT</f>
        <v>431.32083155416979</v>
      </c>
      <c r="CH4" s="12">
        <f t="shared" ref="CH4:CH48" si="40">BX4*OM_AVG_RESTORATION_COST_PER_INCIDENT</f>
        <v>375.33095435284508</v>
      </c>
      <c r="CI4" s="12">
        <f t="shared" ref="CI4:CI48" si="41">BY4*OM_AVG_RESTORATION_COST_PER_INCIDENT</f>
        <v>321.80811606106175</v>
      </c>
      <c r="CJ4" s="12">
        <f>'Mitigation Projects'!$AG4*VLOOKUP('Baseline Projects'!$H4&amp;"-"&amp;'Baseline Projects'!$G4,'Baseline scaling factors'!$A$49:$K$51,MATCH('Baseline Projects'!CJ$2,'Baseline scaling factors'!$A$48:$K$48,0),0)</f>
        <v>0</v>
      </c>
      <c r="CK4" s="12">
        <f>'Mitigation Projects'!$AG4*VLOOKUP('Baseline Projects'!$H4&amp;"-"&amp;'Baseline Projects'!$G4,'Baseline scaling factors'!$A$49:$K$51,MATCH('Baseline Projects'!CK$2,'Baseline scaling factors'!$A$48:$K$48,0),0)</f>
        <v>0</v>
      </c>
      <c r="CL4" s="12">
        <f>'Mitigation Projects'!$AG4*VLOOKUP('Baseline Projects'!$H4&amp;"-"&amp;'Baseline Projects'!$G4,'Baseline scaling factors'!$A$49:$K$51,MATCH('Baseline Projects'!CL$2,'Baseline scaling factors'!$A$48:$K$48,0),0)</f>
        <v>0</v>
      </c>
      <c r="CM4" s="12">
        <f>'Mitigation Projects'!$AG4*VLOOKUP('Baseline Projects'!$H4&amp;"-"&amp;'Baseline Projects'!$G4,'Baseline scaling factors'!$A$49:$K$51,MATCH('Baseline Projects'!CM$2,'Baseline scaling factors'!$A$48:$K$48,0),0)</f>
        <v>0</v>
      </c>
      <c r="CN4" s="12">
        <f>'Mitigation Projects'!$AG4*VLOOKUP('Baseline Projects'!$H4&amp;"-"&amp;'Baseline Projects'!$G4,'Baseline scaling factors'!$A$49:$K$51,MATCH('Baseline Projects'!CN$2,'Baseline scaling factors'!$A$48:$K$48,0),0)</f>
        <v>0</v>
      </c>
      <c r="CO4" s="12">
        <f>'Mitigation Projects'!$AG4*VLOOKUP('Baseline Projects'!$H4&amp;"-"&amp;'Baseline Projects'!$G4,'Baseline scaling factors'!$A$49:$K$51,MATCH('Baseline Projects'!CO$2,'Baseline scaling factors'!$A$48:$K$48,0),0)</f>
        <v>0</v>
      </c>
      <c r="CP4" s="12">
        <f>'Mitigation Projects'!$AG4*VLOOKUP('Baseline Projects'!$H4&amp;"-"&amp;'Baseline Projects'!$G4,'Baseline scaling factors'!$A$49:$K$51,MATCH('Baseline Projects'!CP$2,'Baseline scaling factors'!$A$48:$K$48,0),0)</f>
        <v>0</v>
      </c>
      <c r="CQ4" s="12">
        <f>'Mitigation Projects'!$AG4*VLOOKUP('Baseline Projects'!$H4&amp;"-"&amp;'Baseline Projects'!$G4,'Baseline scaling factors'!$A$49:$K$51,MATCH('Baseline Projects'!CQ$2,'Baseline scaling factors'!$A$48:$K$48,0),0)</f>
        <v>0</v>
      </c>
      <c r="CR4" s="12">
        <f>'Mitigation Projects'!$AG4*VLOOKUP('Baseline Projects'!$H4&amp;"-"&amp;'Baseline Projects'!$G4,'Baseline scaling factors'!$A$49:$K$51,MATCH('Baseline Projects'!CR$2,'Baseline scaling factors'!$A$48:$K$48,0),0)</f>
        <v>0</v>
      </c>
      <c r="CS4" s="12">
        <f>'Mitigation Projects'!$AG4*VLOOKUP('Baseline Projects'!$H4&amp;"-"&amp;'Baseline Projects'!$G4,'Baseline scaling factors'!$A$49:$K$51,MATCH('Baseline Projects'!CS$2,'Baseline scaling factors'!$A$48:$K$48,0),0)</f>
        <v>0</v>
      </c>
      <c r="CT4" s="12">
        <f>'Mitigation Projects'!$AH4*VLOOKUP('Baseline Projects'!$H4&amp;"-"&amp;'Baseline Projects'!$G4,'Baseline scaling factors'!$A$49:$K$51,MATCH('Baseline Projects'!CT$2,'Baseline scaling factors'!$A$48:$K$48,0),0)</f>
        <v>0</v>
      </c>
      <c r="CU4" s="12">
        <f>'Mitigation Projects'!$AH4*VLOOKUP('Baseline Projects'!$H4&amp;"-"&amp;'Baseline Projects'!$G4,'Baseline scaling factors'!$A$49:$K$51,MATCH('Baseline Projects'!CU$2,'Baseline scaling factors'!$A$48:$K$48,0),0)</f>
        <v>0</v>
      </c>
      <c r="CV4" s="12">
        <f>'Mitigation Projects'!$AH4*VLOOKUP('Baseline Projects'!$H4&amp;"-"&amp;'Baseline Projects'!$G4,'Baseline scaling factors'!$A$49:$K$51,MATCH('Baseline Projects'!CV$2,'Baseline scaling factors'!$A$48:$K$48,0),0)</f>
        <v>0</v>
      </c>
      <c r="CW4" s="12">
        <f>'Mitigation Projects'!$AH4*VLOOKUP('Baseline Projects'!$H4&amp;"-"&amp;'Baseline Projects'!$G4,'Baseline scaling factors'!$A$49:$K$51,MATCH('Baseline Projects'!CW$2,'Baseline scaling factors'!$A$48:$K$48,0),0)</f>
        <v>0</v>
      </c>
      <c r="CX4" s="12">
        <f>'Mitigation Projects'!$AH4*VLOOKUP('Baseline Projects'!$H4&amp;"-"&amp;'Baseline Projects'!$G4,'Baseline scaling factors'!$A$49:$K$51,MATCH('Baseline Projects'!CX$2,'Baseline scaling factors'!$A$48:$K$48,0),0)</f>
        <v>0</v>
      </c>
      <c r="CY4" s="12">
        <f>'Mitigation Projects'!$AH4*VLOOKUP('Baseline Projects'!$H4&amp;"-"&amp;'Baseline Projects'!$G4,'Baseline scaling factors'!$A$49:$K$51,MATCH('Baseline Projects'!CY$2,'Baseline scaling factors'!$A$48:$K$48,0),0)</f>
        <v>0</v>
      </c>
      <c r="CZ4" s="12">
        <f>'Mitigation Projects'!$AH4*VLOOKUP('Baseline Projects'!$H4&amp;"-"&amp;'Baseline Projects'!$G4,'Baseline scaling factors'!$A$49:$K$51,MATCH('Baseline Projects'!CZ$2,'Baseline scaling factors'!$A$48:$K$48,0),0)</f>
        <v>0</v>
      </c>
      <c r="DA4" s="12">
        <f>'Mitigation Projects'!$AH4*VLOOKUP('Baseline Projects'!$H4&amp;"-"&amp;'Baseline Projects'!$G4,'Baseline scaling factors'!$A$49:$K$51,MATCH('Baseline Projects'!DA$2,'Baseline scaling factors'!$A$48:$K$48,0),0)</f>
        <v>0</v>
      </c>
      <c r="DB4" s="12">
        <f>'Mitigation Projects'!$AH4*VLOOKUP('Baseline Projects'!$H4&amp;"-"&amp;'Baseline Projects'!$G4,'Baseline scaling factors'!$A$49:$K$51,MATCH('Baseline Projects'!DB$2,'Baseline scaling factors'!$A$48:$K$48,0),0)</f>
        <v>0</v>
      </c>
      <c r="DC4" s="12">
        <f>'Mitigation Projects'!$AH4*VLOOKUP('Baseline Projects'!$H4&amp;"-"&amp;'Baseline Projects'!$G4,'Baseline scaling factors'!$A$49:$K$51,MATCH('Baseline Projects'!DC$2,'Baseline scaling factors'!$A$48:$K$48,0),0)</f>
        <v>0</v>
      </c>
    </row>
    <row r="5" spans="1:107" x14ac:dyDescent="0.4">
      <c r="A5" s="38" t="str">
        <f>'Mitigation Projects'!A5</f>
        <v>BV-G43</v>
      </c>
      <c r="B5" s="38" t="str">
        <f>'Mitigation Projects'!B5</f>
        <v>Springfield</v>
      </c>
      <c r="C5" s="39">
        <f>'Mitigation Projects'!C5</f>
        <v>203031</v>
      </c>
      <c r="D5" s="39" t="str">
        <f>'Mitigation Projects'!D5</f>
        <v>203031: L43 P57 BV-G43 Mainline</v>
      </c>
      <c r="E5" s="39" t="str">
        <f>'Mitigation Projects'!E5</f>
        <v>Sub</v>
      </c>
      <c r="F5" s="39">
        <f>'Mitigation Projects'!F5</f>
        <v>0</v>
      </c>
      <c r="G5" s="39" t="str">
        <f>'Mitigation Projects'!G5</f>
        <v>3PH</v>
      </c>
      <c r="H5" s="39" t="str">
        <f>'Mitigation Projects'!H5</f>
        <v>OH</v>
      </c>
      <c r="I5" s="39" t="str">
        <f>'Mitigation Projects'!J5</f>
        <v>Zone 1</v>
      </c>
      <c r="J5" s="39">
        <f>'Mitigation Projects'!K5</f>
        <v>716</v>
      </c>
      <c r="K5" s="40">
        <f>'Mitigation Projects'!L5*BASELINE_CAP_SPEND</f>
        <v>275405.90000000002</v>
      </c>
      <c r="L5" s="97">
        <f>'Mitigation Projects'!Q5</f>
        <v>0.87308228730822868</v>
      </c>
      <c r="M5" s="97">
        <f>'Mitigation Projects'!R5</f>
        <v>0.12691771269177132</v>
      </c>
      <c r="N5" s="98">
        <f>'Mitigation Projects'!S5</f>
        <v>1</v>
      </c>
      <c r="O5" s="26">
        <f t="shared" si="0"/>
        <v>0.9</v>
      </c>
      <c r="P5" s="26">
        <f t="shared" si="1"/>
        <v>0.80330442615766917</v>
      </c>
      <c r="Q5" s="112">
        <f>VLOOKUP($A5,'Outage by Zone inputs'!$A$4:$E$13,MATCH('Baseline Projects'!$I5,'Outage by Zone inputs'!$A$3:$E$3,0),0)*'Baseline Projects'!$L5*$N5*('Baseline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Projects'!Q$3,'Baseline scaling factors'!$B$54:$K$54,0))+VLOOKUP($A5,'Outage by Zone inputs'!$A$4:$E$13,MATCH('Baseline Projects'!$I5,'Outage by Zone inputs'!$A$3:$E$3,0),0)*'Baseline Projects'!$L5*$N5*('Baseline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Projects'!Q$3,'Baseline scaling factors'!$B$48:$K$48,0))</f>
        <v>1838.9424339102911</v>
      </c>
      <c r="R5" s="112">
        <f>VLOOKUP($A5,'Outage by Zone inputs'!$A$4:$E$13,MATCH('Baseline Projects'!$I5,'Outage by Zone inputs'!$A$3:$E$3,0),0)*'Baseline Projects'!$L5*$N5*('Baseline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Projects'!R$3,'Baseline scaling factors'!$B$54:$K$54,0))+VLOOKUP($A5,'Outage by Zone inputs'!$A$4:$E$13,MATCH('Baseline Projects'!$I5,'Outage by Zone inputs'!$A$3:$E$3,0),0)*'Baseline Projects'!$L5*$N5*('Baseline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Projects'!R$3,'Baseline scaling factors'!$B$48:$K$48,0))</f>
        <v>1701.9452468455092</v>
      </c>
      <c r="S5" s="112">
        <f>VLOOKUP($A5,'Outage by Zone inputs'!$A$4:$E$13,MATCH('Baseline Projects'!$I5,'Outage by Zone inputs'!$A$3:$E$3,0),0)*'Baseline Projects'!$L5*$N5*('Baseline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Projects'!S$3,'Baseline scaling factors'!$B$54:$K$54,0))+VLOOKUP($A5,'Outage by Zone inputs'!$A$4:$E$13,MATCH('Baseline Projects'!$I5,'Outage by Zone inputs'!$A$3:$E$3,0),0)*'Baseline Projects'!$L5*$N5*('Baseline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Projects'!S$3,'Baseline scaling factors'!$B$48:$K$48,0))</f>
        <v>1570.984461499761</v>
      </c>
      <c r="T5" s="112">
        <f>VLOOKUP($A5,'Outage by Zone inputs'!$A$4:$E$13,MATCH('Baseline Projects'!$I5,'Outage by Zone inputs'!$A$3:$E$3,0),0)*'Baseline Projects'!$L5*$N5*('Baseline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Projects'!T$3,'Baseline scaling factors'!$B$54:$K$54,0))+VLOOKUP($A5,'Outage by Zone inputs'!$A$4:$E$13,MATCH('Baseline Projects'!$I5,'Outage by Zone inputs'!$A$3:$E$3,0),0)*'Baseline Projects'!$L5*$N5*('Baseline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Projects'!T$3,'Baseline scaling factors'!$B$48:$K$48,0))</f>
        <v>1445.7941005453772</v>
      </c>
      <c r="U5" s="112">
        <f>VLOOKUP($A5,'Outage by Zone inputs'!$A$4:$E$13,MATCH('Baseline Projects'!$I5,'Outage by Zone inputs'!$A$3:$E$3,0),0)*'Baseline Projects'!$L5*$N5*('Baseline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Projects'!U$3,'Baseline scaling factors'!$B$54:$K$54,0))+VLOOKUP($A5,'Outage by Zone inputs'!$A$4:$E$13,MATCH('Baseline Projects'!$I5,'Outage by Zone inputs'!$A$3:$E$3,0),0)*'Baseline Projects'!$L5*$N5*('Baseline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Projects'!U$3,'Baseline scaling factors'!$B$48:$K$48,0))</f>
        <v>1326.1199062091746</v>
      </c>
      <c r="V5" s="112">
        <f>VLOOKUP($A5,'Outage by Zone inputs'!$A$4:$E$13,MATCH('Baseline Projects'!$I5,'Outage by Zone inputs'!$A$3:$E$3,0),0)*'Baseline Projects'!$L5*$N5*('Baseline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Projects'!V$3,'Baseline scaling factors'!$B$54:$K$54,0))+VLOOKUP($A5,'Outage by Zone inputs'!$A$4:$E$13,MATCH('Baseline Projects'!$I5,'Outage by Zone inputs'!$A$3:$E$3,0),0)*'Baseline Projects'!$L5*$N5*('Baseline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Projects'!V$3,'Baseline scaling factors'!$B$48:$K$48,0))</f>
        <v>1211.7188238827339</v>
      </c>
      <c r="W5" s="112">
        <f>VLOOKUP($A5,'Outage by Zone inputs'!$A$4:$E$13,MATCH('Baseline Projects'!$I5,'Outage by Zone inputs'!$A$3:$E$3,0),0)*'Baseline Projects'!$L5*$N5*('Baseline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Projects'!W$3,'Baseline scaling factors'!$B$54:$K$54,0))+VLOOKUP($A5,'Outage by Zone inputs'!$A$4:$E$13,MATCH('Baseline Projects'!$I5,'Outage by Zone inputs'!$A$3:$E$3,0),0)*'Baseline Projects'!$L5*$N5*('Baseline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Projects'!W$3,'Baseline scaling factors'!$B$48:$K$48,0))</f>
        <v>1102.3585084859678</v>
      </c>
      <c r="X5" s="112">
        <f>VLOOKUP($A5,'Outage by Zone inputs'!$A$4:$E$13,MATCH('Baseline Projects'!$I5,'Outage by Zone inputs'!$A$3:$E$3,0),0)*'Baseline Projects'!$L5*$N5*('Baseline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Projects'!X$3,'Baseline scaling factors'!$B$54:$K$54,0))+VLOOKUP($A5,'Outage by Zone inputs'!$A$4:$E$13,MATCH('Baseline Projects'!$I5,'Outage by Zone inputs'!$A$3:$E$3,0),0)*'Baseline Projects'!$L5*$N5*('Baseline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Projects'!X$3,'Baseline scaling factors'!$B$48:$K$48,0))</f>
        <v>997.81685258140612</v>
      </c>
      <c r="Y5" s="112">
        <f>VLOOKUP($A5,'Outage by Zone inputs'!$A$4:$E$13,MATCH('Baseline Projects'!$I5,'Outage by Zone inputs'!$A$3:$E$3,0),0)*'Baseline Projects'!$L5*$N5*('Baseline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Projects'!Y$3,'Baseline scaling factors'!$B$54:$K$54,0))+VLOOKUP($A5,'Outage by Zone inputs'!$A$4:$E$13,MATCH('Baseline Projects'!$I5,'Outage by Zone inputs'!$A$3:$E$3,0),0)*'Baseline Projects'!$L5*$N5*('Baseline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Projects'!Y$3,'Baseline scaling factors'!$B$48:$K$48,0))</f>
        <v>897.88153528082228</v>
      </c>
      <c r="Z5" s="112">
        <f>VLOOKUP($A5,'Outage by Zone inputs'!$A$4:$E$13,MATCH('Baseline Projects'!$I5,'Outage by Zone inputs'!$A$3:$E$3,0),0)*'Baseline Projects'!$L5*$N5*('Baseline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Projects'!Z$3,'Baseline scaling factors'!$B$54:$K$54,0))+VLOOKUP($A5,'Outage by Zone inputs'!$A$4:$E$13,MATCH('Baseline Projects'!$I5,'Outage by Zone inputs'!$A$3:$E$3,0),0)*'Baseline Projects'!$L5*$N5*('Baseline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Projects'!Z$3,'Baseline scaling factors'!$B$48:$K$48,0))</f>
        <v>802.34959102803771</v>
      </c>
      <c r="AA5" s="34">
        <f>VLOOKUP($A5,'Outage by Zone inputs'!$A$4:$E$13,MATCH('Baseline Projects'!$I5,'Outage by Zone inputs'!$A$3:$E$3,0),0)*$M5*$N5*('Baseline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Projects'!AA$3,'Baseline scaling factors'!$B$54:$K$54,0))+VLOOKUP($A5,'Outage by Zone inputs'!$A$4:$E$13,MATCH('Baseline Projects'!$I5,'Outage by Zone inputs'!$A$3:$E$3,0),0)*$M5*$N5*('Baseline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Projects'!AA$3,'Baseline scaling factors'!$B$48:$K$48,0))</f>
        <v>267.32230269302966</v>
      </c>
      <c r="AB5" s="34">
        <f>VLOOKUP($A5,'Outage by Zone inputs'!$A$4:$E$13,MATCH('Baseline Projects'!$I5,'Outage by Zone inputs'!$A$3:$E$3,0),0)*$M5*$N5*('Baseline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Projects'!AB$3,'Baseline scaling factors'!$B$54:$K$54,0))+VLOOKUP($A5,'Outage by Zone inputs'!$A$4:$E$13,MATCH('Baseline Projects'!$I5,'Outage by Zone inputs'!$A$3:$E$3,0),0)*$M5*$N5*('Baseline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Projects'!AB$3,'Baseline scaling factors'!$B$48:$K$48,0))</f>
        <v>247.40737613888405</v>
      </c>
      <c r="AC5" s="34">
        <f>VLOOKUP($A5,'Outage by Zone inputs'!$A$4:$E$13,MATCH('Baseline Projects'!$I5,'Outage by Zone inputs'!$A$3:$E$3,0),0)*$M5*$N5*('Baseline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Projects'!AC$3,'Baseline scaling factors'!$B$54:$K$54,0))+VLOOKUP($A5,'Outage by Zone inputs'!$A$4:$E$13,MATCH('Baseline Projects'!$I5,'Outage by Zone inputs'!$A$3:$E$3,0),0)*$M5*$N5*('Baseline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Projects'!AC$3,'Baseline scaling factors'!$B$48:$K$48,0))</f>
        <v>228.36994568127525</v>
      </c>
      <c r="AD5" s="34">
        <f>VLOOKUP($A5,'Outage by Zone inputs'!$A$4:$E$13,MATCH('Baseline Projects'!$I5,'Outage by Zone inputs'!$A$3:$E$3,0),0)*$M5*$N5*('Baseline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Projects'!AD$3,'Baseline scaling factors'!$B$54:$K$54,0))+VLOOKUP($A5,'Outage by Zone inputs'!$A$4:$E$13,MATCH('Baseline Projects'!$I5,'Outage by Zone inputs'!$A$3:$E$3,0),0)*$M5*$N5*('Baseline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Projects'!AD$3,'Baseline scaling factors'!$B$48:$K$48,0))</f>
        <v>210.17134688439202</v>
      </c>
      <c r="AE5" s="34">
        <f>VLOOKUP($A5,'Outage by Zone inputs'!$A$4:$E$13,MATCH('Baseline Projects'!$I5,'Outage by Zone inputs'!$A$3:$E$3,0),0)*$M5*$N5*('Baseline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Projects'!AE$3,'Baseline scaling factors'!$B$54:$K$54,0))+VLOOKUP($A5,'Outage by Zone inputs'!$A$4:$E$13,MATCH('Baseline Projects'!$I5,'Outage by Zone inputs'!$A$3:$E$3,0),0)*$M5*$N5*('Baseline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Projects'!AE$3,'Baseline scaling factors'!$B$48:$K$48,0))</f>
        <v>192.77461895372991</v>
      </c>
      <c r="AF5" s="34">
        <f>VLOOKUP($A5,'Outage by Zone inputs'!$A$4:$E$13,MATCH('Baseline Projects'!$I5,'Outage by Zone inputs'!$A$3:$E$3,0),0)*$M5*$N5*('Baseline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Projects'!AF$3,'Baseline scaling factors'!$B$54:$K$54,0))+VLOOKUP($A5,'Outage by Zone inputs'!$A$4:$E$13,MATCH('Baseline Projects'!$I5,'Outage by Zone inputs'!$A$3:$E$3,0),0)*$M5*$N5*('Baseline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Projects'!AF$3,'Baseline scaling factors'!$B$48:$K$48,0))</f>
        <v>176.14442966985439</v>
      </c>
      <c r="AG5" s="34">
        <f>VLOOKUP($A5,'Outage by Zone inputs'!$A$4:$E$13,MATCH('Baseline Projects'!$I5,'Outage by Zone inputs'!$A$3:$E$3,0),0)*$M5*$N5*('Baseline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Projects'!AG$3,'Baseline scaling factors'!$B$54:$K$54,0))+VLOOKUP($A5,'Outage by Zone inputs'!$A$4:$E$13,MATCH('Baseline Projects'!$I5,'Outage by Zone inputs'!$A$3:$E$3,0),0)*$M5*$N5*('Baseline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Projects'!AG$3,'Baseline scaling factors'!$B$48:$K$48,0))</f>
        <v>160.24700362974937</v>
      </c>
      <c r="AH5" s="34">
        <f>VLOOKUP($A5,'Outage by Zone inputs'!$A$4:$E$13,MATCH('Baseline Projects'!$I5,'Outage by Zone inputs'!$A$3:$E$3,0),0)*$M5*$N5*('Baseline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Projects'!AH$3,'Baseline scaling factors'!$B$54:$K$54,0))+VLOOKUP($A5,'Outage by Zone inputs'!$A$4:$E$13,MATCH('Baseline Projects'!$I5,'Outage by Zone inputs'!$A$3:$E$3,0),0)*$M5*$N5*('Baseline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Projects'!AH$3,'Baseline scaling factors'!$B$48:$K$48,0))</f>
        <v>145.05005365001279</v>
      </c>
      <c r="AI5" s="34">
        <f>VLOOKUP($A5,'Outage by Zone inputs'!$A$4:$E$13,MATCH('Baseline Projects'!$I5,'Outage by Zone inputs'!$A$3:$E$3,0),0)*$M5*$N5*('Baseline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Projects'!AI$3,'Baseline scaling factors'!$B$54:$K$54,0))+VLOOKUP($A5,'Outage by Zone inputs'!$A$4:$E$13,MATCH('Baseline Projects'!$I5,'Outage by Zone inputs'!$A$3:$E$3,0),0)*$M5*$N5*('Baseline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Projects'!AI$3,'Baseline scaling factors'!$B$48:$K$48,0))</f>
        <v>130.52271519257965</v>
      </c>
      <c r="AJ5" s="34">
        <f>VLOOKUP($A5,'Outage by Zone inputs'!$A$4:$E$13,MATCH('Baseline Projects'!$I5,'Outage by Zone inputs'!$A$3:$E$3,0),0)*$M5*$N5*('Baseline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Projects'!AJ$3,'Baseline scaling factors'!$B$54:$K$54,0))+VLOOKUP($A5,'Outage by Zone inputs'!$A$4:$E$13,MATCH('Baseline Projects'!$I5,'Outage by Zone inputs'!$A$3:$E$3,0),0)*$M5*$N5*('Baseline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Projects'!AJ$3,'Baseline scaling factors'!$B$48:$K$48,0))</f>
        <v>116.63548367979467</v>
      </c>
      <c r="AK5" s="1">
        <f t="shared" si="2"/>
        <v>38617.791112116116</v>
      </c>
      <c r="AL5" s="1">
        <f t="shared" si="3"/>
        <v>35740.850183755698</v>
      </c>
      <c r="AM5" s="1">
        <f t="shared" si="4"/>
        <v>32990.67369149498</v>
      </c>
      <c r="AN5" s="1">
        <f t="shared" si="5"/>
        <v>30361.676111452922</v>
      </c>
      <c r="AO5" s="1">
        <f t="shared" si="6"/>
        <v>27848.518030392668</v>
      </c>
      <c r="AP5" s="1">
        <f t="shared" si="7"/>
        <v>25446.095301537411</v>
      </c>
      <c r="AQ5" s="1">
        <f t="shared" si="8"/>
        <v>23149.528678205323</v>
      </c>
      <c r="AR5" s="1">
        <f t="shared" si="9"/>
        <v>20954.153904209528</v>
      </c>
      <c r="AS5" s="1">
        <f t="shared" si="10"/>
        <v>18855.512240897267</v>
      </c>
      <c r="AT5" s="1">
        <f t="shared" si="11"/>
        <v>16849.341411588794</v>
      </c>
      <c r="AU5" s="1">
        <f t="shared" si="12"/>
        <v>1038547.1459624203</v>
      </c>
      <c r="AV5" s="1">
        <f t="shared" si="13"/>
        <v>961177.65629956452</v>
      </c>
      <c r="AW5" s="1">
        <f t="shared" si="14"/>
        <v>887217.23897175433</v>
      </c>
      <c r="AX5" s="1">
        <f t="shared" si="15"/>
        <v>816515.68264586304</v>
      </c>
      <c r="AY5" s="1">
        <f t="shared" si="16"/>
        <v>748929.39463524066</v>
      </c>
      <c r="AZ5" s="1">
        <f t="shared" si="17"/>
        <v>684321.10926738428</v>
      </c>
      <c r="BA5" s="1">
        <f t="shared" si="18"/>
        <v>622559.60910157626</v>
      </c>
      <c r="BB5" s="1">
        <f t="shared" si="19"/>
        <v>563519.45843029965</v>
      </c>
      <c r="BC5" s="1">
        <f t="shared" si="20"/>
        <v>507080.74852317193</v>
      </c>
      <c r="BD5" s="1">
        <f t="shared" si="21"/>
        <v>453128.85409600229</v>
      </c>
      <c r="BE5" s="1">
        <f t="shared" si="22"/>
        <v>1077164.9370745365</v>
      </c>
      <c r="BF5" s="1">
        <f t="shared" si="23"/>
        <v>996918.50648332026</v>
      </c>
      <c r="BG5" s="1">
        <f t="shared" si="24"/>
        <v>920207.9126632493</v>
      </c>
      <c r="BH5" s="1">
        <f t="shared" si="25"/>
        <v>846877.3587573159</v>
      </c>
      <c r="BI5" s="1">
        <f t="shared" si="26"/>
        <v>776777.91266563337</v>
      </c>
      <c r="BJ5" s="1">
        <f t="shared" si="27"/>
        <v>709767.2045689217</v>
      </c>
      <c r="BK5" s="1">
        <f t="shared" si="28"/>
        <v>645709.13777978159</v>
      </c>
      <c r="BL5" s="1">
        <f t="shared" si="29"/>
        <v>584473.61233450915</v>
      </c>
      <c r="BM5" s="1">
        <f t="shared" si="30"/>
        <v>525936.26076406916</v>
      </c>
      <c r="BN5" s="1">
        <f t="shared" si="31"/>
        <v>469978.19550759107</v>
      </c>
      <c r="BO5" s="25">
        <f>VLOOKUP($A5,'Outage by Zone inputs'!$A$59:$E$68,MATCH('Baseline Projects'!$I5,'Outage by Zone inputs'!$A$58:$E$58,0),0)*AVG_INCIDENT_PERCENT_NON_STORM</f>
        <v>20.995842451294386</v>
      </c>
      <c r="BP5" s="25">
        <f>$BO5*$N5*('Baseline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Projects'!Q$3,'Baseline scaling factors'!$B$54:$K$54,0))+$BO5*$N5*('Baseline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Projects'!Q$3,'Baseline scaling factors'!$B$48:$K$48,0))</f>
        <v>19.477897665811337</v>
      </c>
      <c r="BQ5" s="25">
        <f>$BO5*$N5*('Baseline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Projects'!R$3,'Baseline scaling factors'!$B$54:$K$54,0))+$BO5*$N5*('Baseline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Projects'!R$3,'Baseline scaling factors'!$B$48:$K$48,0))</f>
        <v>18.026836914291366</v>
      </c>
      <c r="BR5" s="25">
        <f>$BO5*$N5*('Baseline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Projects'!S$3,'Baseline scaling factors'!$B$54:$K$54,0))+$BO5*$N5*('Baseline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Projects'!S$3,'Baseline scaling factors'!$B$48:$K$48,0))</f>
        <v>16.63971313697186</v>
      </c>
      <c r="BS5" s="25">
        <f>$BO5*$N5*('Baseline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Projects'!T$3,'Baseline scaling factors'!$B$54:$K$54,0))+$BO5*$N5*('Baseline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Projects'!T$3,'Baseline scaling factors'!$B$48:$K$48,0))</f>
        <v>15.313709128118573</v>
      </c>
      <c r="BT5" s="25">
        <f>$BO5*$N5*('Baseline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Projects'!U$3,'Baseline scaling factors'!$B$54:$K$54,0))+$BO5*$N5*('Baseline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Projects'!U$3,'Baseline scaling factors'!$B$48:$K$48,0))</f>
        <v>14.04613181436744</v>
      </c>
      <c r="BU5" s="25">
        <f>$BO5*$N5*('Baseline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Projects'!V$3,'Baseline scaling factors'!$B$54:$K$54,0))+$BO5*$N5*('Baseline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Projects'!V$3,'Baseline scaling factors'!$B$48:$K$48,0))</f>
        <v>12.834406785175378</v>
      </c>
      <c r="BV5" s="25">
        <f>$BO5*$N5*('Baseline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Projects'!W$3,'Baseline scaling factors'!$B$54:$K$54,0))+$BO5*$N5*('Baseline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Projects'!W$3,'Baseline scaling factors'!$B$48:$K$48,0))</f>
        <v>11.67607306427165</v>
      </c>
      <c r="BW5" s="25">
        <f>$BO5*$N5*('Baseline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Projects'!X$3,'Baseline scaling factors'!$B$54:$K$54,0))+$BO5*$N5*('Baseline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Projects'!X$3,'Baseline scaling factors'!$B$48:$K$48,0))</f>
        <v>10.568778111490738</v>
      </c>
      <c r="BX5" s="25">
        <f>$BO5*$N5*('Baseline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Projects'!Y$3,'Baseline scaling factors'!$B$54:$K$54,0))+$BO5*$N5*('Baseline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Projects'!Y$3,'Baseline scaling factors'!$B$48:$K$48,0))</f>
        <v>9.5102730448356088</v>
      </c>
      <c r="BY5" s="25">
        <f>$BO5*$N5*('Baseline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Projects'!Z$3,'Baseline scaling factors'!$B$54:$K$54,0))+$BO5*$N5*('Baseline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Projects'!Z$3,'Baseline scaling factors'!$B$48:$K$48,0))</f>
        <v>8.4984080730675444</v>
      </c>
      <c r="BZ5" s="12">
        <f t="shared" si="32"/>
        <v>9193.567698262952</v>
      </c>
      <c r="CA5" s="12">
        <f t="shared" si="33"/>
        <v>8508.667023545524</v>
      </c>
      <c r="CB5" s="12">
        <f t="shared" si="34"/>
        <v>7853.9446006507178</v>
      </c>
      <c r="CC5" s="12">
        <f t="shared" si="35"/>
        <v>7228.0707084719661</v>
      </c>
      <c r="CD5" s="12">
        <f t="shared" si="36"/>
        <v>6629.7742163814319</v>
      </c>
      <c r="CE5" s="12">
        <f t="shared" si="37"/>
        <v>6057.8400026027784</v>
      </c>
      <c r="CF5" s="12">
        <f t="shared" si="38"/>
        <v>5511.1064863362189</v>
      </c>
      <c r="CG5" s="12">
        <f t="shared" si="39"/>
        <v>4988.4632686236282</v>
      </c>
      <c r="CH5" s="12">
        <f t="shared" si="40"/>
        <v>4488.848877162407</v>
      </c>
      <c r="CI5" s="12">
        <f t="shared" si="41"/>
        <v>4011.2486104878808</v>
      </c>
      <c r="CJ5" s="12">
        <f>'Mitigation Projects'!$AG5*VLOOKUP('Baseline Projects'!$H5&amp;"-"&amp;'Baseline Projects'!$G5,'Baseline scaling factors'!$A$49:$K$51,MATCH('Baseline Projects'!CJ$2,'Baseline scaling factors'!$A$48:$K$48,0),0)</f>
        <v>0</v>
      </c>
      <c r="CK5" s="12">
        <f>'Mitigation Projects'!$AG5*VLOOKUP('Baseline Projects'!$H5&amp;"-"&amp;'Baseline Projects'!$G5,'Baseline scaling factors'!$A$49:$K$51,MATCH('Baseline Projects'!CK$2,'Baseline scaling factors'!$A$48:$K$48,0),0)</f>
        <v>0</v>
      </c>
      <c r="CL5" s="12">
        <f>'Mitigation Projects'!$AG5*VLOOKUP('Baseline Projects'!$H5&amp;"-"&amp;'Baseline Projects'!$G5,'Baseline scaling factors'!$A$49:$K$51,MATCH('Baseline Projects'!CL$2,'Baseline scaling factors'!$A$48:$K$48,0),0)</f>
        <v>0</v>
      </c>
      <c r="CM5" s="12">
        <f>'Mitigation Projects'!$AG5*VLOOKUP('Baseline Projects'!$H5&amp;"-"&amp;'Baseline Projects'!$G5,'Baseline scaling factors'!$A$49:$K$51,MATCH('Baseline Projects'!CM$2,'Baseline scaling factors'!$A$48:$K$48,0),0)</f>
        <v>0</v>
      </c>
      <c r="CN5" s="12">
        <f>'Mitigation Projects'!$AG5*VLOOKUP('Baseline Projects'!$H5&amp;"-"&amp;'Baseline Projects'!$G5,'Baseline scaling factors'!$A$49:$K$51,MATCH('Baseline Projects'!CN$2,'Baseline scaling factors'!$A$48:$K$48,0),0)</f>
        <v>0</v>
      </c>
      <c r="CO5" s="12">
        <f>'Mitigation Projects'!$AG5*VLOOKUP('Baseline Projects'!$H5&amp;"-"&amp;'Baseline Projects'!$G5,'Baseline scaling factors'!$A$49:$K$51,MATCH('Baseline Projects'!CO$2,'Baseline scaling factors'!$A$48:$K$48,0),0)</f>
        <v>0</v>
      </c>
      <c r="CP5" s="12">
        <f>'Mitigation Projects'!$AG5*VLOOKUP('Baseline Projects'!$H5&amp;"-"&amp;'Baseline Projects'!$G5,'Baseline scaling factors'!$A$49:$K$51,MATCH('Baseline Projects'!CP$2,'Baseline scaling factors'!$A$48:$K$48,0),0)</f>
        <v>0</v>
      </c>
      <c r="CQ5" s="12">
        <f>'Mitigation Projects'!$AG5*VLOOKUP('Baseline Projects'!$H5&amp;"-"&amp;'Baseline Projects'!$G5,'Baseline scaling factors'!$A$49:$K$51,MATCH('Baseline Projects'!CQ$2,'Baseline scaling factors'!$A$48:$K$48,0),0)</f>
        <v>0</v>
      </c>
      <c r="CR5" s="12">
        <f>'Mitigation Projects'!$AG5*VLOOKUP('Baseline Projects'!$H5&amp;"-"&amp;'Baseline Projects'!$G5,'Baseline scaling factors'!$A$49:$K$51,MATCH('Baseline Projects'!CR$2,'Baseline scaling factors'!$A$48:$K$48,0),0)</f>
        <v>0</v>
      </c>
      <c r="CS5" s="12">
        <f>'Mitigation Projects'!$AG5*VLOOKUP('Baseline Projects'!$H5&amp;"-"&amp;'Baseline Projects'!$G5,'Baseline scaling factors'!$A$49:$K$51,MATCH('Baseline Projects'!CS$2,'Baseline scaling factors'!$A$48:$K$48,0),0)</f>
        <v>0</v>
      </c>
      <c r="CT5" s="12">
        <f>'Mitigation Projects'!$AH5*VLOOKUP('Baseline Projects'!$H5&amp;"-"&amp;'Baseline Projects'!$G5,'Baseline scaling factors'!$A$49:$K$51,MATCH('Baseline Projects'!CT$2,'Baseline scaling factors'!$A$48:$K$48,0),0)</f>
        <v>0</v>
      </c>
      <c r="CU5" s="12">
        <f>'Mitigation Projects'!$AH5*VLOOKUP('Baseline Projects'!$H5&amp;"-"&amp;'Baseline Projects'!$G5,'Baseline scaling factors'!$A$49:$K$51,MATCH('Baseline Projects'!CU$2,'Baseline scaling factors'!$A$48:$K$48,0),0)</f>
        <v>0</v>
      </c>
      <c r="CV5" s="12">
        <f>'Mitigation Projects'!$AH5*VLOOKUP('Baseline Projects'!$H5&amp;"-"&amp;'Baseline Projects'!$G5,'Baseline scaling factors'!$A$49:$K$51,MATCH('Baseline Projects'!CV$2,'Baseline scaling factors'!$A$48:$K$48,0),0)</f>
        <v>0</v>
      </c>
      <c r="CW5" s="12">
        <f>'Mitigation Projects'!$AH5*VLOOKUP('Baseline Projects'!$H5&amp;"-"&amp;'Baseline Projects'!$G5,'Baseline scaling factors'!$A$49:$K$51,MATCH('Baseline Projects'!CW$2,'Baseline scaling factors'!$A$48:$K$48,0),0)</f>
        <v>0</v>
      </c>
      <c r="CX5" s="12">
        <f>'Mitigation Projects'!$AH5*VLOOKUP('Baseline Projects'!$H5&amp;"-"&amp;'Baseline Projects'!$G5,'Baseline scaling factors'!$A$49:$K$51,MATCH('Baseline Projects'!CX$2,'Baseline scaling factors'!$A$48:$K$48,0),0)</f>
        <v>0</v>
      </c>
      <c r="CY5" s="12">
        <f>'Mitigation Projects'!$AH5*VLOOKUP('Baseline Projects'!$H5&amp;"-"&amp;'Baseline Projects'!$G5,'Baseline scaling factors'!$A$49:$K$51,MATCH('Baseline Projects'!CY$2,'Baseline scaling factors'!$A$48:$K$48,0),0)</f>
        <v>0</v>
      </c>
      <c r="CZ5" s="12">
        <f>'Mitigation Projects'!$AH5*VLOOKUP('Baseline Projects'!$H5&amp;"-"&amp;'Baseline Projects'!$G5,'Baseline scaling factors'!$A$49:$K$51,MATCH('Baseline Projects'!CZ$2,'Baseline scaling factors'!$A$48:$K$48,0),0)</f>
        <v>0</v>
      </c>
      <c r="DA5" s="12">
        <f>'Mitigation Projects'!$AH5*VLOOKUP('Baseline Projects'!$H5&amp;"-"&amp;'Baseline Projects'!$G5,'Baseline scaling factors'!$A$49:$K$51,MATCH('Baseline Projects'!DA$2,'Baseline scaling factors'!$A$48:$K$48,0),0)</f>
        <v>0</v>
      </c>
      <c r="DB5" s="12">
        <f>'Mitigation Projects'!$AH5*VLOOKUP('Baseline Projects'!$H5&amp;"-"&amp;'Baseline Projects'!$G5,'Baseline scaling factors'!$A$49:$K$51,MATCH('Baseline Projects'!DB$2,'Baseline scaling factors'!$A$48:$K$48,0),0)</f>
        <v>0</v>
      </c>
      <c r="DC5" s="12">
        <f>'Mitigation Projects'!$AH5*VLOOKUP('Baseline Projects'!$H5&amp;"-"&amp;'Baseline Projects'!$G5,'Baseline scaling factors'!$A$49:$K$51,MATCH('Baseline Projects'!DC$2,'Baseline scaling factors'!$A$48:$K$48,0),0)</f>
        <v>0</v>
      </c>
    </row>
    <row r="6" spans="1:107" x14ac:dyDescent="0.4">
      <c r="A6" s="38" t="str">
        <f>'Mitigation Projects'!A6</f>
        <v>BV-G43</v>
      </c>
      <c r="B6" s="38" t="str">
        <f>'Mitigation Projects'!B6</f>
        <v>Springfield</v>
      </c>
      <c r="C6" s="39">
        <f>'Mitigation Projects'!C6</f>
        <v>204899</v>
      </c>
      <c r="D6" s="39" t="str">
        <f>'Mitigation Projects'!D6</f>
        <v>204899: L43 Brook Rd</v>
      </c>
      <c r="E6" s="39">
        <f>'Mitigation Projects'!E6</f>
        <v>650740</v>
      </c>
      <c r="F6" s="39">
        <f>'Mitigation Projects'!F6</f>
        <v>0</v>
      </c>
      <c r="G6" s="39" t="str">
        <f>'Mitigation Projects'!G6</f>
        <v>1PH</v>
      </c>
      <c r="H6" s="39" t="str">
        <f>'Mitigation Projects'!H6</f>
        <v>UG</v>
      </c>
      <c r="I6" s="39" t="str">
        <f>'Mitigation Projects'!J6</f>
        <v>Zone 3</v>
      </c>
      <c r="J6" s="39">
        <f>'Mitigation Projects'!K6</f>
        <v>91</v>
      </c>
      <c r="K6" s="40">
        <f>'Mitigation Projects'!L6*BASELINE_CAP_SPEND</f>
        <v>144198.30000000002</v>
      </c>
      <c r="L6" s="97">
        <f>'Mitigation Projects'!Q6</f>
        <v>0.87308228730822868</v>
      </c>
      <c r="M6" s="97">
        <f>'Mitigation Projects'!R6</f>
        <v>0.12691771269177132</v>
      </c>
      <c r="N6" s="98">
        <f>'Mitigation Projects'!S6</f>
        <v>0.5</v>
      </c>
      <c r="O6" s="26">
        <f t="shared" si="0"/>
        <v>0.98</v>
      </c>
      <c r="P6" s="26">
        <f t="shared" si="1"/>
        <v>0.83359200333362127</v>
      </c>
      <c r="Q6" s="112">
        <f>VLOOKUP($A6,'Outage by Zone inputs'!$A$4:$E$13,MATCH('Baseline Projects'!$I6,'Outage by Zone inputs'!$A$3:$E$3,0),0)*'Baseline Projects'!$L6*$N6*('Baseline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Projects'!Q$3,'Baseline scaling factors'!$B$54:$K$54,0))+VLOOKUP($A6,'Outage by Zone inputs'!$A$4:$E$13,MATCH('Baseline Projects'!$I6,'Outage by Zone inputs'!$A$3:$E$3,0),0)*'Baseline Projects'!$L6*$N6*('Baseline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Projects'!Q$3,'Baseline scaling factors'!$B$48:$K$48,0))</f>
        <v>99.568690861431435</v>
      </c>
      <c r="R6" s="112">
        <f>VLOOKUP($A6,'Outage by Zone inputs'!$A$4:$E$13,MATCH('Baseline Projects'!$I6,'Outage by Zone inputs'!$A$3:$E$3,0),0)*'Baseline Projects'!$L6*$N6*('Baseline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Projects'!R$3,'Baseline scaling factors'!$B$54:$K$54,0))+VLOOKUP($A6,'Outage by Zone inputs'!$A$4:$E$13,MATCH('Baseline Projects'!$I6,'Outage by Zone inputs'!$A$3:$E$3,0),0)*'Baseline Projects'!$L6*$N6*('Baseline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Projects'!R$3,'Baseline scaling factors'!$B$48:$K$48,0))</f>
        <v>91.101415700381438</v>
      </c>
      <c r="S6" s="112">
        <f>VLOOKUP($A6,'Outage by Zone inputs'!$A$4:$E$13,MATCH('Baseline Projects'!$I6,'Outage by Zone inputs'!$A$3:$E$3,0),0)*'Baseline Projects'!$L6*$N6*('Baseline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Projects'!S$3,'Baseline scaling factors'!$B$54:$K$54,0))+VLOOKUP($A6,'Outage by Zone inputs'!$A$4:$E$13,MATCH('Baseline Projects'!$I6,'Outage by Zone inputs'!$A$3:$E$3,0),0)*'Baseline Projects'!$L6*$N6*('Baseline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Projects'!S$3,'Baseline scaling factors'!$B$48:$K$48,0))</f>
        <v>83.007227574421563</v>
      </c>
      <c r="T6" s="112">
        <f>VLOOKUP($A6,'Outage by Zone inputs'!$A$4:$E$13,MATCH('Baseline Projects'!$I6,'Outage by Zone inputs'!$A$3:$E$3,0),0)*'Baseline Projects'!$L6*$N6*('Baseline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Projects'!T$3,'Baseline scaling factors'!$B$54:$K$54,0))+VLOOKUP($A6,'Outage by Zone inputs'!$A$4:$E$13,MATCH('Baseline Projects'!$I6,'Outage by Zone inputs'!$A$3:$E$3,0),0)*'Baseline Projects'!$L6*$N6*('Baseline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Projects'!T$3,'Baseline scaling factors'!$B$48:$K$48,0))</f>
        <v>75.269687436384402</v>
      </c>
      <c r="U6" s="112">
        <f>VLOOKUP($A6,'Outage by Zone inputs'!$A$4:$E$13,MATCH('Baseline Projects'!$I6,'Outage by Zone inputs'!$A$3:$E$3,0),0)*'Baseline Projects'!$L6*$N6*('Baseline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Projects'!U$3,'Baseline scaling factors'!$B$54:$K$54,0))+VLOOKUP($A6,'Outage by Zone inputs'!$A$4:$E$13,MATCH('Baseline Projects'!$I6,'Outage by Zone inputs'!$A$3:$E$3,0),0)*'Baseline Projects'!$L6*$N6*('Baseline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Projects'!U$3,'Baseline scaling factors'!$B$48:$K$48,0))</f>
        <v>67.873080580198092</v>
      </c>
      <c r="V6" s="112">
        <f>VLOOKUP($A6,'Outage by Zone inputs'!$A$4:$E$13,MATCH('Baseline Projects'!$I6,'Outage by Zone inputs'!$A$3:$E$3,0),0)*'Baseline Projects'!$L6*$N6*('Baseline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Projects'!V$3,'Baseline scaling factors'!$B$54:$K$54,0))+VLOOKUP($A6,'Outage by Zone inputs'!$A$4:$E$13,MATCH('Baseline Projects'!$I6,'Outage by Zone inputs'!$A$3:$E$3,0),0)*'Baseline Projects'!$L6*$N6*('Baseline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Projects'!V$3,'Baseline scaling factors'!$B$48:$K$48,0))</f>
        <v>60.802384724801769</v>
      </c>
      <c r="W6" s="112">
        <f>VLOOKUP($A6,'Outage by Zone inputs'!$A$4:$E$13,MATCH('Baseline Projects'!$I6,'Outage by Zone inputs'!$A$3:$E$3,0),0)*'Baseline Projects'!$L6*$N6*('Baseline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Projects'!W$3,'Baseline scaling factors'!$B$54:$K$54,0))+VLOOKUP($A6,'Outage by Zone inputs'!$A$4:$E$13,MATCH('Baseline Projects'!$I6,'Outage by Zone inputs'!$A$3:$E$3,0),0)*'Baseline Projects'!$L6*$N6*('Baseline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Projects'!W$3,'Baseline scaling factors'!$B$48:$K$48,0))</f>
        <v>54.043239504354545</v>
      </c>
      <c r="X6" s="112">
        <f>VLOOKUP($A6,'Outage by Zone inputs'!$A$4:$E$13,MATCH('Baseline Projects'!$I6,'Outage by Zone inputs'!$A$3:$E$3,0),0)*'Baseline Projects'!$L6*$N6*('Baseline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Projects'!X$3,'Baseline scaling factors'!$B$54:$K$54,0))+VLOOKUP($A6,'Outage by Zone inputs'!$A$4:$E$13,MATCH('Baseline Projects'!$I6,'Outage by Zone inputs'!$A$3:$E$3,0),0)*'Baseline Projects'!$L6*$N6*('Baseline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Projects'!X$3,'Baseline scaling factors'!$B$48:$K$48,0))</f>
        <v>47.581917302774201</v>
      </c>
      <c r="Y6" s="112">
        <f>VLOOKUP($A6,'Outage by Zone inputs'!$A$4:$E$13,MATCH('Baseline Projects'!$I6,'Outage by Zone inputs'!$A$3:$E$3,0),0)*'Baseline Projects'!$L6*$N6*('Baseline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Projects'!Y$3,'Baseline scaling factors'!$B$54:$K$54,0))+VLOOKUP($A6,'Outage by Zone inputs'!$A$4:$E$13,MATCH('Baseline Projects'!$I6,'Outage by Zone inputs'!$A$3:$E$3,0),0)*'Baseline Projects'!$L6*$N6*('Baseline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Projects'!Y$3,'Baseline scaling factors'!$B$48:$K$48,0))</f>
        <v>41.405295373370983</v>
      </c>
      <c r="Z6" s="112">
        <f>VLOOKUP($A6,'Outage by Zone inputs'!$A$4:$E$13,MATCH('Baseline Projects'!$I6,'Outage by Zone inputs'!$A$3:$E$3,0),0)*'Baseline Projects'!$L6*$N6*('Baseline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Projects'!Z$3,'Baseline scaling factors'!$B$54:$K$54,0))+VLOOKUP($A6,'Outage by Zone inputs'!$A$4:$E$13,MATCH('Baseline Projects'!$I6,'Outage by Zone inputs'!$A$3:$E$3,0),0)*'Baseline Projects'!$L6*$N6*('Baseline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Projects'!Z$3,'Baseline scaling factors'!$B$48:$K$48,0))</f>
        <v>35.500829186952743</v>
      </c>
      <c r="AA6" s="34">
        <f>VLOOKUP($A6,'Outage by Zone inputs'!$A$4:$E$13,MATCH('Baseline Projects'!$I6,'Outage by Zone inputs'!$A$3:$E$3,0),0)*$M6*$N6*('Baseline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Projects'!AA$3,'Baseline scaling factors'!$B$54:$K$54,0))+VLOOKUP($A6,'Outage by Zone inputs'!$A$4:$E$13,MATCH('Baseline Projects'!$I6,'Outage by Zone inputs'!$A$3:$E$3,0),0)*$M6*$N6*('Baseline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Projects'!AA$3,'Baseline scaling factors'!$B$48:$K$48,0))</f>
        <v>14.47404292075122</v>
      </c>
      <c r="AB6" s="34">
        <f>VLOOKUP($A6,'Outage by Zone inputs'!$A$4:$E$13,MATCH('Baseline Projects'!$I6,'Outage by Zone inputs'!$A$3:$E$3,0),0)*$M6*$N6*('Baseline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Projects'!AB$3,'Baseline scaling factors'!$B$54:$K$54,0))+VLOOKUP($A6,'Outage by Zone inputs'!$A$4:$E$13,MATCH('Baseline Projects'!$I6,'Outage by Zone inputs'!$A$3:$E$3,0),0)*$M6*$N6*('Baseline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Projects'!AB$3,'Baseline scaling factors'!$B$48:$K$48,0))</f>
        <v>13.243177042707211</v>
      </c>
      <c r="AC6" s="34">
        <f>VLOOKUP($A6,'Outage by Zone inputs'!$A$4:$E$13,MATCH('Baseline Projects'!$I6,'Outage by Zone inputs'!$A$3:$E$3,0),0)*$M6*$N6*('Baseline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Projects'!AC$3,'Baseline scaling factors'!$B$54:$K$54,0))+VLOOKUP($A6,'Outage by Zone inputs'!$A$4:$E$13,MATCH('Baseline Projects'!$I6,'Outage by Zone inputs'!$A$3:$E$3,0),0)*$M6*$N6*('Baseline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Projects'!AC$3,'Baseline scaling factors'!$B$48:$K$48,0))</f>
        <v>12.066545861457453</v>
      </c>
      <c r="AD6" s="34">
        <f>VLOOKUP($A6,'Outage by Zone inputs'!$A$4:$E$13,MATCH('Baseline Projects'!$I6,'Outage by Zone inputs'!$A$3:$E$3,0),0)*$M6*$N6*('Baseline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Projects'!AD$3,'Baseline scaling factors'!$B$54:$K$54,0))+VLOOKUP($A6,'Outage by Zone inputs'!$A$4:$E$13,MATCH('Baseline Projects'!$I6,'Outage by Zone inputs'!$A$3:$E$3,0),0)*$M6*$N6*('Baseline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Projects'!AD$3,'Baseline scaling factors'!$B$48:$K$48,0))</f>
        <v>10.941759675257162</v>
      </c>
      <c r="AE6" s="34">
        <f>VLOOKUP($A6,'Outage by Zone inputs'!$A$4:$E$13,MATCH('Baseline Projects'!$I6,'Outage by Zone inputs'!$A$3:$E$3,0),0)*$M6*$N6*('Baseline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Projects'!AE$3,'Baseline scaling factors'!$B$54:$K$54,0))+VLOOKUP($A6,'Outage by Zone inputs'!$A$4:$E$13,MATCH('Baseline Projects'!$I6,'Outage by Zone inputs'!$A$3:$E$3,0),0)*$M6*$N6*('Baseline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Projects'!AE$3,'Baseline scaling factors'!$B$48:$K$48,0))</f>
        <v>9.8665340779521209</v>
      </c>
      <c r="AF6" s="34">
        <f>VLOOKUP($A6,'Outage by Zone inputs'!$A$4:$E$13,MATCH('Baseline Projects'!$I6,'Outage by Zone inputs'!$A$3:$E$3,0),0)*$M6*$N6*('Baseline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Projects'!AF$3,'Baseline scaling factors'!$B$54:$K$54,0))+VLOOKUP($A6,'Outage by Zone inputs'!$A$4:$E$13,MATCH('Baseline Projects'!$I6,'Outage by Zone inputs'!$A$3:$E$3,0),0)*$M6*$N6*('Baseline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Projects'!AF$3,'Baseline scaling factors'!$B$48:$K$48,0))</f>
        <v>8.838685319420069</v>
      </c>
      <c r="AG6" s="34">
        <f>VLOOKUP($A6,'Outage by Zone inputs'!$A$4:$E$13,MATCH('Baseline Projects'!$I6,'Outage by Zone inputs'!$A$3:$E$3,0),0)*$M6*$N6*('Baseline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Projects'!AG$3,'Baseline scaling factors'!$B$54:$K$54,0))+VLOOKUP($A6,'Outage by Zone inputs'!$A$4:$E$13,MATCH('Baseline Projects'!$I6,'Outage by Zone inputs'!$A$3:$E$3,0),0)*$M6*$N6*('Baseline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Projects'!AG$3,'Baseline scaling factors'!$B$48:$K$48,0))</f>
        <v>7.8561258704413186</v>
      </c>
      <c r="AH6" s="34">
        <f>VLOOKUP($A6,'Outage by Zone inputs'!$A$4:$E$13,MATCH('Baseline Projects'!$I6,'Outage by Zone inputs'!$A$3:$E$3,0),0)*$M6*$N6*('Baseline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Projects'!AH$3,'Baseline scaling factors'!$B$54:$K$54,0))+VLOOKUP($A6,'Outage by Zone inputs'!$A$4:$E$13,MATCH('Baseline Projects'!$I6,'Outage by Zone inputs'!$A$3:$E$3,0),0)*$M6*$N6*('Baseline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Projects'!AH$3,'Baseline scaling factors'!$B$48:$K$48,0))</f>
        <v>6.9168601829911402</v>
      </c>
      <c r="AI6" s="34">
        <f>VLOOKUP($A6,'Outage by Zone inputs'!$A$4:$E$13,MATCH('Baseline Projects'!$I6,'Outage by Zone inputs'!$A$3:$E$3,0),0)*$M6*$N6*('Baseline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Projects'!AI$3,'Baseline scaling factors'!$B$54:$K$54,0))+VLOOKUP($A6,'Outage by Zone inputs'!$A$4:$E$13,MATCH('Baseline Projects'!$I6,'Outage by Zone inputs'!$A$3:$E$3,0),0)*$M6*$N6*('Baseline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Projects'!AI$3,'Baseline scaling factors'!$B$48:$K$48,0))</f>
        <v>6.0189806373430681</v>
      </c>
      <c r="AJ6" s="34">
        <f>VLOOKUP($A6,'Outage by Zone inputs'!$A$4:$E$13,MATCH('Baseline Projects'!$I6,'Outage by Zone inputs'!$A$3:$E$3,0),0)*$M6*$N6*('Baseline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Projects'!AJ$3,'Baseline scaling factors'!$B$54:$K$54,0))+VLOOKUP($A6,'Outage by Zone inputs'!$A$4:$E$13,MATCH('Baseline Projects'!$I6,'Outage by Zone inputs'!$A$3:$E$3,0),0)*$M6*$N6*('Baseline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Projects'!AJ$3,'Baseline scaling factors'!$B$48:$K$48,0))</f>
        <v>5.1606636677519191</v>
      </c>
      <c r="AK6" s="1">
        <f t="shared" si="2"/>
        <v>2090.9425080900601</v>
      </c>
      <c r="AL6" s="1">
        <f t="shared" si="3"/>
        <v>1913.1297297080102</v>
      </c>
      <c r="AM6" s="1">
        <f t="shared" si="4"/>
        <v>1743.1517790628527</v>
      </c>
      <c r="AN6" s="1">
        <f t="shared" si="5"/>
        <v>1580.6634361640724</v>
      </c>
      <c r="AO6" s="1">
        <f t="shared" si="6"/>
        <v>1425.3346921841598</v>
      </c>
      <c r="AP6" s="1">
        <f t="shared" si="7"/>
        <v>1276.8500792208372</v>
      </c>
      <c r="AQ6" s="1">
        <f t="shared" si="8"/>
        <v>1134.9080295914455</v>
      </c>
      <c r="AR6" s="1">
        <f t="shared" si="9"/>
        <v>999.22026335825819</v>
      </c>
      <c r="AS6" s="1">
        <f t="shared" si="10"/>
        <v>869.51120284079059</v>
      </c>
      <c r="AT6" s="1">
        <f t="shared" si="11"/>
        <v>745.51741292600764</v>
      </c>
      <c r="AU6" s="1">
        <f t="shared" si="12"/>
        <v>56231.65674711849</v>
      </c>
      <c r="AV6" s="1">
        <f t="shared" si="13"/>
        <v>51449.742810917516</v>
      </c>
      <c r="AW6" s="1">
        <f t="shared" si="14"/>
        <v>46878.530671762201</v>
      </c>
      <c r="AX6" s="1">
        <f t="shared" si="15"/>
        <v>42508.736338374074</v>
      </c>
      <c r="AY6" s="1">
        <f t="shared" si="16"/>
        <v>38331.48489284399</v>
      </c>
      <c r="AZ6" s="1">
        <f t="shared" si="17"/>
        <v>34338.292465946965</v>
      </c>
      <c r="BA6" s="1">
        <f t="shared" si="18"/>
        <v>30521.049006664522</v>
      </c>
      <c r="BB6" s="1">
        <f t="shared" si="19"/>
        <v>26872.001810920581</v>
      </c>
      <c r="BC6" s="1">
        <f t="shared" si="20"/>
        <v>23383.739776077819</v>
      </c>
      <c r="BD6" s="1">
        <f t="shared" si="21"/>
        <v>20049.178349216207</v>
      </c>
      <c r="BE6" s="1">
        <f t="shared" si="22"/>
        <v>58322.599255208552</v>
      </c>
      <c r="BF6" s="1">
        <f t="shared" si="23"/>
        <v>53362.872540625525</v>
      </c>
      <c r="BG6" s="1">
        <f t="shared" si="24"/>
        <v>48621.68245082505</v>
      </c>
      <c r="BH6" s="1">
        <f t="shared" si="25"/>
        <v>44089.399774538149</v>
      </c>
      <c r="BI6" s="1">
        <f t="shared" si="26"/>
        <v>39756.819585028148</v>
      </c>
      <c r="BJ6" s="1">
        <f t="shared" si="27"/>
        <v>35615.142545167801</v>
      </c>
      <c r="BK6" s="1">
        <f t="shared" si="28"/>
        <v>31655.957036255968</v>
      </c>
      <c r="BL6" s="1">
        <f t="shared" si="29"/>
        <v>27871.222074278838</v>
      </c>
      <c r="BM6" s="1">
        <f t="shared" si="30"/>
        <v>24253.250978918608</v>
      </c>
      <c r="BN6" s="1">
        <f t="shared" si="31"/>
        <v>20794.695762142215</v>
      </c>
      <c r="BO6" s="25">
        <f>VLOOKUP($A6,'Outage by Zone inputs'!$A$59:$E$68,MATCH('Baseline Projects'!$I6,'Outage by Zone inputs'!$A$58:$E$58,0),0)*AVG_INCIDENT_PERCENT_NON_STORM</f>
        <v>6.4615535975131593</v>
      </c>
      <c r="BP6" s="25">
        <f>$BO6*$N6*('Baseline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Projects'!Q$3,'Baseline scaling factors'!$B$54:$K$54,0))+$BO6*$N6*('Baseline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Projects'!Q$3,'Baseline scaling factors'!$B$48:$K$48,0))</f>
        <v>1.0546217954163406</v>
      </c>
      <c r="BQ6" s="25">
        <f>$BO6*$N6*('Baseline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Projects'!R$3,'Baseline scaling factors'!$B$54:$K$54,0))+$BO6*$N6*('Baseline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Projects'!R$3,'Baseline scaling factors'!$B$48:$K$48,0))</f>
        <v>0.96493724844305373</v>
      </c>
      <c r="BR6" s="25">
        <f>$BO6*$N6*('Baseline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Projects'!S$3,'Baseline scaling factors'!$B$54:$K$54,0))+$BO6*$N6*('Baseline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Projects'!S$3,'Baseline scaling factors'!$B$48:$K$48,0))</f>
        <v>0.87920440270626177</v>
      </c>
      <c r="BS6" s="25">
        <f>$BO6*$N6*('Baseline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Projects'!T$3,'Baseline scaling factors'!$B$54:$K$54,0))+$BO6*$N6*('Baseline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Projects'!T$3,'Baseline scaling factors'!$B$48:$K$48,0))</f>
        <v>0.79724913743277148</v>
      </c>
      <c r="BT6" s="25">
        <f>$BO6*$N6*('Baseline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Projects'!U$3,'Baseline scaling factors'!$B$54:$K$54,0))+$BO6*$N6*('Baseline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Projects'!U$3,'Baseline scaling factors'!$B$48:$K$48,0))</f>
        <v>0.7189050039991397</v>
      </c>
      <c r="BU6" s="25">
        <f>$BO6*$N6*('Baseline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Projects'!V$3,'Baseline scaling factors'!$B$54:$K$54,0))+$BO6*$N6*('Baseline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Projects'!V$3,'Baseline scaling factors'!$B$48:$K$48,0))</f>
        <v>0.6440128878796394</v>
      </c>
      <c r="BV6" s="25">
        <f>$BO6*$N6*('Baseline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Projects'!W$3,'Baseline scaling factors'!$B$54:$K$54,0))+$BO6*$N6*('Baseline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Projects'!W$3,'Baseline scaling factors'!$B$48:$K$48,0))</f>
        <v>0.57242068548955016</v>
      </c>
      <c r="BW6" s="25">
        <f>$BO6*$N6*('Baseline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Projects'!X$3,'Baseline scaling factors'!$B$54:$K$54,0))+$BO6*$N6*('Baseline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Projects'!X$3,'Baseline scaling factors'!$B$48:$K$48,0))</f>
        <v>0.50398299526745582</v>
      </c>
      <c r="BX6" s="25">
        <f>$BO6*$N6*('Baseline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Projects'!Y$3,'Baseline scaling factors'!$B$54:$K$54,0))+$BO6*$N6*('Baseline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Projects'!Y$3,'Baseline scaling factors'!$B$48:$K$48,0))</f>
        <v>0.43856082236914362</v>
      </c>
      <c r="BY6" s="25">
        <f>$BO6*$N6*('Baseline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Projects'!Z$3,'Baseline scaling factors'!$B$54:$K$54,0))+$BO6*$N6*('Baseline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Projects'!Z$3,'Baseline scaling factors'!$B$48:$K$48,0))</f>
        <v>0.37602129637335158</v>
      </c>
      <c r="BZ6" s="12">
        <f t="shared" si="32"/>
        <v>497.78148743651275</v>
      </c>
      <c r="CA6" s="12">
        <f t="shared" si="33"/>
        <v>455.45038126512134</v>
      </c>
      <c r="CB6" s="12">
        <f t="shared" si="34"/>
        <v>414.98447807735556</v>
      </c>
      <c r="CC6" s="12">
        <f t="shared" si="35"/>
        <v>376.30159286826813</v>
      </c>
      <c r="CD6" s="12">
        <f t="shared" si="36"/>
        <v>339.32316188759393</v>
      </c>
      <c r="CE6" s="12">
        <f t="shared" si="37"/>
        <v>303.97408307918977</v>
      </c>
      <c r="CF6" s="12">
        <f t="shared" si="38"/>
        <v>270.18256355106769</v>
      </c>
      <c r="CG6" s="12">
        <f t="shared" si="39"/>
        <v>237.87997376623915</v>
      </c>
      <c r="CH6" s="12">
        <f t="shared" si="40"/>
        <v>207.0007081582358</v>
      </c>
      <c r="CI6" s="12">
        <f t="shared" si="41"/>
        <v>177.48205188822195</v>
      </c>
      <c r="CJ6" s="12">
        <f>'Mitigation Projects'!$AG6*VLOOKUP('Baseline Projects'!$H6&amp;"-"&amp;'Baseline Projects'!$G6,'Baseline scaling factors'!$A$49:$K$51,MATCH('Baseline Projects'!CJ$2,'Baseline scaling factors'!$A$48:$K$48,0),0)</f>
        <v>0</v>
      </c>
      <c r="CK6" s="12">
        <f>'Mitigation Projects'!$AG6*VLOOKUP('Baseline Projects'!$H6&amp;"-"&amp;'Baseline Projects'!$G6,'Baseline scaling factors'!$A$49:$K$51,MATCH('Baseline Projects'!CK$2,'Baseline scaling factors'!$A$48:$K$48,0),0)</f>
        <v>0</v>
      </c>
      <c r="CL6" s="12">
        <f>'Mitigation Projects'!$AG6*VLOOKUP('Baseline Projects'!$H6&amp;"-"&amp;'Baseline Projects'!$G6,'Baseline scaling factors'!$A$49:$K$51,MATCH('Baseline Projects'!CL$2,'Baseline scaling factors'!$A$48:$K$48,0),0)</f>
        <v>0</v>
      </c>
      <c r="CM6" s="12">
        <f>'Mitigation Projects'!$AG6*VLOOKUP('Baseline Projects'!$H6&amp;"-"&amp;'Baseline Projects'!$G6,'Baseline scaling factors'!$A$49:$K$51,MATCH('Baseline Projects'!CM$2,'Baseline scaling factors'!$A$48:$K$48,0),0)</f>
        <v>0</v>
      </c>
      <c r="CN6" s="12">
        <f>'Mitigation Projects'!$AG6*VLOOKUP('Baseline Projects'!$H6&amp;"-"&amp;'Baseline Projects'!$G6,'Baseline scaling factors'!$A$49:$K$51,MATCH('Baseline Projects'!CN$2,'Baseline scaling factors'!$A$48:$K$48,0),0)</f>
        <v>0</v>
      </c>
      <c r="CO6" s="12">
        <f>'Mitigation Projects'!$AG6*VLOOKUP('Baseline Projects'!$H6&amp;"-"&amp;'Baseline Projects'!$G6,'Baseline scaling factors'!$A$49:$K$51,MATCH('Baseline Projects'!CO$2,'Baseline scaling factors'!$A$48:$K$48,0),0)</f>
        <v>0</v>
      </c>
      <c r="CP6" s="12">
        <f>'Mitigation Projects'!$AG6*VLOOKUP('Baseline Projects'!$H6&amp;"-"&amp;'Baseline Projects'!$G6,'Baseline scaling factors'!$A$49:$K$51,MATCH('Baseline Projects'!CP$2,'Baseline scaling factors'!$A$48:$K$48,0),0)</f>
        <v>0</v>
      </c>
      <c r="CQ6" s="12">
        <f>'Mitigation Projects'!$AG6*VLOOKUP('Baseline Projects'!$H6&amp;"-"&amp;'Baseline Projects'!$G6,'Baseline scaling factors'!$A$49:$K$51,MATCH('Baseline Projects'!CQ$2,'Baseline scaling factors'!$A$48:$K$48,0),0)</f>
        <v>0</v>
      </c>
      <c r="CR6" s="12">
        <f>'Mitigation Projects'!$AG6*VLOOKUP('Baseline Projects'!$H6&amp;"-"&amp;'Baseline Projects'!$G6,'Baseline scaling factors'!$A$49:$K$51,MATCH('Baseline Projects'!CR$2,'Baseline scaling factors'!$A$48:$K$48,0),0)</f>
        <v>0</v>
      </c>
      <c r="CS6" s="12">
        <f>'Mitigation Projects'!$AG6*VLOOKUP('Baseline Projects'!$H6&amp;"-"&amp;'Baseline Projects'!$G6,'Baseline scaling factors'!$A$49:$K$51,MATCH('Baseline Projects'!CS$2,'Baseline scaling factors'!$A$48:$K$48,0),0)</f>
        <v>0</v>
      </c>
      <c r="CT6" s="12">
        <f>'Mitigation Projects'!$AH6*VLOOKUP('Baseline Projects'!$H6&amp;"-"&amp;'Baseline Projects'!$G6,'Baseline scaling factors'!$A$49:$K$51,MATCH('Baseline Projects'!CT$2,'Baseline scaling factors'!$A$48:$K$48,0),0)</f>
        <v>0</v>
      </c>
      <c r="CU6" s="12">
        <f>'Mitigation Projects'!$AH6*VLOOKUP('Baseline Projects'!$H6&amp;"-"&amp;'Baseline Projects'!$G6,'Baseline scaling factors'!$A$49:$K$51,MATCH('Baseline Projects'!CU$2,'Baseline scaling factors'!$A$48:$K$48,0),0)</f>
        <v>0</v>
      </c>
      <c r="CV6" s="12">
        <f>'Mitigation Projects'!$AH6*VLOOKUP('Baseline Projects'!$H6&amp;"-"&amp;'Baseline Projects'!$G6,'Baseline scaling factors'!$A$49:$K$51,MATCH('Baseline Projects'!CV$2,'Baseline scaling factors'!$A$48:$K$48,0),0)</f>
        <v>0</v>
      </c>
      <c r="CW6" s="12">
        <f>'Mitigation Projects'!$AH6*VLOOKUP('Baseline Projects'!$H6&amp;"-"&amp;'Baseline Projects'!$G6,'Baseline scaling factors'!$A$49:$K$51,MATCH('Baseline Projects'!CW$2,'Baseline scaling factors'!$A$48:$K$48,0),0)</f>
        <v>0</v>
      </c>
      <c r="CX6" s="12">
        <f>'Mitigation Projects'!$AH6*VLOOKUP('Baseline Projects'!$H6&amp;"-"&amp;'Baseline Projects'!$G6,'Baseline scaling factors'!$A$49:$K$51,MATCH('Baseline Projects'!CX$2,'Baseline scaling factors'!$A$48:$K$48,0),0)</f>
        <v>0</v>
      </c>
      <c r="CY6" s="12">
        <f>'Mitigation Projects'!$AH6*VLOOKUP('Baseline Projects'!$H6&amp;"-"&amp;'Baseline Projects'!$G6,'Baseline scaling factors'!$A$49:$K$51,MATCH('Baseline Projects'!CY$2,'Baseline scaling factors'!$A$48:$K$48,0),0)</f>
        <v>0</v>
      </c>
      <c r="CZ6" s="12">
        <f>'Mitigation Projects'!$AH6*VLOOKUP('Baseline Projects'!$H6&amp;"-"&amp;'Baseline Projects'!$G6,'Baseline scaling factors'!$A$49:$K$51,MATCH('Baseline Projects'!CZ$2,'Baseline scaling factors'!$A$48:$K$48,0),0)</f>
        <v>0</v>
      </c>
      <c r="DA6" s="12">
        <f>'Mitigation Projects'!$AH6*VLOOKUP('Baseline Projects'!$H6&amp;"-"&amp;'Baseline Projects'!$G6,'Baseline scaling factors'!$A$49:$K$51,MATCH('Baseline Projects'!DA$2,'Baseline scaling factors'!$A$48:$K$48,0),0)</f>
        <v>0</v>
      </c>
      <c r="DB6" s="12">
        <f>'Mitigation Projects'!$AH6*VLOOKUP('Baseline Projects'!$H6&amp;"-"&amp;'Baseline Projects'!$G6,'Baseline scaling factors'!$A$49:$K$51,MATCH('Baseline Projects'!DB$2,'Baseline scaling factors'!$A$48:$K$48,0),0)</f>
        <v>0</v>
      </c>
      <c r="DC6" s="12">
        <f>'Mitigation Projects'!$AH6*VLOOKUP('Baseline Projects'!$H6&amp;"-"&amp;'Baseline Projects'!$G6,'Baseline scaling factors'!$A$49:$K$51,MATCH('Baseline Projects'!DC$2,'Baseline scaling factors'!$A$48:$K$48,0),0)</f>
        <v>0</v>
      </c>
    </row>
    <row r="7" spans="1:107" x14ac:dyDescent="0.4">
      <c r="A7" s="38" t="str">
        <f>'Mitigation Projects'!A7</f>
        <v>BV-G44</v>
      </c>
      <c r="B7" s="38" t="str">
        <f>'Mitigation Projects'!B7</f>
        <v>Springfield</v>
      </c>
      <c r="C7" s="39">
        <f>'Mitigation Projects'!C7</f>
        <v>199623</v>
      </c>
      <c r="D7" s="39" t="str">
        <f>'Mitigation Projects'!D7</f>
        <v>199623: BV Sub to L4 P126</v>
      </c>
      <c r="E7" s="39" t="str">
        <f>'Mitigation Projects'!E7</f>
        <v>Sub breaker</v>
      </c>
      <c r="F7" s="39">
        <f>'Mitigation Projects'!F7</f>
        <v>0</v>
      </c>
      <c r="G7" s="39" t="str">
        <f>'Mitigation Projects'!G7</f>
        <v>3PH</v>
      </c>
      <c r="H7" s="39" t="str">
        <f>'Mitigation Projects'!H7</f>
        <v>OH</v>
      </c>
      <c r="I7" s="39" t="str">
        <f>'Mitigation Projects'!J7</f>
        <v>Zone 1</v>
      </c>
      <c r="J7" s="39">
        <f>'Mitigation Projects'!K7</f>
        <v>797</v>
      </c>
      <c r="K7" s="40">
        <f>'Mitigation Projects'!L7*BASELINE_CAP_SPEND</f>
        <v>110990.3</v>
      </c>
      <c r="L7" s="97">
        <f>'Mitigation Projects'!Q7</f>
        <v>0.85768261964735515</v>
      </c>
      <c r="M7" s="97">
        <f>'Mitigation Projects'!R7</f>
        <v>0.14231738035264485</v>
      </c>
      <c r="N7" s="98">
        <f>'Mitigation Projects'!S7</f>
        <v>1</v>
      </c>
      <c r="O7" s="26">
        <f t="shared" si="0"/>
        <v>0.9</v>
      </c>
      <c r="P7" s="26">
        <f t="shared" si="1"/>
        <v>0.80330442615766917</v>
      </c>
      <c r="Q7" s="112">
        <f>VLOOKUP($A7,'Outage by Zone inputs'!$A$4:$E$13,MATCH('Baseline Projects'!$I7,'Outage by Zone inputs'!$A$3:$E$3,0),0)*'Baseline Projects'!$L7*$N7*('Baseline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Projects'!Q$3,'Baseline scaling factors'!$B$54:$K$54,0))+VLOOKUP($A7,'Outage by Zone inputs'!$A$4:$E$13,MATCH('Baseline Projects'!$I7,'Outage by Zone inputs'!$A$3:$E$3,0),0)*'Baseline Projects'!$L7*$N7*('Baseline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Projects'!Q$3,'Baseline scaling factors'!$B$48:$K$48,0))</f>
        <v>1515.8773466597922</v>
      </c>
      <c r="R7" s="112">
        <f>VLOOKUP($A7,'Outage by Zone inputs'!$A$4:$E$13,MATCH('Baseline Projects'!$I7,'Outage by Zone inputs'!$A$3:$E$3,0),0)*'Baseline Projects'!$L7*$N7*('Baseline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Projects'!R$3,'Baseline scaling factors'!$B$54:$K$54,0))+VLOOKUP($A7,'Outage by Zone inputs'!$A$4:$E$13,MATCH('Baseline Projects'!$I7,'Outage by Zone inputs'!$A$3:$E$3,0),0)*'Baseline Projects'!$L7*$N7*('Baseline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Projects'!R$3,'Baseline scaling factors'!$B$48:$K$48,0))</f>
        <v>1402.9478016136054</v>
      </c>
      <c r="S7" s="112">
        <f>VLOOKUP($A7,'Outage by Zone inputs'!$A$4:$E$13,MATCH('Baseline Projects'!$I7,'Outage by Zone inputs'!$A$3:$E$3,0),0)*'Baseline Projects'!$L7*$N7*('Baseline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Projects'!S$3,'Baseline scaling factors'!$B$54:$K$54,0))+VLOOKUP($A7,'Outage by Zone inputs'!$A$4:$E$13,MATCH('Baseline Projects'!$I7,'Outage by Zone inputs'!$A$3:$E$3,0),0)*'Baseline Projects'!$L7*$N7*('Baseline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Projects'!S$3,'Baseline scaling factors'!$B$48:$K$48,0))</f>
        <v>1294.9941842813514</v>
      </c>
      <c r="T7" s="112">
        <f>VLOOKUP($A7,'Outage by Zone inputs'!$A$4:$E$13,MATCH('Baseline Projects'!$I7,'Outage by Zone inputs'!$A$3:$E$3,0),0)*'Baseline Projects'!$L7*$N7*('Baseline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Projects'!T$3,'Baseline scaling factors'!$B$54:$K$54,0))+VLOOKUP($A7,'Outage by Zone inputs'!$A$4:$E$13,MATCH('Baseline Projects'!$I7,'Outage by Zone inputs'!$A$3:$E$3,0),0)*'Baseline Projects'!$L7*$N7*('Baseline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Projects'!T$3,'Baseline scaling factors'!$B$48:$K$48,0))</f>
        <v>1191.7972441860691</v>
      </c>
      <c r="U7" s="112">
        <f>VLOOKUP($A7,'Outage by Zone inputs'!$A$4:$E$13,MATCH('Baseline Projects'!$I7,'Outage by Zone inputs'!$A$3:$E$3,0),0)*'Baseline Projects'!$L7*$N7*('Baseline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Projects'!U$3,'Baseline scaling factors'!$B$54:$K$54,0))+VLOOKUP($A7,'Outage by Zone inputs'!$A$4:$E$13,MATCH('Baseline Projects'!$I7,'Outage by Zone inputs'!$A$3:$E$3,0),0)*'Baseline Projects'!$L7*$N7*('Baseline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Projects'!U$3,'Baseline scaling factors'!$B$48:$K$48,0))</f>
        <v>1093.1473915159875</v>
      </c>
      <c r="V7" s="112">
        <f>VLOOKUP($A7,'Outage by Zone inputs'!$A$4:$E$13,MATCH('Baseline Projects'!$I7,'Outage by Zone inputs'!$A$3:$E$3,0),0)*'Baseline Projects'!$L7*$N7*('Baseline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Projects'!V$3,'Baseline scaling factors'!$B$54:$K$54,0))+VLOOKUP($A7,'Outage by Zone inputs'!$A$4:$E$13,MATCH('Baseline Projects'!$I7,'Outage by Zone inputs'!$A$3:$E$3,0),0)*'Baseline Projects'!$L7*$N7*('Baseline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Projects'!V$3,'Baseline scaling factors'!$B$48:$K$48,0))</f>
        <v>998.8442714540613</v>
      </c>
      <c r="W7" s="112">
        <f>VLOOKUP($A7,'Outage by Zone inputs'!$A$4:$E$13,MATCH('Baseline Projects'!$I7,'Outage by Zone inputs'!$A$3:$E$3,0),0)*'Baseline Projects'!$L7*$N7*('Baseline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Projects'!W$3,'Baseline scaling factors'!$B$54:$K$54,0))+VLOOKUP($A7,'Outage by Zone inputs'!$A$4:$E$13,MATCH('Baseline Projects'!$I7,'Outage by Zone inputs'!$A$3:$E$3,0),0)*'Baseline Projects'!$L7*$N7*('Baseline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Projects'!W$3,'Baseline scaling factors'!$B$48:$K$48,0))</f>
        <v>908.69635726349929</v>
      </c>
      <c r="X7" s="112">
        <f>VLOOKUP($A7,'Outage by Zone inputs'!$A$4:$E$13,MATCH('Baseline Projects'!$I7,'Outage by Zone inputs'!$A$3:$E$3,0),0)*'Baseline Projects'!$L7*$N7*('Baseline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Projects'!X$3,'Baseline scaling factors'!$B$54:$K$54,0))+VLOOKUP($A7,'Outage by Zone inputs'!$A$4:$E$13,MATCH('Baseline Projects'!$I7,'Outage by Zone inputs'!$A$3:$E$3,0),0)*'Baseline Projects'!$L7*$N7*('Baseline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Projects'!X$3,'Baseline scaling factors'!$B$48:$K$48,0))</f>
        <v>822.52056130285291</v>
      </c>
      <c r="Y7" s="112">
        <f>VLOOKUP($A7,'Outage by Zone inputs'!$A$4:$E$13,MATCH('Baseline Projects'!$I7,'Outage by Zone inputs'!$A$3:$E$3,0),0)*'Baseline Projects'!$L7*$N7*('Baseline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Projects'!Y$3,'Baseline scaling factors'!$B$54:$K$54,0))+VLOOKUP($A7,'Outage by Zone inputs'!$A$4:$E$13,MATCH('Baseline Projects'!$I7,'Outage by Zone inputs'!$A$3:$E$3,0),0)*'Baseline Projects'!$L7*$N7*('Baseline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Projects'!Y$3,'Baseline scaling factors'!$B$48:$K$48,0))</f>
        <v>740.14186318064526</v>
      </c>
      <c r="Z7" s="112">
        <f>VLOOKUP($A7,'Outage by Zone inputs'!$A$4:$E$13,MATCH('Baseline Projects'!$I7,'Outage by Zone inputs'!$A$3:$E$3,0),0)*'Baseline Projects'!$L7*$N7*('Baseline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Projects'!Z$3,'Baseline scaling factors'!$B$54:$K$54,0))+VLOOKUP($A7,'Outage by Zone inputs'!$A$4:$E$13,MATCH('Baseline Projects'!$I7,'Outage by Zone inputs'!$A$3:$E$3,0),0)*'Baseline Projects'!$L7*$N7*('Baseline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Projects'!Z$3,'Baseline scaling factors'!$B$48:$K$48,0))</f>
        <v>661.39295429433992</v>
      </c>
      <c r="AA7" s="34">
        <f>VLOOKUP($A7,'Outage by Zone inputs'!$A$4:$E$13,MATCH('Baseline Projects'!$I7,'Outage by Zone inputs'!$A$3:$E$3,0),0)*$M7*$N7*('Baseline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Projects'!AA$3,'Baseline scaling factors'!$B$54:$K$54,0))+VLOOKUP($A7,'Outage by Zone inputs'!$A$4:$E$13,MATCH('Baseline Projects'!$I7,'Outage by Zone inputs'!$A$3:$E$3,0),0)*$M7*$N7*('Baseline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Projects'!AA$3,'Baseline scaling factors'!$B$48:$K$48,0))</f>
        <v>251.53324548099343</v>
      </c>
      <c r="AB7" s="34">
        <f>VLOOKUP($A7,'Outage by Zone inputs'!$A$4:$E$13,MATCH('Baseline Projects'!$I7,'Outage by Zone inputs'!$A$3:$E$3,0),0)*$M7*$N7*('Baseline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Projects'!AB$3,'Baseline scaling factors'!$B$54:$K$54,0))+VLOOKUP($A7,'Outage by Zone inputs'!$A$4:$E$13,MATCH('Baseline Projects'!$I7,'Outage by Zone inputs'!$A$3:$E$3,0),0)*$M7*$N7*('Baseline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Projects'!AB$3,'Baseline scaling factors'!$B$48:$K$48,0))</f>
        <v>232.79456913705934</v>
      </c>
      <c r="AC7" s="34">
        <f>VLOOKUP($A7,'Outage by Zone inputs'!$A$4:$E$13,MATCH('Baseline Projects'!$I7,'Outage by Zone inputs'!$A$3:$E$3,0),0)*$M7*$N7*('Baseline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Projects'!AC$3,'Baseline scaling factors'!$B$54:$K$54,0))+VLOOKUP($A7,'Outage by Zone inputs'!$A$4:$E$13,MATCH('Baseline Projects'!$I7,'Outage by Zone inputs'!$A$3:$E$3,0),0)*$M7*$N7*('Baseline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Projects'!AC$3,'Baseline scaling factors'!$B$48:$K$48,0))</f>
        <v>214.88156068104652</v>
      </c>
      <c r="AD7" s="34">
        <f>VLOOKUP($A7,'Outage by Zone inputs'!$A$4:$E$13,MATCH('Baseline Projects'!$I7,'Outage by Zone inputs'!$A$3:$E$3,0),0)*$M7*$N7*('Baseline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Projects'!AD$3,'Baseline scaling factors'!$B$54:$K$54,0))+VLOOKUP($A7,'Outage by Zone inputs'!$A$4:$E$13,MATCH('Baseline Projects'!$I7,'Outage by Zone inputs'!$A$3:$E$3,0),0)*$M7*$N7*('Baseline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Projects'!AD$3,'Baseline scaling factors'!$B$48:$K$48,0))</f>
        <v>197.75783934365023</v>
      </c>
      <c r="AE7" s="34">
        <f>VLOOKUP($A7,'Outage by Zone inputs'!$A$4:$E$13,MATCH('Baseline Projects'!$I7,'Outage by Zone inputs'!$A$3:$E$3,0),0)*$M7*$N7*('Baseline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Projects'!AE$3,'Baseline scaling factors'!$B$54:$K$54,0))+VLOOKUP($A7,'Outage by Zone inputs'!$A$4:$E$13,MATCH('Baseline Projects'!$I7,'Outage by Zone inputs'!$A$3:$E$3,0),0)*$M7*$N7*('Baseline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Projects'!AE$3,'Baseline scaling factors'!$B$48:$K$48,0))</f>
        <v>181.38862737343112</v>
      </c>
      <c r="AF7" s="34">
        <f>VLOOKUP($A7,'Outage by Zone inputs'!$A$4:$E$13,MATCH('Baseline Projects'!$I7,'Outage by Zone inputs'!$A$3:$E$3,0),0)*$M7*$N7*('Baseline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Projects'!AF$3,'Baseline scaling factors'!$B$54:$K$54,0))+VLOOKUP($A7,'Outage by Zone inputs'!$A$4:$E$13,MATCH('Baseline Projects'!$I7,'Outage by Zone inputs'!$A$3:$E$3,0),0)*$M7*$N7*('Baseline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Projects'!AF$3,'Baseline scaling factors'!$B$48:$K$48,0))</f>
        <v>165.74067940427153</v>
      </c>
      <c r="AG7" s="34">
        <f>VLOOKUP($A7,'Outage by Zone inputs'!$A$4:$E$13,MATCH('Baseline Projects'!$I7,'Outage by Zone inputs'!$A$3:$E$3,0),0)*$M7*$N7*('Baseline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Projects'!AG$3,'Baseline scaling factors'!$B$54:$K$54,0))+VLOOKUP($A7,'Outage by Zone inputs'!$A$4:$E$13,MATCH('Baseline Projects'!$I7,'Outage by Zone inputs'!$A$3:$E$3,0),0)*$M7*$N7*('Baseline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Projects'!AG$3,'Baseline scaling factors'!$B$48:$K$48,0))</f>
        <v>150.78221493505936</v>
      </c>
      <c r="AH7" s="34">
        <f>VLOOKUP($A7,'Outage by Zone inputs'!$A$4:$E$13,MATCH('Baseline Projects'!$I7,'Outage by Zone inputs'!$A$3:$E$3,0),0)*$M7*$N7*('Baseline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Projects'!AH$3,'Baseline scaling factors'!$B$54:$K$54,0))+VLOOKUP($A7,'Outage by Zone inputs'!$A$4:$E$13,MATCH('Baseline Projects'!$I7,'Outage by Zone inputs'!$A$3:$E$3,0),0)*$M7*$N7*('Baseline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Projects'!AH$3,'Baseline scaling factors'!$B$48:$K$48,0))</f>
        <v>136.48285378446752</v>
      </c>
      <c r="AI7" s="34">
        <f>VLOOKUP($A7,'Outage by Zone inputs'!$A$4:$E$13,MATCH('Baseline Projects'!$I7,'Outage by Zone inputs'!$A$3:$E$3,0),0)*$M7*$N7*('Baseline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Projects'!AI$3,'Baseline scaling factors'!$B$54:$K$54,0))+VLOOKUP($A7,'Outage by Zone inputs'!$A$4:$E$13,MATCH('Baseline Projects'!$I7,'Outage by Zone inputs'!$A$3:$E$3,0),0)*$M7*$N7*('Baseline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Projects'!AI$3,'Baseline scaling factors'!$B$48:$K$48,0))</f>
        <v>122.81355438973996</v>
      </c>
      <c r="AJ7" s="34">
        <f>VLOOKUP($A7,'Outage by Zone inputs'!$A$4:$E$13,MATCH('Baseline Projects'!$I7,'Outage by Zone inputs'!$A$3:$E$3,0),0)*$M7*$N7*('Baseline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Projects'!AJ$3,'Baseline scaling factors'!$B$54:$K$54,0))+VLOOKUP($A7,'Outage by Zone inputs'!$A$4:$E$13,MATCH('Baseline Projects'!$I7,'Outage by Zone inputs'!$A$3:$E$3,0),0)*$M7*$N7*('Baseline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Projects'!AJ$3,'Baseline scaling factors'!$B$48:$K$48,0))</f>
        <v>109.74655482417094</v>
      </c>
      <c r="AK7" s="1">
        <f t="shared" si="2"/>
        <v>31833.424279855637</v>
      </c>
      <c r="AL7" s="1">
        <f t="shared" si="3"/>
        <v>29461.903833885714</v>
      </c>
      <c r="AM7" s="1">
        <f t="shared" si="4"/>
        <v>27194.877869908378</v>
      </c>
      <c r="AN7" s="1">
        <f t="shared" si="5"/>
        <v>25027.742127907452</v>
      </c>
      <c r="AO7" s="1">
        <f t="shared" si="6"/>
        <v>22956.095221835738</v>
      </c>
      <c r="AP7" s="1">
        <f t="shared" si="7"/>
        <v>20975.729700535288</v>
      </c>
      <c r="AQ7" s="1">
        <f t="shared" si="8"/>
        <v>19082.623502533486</v>
      </c>
      <c r="AR7" s="1">
        <f t="shared" si="9"/>
        <v>17272.93178735991</v>
      </c>
      <c r="AS7" s="1">
        <f t="shared" si="10"/>
        <v>15542.979126793551</v>
      </c>
      <c r="AT7" s="1">
        <f t="shared" si="11"/>
        <v>13889.252040181138</v>
      </c>
      <c r="AU7" s="1">
        <f t="shared" si="12"/>
        <v>977206.65869365947</v>
      </c>
      <c r="AV7" s="1">
        <f t="shared" si="13"/>
        <v>904406.90109747555</v>
      </c>
      <c r="AW7" s="1">
        <f t="shared" si="14"/>
        <v>834814.8632458658</v>
      </c>
      <c r="AX7" s="1">
        <f t="shared" si="15"/>
        <v>768289.20585008117</v>
      </c>
      <c r="AY7" s="1">
        <f t="shared" si="16"/>
        <v>704694.81734577985</v>
      </c>
      <c r="AZ7" s="1">
        <f t="shared" si="17"/>
        <v>643902.53948559496</v>
      </c>
      <c r="BA7" s="1">
        <f t="shared" si="18"/>
        <v>585788.90502270556</v>
      </c>
      <c r="BB7" s="1">
        <f t="shared" si="19"/>
        <v>530235.88695265632</v>
      </c>
      <c r="BC7" s="1">
        <f t="shared" si="20"/>
        <v>477130.65880413976</v>
      </c>
      <c r="BD7" s="1">
        <f t="shared" si="21"/>
        <v>426365.36549190409</v>
      </c>
      <c r="BE7" s="1">
        <f t="shared" si="22"/>
        <v>1009040.0829735151</v>
      </c>
      <c r="BF7" s="1">
        <f t="shared" si="23"/>
        <v>933868.80493136123</v>
      </c>
      <c r="BG7" s="1">
        <f t="shared" si="24"/>
        <v>862009.74111577414</v>
      </c>
      <c r="BH7" s="1">
        <f t="shared" si="25"/>
        <v>793316.94797798863</v>
      </c>
      <c r="BI7" s="1">
        <f t="shared" si="26"/>
        <v>727650.91256761563</v>
      </c>
      <c r="BJ7" s="1">
        <f t="shared" si="27"/>
        <v>664878.26918613026</v>
      </c>
      <c r="BK7" s="1">
        <f t="shared" si="28"/>
        <v>604871.52852523909</v>
      </c>
      <c r="BL7" s="1">
        <f t="shared" si="29"/>
        <v>547508.8187400162</v>
      </c>
      <c r="BM7" s="1">
        <f t="shared" si="30"/>
        <v>492673.63793093333</v>
      </c>
      <c r="BN7" s="1">
        <f t="shared" si="31"/>
        <v>440254.61753208522</v>
      </c>
      <c r="BO7" s="25">
        <f>VLOOKUP($A7,'Outage by Zone inputs'!$A$59:$E$68,MATCH('Baseline Projects'!$I7,'Outage by Zone inputs'!$A$58:$E$58,0),0)*AVG_INCIDENT_PERCENT_NON_STORM</f>
        <v>24.37141188271459</v>
      </c>
      <c r="BP7" s="25">
        <f>$BO7*$N7*('Baseline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Projects'!Q$3,'Baseline scaling factors'!$B$54:$K$54,0))+$BO7*$N7*('Baseline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Projects'!Q$3,'Baseline scaling factors'!$B$48:$K$48,0))</f>
        <v>14.532023791026301</v>
      </c>
      <c r="BQ7" s="25">
        <f>$BO7*$N7*('Baseline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Projects'!R$3,'Baseline scaling factors'!$B$54:$K$54,0))+$BO7*$N7*('Baseline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Projects'!R$3,'Baseline scaling factors'!$B$48:$K$48,0))</f>
        <v>13.449419819842824</v>
      </c>
      <c r="BR7" s="25">
        <f>$BO7*$N7*('Baseline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Projects'!S$3,'Baseline scaling factors'!$B$54:$K$54,0))+$BO7*$N7*('Baseline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Projects'!S$3,'Baseline scaling factors'!$B$48:$K$48,0))</f>
        <v>12.414517795047443</v>
      </c>
      <c r="BS7" s="25">
        <f>$BO7*$N7*('Baseline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Projects'!T$3,'Baseline scaling factors'!$B$54:$K$54,0))+$BO7*$N7*('Baseline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Projects'!T$3,'Baseline scaling factors'!$B$48:$K$48,0))</f>
        <v>11.425215862453603</v>
      </c>
      <c r="BT7" s="25">
        <f>$BO7*$N7*('Baseline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Projects'!U$3,'Baseline scaling factors'!$B$54:$K$54,0))+$BO7*$N7*('Baseline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Projects'!U$3,'Baseline scaling factors'!$B$48:$K$48,0))</f>
        <v>10.479504780259694</v>
      </c>
      <c r="BU7" s="25">
        <f>$BO7*$N7*('Baseline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Projects'!V$3,'Baseline scaling factors'!$B$54:$K$54,0))+$BO7*$N7*('Baseline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Projects'!V$3,'Baseline scaling factors'!$B$48:$K$48,0))</f>
        <v>9.57546383834074</v>
      </c>
      <c r="BV7" s="25">
        <f>$BO7*$N7*('Baseline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Projects'!W$3,'Baseline scaling factors'!$B$54:$K$54,0))+$BO7*$N7*('Baseline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Projects'!W$3,'Baseline scaling factors'!$B$48:$K$48,0))</f>
        <v>8.7112569573452063</v>
      </c>
      <c r="BW7" s="25">
        <f>$BO7*$N7*('Baseline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Projects'!X$3,'Baseline scaling factors'!$B$54:$K$54,0))+$BO7*$N7*('Baseline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Projects'!X$3,'Baseline scaling factors'!$B$48:$K$48,0))</f>
        <v>7.8851289596742999</v>
      </c>
      <c r="BX7" s="25">
        <f>$BO7*$N7*('Baseline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Projects'!Y$3,'Baseline scaling factors'!$B$54:$K$54,0))+$BO7*$N7*('Baseline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Projects'!Y$3,'Baseline scaling factors'!$B$48:$K$48,0))</f>
        <v>7.0954020047702322</v>
      </c>
      <c r="BY7" s="25">
        <f>$BO7*$N7*('Baseline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Projects'!Z$3,'Baseline scaling factors'!$B$54:$K$54,0))+$BO7*$N7*('Baseline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Projects'!Z$3,'Baseline scaling factors'!$B$48:$K$48,0))</f>
        <v>6.3404721814736611</v>
      </c>
      <c r="BZ7" s="12">
        <f t="shared" si="32"/>
        <v>6859.1152293644145</v>
      </c>
      <c r="CA7" s="12">
        <f t="shared" si="33"/>
        <v>6348.1261549658129</v>
      </c>
      <c r="CB7" s="12">
        <f t="shared" si="34"/>
        <v>5859.6523992623934</v>
      </c>
      <c r="CC7" s="12">
        <f t="shared" si="35"/>
        <v>5392.7018870781012</v>
      </c>
      <c r="CD7" s="12">
        <f t="shared" si="36"/>
        <v>4946.3262562825757</v>
      </c>
      <c r="CE7" s="12">
        <f t="shared" si="37"/>
        <v>4519.6189316968293</v>
      </c>
      <c r="CF7" s="12">
        <f t="shared" si="38"/>
        <v>4111.7132838669377</v>
      </c>
      <c r="CG7" s="12">
        <f t="shared" si="39"/>
        <v>3721.7808689662697</v>
      </c>
      <c r="CH7" s="12">
        <f t="shared" si="40"/>
        <v>3349.0297462515496</v>
      </c>
      <c r="CI7" s="12">
        <f t="shared" si="41"/>
        <v>2992.7028696555681</v>
      </c>
      <c r="CJ7" s="12">
        <f>'Mitigation Projects'!$AG7*VLOOKUP('Baseline Projects'!$H7&amp;"-"&amp;'Baseline Projects'!$G7,'Baseline scaling factors'!$A$49:$K$51,MATCH('Baseline Projects'!CJ$2,'Baseline scaling factors'!$A$48:$K$48,0),0)</f>
        <v>0</v>
      </c>
      <c r="CK7" s="12">
        <f>'Mitigation Projects'!$AG7*VLOOKUP('Baseline Projects'!$H7&amp;"-"&amp;'Baseline Projects'!$G7,'Baseline scaling factors'!$A$49:$K$51,MATCH('Baseline Projects'!CK$2,'Baseline scaling factors'!$A$48:$K$48,0),0)</f>
        <v>0</v>
      </c>
      <c r="CL7" s="12">
        <f>'Mitigation Projects'!$AG7*VLOOKUP('Baseline Projects'!$H7&amp;"-"&amp;'Baseline Projects'!$G7,'Baseline scaling factors'!$A$49:$K$51,MATCH('Baseline Projects'!CL$2,'Baseline scaling factors'!$A$48:$K$48,0),0)</f>
        <v>0</v>
      </c>
      <c r="CM7" s="12">
        <f>'Mitigation Projects'!$AG7*VLOOKUP('Baseline Projects'!$H7&amp;"-"&amp;'Baseline Projects'!$G7,'Baseline scaling factors'!$A$49:$K$51,MATCH('Baseline Projects'!CM$2,'Baseline scaling factors'!$A$48:$K$48,0),0)</f>
        <v>0</v>
      </c>
      <c r="CN7" s="12">
        <f>'Mitigation Projects'!$AG7*VLOOKUP('Baseline Projects'!$H7&amp;"-"&amp;'Baseline Projects'!$G7,'Baseline scaling factors'!$A$49:$K$51,MATCH('Baseline Projects'!CN$2,'Baseline scaling factors'!$A$48:$K$48,0),0)</f>
        <v>0</v>
      </c>
      <c r="CO7" s="12">
        <f>'Mitigation Projects'!$AG7*VLOOKUP('Baseline Projects'!$H7&amp;"-"&amp;'Baseline Projects'!$G7,'Baseline scaling factors'!$A$49:$K$51,MATCH('Baseline Projects'!CO$2,'Baseline scaling factors'!$A$48:$K$48,0),0)</f>
        <v>0</v>
      </c>
      <c r="CP7" s="12">
        <f>'Mitigation Projects'!$AG7*VLOOKUP('Baseline Projects'!$H7&amp;"-"&amp;'Baseline Projects'!$G7,'Baseline scaling factors'!$A$49:$K$51,MATCH('Baseline Projects'!CP$2,'Baseline scaling factors'!$A$48:$K$48,0),0)</f>
        <v>0</v>
      </c>
      <c r="CQ7" s="12">
        <f>'Mitigation Projects'!$AG7*VLOOKUP('Baseline Projects'!$H7&amp;"-"&amp;'Baseline Projects'!$G7,'Baseline scaling factors'!$A$49:$K$51,MATCH('Baseline Projects'!CQ$2,'Baseline scaling factors'!$A$48:$K$48,0),0)</f>
        <v>0</v>
      </c>
      <c r="CR7" s="12">
        <f>'Mitigation Projects'!$AG7*VLOOKUP('Baseline Projects'!$H7&amp;"-"&amp;'Baseline Projects'!$G7,'Baseline scaling factors'!$A$49:$K$51,MATCH('Baseline Projects'!CR$2,'Baseline scaling factors'!$A$48:$K$48,0),0)</f>
        <v>0</v>
      </c>
      <c r="CS7" s="12">
        <f>'Mitigation Projects'!$AG7*VLOOKUP('Baseline Projects'!$H7&amp;"-"&amp;'Baseline Projects'!$G7,'Baseline scaling factors'!$A$49:$K$51,MATCH('Baseline Projects'!CS$2,'Baseline scaling factors'!$A$48:$K$48,0),0)</f>
        <v>0</v>
      </c>
      <c r="CT7" s="12">
        <f>'Mitigation Projects'!$AH7*VLOOKUP('Baseline Projects'!$H7&amp;"-"&amp;'Baseline Projects'!$G7,'Baseline scaling factors'!$A$49:$K$51,MATCH('Baseline Projects'!CT$2,'Baseline scaling factors'!$A$48:$K$48,0),0)</f>
        <v>0</v>
      </c>
      <c r="CU7" s="12">
        <f>'Mitigation Projects'!$AH7*VLOOKUP('Baseline Projects'!$H7&amp;"-"&amp;'Baseline Projects'!$G7,'Baseline scaling factors'!$A$49:$K$51,MATCH('Baseline Projects'!CU$2,'Baseline scaling factors'!$A$48:$K$48,0),0)</f>
        <v>0</v>
      </c>
      <c r="CV7" s="12">
        <f>'Mitigation Projects'!$AH7*VLOOKUP('Baseline Projects'!$H7&amp;"-"&amp;'Baseline Projects'!$G7,'Baseline scaling factors'!$A$49:$K$51,MATCH('Baseline Projects'!CV$2,'Baseline scaling factors'!$A$48:$K$48,0),0)</f>
        <v>0</v>
      </c>
      <c r="CW7" s="12">
        <f>'Mitigation Projects'!$AH7*VLOOKUP('Baseline Projects'!$H7&amp;"-"&amp;'Baseline Projects'!$G7,'Baseline scaling factors'!$A$49:$K$51,MATCH('Baseline Projects'!CW$2,'Baseline scaling factors'!$A$48:$K$48,0),0)</f>
        <v>0</v>
      </c>
      <c r="CX7" s="12">
        <f>'Mitigation Projects'!$AH7*VLOOKUP('Baseline Projects'!$H7&amp;"-"&amp;'Baseline Projects'!$G7,'Baseline scaling factors'!$A$49:$K$51,MATCH('Baseline Projects'!CX$2,'Baseline scaling factors'!$A$48:$K$48,0),0)</f>
        <v>0</v>
      </c>
      <c r="CY7" s="12">
        <f>'Mitigation Projects'!$AH7*VLOOKUP('Baseline Projects'!$H7&amp;"-"&amp;'Baseline Projects'!$G7,'Baseline scaling factors'!$A$49:$K$51,MATCH('Baseline Projects'!CY$2,'Baseline scaling factors'!$A$48:$K$48,0),0)</f>
        <v>0</v>
      </c>
      <c r="CZ7" s="12">
        <f>'Mitigation Projects'!$AH7*VLOOKUP('Baseline Projects'!$H7&amp;"-"&amp;'Baseline Projects'!$G7,'Baseline scaling factors'!$A$49:$K$51,MATCH('Baseline Projects'!CZ$2,'Baseline scaling factors'!$A$48:$K$48,0),0)</f>
        <v>0</v>
      </c>
      <c r="DA7" s="12">
        <f>'Mitigation Projects'!$AH7*VLOOKUP('Baseline Projects'!$H7&amp;"-"&amp;'Baseline Projects'!$G7,'Baseline scaling factors'!$A$49:$K$51,MATCH('Baseline Projects'!DA$2,'Baseline scaling factors'!$A$48:$K$48,0),0)</f>
        <v>0</v>
      </c>
      <c r="DB7" s="12">
        <f>'Mitigation Projects'!$AH7*VLOOKUP('Baseline Projects'!$H7&amp;"-"&amp;'Baseline Projects'!$G7,'Baseline scaling factors'!$A$49:$K$51,MATCH('Baseline Projects'!DB$2,'Baseline scaling factors'!$A$48:$K$48,0),0)</f>
        <v>0</v>
      </c>
      <c r="DC7" s="12">
        <f>'Mitigation Projects'!$AH7*VLOOKUP('Baseline Projects'!$H7&amp;"-"&amp;'Baseline Projects'!$G7,'Baseline scaling factors'!$A$49:$K$51,MATCH('Baseline Projects'!DC$2,'Baseline scaling factors'!$A$48:$K$48,0),0)</f>
        <v>0</v>
      </c>
    </row>
    <row r="8" spans="1:107" x14ac:dyDescent="0.4">
      <c r="A8" s="38" t="str">
        <f>'Mitigation Projects'!A8</f>
        <v>BV-G44</v>
      </c>
      <c r="B8" s="38" t="str">
        <f>'Mitigation Projects'!B8</f>
        <v>Springfield</v>
      </c>
      <c r="C8" s="39">
        <f>'Mitigation Projects'!C8</f>
        <v>199973</v>
      </c>
      <c r="D8" s="39" t="str">
        <f>'Mitigation Projects'!D8</f>
        <v>199973: L41 VT Route 106 - Spacer</v>
      </c>
      <c r="E8" s="39">
        <f>'Mitigation Projects'!E8</f>
        <v>526376</v>
      </c>
      <c r="F8" s="39">
        <f>'Mitigation Projects'!F8</f>
        <v>0</v>
      </c>
      <c r="G8" s="39" t="str">
        <f>'Mitigation Projects'!G8</f>
        <v>3PH</v>
      </c>
      <c r="H8" s="39" t="str">
        <f>'Mitigation Projects'!H8</f>
        <v>OH</v>
      </c>
      <c r="I8" s="39" t="str">
        <f>'Mitigation Projects'!J8</f>
        <v>Zone 1</v>
      </c>
      <c r="J8" s="39">
        <f>'Mitigation Projects'!K8</f>
        <v>197</v>
      </c>
      <c r="K8" s="40">
        <f>'Mitigation Projects'!L8*BASELINE_CAP_SPEND</f>
        <v>155353.30000000002</v>
      </c>
      <c r="L8" s="97">
        <f>'Mitigation Projects'!Q8</f>
        <v>0.85768261964735515</v>
      </c>
      <c r="M8" s="97">
        <f>'Mitigation Projects'!R8</f>
        <v>0.14231738035264485</v>
      </c>
      <c r="N8" s="98">
        <f>'Mitigation Projects'!S8</f>
        <v>1</v>
      </c>
      <c r="O8" s="26">
        <f t="shared" si="0"/>
        <v>0.9</v>
      </c>
      <c r="P8" s="26">
        <f t="shared" si="1"/>
        <v>0.80330442615766917</v>
      </c>
      <c r="Q8" s="112">
        <f>VLOOKUP($A8,'Outage by Zone inputs'!$A$4:$E$13,MATCH('Baseline Projects'!$I8,'Outage by Zone inputs'!$A$3:$E$3,0),0)*'Baseline Projects'!$L8*$N8*('Baseline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Projects'!Q$3,'Baseline scaling factors'!$B$54:$K$54,0))+VLOOKUP($A8,'Outage by Zone inputs'!$A$4:$E$13,MATCH('Baseline Projects'!$I8,'Outage by Zone inputs'!$A$3:$E$3,0),0)*'Baseline Projects'!$L8*$N8*('Baseline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Projects'!Q$3,'Baseline scaling factors'!$B$48:$K$48,0))</f>
        <v>374.68988367876926</v>
      </c>
      <c r="R8" s="112">
        <f>VLOOKUP($A8,'Outage by Zone inputs'!$A$4:$E$13,MATCH('Baseline Projects'!$I8,'Outage by Zone inputs'!$A$3:$E$3,0),0)*'Baseline Projects'!$L8*$N8*('Baseline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Projects'!R$3,'Baseline scaling factors'!$B$54:$K$54,0))+VLOOKUP($A8,'Outage by Zone inputs'!$A$4:$E$13,MATCH('Baseline Projects'!$I8,'Outage by Zone inputs'!$A$3:$E$3,0),0)*'Baseline Projects'!$L8*$N8*('Baseline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Projects'!R$3,'Baseline scaling factors'!$B$48:$K$48,0))</f>
        <v>346.77630729972429</v>
      </c>
      <c r="S8" s="112">
        <f>VLOOKUP($A8,'Outage by Zone inputs'!$A$4:$E$13,MATCH('Baseline Projects'!$I8,'Outage by Zone inputs'!$A$3:$E$3,0),0)*'Baseline Projects'!$L8*$N8*('Baseline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Projects'!S$3,'Baseline scaling factors'!$B$54:$K$54,0))+VLOOKUP($A8,'Outage by Zone inputs'!$A$4:$E$13,MATCH('Baseline Projects'!$I8,'Outage by Zone inputs'!$A$3:$E$3,0),0)*'Baseline Projects'!$L8*$N8*('Baseline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Projects'!S$3,'Baseline scaling factors'!$B$48:$K$48,0))</f>
        <v>320.09266537443688</v>
      </c>
      <c r="T8" s="112">
        <f>VLOOKUP($A8,'Outage by Zone inputs'!$A$4:$E$13,MATCH('Baseline Projects'!$I8,'Outage by Zone inputs'!$A$3:$E$3,0),0)*'Baseline Projects'!$L8*$N8*('Baseline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Projects'!T$3,'Baseline scaling factors'!$B$54:$K$54,0))+VLOOKUP($A8,'Outage by Zone inputs'!$A$4:$E$13,MATCH('Baseline Projects'!$I8,'Outage by Zone inputs'!$A$3:$E$3,0),0)*'Baseline Projects'!$L8*$N8*('Baseline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Projects'!T$3,'Baseline scaling factors'!$B$48:$K$48,0))</f>
        <v>294.58476424674484</v>
      </c>
      <c r="U8" s="112">
        <f>VLOOKUP($A8,'Outage by Zone inputs'!$A$4:$E$13,MATCH('Baseline Projects'!$I8,'Outage by Zone inputs'!$A$3:$E$3,0),0)*'Baseline Projects'!$L8*$N8*('Baseline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Projects'!U$3,'Baseline scaling factors'!$B$54:$K$54,0))+VLOOKUP($A8,'Outage by Zone inputs'!$A$4:$E$13,MATCH('Baseline Projects'!$I8,'Outage by Zone inputs'!$A$3:$E$3,0),0)*'Baseline Projects'!$L8*$N8*('Baseline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Projects'!U$3,'Baseline scaling factors'!$B$48:$K$48,0))</f>
        <v>270.20079815388902</v>
      </c>
      <c r="V8" s="112">
        <f>VLOOKUP($A8,'Outage by Zone inputs'!$A$4:$E$13,MATCH('Baseline Projects'!$I8,'Outage by Zone inputs'!$A$3:$E$3,0),0)*'Baseline Projects'!$L8*$N8*('Baseline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Projects'!V$3,'Baseline scaling factors'!$B$54:$K$54,0))+VLOOKUP($A8,'Outage by Zone inputs'!$A$4:$E$13,MATCH('Baseline Projects'!$I8,'Outage by Zone inputs'!$A$3:$E$3,0),0)*'Baseline Projects'!$L8*$N8*('Baseline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Projects'!V$3,'Baseline scaling factors'!$B$48:$K$48,0))</f>
        <v>246.89124401060235</v>
      </c>
      <c r="W8" s="112">
        <f>VLOOKUP($A8,'Outage by Zone inputs'!$A$4:$E$13,MATCH('Baseline Projects'!$I8,'Outage by Zone inputs'!$A$3:$E$3,0),0)*'Baseline Projects'!$L8*$N8*('Baseline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Projects'!W$3,'Baseline scaling factors'!$B$54:$K$54,0))+VLOOKUP($A8,'Outage by Zone inputs'!$A$4:$E$13,MATCH('Baseline Projects'!$I8,'Outage by Zone inputs'!$A$3:$E$3,0),0)*'Baseline Projects'!$L8*$N8*('Baseline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Projects'!W$3,'Baseline scaling factors'!$B$48:$K$48,0))</f>
        <v>224.60876082924642</v>
      </c>
      <c r="X8" s="112">
        <f>VLOOKUP($A8,'Outage by Zone inputs'!$A$4:$E$13,MATCH('Baseline Projects'!$I8,'Outage by Zone inputs'!$A$3:$E$3,0),0)*'Baseline Projects'!$L8*$N8*('Baseline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Projects'!X$3,'Baseline scaling factors'!$B$54:$K$54,0))+VLOOKUP($A8,'Outage by Zone inputs'!$A$4:$E$13,MATCH('Baseline Projects'!$I8,'Outage by Zone inputs'!$A$3:$E$3,0),0)*'Baseline Projects'!$L8*$N8*('Baseline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Projects'!X$3,'Baseline scaling factors'!$B$48:$K$48,0))</f>
        <v>203.30809357172151</v>
      </c>
      <c r="Y8" s="112">
        <f>VLOOKUP($A8,'Outage by Zone inputs'!$A$4:$E$13,MATCH('Baseline Projects'!$I8,'Outage by Zone inputs'!$A$3:$E$3,0),0)*'Baseline Projects'!$L8*$N8*('Baseline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Projects'!Y$3,'Baseline scaling factors'!$B$54:$K$54,0))+VLOOKUP($A8,'Outage by Zone inputs'!$A$4:$E$13,MATCH('Baseline Projects'!$I8,'Outage by Zone inputs'!$A$3:$E$3,0),0)*'Baseline Projects'!$L8*$N8*('Baseline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Projects'!Y$3,'Baseline scaling factors'!$B$48:$K$48,0))</f>
        <v>182.94598123787597</v>
      </c>
      <c r="Z8" s="112">
        <f>VLOOKUP($A8,'Outage by Zone inputs'!$A$4:$E$13,MATCH('Baseline Projects'!$I8,'Outage by Zone inputs'!$A$3:$E$3,0),0)*'Baseline Projects'!$L8*$N8*('Baseline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Projects'!Z$3,'Baseline scaling factors'!$B$54:$K$54,0))+VLOOKUP($A8,'Outage by Zone inputs'!$A$4:$E$13,MATCH('Baseline Projects'!$I8,'Outage by Zone inputs'!$A$3:$E$3,0),0)*'Baseline Projects'!$L8*$N8*('Baseline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Projects'!Z$3,'Baseline scaling factors'!$B$48:$K$48,0))</f>
        <v>163.48106900374526</v>
      </c>
      <c r="AA8" s="34">
        <f>VLOOKUP($A8,'Outage by Zone inputs'!$A$4:$E$13,MATCH('Baseline Projects'!$I8,'Outage by Zone inputs'!$A$3:$E$3,0),0)*$M8*$N8*('Baseline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Projects'!AA$3,'Baseline scaling factors'!$B$54:$K$54,0))+VLOOKUP($A8,'Outage by Zone inputs'!$A$4:$E$13,MATCH('Baseline Projects'!$I8,'Outage by Zone inputs'!$A$3:$E$3,0),0)*$M8*$N8*('Baseline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Projects'!AA$3,'Baseline scaling factors'!$B$48:$K$48,0))</f>
        <v>62.173211241851575</v>
      </c>
      <c r="AB8" s="34">
        <f>VLOOKUP($A8,'Outage by Zone inputs'!$A$4:$E$13,MATCH('Baseline Projects'!$I8,'Outage by Zone inputs'!$A$3:$E$3,0),0)*$M8*$N8*('Baseline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Projects'!AB$3,'Baseline scaling factors'!$B$54:$K$54,0))+VLOOKUP($A8,'Outage by Zone inputs'!$A$4:$E$13,MATCH('Baseline Projects'!$I8,'Outage by Zone inputs'!$A$3:$E$3,0),0)*$M8*$N8*('Baseline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Projects'!AB$3,'Baseline scaling factors'!$B$48:$K$48,0))</f>
        <v>57.541443061481417</v>
      </c>
      <c r="AC8" s="34">
        <f>VLOOKUP($A8,'Outage by Zone inputs'!$A$4:$E$13,MATCH('Baseline Projects'!$I8,'Outage by Zone inputs'!$A$3:$E$3,0),0)*$M8*$N8*('Baseline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Projects'!AC$3,'Baseline scaling factors'!$B$54:$K$54,0))+VLOOKUP($A8,'Outage by Zone inputs'!$A$4:$E$13,MATCH('Baseline Projects'!$I8,'Outage by Zone inputs'!$A$3:$E$3,0),0)*$M8*$N8*('Baseline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Projects'!AC$3,'Baseline scaling factors'!$B$48:$K$48,0))</f>
        <v>53.113760921162068</v>
      </c>
      <c r="AD8" s="34">
        <f>VLOOKUP($A8,'Outage by Zone inputs'!$A$4:$E$13,MATCH('Baseline Projects'!$I8,'Outage by Zone inputs'!$A$3:$E$3,0),0)*$M8*$N8*('Baseline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Projects'!AD$3,'Baseline scaling factors'!$B$54:$K$54,0))+VLOOKUP($A8,'Outage by Zone inputs'!$A$4:$E$13,MATCH('Baseline Projects'!$I8,'Outage by Zone inputs'!$A$3:$E$3,0),0)*$M8*$N8*('Baseline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Projects'!AD$3,'Baseline scaling factors'!$B$48:$K$48,0))</f>
        <v>48.881172334628729</v>
      </c>
      <c r="AE8" s="34">
        <f>VLOOKUP($A8,'Outage by Zone inputs'!$A$4:$E$13,MATCH('Baseline Projects'!$I8,'Outage by Zone inputs'!$A$3:$E$3,0),0)*$M8*$N8*('Baseline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Projects'!AE$3,'Baseline scaling factors'!$B$54:$K$54,0))+VLOOKUP($A8,'Outage by Zone inputs'!$A$4:$E$13,MATCH('Baseline Projects'!$I8,'Outage by Zone inputs'!$A$3:$E$3,0),0)*$M8*$N8*('Baseline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Projects'!AE$3,'Baseline scaling factors'!$B$48:$K$48,0))</f>
        <v>44.835081044624751</v>
      </c>
      <c r="AF8" s="34">
        <f>VLOOKUP($A8,'Outage by Zone inputs'!$A$4:$E$13,MATCH('Baseline Projects'!$I8,'Outage by Zone inputs'!$A$3:$E$3,0),0)*$M8*$N8*('Baseline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Projects'!AF$3,'Baseline scaling factors'!$B$54:$K$54,0))+VLOOKUP($A8,'Outage by Zone inputs'!$A$4:$E$13,MATCH('Baseline Projects'!$I8,'Outage by Zone inputs'!$A$3:$E$3,0),0)*$M8*$N8*('Baseline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Projects'!AF$3,'Baseline scaling factors'!$B$48:$K$48,0))</f>
        <v>40.967269564167495</v>
      </c>
      <c r="AG8" s="34">
        <f>VLOOKUP($A8,'Outage by Zone inputs'!$A$4:$E$13,MATCH('Baseline Projects'!$I8,'Outage by Zone inputs'!$A$3:$E$3,0),0)*$M8*$N8*('Baseline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Projects'!AG$3,'Baseline scaling factors'!$B$54:$K$54,0))+VLOOKUP($A8,'Outage by Zone inputs'!$A$4:$E$13,MATCH('Baseline Projects'!$I8,'Outage by Zone inputs'!$A$3:$E$3,0),0)*$M8*$N8*('Baseline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Projects'!AG$3,'Baseline scaling factors'!$B$48:$K$48,0))</f>
        <v>37.269882487084935</v>
      </c>
      <c r="AH8" s="34">
        <f>VLOOKUP($A8,'Outage by Zone inputs'!$A$4:$E$13,MATCH('Baseline Projects'!$I8,'Outage by Zone inputs'!$A$3:$E$3,0),0)*$M8*$N8*('Baseline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Projects'!AH$3,'Baseline scaling factors'!$B$54:$K$54,0))+VLOOKUP($A8,'Outage by Zone inputs'!$A$4:$E$13,MATCH('Baseline Projects'!$I8,'Outage by Zone inputs'!$A$3:$E$3,0),0)*$M8*$N8*('Baseline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Projects'!AH$3,'Baseline scaling factors'!$B$48:$K$48,0))</f>
        <v>33.73541053392735</v>
      </c>
      <c r="AI8" s="34">
        <f>VLOOKUP($A8,'Outage by Zone inputs'!$A$4:$E$13,MATCH('Baseline Projects'!$I8,'Outage by Zone inputs'!$A$3:$E$3,0),0)*$M8*$N8*('Baseline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Projects'!AI$3,'Baseline scaling factors'!$B$54:$K$54,0))+VLOOKUP($A8,'Outage by Zone inputs'!$A$4:$E$13,MATCH('Baseline Projects'!$I8,'Outage by Zone inputs'!$A$3:$E$3,0),0)*$M8*$N8*('Baseline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Projects'!AI$3,'Baseline scaling factors'!$B$48:$K$48,0))</f>
        <v>30.356675300851663</v>
      </c>
      <c r="AJ8" s="34">
        <f>VLOOKUP($A8,'Outage by Zone inputs'!$A$4:$E$13,MATCH('Baseline Projects'!$I8,'Outage by Zone inputs'!$A$3:$E$3,0),0)*$M8*$N8*('Baseline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Projects'!AJ$3,'Baseline scaling factors'!$B$54:$K$54,0))+VLOOKUP($A8,'Outage by Zone inputs'!$A$4:$E$13,MATCH('Baseline Projects'!$I8,'Outage by Zone inputs'!$A$3:$E$3,0),0)*$M8*$N8*('Baseline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Projects'!AJ$3,'Baseline scaling factors'!$B$48:$K$48,0))</f>
        <v>27.126814680503983</v>
      </c>
      <c r="AK8" s="1">
        <f t="shared" si="2"/>
        <v>7868.4875572541541</v>
      </c>
      <c r="AL8" s="1">
        <f t="shared" si="3"/>
        <v>7282.30245329421</v>
      </c>
      <c r="AM8" s="1">
        <f t="shared" si="4"/>
        <v>6721.9459728631746</v>
      </c>
      <c r="AN8" s="1">
        <f t="shared" si="5"/>
        <v>6186.2800491816415</v>
      </c>
      <c r="AO8" s="1">
        <f t="shared" si="6"/>
        <v>5674.2167612316698</v>
      </c>
      <c r="AP8" s="1">
        <f t="shared" si="7"/>
        <v>5184.7161242226493</v>
      </c>
      <c r="AQ8" s="1">
        <f t="shared" si="8"/>
        <v>4716.7839774141748</v>
      </c>
      <c r="AR8" s="1">
        <f t="shared" si="9"/>
        <v>4269.4699650061521</v>
      </c>
      <c r="AS8" s="1">
        <f t="shared" si="10"/>
        <v>3841.8656059953955</v>
      </c>
      <c r="AT8" s="1">
        <f t="shared" si="11"/>
        <v>3433.1024490786504</v>
      </c>
      <c r="AU8" s="1">
        <f t="shared" si="12"/>
        <v>241542.92567459337</v>
      </c>
      <c r="AV8" s="1">
        <f t="shared" si="13"/>
        <v>223548.50629385532</v>
      </c>
      <c r="AW8" s="1">
        <f t="shared" si="14"/>
        <v>206346.96117871464</v>
      </c>
      <c r="AX8" s="1">
        <f t="shared" si="15"/>
        <v>189903.35452003262</v>
      </c>
      <c r="AY8" s="1">
        <f t="shared" si="16"/>
        <v>174184.28985836715</v>
      </c>
      <c r="AZ8" s="1">
        <f t="shared" si="17"/>
        <v>159157.84225679073</v>
      </c>
      <c r="BA8" s="1">
        <f t="shared" si="18"/>
        <v>144793.49346232499</v>
      </c>
      <c r="BB8" s="1">
        <f t="shared" si="19"/>
        <v>131062.06992430775</v>
      </c>
      <c r="BC8" s="1">
        <f t="shared" si="20"/>
        <v>117935.68354380871</v>
      </c>
      <c r="BD8" s="1">
        <f t="shared" si="21"/>
        <v>105387.67503375797</v>
      </c>
      <c r="BE8" s="1">
        <f t="shared" si="22"/>
        <v>249411.41323184752</v>
      </c>
      <c r="BF8" s="1">
        <f t="shared" si="23"/>
        <v>230830.80874714954</v>
      </c>
      <c r="BG8" s="1">
        <f t="shared" si="24"/>
        <v>213068.90715157782</v>
      </c>
      <c r="BH8" s="1">
        <f t="shared" si="25"/>
        <v>196089.63456921425</v>
      </c>
      <c r="BI8" s="1">
        <f t="shared" si="26"/>
        <v>179858.50661959883</v>
      </c>
      <c r="BJ8" s="1">
        <f t="shared" si="27"/>
        <v>164342.55838101337</v>
      </c>
      <c r="BK8" s="1">
        <f t="shared" si="28"/>
        <v>149510.27743973915</v>
      </c>
      <c r="BL8" s="1">
        <f t="shared" si="29"/>
        <v>135331.53988931392</v>
      </c>
      <c r="BM8" s="1">
        <f t="shared" si="30"/>
        <v>121777.54914980411</v>
      </c>
      <c r="BN8" s="1">
        <f t="shared" si="31"/>
        <v>108820.77748283662</v>
      </c>
      <c r="BO8" s="25">
        <f>VLOOKUP($A8,'Outage by Zone inputs'!$A$59:$E$68,MATCH('Baseline Projects'!$I8,'Outage by Zone inputs'!$A$58:$E$58,0),0)*AVG_INCIDENT_PERCENT_NON_STORM</f>
        <v>24.37141188271459</v>
      </c>
      <c r="BP8" s="25">
        <f>$BO8*$N8*('Baseline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Projects'!Q$3,'Baseline scaling factors'!$B$54:$K$54,0))+$BO8*$N8*('Baseline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Projects'!Q$3,'Baseline scaling factors'!$B$48:$K$48,0))</f>
        <v>3.5919807864895632</v>
      </c>
      <c r="BQ8" s="25">
        <f>$BO8*$N8*('Baseline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Projects'!R$3,'Baseline scaling factors'!$B$54:$K$54,0))+$BO8*$N8*('Baseline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Projects'!R$3,'Baseline scaling factors'!$B$48:$K$48,0))</f>
        <v>3.3243860784304098</v>
      </c>
      <c r="BR8" s="25">
        <f>$BO8*$N8*('Baseline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Projects'!S$3,'Baseline scaling factors'!$B$54:$K$54,0))+$BO8*$N8*('Baseline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Projects'!S$3,'Baseline scaling factors'!$B$48:$K$48,0))</f>
        <v>3.0685821902438479</v>
      </c>
      <c r="BS8" s="25">
        <f>$BO8*$N8*('Baseline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Projects'!T$3,'Baseline scaling factors'!$B$54:$K$54,0))+$BO8*$N8*('Baseline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Projects'!T$3,'Baseline scaling factors'!$B$48:$K$48,0))</f>
        <v>2.8240495920995738</v>
      </c>
      <c r="BT8" s="25">
        <f>$BO8*$N8*('Baseline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Projects'!U$3,'Baseline scaling factors'!$B$54:$K$54,0))+$BO8*$N8*('Baseline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Projects'!U$3,'Baseline scaling factors'!$B$48:$K$48,0))</f>
        <v>2.5902916458107401</v>
      </c>
      <c r="BU8" s="25">
        <f>$BO8*$N8*('Baseline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Projects'!V$3,'Baseline scaling factors'!$B$54:$K$54,0))+$BO8*$N8*('Baseline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Projects'!V$3,'Baseline scaling factors'!$B$48:$K$48,0))</f>
        <v>2.3668335961770715</v>
      </c>
      <c r="BV8" s="25">
        <f>$BO8*$N8*('Baseline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Projects'!W$3,'Baseline scaling factors'!$B$54:$K$54,0))+$BO8*$N8*('Baseline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Projects'!W$3,'Baseline scaling factors'!$B$48:$K$48,0))</f>
        <v>2.153221606771651</v>
      </c>
      <c r="BW8" s="25">
        <f>$BO8*$N8*('Baseline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Projects'!X$3,'Baseline scaling factors'!$B$54:$K$54,0))+$BO8*$N8*('Baseline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Projects'!X$3,'Baseline scaling factors'!$B$48:$K$48,0))</f>
        <v>1.9490218382130957</v>
      </c>
      <c r="BX8" s="25">
        <f>$BO8*$N8*('Baseline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Projects'!Y$3,'Baseline scaling factors'!$B$54:$K$54,0))+$BO8*$N8*('Baseline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Projects'!Y$3,'Baseline scaling factors'!$B$48:$K$48,0))</f>
        <v>1.7538195670511116</v>
      </c>
      <c r="BY8" s="25">
        <f>$BO8*$N8*('Baseline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Projects'!Z$3,'Baseline scaling factors'!$B$54:$K$54,0))+$BO8*$N8*('Baseline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Projects'!Z$3,'Baseline scaling factors'!$B$48:$K$48,0))</f>
        <v>1.5672183434759239</v>
      </c>
      <c r="BZ8" s="12">
        <f t="shared" si="32"/>
        <v>1695.4149312230738</v>
      </c>
      <c r="CA8" s="12">
        <f t="shared" si="33"/>
        <v>1569.1102290191534</v>
      </c>
      <c r="CB8" s="12">
        <f t="shared" si="34"/>
        <v>1448.3707937950962</v>
      </c>
      <c r="CC8" s="12">
        <f t="shared" si="35"/>
        <v>1332.9514074709989</v>
      </c>
      <c r="CD8" s="12">
        <f t="shared" si="36"/>
        <v>1222.6176568226692</v>
      </c>
      <c r="CE8" s="12">
        <f t="shared" si="37"/>
        <v>1117.1454573955778</v>
      </c>
      <c r="CF8" s="12">
        <f t="shared" si="38"/>
        <v>1016.3205983962192</v>
      </c>
      <c r="CG8" s="12">
        <f t="shared" si="39"/>
        <v>919.93830763658116</v>
      </c>
      <c r="CH8" s="12">
        <f t="shared" si="40"/>
        <v>827.80283564812464</v>
      </c>
      <c r="CI8" s="12">
        <f t="shared" si="41"/>
        <v>739.72705812063612</v>
      </c>
      <c r="CJ8" s="12">
        <f>'Mitigation Projects'!$AG8*VLOOKUP('Baseline Projects'!$H8&amp;"-"&amp;'Baseline Projects'!$G8,'Baseline scaling factors'!$A$49:$K$51,MATCH('Baseline Projects'!CJ$2,'Baseline scaling factors'!$A$48:$K$48,0),0)</f>
        <v>227.03503504378193</v>
      </c>
      <c r="CK8" s="12">
        <f>'Mitigation Projects'!$AG8*VLOOKUP('Baseline Projects'!$H8&amp;"-"&amp;'Baseline Projects'!$G8,'Baseline scaling factors'!$A$49:$K$51,MATCH('Baseline Projects'!CK$2,'Baseline scaling factors'!$A$48:$K$48,0),0)</f>
        <v>444.06639990146755</v>
      </c>
      <c r="CL8" s="12">
        <f>'Mitigation Projects'!$AG8*VLOOKUP('Baseline Projects'!$H8&amp;"-"&amp;'Baseline Projects'!$G8,'Baseline scaling factors'!$A$49:$K$51,MATCH('Baseline Projects'!CL$2,'Baseline scaling factors'!$A$48:$K$48,0),0)</f>
        <v>651.53487860082987</v>
      </c>
      <c r="CM8" s="12">
        <f>'Mitigation Projects'!$AG8*VLOOKUP('Baseline Projects'!$H8&amp;"-"&amp;'Baseline Projects'!$G8,'Baseline scaling factors'!$A$49:$K$51,MATCH('Baseline Projects'!CM$2,'Baseline scaling factors'!$A$48:$K$48,0),0)</f>
        <v>849.86183324193689</v>
      </c>
      <c r="CN8" s="12">
        <f>'Mitigation Projects'!$AG8*VLOOKUP('Baseline Projects'!$H8&amp;"-"&amp;'Baseline Projects'!$G8,'Baseline scaling factors'!$A$49:$K$51,MATCH('Baseline Projects'!CN$2,'Baseline scaling factors'!$A$48:$K$48,0),0)</f>
        <v>1039.4500597706187</v>
      </c>
      <c r="CO8" s="12">
        <f>'Mitigation Projects'!$AG8*VLOOKUP('Baseline Projects'!$H8&amp;"-"&amp;'Baseline Projects'!$G8,'Baseline scaling factors'!$A$49:$K$51,MATCH('Baseline Projects'!CO$2,'Baseline scaling factors'!$A$48:$K$48,0),0)</f>
        <v>1220.6846060446469</v>
      </c>
      <c r="CP8" s="12">
        <f>'Mitigation Projects'!$AG8*VLOOKUP('Baseline Projects'!$H8&amp;"-"&amp;'Baseline Projects'!$G8,'Baseline scaling factors'!$A$49:$K$51,MATCH('Baseline Projects'!CP$2,'Baseline scaling factors'!$A$48:$K$48,0),0)</f>
        <v>1393.9335538540922</v>
      </c>
      <c r="CQ8" s="12">
        <f>'Mitigation Projects'!$AG8*VLOOKUP('Baseline Projects'!$H8&amp;"-"&amp;'Baseline Projects'!$G8,'Baseline scaling factors'!$A$49:$K$51,MATCH('Baseline Projects'!CQ$2,'Baseline scaling factors'!$A$48:$K$48,0),0)</f>
        <v>1559.5487664841203</v>
      </c>
      <c r="CR8" s="12">
        <f>'Mitigation Projects'!$AG8*VLOOKUP('Baseline Projects'!$H8&amp;"-"&amp;'Baseline Projects'!$G8,'Baseline scaling factors'!$A$49:$K$51,MATCH('Baseline Projects'!CR$2,'Baseline scaling factors'!$A$48:$K$48,0),0)</f>
        <v>1717.8666033385039</v>
      </c>
      <c r="CS8" s="12">
        <f>'Mitigation Projects'!$AG8*VLOOKUP('Baseline Projects'!$H8&amp;"-"&amp;'Baseline Projects'!$G8,'Baseline scaling factors'!$A$49:$K$51,MATCH('Baseline Projects'!CS$2,'Baseline scaling factors'!$A$48:$K$48,0),0)</f>
        <v>1869.2086030752287</v>
      </c>
      <c r="CT8" s="12">
        <f>'Mitigation Projects'!$AH8*VLOOKUP('Baseline Projects'!$H8&amp;"-"&amp;'Baseline Projects'!$G8,'Baseline scaling factors'!$A$49:$K$51,MATCH('Baseline Projects'!CT$2,'Baseline scaling factors'!$A$48:$K$48,0),0)</f>
        <v>6969.4088217184462</v>
      </c>
      <c r="CU8" s="12">
        <f>'Mitigation Projects'!$AH8*VLOOKUP('Baseline Projects'!$H8&amp;"-"&amp;'Baseline Projects'!$G8,'Baseline scaling factors'!$A$49:$K$51,MATCH('Baseline Projects'!CU$2,'Baseline scaling factors'!$A$48:$K$48,0),0)</f>
        <v>13631.729941175008</v>
      </c>
      <c r="CV8" s="12">
        <f>'Mitigation Projects'!$AH8*VLOOKUP('Baseline Projects'!$H8&amp;"-"&amp;'Baseline Projects'!$G8,'Baseline scaling factors'!$A$49:$K$51,MATCH('Baseline Projects'!CV$2,'Baseline scaling factors'!$A$48:$K$48,0),0)</f>
        <v>20000.494327680397</v>
      </c>
      <c r="CW8" s="12">
        <f>'Mitigation Projects'!$AH8*VLOOKUP('Baseline Projects'!$H8&amp;"-"&amp;'Baseline Projects'!$G8,'Baseline scaling factors'!$A$49:$K$51,MATCH('Baseline Projects'!CW$2,'Baseline scaling factors'!$A$48:$K$48,0),0)</f>
        <v>26088.636745848304</v>
      </c>
      <c r="CX8" s="12">
        <f>'Mitigation Projects'!$AH8*VLOOKUP('Baseline Projects'!$H8&amp;"-"&amp;'Baseline Projects'!$G8,'Baseline scaling factors'!$A$49:$K$51,MATCH('Baseline Projects'!CX$2,'Baseline scaling factors'!$A$48:$K$48,0),0)</f>
        <v>31908.522025704537</v>
      </c>
      <c r="CY8" s="12">
        <f>'Mitigation Projects'!$AH8*VLOOKUP('Baseline Projects'!$H8&amp;"-"&amp;'Baseline Projects'!$G8,'Baseline scaling factors'!$A$49:$K$51,MATCH('Baseline Projects'!CY$2,'Baseline scaling factors'!$A$48:$K$48,0),0)</f>
        <v>37471.970175276576</v>
      </c>
      <c r="CZ8" s="12">
        <f>'Mitigation Projects'!$AH8*VLOOKUP('Baseline Projects'!$H8&amp;"-"&amp;'Baseline Projects'!$G8,'Baseline scaling factors'!$A$49:$K$51,MATCH('Baseline Projects'!CZ$2,'Baseline scaling factors'!$A$48:$K$48,0),0)</f>
        <v>42790.280386666374</v>
      </c>
      <c r="DA8" s="12">
        <f>'Mitigation Projects'!$AH8*VLOOKUP('Baseline Projects'!$H8&amp;"-"&amp;'Baseline Projects'!$G8,'Baseline scaling factors'!$A$49:$K$51,MATCH('Baseline Projects'!DA$2,'Baseline scaling factors'!$A$48:$K$48,0),0)</f>
        <v>47874.253984362025</v>
      </c>
      <c r="DB8" s="12">
        <f>'Mitigation Projects'!$AH8*VLOOKUP('Baseline Projects'!$H8&amp;"-"&amp;'Baseline Projects'!$G8,'Baseline scaling factors'!$A$49:$K$51,MATCH('Baseline Projects'!DB$2,'Baseline scaling factors'!$A$48:$K$48,0),0)</f>
        <v>52734.216362395637</v>
      </c>
      <c r="DC8" s="12">
        <f>'Mitigation Projects'!$AH8*VLOOKUP('Baseline Projects'!$H8&amp;"-"&amp;'Baseline Projects'!$G8,'Baseline scaling factors'!$A$49:$K$51,MATCH('Baseline Projects'!DC$2,'Baseline scaling factors'!$A$48:$K$48,0),0)</f>
        <v>57380.03795490112</v>
      </c>
    </row>
    <row r="9" spans="1:107" x14ac:dyDescent="0.4">
      <c r="A9" s="38" t="str">
        <f>'Mitigation Projects'!A9</f>
        <v>BV-G44</v>
      </c>
      <c r="B9" s="38" t="str">
        <f>'Mitigation Projects'!B9</f>
        <v>Springfield</v>
      </c>
      <c r="C9" s="39">
        <f>'Mitigation Projects'!C9</f>
        <v>204892</v>
      </c>
      <c r="D9" s="39" t="str">
        <f>'Mitigation Projects'!D9</f>
        <v>204892: L4-L43 poles 1 through 36</v>
      </c>
      <c r="E9" s="39">
        <f>'Mitigation Projects'!E9</f>
        <v>526443</v>
      </c>
      <c r="F9" s="39">
        <f>'Mitigation Projects'!F9</f>
        <v>0</v>
      </c>
      <c r="G9" s="39" t="str">
        <f>'Mitigation Projects'!G9</f>
        <v>3PH</v>
      </c>
      <c r="H9" s="39" t="str">
        <f>'Mitigation Projects'!H9</f>
        <v>OH</v>
      </c>
      <c r="I9" s="39" t="str">
        <f>'Mitigation Projects'!J9</f>
        <v>Zone 1</v>
      </c>
      <c r="J9" s="39">
        <f>'Mitigation Projects'!K9</f>
        <v>246</v>
      </c>
      <c r="K9" s="40">
        <f>'Mitigation Projects'!L9*BASELINE_CAP_SPEND</f>
        <v>121491.70000000001</v>
      </c>
      <c r="L9" s="97">
        <f>'Mitigation Projects'!Q9</f>
        <v>0.85768261964735515</v>
      </c>
      <c r="M9" s="97">
        <f>'Mitigation Projects'!R9</f>
        <v>0.14231738035264485</v>
      </c>
      <c r="N9" s="98">
        <f>'Mitigation Projects'!S9</f>
        <v>1</v>
      </c>
      <c r="O9" s="26">
        <f t="shared" si="0"/>
        <v>0.9</v>
      </c>
      <c r="P9" s="26">
        <f t="shared" si="1"/>
        <v>0.80330442615766917</v>
      </c>
      <c r="Q9" s="112">
        <f>VLOOKUP($A9,'Outage by Zone inputs'!$A$4:$E$13,MATCH('Baseline Projects'!$I9,'Outage by Zone inputs'!$A$3:$E$3,0),0)*'Baseline Projects'!$L9*$N9*('Baseline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Projects'!Q$3,'Baseline scaling factors'!$B$54:$K$54,0))+VLOOKUP($A9,'Outage by Zone inputs'!$A$4:$E$13,MATCH('Baseline Projects'!$I9,'Outage by Zone inputs'!$A$3:$E$3,0),0)*'Baseline Projects'!$L9*$N9*('Baseline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Projects'!Q$3,'Baseline scaling factors'!$B$48:$K$48,0))</f>
        <v>467.88685982221944</v>
      </c>
      <c r="R9" s="112">
        <f>VLOOKUP($A9,'Outage by Zone inputs'!$A$4:$E$13,MATCH('Baseline Projects'!$I9,'Outage by Zone inputs'!$A$3:$E$3,0),0)*'Baseline Projects'!$L9*$N9*('Baseline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Projects'!R$3,'Baseline scaling factors'!$B$54:$K$54,0))+VLOOKUP($A9,'Outage by Zone inputs'!$A$4:$E$13,MATCH('Baseline Projects'!$I9,'Outage by Zone inputs'!$A$3:$E$3,0),0)*'Baseline Projects'!$L9*$N9*('Baseline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Projects'!R$3,'Baseline scaling factors'!$B$48:$K$48,0))</f>
        <v>433.03031266869129</v>
      </c>
      <c r="S9" s="112">
        <f>VLOOKUP($A9,'Outage by Zone inputs'!$A$4:$E$13,MATCH('Baseline Projects'!$I9,'Outage by Zone inputs'!$A$3:$E$3,0),0)*'Baseline Projects'!$L9*$N9*('Baseline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Projects'!S$3,'Baseline scaling factors'!$B$54:$K$54,0))+VLOOKUP($A9,'Outage by Zone inputs'!$A$4:$E$13,MATCH('Baseline Projects'!$I9,'Outage by Zone inputs'!$A$3:$E$3,0),0)*'Baseline Projects'!$L9*$N9*('Baseline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Projects'!S$3,'Baseline scaling factors'!$B$48:$K$48,0))</f>
        <v>399.7096227518349</v>
      </c>
      <c r="T9" s="112">
        <f>VLOOKUP($A9,'Outage by Zone inputs'!$A$4:$E$13,MATCH('Baseline Projects'!$I9,'Outage by Zone inputs'!$A$3:$E$3,0),0)*'Baseline Projects'!$L9*$N9*('Baseline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Projects'!T$3,'Baseline scaling factors'!$B$54:$K$54,0))+VLOOKUP($A9,'Outage by Zone inputs'!$A$4:$E$13,MATCH('Baseline Projects'!$I9,'Outage by Zone inputs'!$A$3:$E$3,0),0)*'Baseline Projects'!$L9*$N9*('Baseline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Projects'!T$3,'Baseline scaling factors'!$B$48:$K$48,0))</f>
        <v>367.85711677512302</v>
      </c>
      <c r="U9" s="112">
        <f>VLOOKUP($A9,'Outage by Zone inputs'!$A$4:$E$13,MATCH('Baseline Projects'!$I9,'Outage by Zone inputs'!$A$3:$E$3,0),0)*'Baseline Projects'!$L9*$N9*('Baseline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Projects'!U$3,'Baseline scaling factors'!$B$54:$K$54,0))+VLOOKUP($A9,'Outage by Zone inputs'!$A$4:$E$13,MATCH('Baseline Projects'!$I9,'Outage by Zone inputs'!$A$3:$E$3,0),0)*'Baseline Projects'!$L9*$N9*('Baseline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Projects'!U$3,'Baseline scaling factors'!$B$48:$K$48,0))</f>
        <v>337.40810327846043</v>
      </c>
      <c r="V9" s="112">
        <f>VLOOKUP($A9,'Outage by Zone inputs'!$A$4:$E$13,MATCH('Baseline Projects'!$I9,'Outage by Zone inputs'!$A$3:$E$3,0),0)*'Baseline Projects'!$L9*$N9*('Baseline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Projects'!V$3,'Baseline scaling factors'!$B$54:$K$54,0))+VLOOKUP($A9,'Outage by Zone inputs'!$A$4:$E$13,MATCH('Baseline Projects'!$I9,'Outage by Zone inputs'!$A$3:$E$3,0),0)*'Baseline Projects'!$L9*$N9*('Baseline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Projects'!V$3,'Baseline scaling factors'!$B$48:$K$48,0))</f>
        <v>308.30074125181818</v>
      </c>
      <c r="W9" s="112">
        <f>VLOOKUP($A9,'Outage by Zone inputs'!$A$4:$E$13,MATCH('Baseline Projects'!$I9,'Outage by Zone inputs'!$A$3:$E$3,0),0)*'Baseline Projects'!$L9*$N9*('Baseline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Projects'!W$3,'Baseline scaling factors'!$B$54:$K$54,0))+VLOOKUP($A9,'Outage by Zone inputs'!$A$4:$E$13,MATCH('Baseline Projects'!$I9,'Outage by Zone inputs'!$A$3:$E$3,0),0)*'Baseline Projects'!$L9*$N9*('Baseline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Projects'!W$3,'Baseline scaling factors'!$B$48:$K$48,0))</f>
        <v>280.47591453804375</v>
      </c>
      <c r="X9" s="112">
        <f>VLOOKUP($A9,'Outage by Zone inputs'!$A$4:$E$13,MATCH('Baseline Projects'!$I9,'Outage by Zone inputs'!$A$3:$E$3,0),0)*'Baseline Projects'!$L9*$N9*('Baseline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Projects'!X$3,'Baseline scaling factors'!$B$54:$K$54,0))+VLOOKUP($A9,'Outage by Zone inputs'!$A$4:$E$13,MATCH('Baseline Projects'!$I9,'Outage by Zone inputs'!$A$3:$E$3,0),0)*'Baseline Projects'!$L9*$N9*('Baseline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Projects'!X$3,'Baseline scaling factors'!$B$48:$K$48,0))</f>
        <v>253.8771117697639</v>
      </c>
      <c r="Y9" s="112">
        <f>VLOOKUP($A9,'Outage by Zone inputs'!$A$4:$E$13,MATCH('Baseline Projects'!$I9,'Outage by Zone inputs'!$A$3:$E$3,0),0)*'Baseline Projects'!$L9*$N9*('Baseline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Projects'!Y$3,'Baseline scaling factors'!$B$54:$K$54,0))+VLOOKUP($A9,'Outage by Zone inputs'!$A$4:$E$13,MATCH('Baseline Projects'!$I9,'Outage by Zone inputs'!$A$3:$E$3,0),0)*'Baseline Projects'!$L9*$N9*('Baseline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Projects'!Y$3,'Baseline scaling factors'!$B$48:$K$48,0))</f>
        <v>228.45031159653544</v>
      </c>
      <c r="Z9" s="112">
        <f>VLOOKUP($A9,'Outage by Zone inputs'!$A$4:$E$13,MATCH('Baseline Projects'!$I9,'Outage by Zone inputs'!$A$3:$E$3,0),0)*'Baseline Projects'!$L9*$N9*('Baseline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Projects'!Z$3,'Baseline scaling factors'!$B$54:$K$54,0))+VLOOKUP($A9,'Outage by Zone inputs'!$A$4:$E$13,MATCH('Baseline Projects'!$I9,'Outage by Zone inputs'!$A$3:$E$3,0),0)*'Baseline Projects'!$L9*$N9*('Baseline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Projects'!Z$3,'Baseline scaling factors'!$B$48:$K$48,0))</f>
        <v>204.14387296914381</v>
      </c>
      <c r="AA9" s="34">
        <f>VLOOKUP($A9,'Outage by Zone inputs'!$A$4:$E$13,MATCH('Baseline Projects'!$I9,'Outage by Zone inputs'!$A$3:$E$3,0),0)*$M9*$N9*('Baseline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Projects'!AA$3,'Baseline scaling factors'!$B$54:$K$54,0))+VLOOKUP($A9,'Outage by Zone inputs'!$A$4:$E$13,MATCH('Baseline Projects'!$I9,'Outage by Zone inputs'!$A$3:$E$3,0),0)*$M9*$N9*('Baseline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Projects'!AA$3,'Baseline scaling factors'!$B$48:$K$48,0))</f>
        <v>77.63761403804817</v>
      </c>
      <c r="AB9" s="34">
        <f>VLOOKUP($A9,'Outage by Zone inputs'!$A$4:$E$13,MATCH('Baseline Projects'!$I9,'Outage by Zone inputs'!$A$3:$E$3,0),0)*$M9*$N9*('Baseline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Projects'!AB$3,'Baseline scaling factors'!$B$54:$K$54,0))+VLOOKUP($A9,'Outage by Zone inputs'!$A$4:$E$13,MATCH('Baseline Projects'!$I9,'Outage by Zone inputs'!$A$3:$E$3,0),0)*$M9*$N9*('Baseline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Projects'!AB$3,'Baseline scaling factors'!$B$48:$K$48,0))</f>
        <v>71.853781690986949</v>
      </c>
      <c r="AC9" s="34">
        <f>VLOOKUP($A9,'Outage by Zone inputs'!$A$4:$E$13,MATCH('Baseline Projects'!$I9,'Outage by Zone inputs'!$A$3:$E$3,0),0)*$M9*$N9*('Baseline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Projects'!AC$3,'Baseline scaling factors'!$B$54:$K$54,0))+VLOOKUP($A9,'Outage by Zone inputs'!$A$4:$E$13,MATCH('Baseline Projects'!$I9,'Outage by Zone inputs'!$A$3:$E$3,0),0)*$M9*$N9*('Baseline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Projects'!AC$3,'Baseline scaling factors'!$B$48:$K$48,0))</f>
        <v>66.324797901552643</v>
      </c>
      <c r="AD9" s="34">
        <f>VLOOKUP($A9,'Outage by Zone inputs'!$A$4:$E$13,MATCH('Baseline Projects'!$I9,'Outage by Zone inputs'!$A$3:$E$3,0),0)*$M9*$N9*('Baseline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Projects'!AD$3,'Baseline scaling factors'!$B$54:$K$54,0))+VLOOKUP($A9,'Outage by Zone inputs'!$A$4:$E$13,MATCH('Baseline Projects'!$I9,'Outage by Zone inputs'!$A$3:$E$3,0),0)*$M9*$N9*('Baseline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Projects'!AD$3,'Baseline scaling factors'!$B$48:$K$48,0))</f>
        <v>61.039433473698821</v>
      </c>
      <c r="AE9" s="34">
        <f>VLOOKUP($A9,'Outage by Zone inputs'!$A$4:$E$13,MATCH('Baseline Projects'!$I9,'Outage by Zone inputs'!$A$3:$E$3,0),0)*$M9*$N9*('Baseline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Projects'!AE$3,'Baseline scaling factors'!$B$54:$K$54,0))+VLOOKUP($A9,'Outage by Zone inputs'!$A$4:$E$13,MATCH('Baseline Projects'!$I9,'Outage by Zone inputs'!$A$3:$E$3,0),0)*$M9*$N9*('Baseline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Projects'!AE$3,'Baseline scaling factors'!$B$48:$K$48,0))</f>
        <v>55.986953994810612</v>
      </c>
      <c r="AF9" s="34">
        <f>VLOOKUP($A9,'Outage by Zone inputs'!$A$4:$E$13,MATCH('Baseline Projects'!$I9,'Outage by Zone inputs'!$A$3:$E$3,0),0)*$M9*$N9*('Baseline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Projects'!AF$3,'Baseline scaling factors'!$B$54:$K$54,0))+VLOOKUP($A9,'Outage by Zone inputs'!$A$4:$E$13,MATCH('Baseline Projects'!$I9,'Outage by Zone inputs'!$A$3:$E$3,0),0)*$M9*$N9*('Baseline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Projects'!AF$3,'Baseline scaling factors'!$B$48:$K$48,0))</f>
        <v>51.157098034442662</v>
      </c>
      <c r="AG9" s="34">
        <f>VLOOKUP($A9,'Outage by Zone inputs'!$A$4:$E$13,MATCH('Baseline Projects'!$I9,'Outage by Zone inputs'!$A$3:$E$3,0),0)*$M9*$N9*('Baseline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Projects'!AG$3,'Baseline scaling factors'!$B$54:$K$54,0))+VLOOKUP($A9,'Outage by Zone inputs'!$A$4:$E$13,MATCH('Baseline Projects'!$I9,'Outage by Zone inputs'!$A$3:$E$3,0),0)*$M9*$N9*('Baseline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Projects'!AG$3,'Baseline scaling factors'!$B$48:$K$48,0))</f>
        <v>46.540056303669516</v>
      </c>
      <c r="AH9" s="34">
        <f>VLOOKUP($A9,'Outage by Zone inputs'!$A$4:$E$13,MATCH('Baseline Projects'!$I9,'Outage by Zone inputs'!$A$3:$E$3,0),0)*$M9*$N9*('Baseline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Projects'!AH$3,'Baseline scaling factors'!$B$54:$K$54,0))+VLOOKUP($A9,'Outage by Zone inputs'!$A$4:$E$13,MATCH('Baseline Projects'!$I9,'Outage by Zone inputs'!$A$3:$E$3,0),0)*$M9*$N9*('Baseline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Projects'!AH$3,'Baseline scaling factors'!$B$48:$K$48,0))</f>
        <v>42.12645173272147</v>
      </c>
      <c r="AI9" s="34">
        <f>VLOOKUP($A9,'Outage by Zone inputs'!$A$4:$E$13,MATCH('Baseline Projects'!$I9,'Outage by Zone inputs'!$A$3:$E$3,0),0)*$M9*$N9*('Baseline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Projects'!AI$3,'Baseline scaling factors'!$B$54:$K$54,0))+VLOOKUP($A9,'Outage by Zone inputs'!$A$4:$E$13,MATCH('Baseline Projects'!$I9,'Outage by Zone inputs'!$A$3:$E$3,0),0)*$M9*$N9*('Baseline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Projects'!AI$3,'Baseline scaling factors'!$B$48:$K$48,0))</f>
        <v>37.907320426444208</v>
      </c>
      <c r="AJ9" s="34">
        <f>VLOOKUP($A9,'Outage by Zone inputs'!$A$4:$E$13,MATCH('Baseline Projects'!$I9,'Outage by Zone inputs'!$A$3:$E$3,0),0)*$M9*$N9*('Baseline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Projects'!AJ$3,'Baseline scaling factors'!$B$54:$K$54,0))+VLOOKUP($A9,'Outage by Zone inputs'!$A$4:$E$13,MATCH('Baseline Projects'!$I9,'Outage by Zone inputs'!$A$3:$E$3,0),0)*$M9*$N9*('Baseline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Projects'!AJ$3,'Baseline scaling factors'!$B$48:$K$48,0))</f>
        <v>33.874093458903452</v>
      </c>
      <c r="AK9" s="1">
        <f t="shared" si="2"/>
        <v>9825.624056266608</v>
      </c>
      <c r="AL9" s="1">
        <f t="shared" si="3"/>
        <v>9093.6365660425181</v>
      </c>
      <c r="AM9" s="1">
        <f t="shared" si="4"/>
        <v>8393.9020777885326</v>
      </c>
      <c r="AN9" s="1">
        <f t="shared" si="5"/>
        <v>7724.9994522775833</v>
      </c>
      <c r="AO9" s="1">
        <f t="shared" si="6"/>
        <v>7085.5701688476693</v>
      </c>
      <c r="AP9" s="1">
        <f t="shared" si="7"/>
        <v>6474.3155662881818</v>
      </c>
      <c r="AQ9" s="1">
        <f t="shared" si="8"/>
        <v>5889.994205298919</v>
      </c>
      <c r="AR9" s="1">
        <f t="shared" si="9"/>
        <v>5331.4193471650415</v>
      </c>
      <c r="AS9" s="1">
        <f t="shared" si="10"/>
        <v>4797.4565435272443</v>
      </c>
      <c r="AT9" s="1">
        <f t="shared" si="11"/>
        <v>4287.0213323520202</v>
      </c>
      <c r="AU9" s="1">
        <f t="shared" si="12"/>
        <v>301622.13053781714</v>
      </c>
      <c r="AV9" s="1">
        <f t="shared" si="13"/>
        <v>279151.94186948432</v>
      </c>
      <c r="AW9" s="1">
        <f t="shared" si="14"/>
        <v>257671.83984753201</v>
      </c>
      <c r="AX9" s="1">
        <f t="shared" si="15"/>
        <v>237138.19904531993</v>
      </c>
      <c r="AY9" s="1">
        <f t="shared" si="16"/>
        <v>217509.31626983924</v>
      </c>
      <c r="AZ9" s="1">
        <f t="shared" si="17"/>
        <v>198745.32586380973</v>
      </c>
      <c r="BA9" s="1">
        <f t="shared" si="18"/>
        <v>180808.11873975606</v>
      </c>
      <c r="BB9" s="1">
        <f t="shared" si="19"/>
        <v>163661.26498162292</v>
      </c>
      <c r="BC9" s="1">
        <f t="shared" si="20"/>
        <v>147269.93985673576</v>
      </c>
      <c r="BD9" s="1">
        <f t="shared" si="21"/>
        <v>131600.8530878399</v>
      </c>
      <c r="BE9" s="1">
        <f t="shared" si="22"/>
        <v>311447.75459408376</v>
      </c>
      <c r="BF9" s="1">
        <f t="shared" si="23"/>
        <v>288245.57843552681</v>
      </c>
      <c r="BG9" s="1">
        <f t="shared" si="24"/>
        <v>266065.74192532053</v>
      </c>
      <c r="BH9" s="1">
        <f t="shared" si="25"/>
        <v>244863.19849759751</v>
      </c>
      <c r="BI9" s="1">
        <f t="shared" si="26"/>
        <v>224594.88643868692</v>
      </c>
      <c r="BJ9" s="1">
        <f t="shared" si="27"/>
        <v>205219.64143009792</v>
      </c>
      <c r="BK9" s="1">
        <f t="shared" si="28"/>
        <v>186698.11294505498</v>
      </c>
      <c r="BL9" s="1">
        <f t="shared" si="29"/>
        <v>168992.68432878796</v>
      </c>
      <c r="BM9" s="1">
        <f t="shared" si="30"/>
        <v>152067.39640026301</v>
      </c>
      <c r="BN9" s="1">
        <f t="shared" si="31"/>
        <v>135887.87442019192</v>
      </c>
      <c r="BO9" s="25">
        <f>VLOOKUP($A9,'Outage by Zone inputs'!$A$59:$E$68,MATCH('Baseline Projects'!$I9,'Outage by Zone inputs'!$A$58:$E$58,0),0)*AVG_INCIDENT_PERCENT_NON_STORM</f>
        <v>24.37141188271459</v>
      </c>
      <c r="BP9" s="25">
        <f>$BO9*$N9*('Baseline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Projects'!Q$3,'Baseline scaling factors'!$B$54:$K$54,0))+$BO9*$N9*('Baseline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Projects'!Q$3,'Baseline scaling factors'!$B$48:$K$48,0))</f>
        <v>4.4854176318600638</v>
      </c>
      <c r="BQ9" s="25">
        <f>$BO9*$N9*('Baseline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Projects'!R$3,'Baseline scaling factors'!$B$54:$K$54,0))+$BO9*$N9*('Baseline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Projects'!R$3,'Baseline scaling factors'!$B$48:$K$48,0))</f>
        <v>4.1512638339790904</v>
      </c>
      <c r="BR9" s="25">
        <f>$BO9*$N9*('Baseline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Projects'!S$3,'Baseline scaling factors'!$B$54:$K$54,0))+$BO9*$N9*('Baseline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Projects'!S$3,'Baseline scaling factors'!$B$48:$K$48,0))</f>
        <v>3.8318335979694753</v>
      </c>
      <c r="BS9" s="25">
        <f>$BO9*$N9*('Baseline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Projects'!T$3,'Baseline scaling factors'!$B$54:$K$54,0))+$BO9*$N9*('Baseline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Projects'!T$3,'Baseline scaling factors'!$B$48:$K$48,0))</f>
        <v>3.5264781708451531</v>
      </c>
      <c r="BT9" s="25">
        <f>$BO9*$N9*('Baseline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Projects'!U$3,'Baseline scaling factors'!$B$54:$K$54,0))+$BO9*$N9*('Baseline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Projects'!U$3,'Baseline scaling factors'!$B$48:$K$48,0))</f>
        <v>3.2345773851240716</v>
      </c>
      <c r="BU9" s="25">
        <f>$BO9*$N9*('Baseline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Projects'!V$3,'Baseline scaling factors'!$B$54:$K$54,0))+$BO9*$N9*('Baseline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Projects'!V$3,'Baseline scaling factors'!$B$48:$K$48,0))</f>
        <v>2.9555383992871049</v>
      </c>
      <c r="BV9" s="25">
        <f>$BO9*$N9*('Baseline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Projects'!W$3,'Baseline scaling factors'!$B$54:$K$54,0))+$BO9*$N9*('Baseline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Projects'!W$3,'Baseline scaling factors'!$B$48:$K$48,0))</f>
        <v>2.6887944937351587</v>
      </c>
      <c r="BW9" s="25">
        <f>$BO9*$N9*('Baseline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Projects'!X$3,'Baseline scaling factors'!$B$54:$K$54,0))+$BO9*$N9*('Baseline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Projects'!X$3,'Baseline scaling factors'!$B$48:$K$48,0))</f>
        <v>2.4338039197990944</v>
      </c>
      <c r="BX9" s="25">
        <f>$BO9*$N9*('Baseline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Projects'!Y$3,'Baseline scaling factors'!$B$54:$K$54,0))+$BO9*$N9*('Baseline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Projects'!Y$3,'Baseline scaling factors'!$B$48:$K$48,0))</f>
        <v>2.1900487994648401</v>
      </c>
      <c r="BY9" s="25">
        <f>$BO9*$N9*('Baseline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Projects'!Z$3,'Baseline scaling factors'!$B$54:$K$54,0))+$BO9*$N9*('Baseline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Projects'!Z$3,'Baseline scaling factors'!$B$48:$K$48,0))</f>
        <v>1.9570340735790728</v>
      </c>
      <c r="BZ9" s="12">
        <f t="shared" si="32"/>
        <v>2117.1171222379503</v>
      </c>
      <c r="CA9" s="12">
        <f t="shared" si="33"/>
        <v>1959.3965296381307</v>
      </c>
      <c r="CB9" s="12">
        <f t="shared" si="34"/>
        <v>1808.6254582415922</v>
      </c>
      <c r="CC9" s="12">
        <f t="shared" si="35"/>
        <v>1664.4976966389122</v>
      </c>
      <c r="CD9" s="12">
        <f t="shared" si="36"/>
        <v>1526.7205257785618</v>
      </c>
      <c r="CE9" s="12">
        <f t="shared" si="37"/>
        <v>1395.0141244635136</v>
      </c>
      <c r="CF9" s="12">
        <f t="shared" si="38"/>
        <v>1269.111001042995</v>
      </c>
      <c r="CG9" s="12">
        <f t="shared" si="39"/>
        <v>1148.7554501451725</v>
      </c>
      <c r="CH9" s="12">
        <f t="shared" si="40"/>
        <v>1033.7030333474045</v>
      </c>
      <c r="CI9" s="12">
        <f t="shared" si="41"/>
        <v>923.72008272932237</v>
      </c>
      <c r="CJ9" s="12">
        <f>'Mitigation Projects'!$AG9*VLOOKUP('Baseline Projects'!$H9&amp;"-"&amp;'Baseline Projects'!$G9,'Baseline scaling factors'!$A$49:$K$51,MATCH('Baseline Projects'!CJ$2,'Baseline scaling factors'!$A$48:$K$48,0),0)</f>
        <v>0</v>
      </c>
      <c r="CK9" s="12">
        <f>'Mitigation Projects'!$AG9*VLOOKUP('Baseline Projects'!$H9&amp;"-"&amp;'Baseline Projects'!$G9,'Baseline scaling factors'!$A$49:$K$51,MATCH('Baseline Projects'!CK$2,'Baseline scaling factors'!$A$48:$K$48,0),0)</f>
        <v>0</v>
      </c>
      <c r="CL9" s="12">
        <f>'Mitigation Projects'!$AG9*VLOOKUP('Baseline Projects'!$H9&amp;"-"&amp;'Baseline Projects'!$G9,'Baseline scaling factors'!$A$49:$K$51,MATCH('Baseline Projects'!CL$2,'Baseline scaling factors'!$A$48:$K$48,0),0)</f>
        <v>0</v>
      </c>
      <c r="CM9" s="12">
        <f>'Mitigation Projects'!$AG9*VLOOKUP('Baseline Projects'!$H9&amp;"-"&amp;'Baseline Projects'!$G9,'Baseline scaling factors'!$A$49:$K$51,MATCH('Baseline Projects'!CM$2,'Baseline scaling factors'!$A$48:$K$48,0),0)</f>
        <v>0</v>
      </c>
      <c r="CN9" s="12">
        <f>'Mitigation Projects'!$AG9*VLOOKUP('Baseline Projects'!$H9&amp;"-"&amp;'Baseline Projects'!$G9,'Baseline scaling factors'!$A$49:$K$51,MATCH('Baseline Projects'!CN$2,'Baseline scaling factors'!$A$48:$K$48,0),0)</f>
        <v>0</v>
      </c>
      <c r="CO9" s="12">
        <f>'Mitigation Projects'!$AG9*VLOOKUP('Baseline Projects'!$H9&amp;"-"&amp;'Baseline Projects'!$G9,'Baseline scaling factors'!$A$49:$K$51,MATCH('Baseline Projects'!CO$2,'Baseline scaling factors'!$A$48:$K$48,0),0)</f>
        <v>0</v>
      </c>
      <c r="CP9" s="12">
        <f>'Mitigation Projects'!$AG9*VLOOKUP('Baseline Projects'!$H9&amp;"-"&amp;'Baseline Projects'!$G9,'Baseline scaling factors'!$A$49:$K$51,MATCH('Baseline Projects'!CP$2,'Baseline scaling factors'!$A$48:$K$48,0),0)</f>
        <v>0</v>
      </c>
      <c r="CQ9" s="12">
        <f>'Mitigation Projects'!$AG9*VLOOKUP('Baseline Projects'!$H9&amp;"-"&amp;'Baseline Projects'!$G9,'Baseline scaling factors'!$A$49:$K$51,MATCH('Baseline Projects'!CQ$2,'Baseline scaling factors'!$A$48:$K$48,0),0)</f>
        <v>0</v>
      </c>
      <c r="CR9" s="12">
        <f>'Mitigation Projects'!$AG9*VLOOKUP('Baseline Projects'!$H9&amp;"-"&amp;'Baseline Projects'!$G9,'Baseline scaling factors'!$A$49:$K$51,MATCH('Baseline Projects'!CR$2,'Baseline scaling factors'!$A$48:$K$48,0),0)</f>
        <v>0</v>
      </c>
      <c r="CS9" s="12">
        <f>'Mitigation Projects'!$AG9*VLOOKUP('Baseline Projects'!$H9&amp;"-"&amp;'Baseline Projects'!$G9,'Baseline scaling factors'!$A$49:$K$51,MATCH('Baseline Projects'!CS$2,'Baseline scaling factors'!$A$48:$K$48,0),0)</f>
        <v>0</v>
      </c>
      <c r="CT9" s="12">
        <f>'Mitigation Projects'!$AH9*VLOOKUP('Baseline Projects'!$H9&amp;"-"&amp;'Baseline Projects'!$G9,'Baseline scaling factors'!$A$49:$K$51,MATCH('Baseline Projects'!CT$2,'Baseline scaling factors'!$A$48:$K$48,0),0)</f>
        <v>0</v>
      </c>
      <c r="CU9" s="12">
        <f>'Mitigation Projects'!$AH9*VLOOKUP('Baseline Projects'!$H9&amp;"-"&amp;'Baseline Projects'!$G9,'Baseline scaling factors'!$A$49:$K$51,MATCH('Baseline Projects'!CU$2,'Baseline scaling factors'!$A$48:$K$48,0),0)</f>
        <v>0</v>
      </c>
      <c r="CV9" s="12">
        <f>'Mitigation Projects'!$AH9*VLOOKUP('Baseline Projects'!$H9&amp;"-"&amp;'Baseline Projects'!$G9,'Baseline scaling factors'!$A$49:$K$51,MATCH('Baseline Projects'!CV$2,'Baseline scaling factors'!$A$48:$K$48,0),0)</f>
        <v>0</v>
      </c>
      <c r="CW9" s="12">
        <f>'Mitigation Projects'!$AH9*VLOOKUP('Baseline Projects'!$H9&amp;"-"&amp;'Baseline Projects'!$G9,'Baseline scaling factors'!$A$49:$K$51,MATCH('Baseline Projects'!CW$2,'Baseline scaling factors'!$A$48:$K$48,0),0)</f>
        <v>0</v>
      </c>
      <c r="CX9" s="12">
        <f>'Mitigation Projects'!$AH9*VLOOKUP('Baseline Projects'!$H9&amp;"-"&amp;'Baseline Projects'!$G9,'Baseline scaling factors'!$A$49:$K$51,MATCH('Baseline Projects'!CX$2,'Baseline scaling factors'!$A$48:$K$48,0),0)</f>
        <v>0</v>
      </c>
      <c r="CY9" s="12">
        <f>'Mitigation Projects'!$AH9*VLOOKUP('Baseline Projects'!$H9&amp;"-"&amp;'Baseline Projects'!$G9,'Baseline scaling factors'!$A$49:$K$51,MATCH('Baseline Projects'!CY$2,'Baseline scaling factors'!$A$48:$K$48,0),0)</f>
        <v>0</v>
      </c>
      <c r="CZ9" s="12">
        <f>'Mitigation Projects'!$AH9*VLOOKUP('Baseline Projects'!$H9&amp;"-"&amp;'Baseline Projects'!$G9,'Baseline scaling factors'!$A$49:$K$51,MATCH('Baseline Projects'!CZ$2,'Baseline scaling factors'!$A$48:$K$48,0),0)</f>
        <v>0</v>
      </c>
      <c r="DA9" s="12">
        <f>'Mitigation Projects'!$AH9*VLOOKUP('Baseline Projects'!$H9&amp;"-"&amp;'Baseline Projects'!$G9,'Baseline scaling factors'!$A$49:$K$51,MATCH('Baseline Projects'!DA$2,'Baseline scaling factors'!$A$48:$K$48,0),0)</f>
        <v>0</v>
      </c>
      <c r="DB9" s="12">
        <f>'Mitigation Projects'!$AH9*VLOOKUP('Baseline Projects'!$H9&amp;"-"&amp;'Baseline Projects'!$G9,'Baseline scaling factors'!$A$49:$K$51,MATCH('Baseline Projects'!DB$2,'Baseline scaling factors'!$A$48:$K$48,0),0)</f>
        <v>0</v>
      </c>
      <c r="DC9" s="12">
        <f>'Mitigation Projects'!$AH9*VLOOKUP('Baseline Projects'!$H9&amp;"-"&amp;'Baseline Projects'!$G9,'Baseline scaling factors'!$A$49:$K$51,MATCH('Baseline Projects'!DC$2,'Baseline scaling factors'!$A$48:$K$48,0),0)</f>
        <v>0</v>
      </c>
    </row>
    <row r="10" spans="1:107" x14ac:dyDescent="0.4">
      <c r="A10" s="38" t="str">
        <f>'Mitigation Projects'!A10</f>
        <v>BV-G44</v>
      </c>
      <c r="B10" s="38" t="str">
        <f>'Mitigation Projects'!B10</f>
        <v>Springfield</v>
      </c>
      <c r="C10" s="39">
        <f>'Mitigation Projects'!C10</f>
        <v>204893</v>
      </c>
      <c r="D10" s="39" t="str">
        <f>'Mitigation Projects'!D10</f>
        <v>204893: L44 P65 thru P93</v>
      </c>
      <c r="E10" s="39">
        <f>'Mitigation Projects'!E10</f>
        <v>469709</v>
      </c>
      <c r="F10" s="39">
        <f>'Mitigation Projects'!F10</f>
        <v>0</v>
      </c>
      <c r="G10" s="39" t="str">
        <f>'Mitigation Projects'!G10</f>
        <v>1PH</v>
      </c>
      <c r="H10" s="39" t="str">
        <f>'Mitigation Projects'!H10</f>
        <v>UG</v>
      </c>
      <c r="I10" s="39" t="str">
        <f>'Mitigation Projects'!J10</f>
        <v>Zone 3</v>
      </c>
      <c r="J10" s="39">
        <f>'Mitigation Projects'!K10</f>
        <v>89</v>
      </c>
      <c r="K10" s="40">
        <f>'Mitigation Projects'!L10*BASELINE_CAP_SPEND</f>
        <v>101209.5</v>
      </c>
      <c r="L10" s="97">
        <f>'Mitigation Projects'!Q10</f>
        <v>0.85768261964735515</v>
      </c>
      <c r="M10" s="97">
        <f>'Mitigation Projects'!R10</f>
        <v>0.14231738035264485</v>
      </c>
      <c r="N10" s="98">
        <f>'Mitigation Projects'!S10</f>
        <v>0.5</v>
      </c>
      <c r="O10" s="26">
        <f t="shared" si="0"/>
        <v>0.98</v>
      </c>
      <c r="P10" s="26">
        <f t="shared" si="1"/>
        <v>0.83359200333362127</v>
      </c>
      <c r="Q10" s="112">
        <f>VLOOKUP($A10,'Outage by Zone inputs'!$A$4:$E$13,MATCH('Baseline Projects'!$I10,'Outage by Zone inputs'!$A$3:$E$3,0),0)*'Baseline Projects'!$L10*$N10*('Baseline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Projects'!Q$3,'Baseline scaling factors'!$B$54:$K$54,0))+VLOOKUP($A10,'Outage by Zone inputs'!$A$4:$E$13,MATCH('Baseline Projects'!$I10,'Outage by Zone inputs'!$A$3:$E$3,0),0)*'Baseline Projects'!$L10*$N10*('Baseline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Projects'!Q$3,'Baseline scaling factors'!$B$48:$K$48,0))</f>
        <v>246.28262191841841</v>
      </c>
      <c r="R10" s="112">
        <f>VLOOKUP($A10,'Outage by Zone inputs'!$A$4:$E$13,MATCH('Baseline Projects'!$I10,'Outage by Zone inputs'!$A$3:$E$3,0),0)*'Baseline Projects'!$L10*$N10*('Baseline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Projects'!R$3,'Baseline scaling factors'!$B$54:$K$54,0))+VLOOKUP($A10,'Outage by Zone inputs'!$A$4:$E$13,MATCH('Baseline Projects'!$I10,'Outage by Zone inputs'!$A$3:$E$3,0),0)*'Baseline Projects'!$L10*$N10*('Baseline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Projects'!R$3,'Baseline scaling factors'!$B$48:$K$48,0))</f>
        <v>225.33886229753278</v>
      </c>
      <c r="S10" s="112">
        <f>VLOOKUP($A10,'Outage by Zone inputs'!$A$4:$E$13,MATCH('Baseline Projects'!$I10,'Outage by Zone inputs'!$A$3:$E$3,0),0)*'Baseline Projects'!$L10*$N10*('Baseline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Projects'!S$3,'Baseline scaling factors'!$B$54:$K$54,0))+VLOOKUP($A10,'Outage by Zone inputs'!$A$4:$E$13,MATCH('Baseline Projects'!$I10,'Outage by Zone inputs'!$A$3:$E$3,0),0)*'Baseline Projects'!$L10*$N10*('Baseline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Projects'!S$3,'Baseline scaling factors'!$B$48:$K$48,0))</f>
        <v>205.31793145355294</v>
      </c>
      <c r="T10" s="112">
        <f>VLOOKUP($A10,'Outage by Zone inputs'!$A$4:$E$13,MATCH('Baseline Projects'!$I10,'Outage by Zone inputs'!$A$3:$E$3,0),0)*'Baseline Projects'!$L10*$N10*('Baseline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Projects'!T$3,'Baseline scaling factors'!$B$54:$K$54,0))+VLOOKUP($A10,'Outage by Zone inputs'!$A$4:$E$13,MATCH('Baseline Projects'!$I10,'Outage by Zone inputs'!$A$3:$E$3,0),0)*'Baseline Projects'!$L10*$N10*('Baseline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Projects'!T$3,'Baseline scaling factors'!$B$48:$K$48,0))</f>
        <v>186.17916749162814</v>
      </c>
      <c r="U10" s="112">
        <f>VLOOKUP($A10,'Outage by Zone inputs'!$A$4:$E$13,MATCH('Baseline Projects'!$I10,'Outage by Zone inputs'!$A$3:$E$3,0),0)*'Baseline Projects'!$L10*$N10*('Baseline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Projects'!U$3,'Baseline scaling factors'!$B$54:$K$54,0))+VLOOKUP($A10,'Outage by Zone inputs'!$A$4:$E$13,MATCH('Baseline Projects'!$I10,'Outage by Zone inputs'!$A$3:$E$3,0),0)*'Baseline Projects'!$L10*$N10*('Baseline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Projects'!U$3,'Baseline scaling factors'!$B$48:$K$48,0))</f>
        <v>167.88370017071608</v>
      </c>
      <c r="V10" s="112">
        <f>VLOOKUP($A10,'Outage by Zone inputs'!$A$4:$E$13,MATCH('Baseline Projects'!$I10,'Outage by Zone inputs'!$A$3:$E$3,0),0)*'Baseline Projects'!$L10*$N10*('Baseline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Projects'!V$3,'Baseline scaling factors'!$B$54:$K$54,0))+VLOOKUP($A10,'Outage by Zone inputs'!$A$4:$E$13,MATCH('Baseline Projects'!$I10,'Outage by Zone inputs'!$A$3:$E$3,0),0)*'Baseline Projects'!$L10*$N10*('Baseline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Projects'!V$3,'Baseline scaling factors'!$B$48:$K$48,0))</f>
        <v>150.39437195931907</v>
      </c>
      <c r="W10" s="112">
        <f>VLOOKUP($A10,'Outage by Zone inputs'!$A$4:$E$13,MATCH('Baseline Projects'!$I10,'Outage by Zone inputs'!$A$3:$E$3,0),0)*'Baseline Projects'!$L10*$N10*('Baseline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Projects'!W$3,'Baseline scaling factors'!$B$54:$K$54,0))+VLOOKUP($A10,'Outage by Zone inputs'!$A$4:$E$13,MATCH('Baseline Projects'!$I10,'Outage by Zone inputs'!$A$3:$E$3,0),0)*'Baseline Projects'!$L10*$N10*('Baseline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Projects'!W$3,'Baseline scaling factors'!$B$48:$K$48,0))</f>
        <v>133.67566256967996</v>
      </c>
      <c r="X10" s="112">
        <f>VLOOKUP($A10,'Outage by Zone inputs'!$A$4:$E$13,MATCH('Baseline Projects'!$I10,'Outage by Zone inputs'!$A$3:$E$3,0),0)*'Baseline Projects'!$L10*$N10*('Baseline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Projects'!X$3,'Baseline scaling factors'!$B$54:$K$54,0))+VLOOKUP($A10,'Outage by Zone inputs'!$A$4:$E$13,MATCH('Baseline Projects'!$I10,'Outage by Zone inputs'!$A$3:$E$3,0),0)*'Baseline Projects'!$L10*$N10*('Baseline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Projects'!X$3,'Baseline scaling factors'!$B$48:$K$48,0))</f>
        <v>117.69361681717021</v>
      </c>
      <c r="Y10" s="112">
        <f>VLOOKUP($A10,'Outage by Zone inputs'!$A$4:$E$13,MATCH('Baseline Projects'!$I10,'Outage by Zone inputs'!$A$3:$E$3,0),0)*'Baseline Projects'!$L10*$N10*('Baseline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Projects'!Y$3,'Baseline scaling factors'!$B$54:$K$54,0))+VLOOKUP($A10,'Outage by Zone inputs'!$A$4:$E$13,MATCH('Baseline Projects'!$I10,'Outage by Zone inputs'!$A$3:$E$3,0),0)*'Baseline Projects'!$L10*$N10*('Baseline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Projects'!Y$3,'Baseline scaling factors'!$B$48:$K$48,0))</f>
        <v>102.41577565835401</v>
      </c>
      <c r="Z10" s="112">
        <f>VLOOKUP($A10,'Outage by Zone inputs'!$A$4:$E$13,MATCH('Baseline Projects'!$I10,'Outage by Zone inputs'!$A$3:$E$3,0),0)*'Baseline Projects'!$L10*$N10*('Baseline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Projects'!Z$3,'Baseline scaling factors'!$B$54:$K$54,0))+VLOOKUP($A10,'Outage by Zone inputs'!$A$4:$E$13,MATCH('Baseline Projects'!$I10,'Outage by Zone inputs'!$A$3:$E$3,0),0)*'Baseline Projects'!$L10*$N10*('Baseline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Projects'!Z$3,'Baseline scaling factors'!$B$48:$K$48,0))</f>
        <v>87.811110267669335</v>
      </c>
      <c r="AA10" s="34">
        <f>VLOOKUP($A10,'Outage by Zone inputs'!$A$4:$E$13,MATCH('Baseline Projects'!$I10,'Outage by Zone inputs'!$A$3:$E$3,0),0)*$M10*$N10*('Baseline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Projects'!AA$3,'Baseline scaling factors'!$B$54:$K$54,0))+VLOOKUP($A10,'Outage by Zone inputs'!$A$4:$E$13,MATCH('Baseline Projects'!$I10,'Outage by Zone inputs'!$A$3:$E$3,0),0)*$M10*$N10*('Baseline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Projects'!AA$3,'Baseline scaling factors'!$B$48:$K$48,0))</f>
        <v>40.866279407902027</v>
      </c>
      <c r="AB10" s="34">
        <f>VLOOKUP($A10,'Outage by Zone inputs'!$A$4:$E$13,MATCH('Baseline Projects'!$I10,'Outage by Zone inputs'!$A$3:$E$3,0),0)*$M10*$N10*('Baseline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Projects'!AB$3,'Baseline scaling factors'!$B$54:$K$54,0))+VLOOKUP($A10,'Outage by Zone inputs'!$A$4:$E$13,MATCH('Baseline Projects'!$I10,'Outage by Zone inputs'!$A$3:$E$3,0),0)*$M10*$N10*('Baseline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Projects'!AB$3,'Baseline scaling factors'!$B$48:$K$48,0))</f>
        <v>37.391030014128056</v>
      </c>
      <c r="AC10" s="34">
        <f>VLOOKUP($A10,'Outage by Zone inputs'!$A$4:$E$13,MATCH('Baseline Projects'!$I10,'Outage by Zone inputs'!$A$3:$E$3,0),0)*$M10*$N10*('Baseline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Projects'!AC$3,'Baseline scaling factors'!$B$54:$K$54,0))+VLOOKUP($A10,'Outage by Zone inputs'!$A$4:$E$13,MATCH('Baseline Projects'!$I10,'Outage by Zone inputs'!$A$3:$E$3,0),0)*$M10*$N10*('Baseline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Projects'!AC$3,'Baseline scaling factors'!$B$48:$K$48,0))</f>
        <v>34.068907862336978</v>
      </c>
      <c r="AD10" s="34">
        <f>VLOOKUP($A10,'Outage by Zone inputs'!$A$4:$E$13,MATCH('Baseline Projects'!$I10,'Outage by Zone inputs'!$A$3:$E$3,0),0)*$M10*$N10*('Baseline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Projects'!AD$3,'Baseline scaling factors'!$B$54:$K$54,0))+VLOOKUP($A10,'Outage by Zone inputs'!$A$4:$E$13,MATCH('Baseline Projects'!$I10,'Outage by Zone inputs'!$A$3:$E$3,0),0)*$M10*$N10*('Baseline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Projects'!AD$3,'Baseline scaling factors'!$B$48:$K$48,0))</f>
        <v>30.893165824602029</v>
      </c>
      <c r="AE10" s="34">
        <f>VLOOKUP($A10,'Outage by Zone inputs'!$A$4:$E$13,MATCH('Baseline Projects'!$I10,'Outage by Zone inputs'!$A$3:$E$3,0),0)*$M10*$N10*('Baseline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Projects'!AE$3,'Baseline scaling factors'!$B$54:$K$54,0))+VLOOKUP($A10,'Outage by Zone inputs'!$A$4:$E$13,MATCH('Baseline Projects'!$I10,'Outage by Zone inputs'!$A$3:$E$3,0),0)*$M10*$N10*('Baseline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Projects'!AE$3,'Baseline scaling factors'!$B$48:$K$48,0))</f>
        <v>27.857354066506485</v>
      </c>
      <c r="AF10" s="34">
        <f>VLOOKUP($A10,'Outage by Zone inputs'!$A$4:$E$13,MATCH('Baseline Projects'!$I10,'Outage by Zone inputs'!$A$3:$E$3,0),0)*$M10*$N10*('Baseline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Projects'!AF$3,'Baseline scaling factors'!$B$54:$K$54,0))+VLOOKUP($A10,'Outage by Zone inputs'!$A$4:$E$13,MATCH('Baseline Projects'!$I10,'Outage by Zone inputs'!$A$3:$E$3,0),0)*$M10*$N10*('Baseline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Projects'!AF$3,'Baseline scaling factors'!$B$48:$K$48,0))</f>
        <v>24.955306947728424</v>
      </c>
      <c r="AG10" s="34">
        <f>VLOOKUP($A10,'Outage by Zone inputs'!$A$4:$E$13,MATCH('Baseline Projects'!$I10,'Outage by Zone inputs'!$A$3:$E$3,0),0)*$M10*$N10*('Baseline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Projects'!AG$3,'Baseline scaling factors'!$B$54:$K$54,0))+VLOOKUP($A10,'Outage by Zone inputs'!$A$4:$E$13,MATCH('Baseline Projects'!$I10,'Outage by Zone inputs'!$A$3:$E$3,0),0)*$M10*$N10*('Baseline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Projects'!AG$3,'Baseline scaling factors'!$B$48:$K$48,0))</f>
        <v>22.181130499814738</v>
      </c>
      <c r="AH10" s="34">
        <f>VLOOKUP($A10,'Outage by Zone inputs'!$A$4:$E$13,MATCH('Baseline Projects'!$I10,'Outage by Zone inputs'!$A$3:$E$3,0),0)*$M10*$N10*('Baseline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Projects'!AH$3,'Baseline scaling factors'!$B$54:$K$54,0))+VLOOKUP($A10,'Outage by Zone inputs'!$A$4:$E$13,MATCH('Baseline Projects'!$I10,'Outage by Zone inputs'!$A$3:$E$3,0),0)*$M10*$N10*('Baseline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Projects'!AH$3,'Baseline scaling factors'!$B$48:$K$48,0))</f>
        <v>19.529190455712534</v>
      </c>
      <c r="AI10" s="34">
        <f>VLOOKUP($A10,'Outage by Zone inputs'!$A$4:$E$13,MATCH('Baseline Projects'!$I10,'Outage by Zone inputs'!$A$3:$E$3,0),0)*$M10*$N10*('Baseline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Projects'!AI$3,'Baseline scaling factors'!$B$54:$K$54,0))+VLOOKUP($A10,'Outage by Zone inputs'!$A$4:$E$13,MATCH('Baseline Projects'!$I10,'Outage by Zone inputs'!$A$3:$E$3,0),0)*$M10*$N10*('Baseline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Projects'!AI$3,'Baseline scaling factors'!$B$48:$K$48,0))</f>
        <v>16.994100806745969</v>
      </c>
      <c r="AJ10" s="34">
        <f>VLOOKUP($A10,'Outage by Zone inputs'!$A$4:$E$13,MATCH('Baseline Projects'!$I10,'Outage by Zone inputs'!$A$3:$E$3,0),0)*$M10*$N10*('Baseline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Projects'!AJ$3,'Baseline scaling factors'!$B$54:$K$54,0))+VLOOKUP($A10,'Outage by Zone inputs'!$A$4:$E$13,MATCH('Baseline Projects'!$I10,'Outage by Zone inputs'!$A$3:$E$3,0),0)*$M10*$N10*('Baseline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Projects'!AJ$3,'Baseline scaling factors'!$B$48:$K$48,0))</f>
        <v>14.570712863798292</v>
      </c>
      <c r="AK10" s="1">
        <f t="shared" si="2"/>
        <v>5171.9350602867871</v>
      </c>
      <c r="AL10" s="1">
        <f t="shared" si="3"/>
        <v>4732.1161082481885</v>
      </c>
      <c r="AM10" s="1">
        <f t="shared" si="4"/>
        <v>4311.6765605246119</v>
      </c>
      <c r="AN10" s="1">
        <f t="shared" si="5"/>
        <v>3909.7625173241909</v>
      </c>
      <c r="AO10" s="1">
        <f t="shared" si="6"/>
        <v>3525.5577035850379</v>
      </c>
      <c r="AP10" s="1">
        <f t="shared" si="7"/>
        <v>3158.2818111457004</v>
      </c>
      <c r="AQ10" s="1">
        <f t="shared" si="8"/>
        <v>2807.188913963279</v>
      </c>
      <c r="AR10" s="1">
        <f t="shared" si="9"/>
        <v>2471.5659531605743</v>
      </c>
      <c r="AS10" s="1">
        <f t="shared" si="10"/>
        <v>2150.7312888254341</v>
      </c>
      <c r="AT10" s="1">
        <f t="shared" si="11"/>
        <v>1844.0333156210561</v>
      </c>
      <c r="AU10" s="1">
        <f t="shared" si="12"/>
        <v>158765.49549969938</v>
      </c>
      <c r="AV10" s="1">
        <f t="shared" si="13"/>
        <v>145264.15160488751</v>
      </c>
      <c r="AW10" s="1">
        <f t="shared" si="14"/>
        <v>132357.70704517915</v>
      </c>
      <c r="AX10" s="1">
        <f t="shared" si="15"/>
        <v>120019.94922857889</v>
      </c>
      <c r="AY10" s="1">
        <f t="shared" si="16"/>
        <v>108225.8205483777</v>
      </c>
      <c r="AZ10" s="1">
        <f t="shared" si="17"/>
        <v>96951.367491924932</v>
      </c>
      <c r="BA10" s="1">
        <f t="shared" si="18"/>
        <v>86173.691991780259</v>
      </c>
      <c r="BB10" s="1">
        <f t="shared" si="19"/>
        <v>75870.904920443194</v>
      </c>
      <c r="BC10" s="1">
        <f t="shared" si="20"/>
        <v>66022.081634208094</v>
      </c>
      <c r="BD10" s="1">
        <f t="shared" si="21"/>
        <v>56607.219475856364</v>
      </c>
      <c r="BE10" s="1">
        <f t="shared" si="22"/>
        <v>163937.43055998615</v>
      </c>
      <c r="BF10" s="1">
        <f t="shared" si="23"/>
        <v>149996.26771313569</v>
      </c>
      <c r="BG10" s="1">
        <f t="shared" si="24"/>
        <v>136669.38360570377</v>
      </c>
      <c r="BH10" s="1">
        <f t="shared" si="25"/>
        <v>123929.71174590309</v>
      </c>
      <c r="BI10" s="1">
        <f t="shared" si="26"/>
        <v>111751.37825196274</v>
      </c>
      <c r="BJ10" s="1">
        <f t="shared" si="27"/>
        <v>100109.64930307063</v>
      </c>
      <c r="BK10" s="1">
        <f t="shared" si="28"/>
        <v>88980.880905743543</v>
      </c>
      <c r="BL10" s="1">
        <f t="shared" si="29"/>
        <v>78342.470873603772</v>
      </c>
      <c r="BM10" s="1">
        <f t="shared" si="30"/>
        <v>68172.812923033533</v>
      </c>
      <c r="BN10" s="1">
        <f t="shared" si="31"/>
        <v>58451.252791477418</v>
      </c>
      <c r="BO10" s="25">
        <f>VLOOKUP($A10,'Outage by Zone inputs'!$A$59:$E$68,MATCH('Baseline Projects'!$I10,'Outage by Zone inputs'!$A$58:$E$58,0),0)*AVG_INCIDENT_PERCENT_NON_STORM</f>
        <v>11.670751022590757</v>
      </c>
      <c r="BP10" s="25">
        <f>$BO10*$N10*('Baseline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Projects'!Q$3,'Baseline scaling factors'!$B$54:$K$54,0))+$BO10*$N10*('Baseline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Projects'!Q$3,'Baseline scaling factors'!$B$48:$K$48,0))</f>
        <v>2.3609990141491459</v>
      </c>
      <c r="BQ10" s="25">
        <f>$BO10*$N10*('Baseline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Projects'!R$3,'Baseline scaling factors'!$B$54:$K$54,0))+$BO10*$N10*('Baseline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Projects'!R$3,'Baseline scaling factors'!$B$48:$K$48,0))</f>
        <v>2.1602207560962192</v>
      </c>
      <c r="BR10" s="25">
        <f>$BO10*$N10*('Baseline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Projects'!S$3,'Baseline scaling factors'!$B$54:$K$54,0))+$BO10*$N10*('Baseline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Projects'!S$3,'Baseline scaling factors'!$B$48:$K$48,0))</f>
        <v>1.9682892360531901</v>
      </c>
      <c r="BS10" s="25">
        <f>$BO10*$N10*('Baseline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Projects'!T$3,'Baseline scaling factors'!$B$54:$K$54,0))+$BO10*$N10*('Baseline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Projects'!T$3,'Baseline scaling factors'!$B$48:$K$48,0))</f>
        <v>1.7848146470052231</v>
      </c>
      <c r="BT10" s="25">
        <f>$BO10*$N10*('Baseline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Projects'!U$3,'Baseline scaling factors'!$B$54:$K$54,0))+$BO10*$N10*('Baseline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Projects'!U$3,'Baseline scaling factors'!$B$48:$K$48,0))</f>
        <v>1.6094243577042593</v>
      </c>
      <c r="BU10" s="25">
        <f>$BO10*$N10*('Baseline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Projects'!V$3,'Baseline scaling factors'!$B$54:$K$54,0))+$BO10*$N10*('Baseline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Projects'!V$3,'Baseline scaling factors'!$B$48:$K$48,0))</f>
        <v>1.4417621558664158</v>
      </c>
      <c r="BV10" s="25">
        <f>$BO10*$N10*('Baseline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Projects'!W$3,'Baseline scaling factors'!$B$54:$K$54,0))+$BO10*$N10*('Baseline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Projects'!W$3,'Baseline scaling factors'!$B$48:$K$48,0))</f>
        <v>1.281487524715788</v>
      </c>
      <c r="BW10" s="25">
        <f>$BO10*$N10*('Baseline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Projects'!X$3,'Baseline scaling factors'!$B$54:$K$54,0))+$BO10*$N10*('Baseline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Projects'!X$3,'Baseline scaling factors'!$B$48:$K$48,0))</f>
        <v>1.1282749514053521</v>
      </c>
      <c r="BX10" s="25">
        <f>$BO10*$N10*('Baseline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Projects'!Y$3,'Baseline scaling factors'!$B$54:$K$54,0))+$BO10*$N10*('Baseline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Projects'!Y$3,'Baseline scaling factors'!$B$48:$K$48,0))</f>
        <v>0.98181326591038087</v>
      </c>
      <c r="BY10" s="25">
        <f>$BO10*$N10*('Baseline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Projects'!Z$3,'Baseline scaling factors'!$B$54:$K$54,0))+$BO10*$N10*('Baseline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Projects'!Z$3,'Baseline scaling factors'!$B$48:$K$48,0))</f>
        <v>0.84180500905169442</v>
      </c>
      <c r="BZ10" s="12">
        <f t="shared" si="32"/>
        <v>1114.391534678397</v>
      </c>
      <c r="CA10" s="12">
        <f t="shared" si="33"/>
        <v>1019.6241968774154</v>
      </c>
      <c r="CB10" s="12">
        <f t="shared" si="34"/>
        <v>929.03251941710573</v>
      </c>
      <c r="CC10" s="12">
        <f t="shared" si="35"/>
        <v>842.4325133864653</v>
      </c>
      <c r="CD10" s="12">
        <f t="shared" si="36"/>
        <v>759.6482968364104</v>
      </c>
      <c r="CE10" s="12">
        <f t="shared" si="37"/>
        <v>680.51173756894821</v>
      </c>
      <c r="CF10" s="12">
        <f t="shared" si="38"/>
        <v>604.8621116658519</v>
      </c>
      <c r="CG10" s="12">
        <f t="shared" si="39"/>
        <v>532.54577706332611</v>
      </c>
      <c r="CH10" s="12">
        <f t="shared" si="40"/>
        <v>463.41586150969977</v>
      </c>
      <c r="CI10" s="12">
        <f t="shared" si="41"/>
        <v>397.33196427239977</v>
      </c>
      <c r="CJ10" s="12">
        <f>'Mitigation Projects'!$AG10*VLOOKUP('Baseline Projects'!$H10&amp;"-"&amp;'Baseline Projects'!$G10,'Baseline scaling factors'!$A$49:$K$51,MATCH('Baseline Projects'!CJ$2,'Baseline scaling factors'!$A$48:$K$48,0),0)</f>
        <v>0</v>
      </c>
      <c r="CK10" s="12">
        <f>'Mitigation Projects'!$AG10*VLOOKUP('Baseline Projects'!$H10&amp;"-"&amp;'Baseline Projects'!$G10,'Baseline scaling factors'!$A$49:$K$51,MATCH('Baseline Projects'!CK$2,'Baseline scaling factors'!$A$48:$K$48,0),0)</f>
        <v>0</v>
      </c>
      <c r="CL10" s="12">
        <f>'Mitigation Projects'!$AG10*VLOOKUP('Baseline Projects'!$H10&amp;"-"&amp;'Baseline Projects'!$G10,'Baseline scaling factors'!$A$49:$K$51,MATCH('Baseline Projects'!CL$2,'Baseline scaling factors'!$A$48:$K$48,0),0)</f>
        <v>0</v>
      </c>
      <c r="CM10" s="12">
        <f>'Mitigation Projects'!$AG10*VLOOKUP('Baseline Projects'!$H10&amp;"-"&amp;'Baseline Projects'!$G10,'Baseline scaling factors'!$A$49:$K$51,MATCH('Baseline Projects'!CM$2,'Baseline scaling factors'!$A$48:$K$48,0),0)</f>
        <v>0</v>
      </c>
      <c r="CN10" s="12">
        <f>'Mitigation Projects'!$AG10*VLOOKUP('Baseline Projects'!$H10&amp;"-"&amp;'Baseline Projects'!$G10,'Baseline scaling factors'!$A$49:$K$51,MATCH('Baseline Projects'!CN$2,'Baseline scaling factors'!$A$48:$K$48,0),0)</f>
        <v>0</v>
      </c>
      <c r="CO10" s="12">
        <f>'Mitigation Projects'!$AG10*VLOOKUP('Baseline Projects'!$H10&amp;"-"&amp;'Baseline Projects'!$G10,'Baseline scaling factors'!$A$49:$K$51,MATCH('Baseline Projects'!CO$2,'Baseline scaling factors'!$A$48:$K$48,0),0)</f>
        <v>0</v>
      </c>
      <c r="CP10" s="12">
        <f>'Mitigation Projects'!$AG10*VLOOKUP('Baseline Projects'!$H10&amp;"-"&amp;'Baseline Projects'!$G10,'Baseline scaling factors'!$A$49:$K$51,MATCH('Baseline Projects'!CP$2,'Baseline scaling factors'!$A$48:$K$48,0),0)</f>
        <v>0</v>
      </c>
      <c r="CQ10" s="12">
        <f>'Mitigation Projects'!$AG10*VLOOKUP('Baseline Projects'!$H10&amp;"-"&amp;'Baseline Projects'!$G10,'Baseline scaling factors'!$A$49:$K$51,MATCH('Baseline Projects'!CQ$2,'Baseline scaling factors'!$A$48:$K$48,0),0)</f>
        <v>0</v>
      </c>
      <c r="CR10" s="12">
        <f>'Mitigation Projects'!$AG10*VLOOKUP('Baseline Projects'!$H10&amp;"-"&amp;'Baseline Projects'!$G10,'Baseline scaling factors'!$A$49:$K$51,MATCH('Baseline Projects'!CR$2,'Baseline scaling factors'!$A$48:$K$48,0),0)</f>
        <v>0</v>
      </c>
      <c r="CS10" s="12">
        <f>'Mitigation Projects'!$AG10*VLOOKUP('Baseline Projects'!$H10&amp;"-"&amp;'Baseline Projects'!$G10,'Baseline scaling factors'!$A$49:$K$51,MATCH('Baseline Projects'!CS$2,'Baseline scaling factors'!$A$48:$K$48,0),0)</f>
        <v>0</v>
      </c>
      <c r="CT10" s="12">
        <f>'Mitigation Projects'!$AH10*VLOOKUP('Baseline Projects'!$H10&amp;"-"&amp;'Baseline Projects'!$G10,'Baseline scaling factors'!$A$49:$K$51,MATCH('Baseline Projects'!CT$2,'Baseline scaling factors'!$A$48:$K$48,0),0)</f>
        <v>0</v>
      </c>
      <c r="CU10" s="12">
        <f>'Mitigation Projects'!$AH10*VLOOKUP('Baseline Projects'!$H10&amp;"-"&amp;'Baseline Projects'!$G10,'Baseline scaling factors'!$A$49:$K$51,MATCH('Baseline Projects'!CU$2,'Baseline scaling factors'!$A$48:$K$48,0),0)</f>
        <v>0</v>
      </c>
      <c r="CV10" s="12">
        <f>'Mitigation Projects'!$AH10*VLOOKUP('Baseline Projects'!$H10&amp;"-"&amp;'Baseline Projects'!$G10,'Baseline scaling factors'!$A$49:$K$51,MATCH('Baseline Projects'!CV$2,'Baseline scaling factors'!$A$48:$K$48,0),0)</f>
        <v>0</v>
      </c>
      <c r="CW10" s="12">
        <f>'Mitigation Projects'!$AH10*VLOOKUP('Baseline Projects'!$H10&amp;"-"&amp;'Baseline Projects'!$G10,'Baseline scaling factors'!$A$49:$K$51,MATCH('Baseline Projects'!CW$2,'Baseline scaling factors'!$A$48:$K$48,0),0)</f>
        <v>0</v>
      </c>
      <c r="CX10" s="12">
        <f>'Mitigation Projects'!$AH10*VLOOKUP('Baseline Projects'!$H10&amp;"-"&amp;'Baseline Projects'!$G10,'Baseline scaling factors'!$A$49:$K$51,MATCH('Baseline Projects'!CX$2,'Baseline scaling factors'!$A$48:$K$48,0),0)</f>
        <v>0</v>
      </c>
      <c r="CY10" s="12">
        <f>'Mitigation Projects'!$AH10*VLOOKUP('Baseline Projects'!$H10&amp;"-"&amp;'Baseline Projects'!$G10,'Baseline scaling factors'!$A$49:$K$51,MATCH('Baseline Projects'!CY$2,'Baseline scaling factors'!$A$48:$K$48,0),0)</f>
        <v>0</v>
      </c>
      <c r="CZ10" s="12">
        <f>'Mitigation Projects'!$AH10*VLOOKUP('Baseline Projects'!$H10&amp;"-"&amp;'Baseline Projects'!$G10,'Baseline scaling factors'!$A$49:$K$51,MATCH('Baseline Projects'!CZ$2,'Baseline scaling factors'!$A$48:$K$48,0),0)</f>
        <v>0</v>
      </c>
      <c r="DA10" s="12">
        <f>'Mitigation Projects'!$AH10*VLOOKUP('Baseline Projects'!$H10&amp;"-"&amp;'Baseline Projects'!$G10,'Baseline scaling factors'!$A$49:$K$51,MATCH('Baseline Projects'!DA$2,'Baseline scaling factors'!$A$48:$K$48,0),0)</f>
        <v>0</v>
      </c>
      <c r="DB10" s="12">
        <f>'Mitigation Projects'!$AH10*VLOOKUP('Baseline Projects'!$H10&amp;"-"&amp;'Baseline Projects'!$G10,'Baseline scaling factors'!$A$49:$K$51,MATCH('Baseline Projects'!DB$2,'Baseline scaling factors'!$A$48:$K$48,0),0)</f>
        <v>0</v>
      </c>
      <c r="DC10" s="12">
        <f>'Mitigation Projects'!$AH10*VLOOKUP('Baseline Projects'!$H10&amp;"-"&amp;'Baseline Projects'!$G10,'Baseline scaling factors'!$A$49:$K$51,MATCH('Baseline Projects'!DC$2,'Baseline scaling factors'!$A$48:$K$48,0),0)</f>
        <v>0</v>
      </c>
    </row>
    <row r="11" spans="1:107" x14ac:dyDescent="0.4">
      <c r="A11" s="38" t="str">
        <f>'Mitigation Projects'!A11</f>
        <v>BV-G44</v>
      </c>
      <c r="B11" s="38" t="str">
        <f>'Mitigation Projects'!B11</f>
        <v>Springfield</v>
      </c>
      <c r="C11" s="39">
        <f>'Mitigation Projects'!C11</f>
        <v>204901</v>
      </c>
      <c r="D11" s="39" t="str">
        <f>'Mitigation Projects'!D11</f>
        <v>204901: L434 P3</v>
      </c>
      <c r="E11" s="39">
        <f>'Mitigation Projects'!E11</f>
        <v>776981</v>
      </c>
      <c r="F11" s="39">
        <f>'Mitigation Projects'!F11</f>
        <v>489712</v>
      </c>
      <c r="G11" s="39" t="str">
        <f>'Mitigation Projects'!G11</f>
        <v>1PH</v>
      </c>
      <c r="H11" s="39" t="str">
        <f>'Mitigation Projects'!H11</f>
        <v>OH</v>
      </c>
      <c r="I11" s="39" t="str">
        <f>'Mitigation Projects'!J11</f>
        <v>Zone 3</v>
      </c>
      <c r="J11" s="39">
        <f>'Mitigation Projects'!K11</f>
        <v>113</v>
      </c>
      <c r="K11" s="40">
        <f>'Mitigation Projects'!L11*BASELINE_CAP_SPEND</f>
        <v>225949.2</v>
      </c>
      <c r="L11" s="97">
        <f>'Mitigation Projects'!Q11</f>
        <v>0.85768261964735515</v>
      </c>
      <c r="M11" s="97">
        <f>'Mitigation Projects'!R11</f>
        <v>0.14231738035264485</v>
      </c>
      <c r="N11" s="98">
        <f>'Mitigation Projects'!S11</f>
        <v>0.5</v>
      </c>
      <c r="O11" s="26">
        <f t="shared" si="0"/>
        <v>0.9</v>
      </c>
      <c r="P11" s="26">
        <f t="shared" si="1"/>
        <v>0.80330442615766917</v>
      </c>
      <c r="Q11" s="112">
        <f>VLOOKUP($A11,'Outage by Zone inputs'!$A$4:$E$13,MATCH('Baseline Projects'!$I11,'Outage by Zone inputs'!$A$3:$E$3,0),0)*'Baseline Projects'!$L11*$N11*('Baseline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Projects'!Q$3,'Baseline scaling factors'!$B$54:$K$54,0))+VLOOKUP($A11,'Outage by Zone inputs'!$A$4:$E$13,MATCH('Baseline Projects'!$I11,'Outage by Zone inputs'!$A$3:$E$3,0),0)*'Baseline Projects'!$L11*$N11*('Baseline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Projects'!Q$3,'Baseline scaling factors'!$B$48:$K$48,0))</f>
        <v>315.89490386430708</v>
      </c>
      <c r="R11" s="112">
        <f>VLOOKUP($A11,'Outage by Zone inputs'!$A$4:$E$13,MATCH('Baseline Projects'!$I11,'Outage by Zone inputs'!$A$3:$E$3,0),0)*'Baseline Projects'!$L11*$N11*('Baseline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Projects'!R$3,'Baseline scaling factors'!$B$54:$K$54,0))+VLOOKUP($A11,'Outage by Zone inputs'!$A$4:$E$13,MATCH('Baseline Projects'!$I11,'Outage by Zone inputs'!$A$3:$E$3,0),0)*'Baseline Projects'!$L11*$N11*('Baseline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Projects'!R$3,'Baseline scaling factors'!$B$48:$K$48,0))</f>
        <v>292.36142481706639</v>
      </c>
      <c r="S11" s="112">
        <f>VLOOKUP($A11,'Outage by Zone inputs'!$A$4:$E$13,MATCH('Baseline Projects'!$I11,'Outage by Zone inputs'!$A$3:$E$3,0),0)*'Baseline Projects'!$L11*$N11*('Baseline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Projects'!S$3,'Baseline scaling factors'!$B$54:$K$54,0))+VLOOKUP($A11,'Outage by Zone inputs'!$A$4:$E$13,MATCH('Baseline Projects'!$I11,'Outage by Zone inputs'!$A$3:$E$3,0),0)*'Baseline Projects'!$L11*$N11*('Baseline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Projects'!S$3,'Baseline scaling factors'!$B$48:$K$48,0))</f>
        <v>269.86488336262767</v>
      </c>
      <c r="T11" s="112">
        <f>VLOOKUP($A11,'Outage by Zone inputs'!$A$4:$E$13,MATCH('Baseline Projects'!$I11,'Outage by Zone inputs'!$A$3:$E$3,0),0)*'Baseline Projects'!$L11*$N11*('Baseline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Projects'!T$3,'Baseline scaling factors'!$B$54:$K$54,0))+VLOOKUP($A11,'Outage by Zone inputs'!$A$4:$E$13,MATCH('Baseline Projects'!$I11,'Outage by Zone inputs'!$A$3:$E$3,0),0)*'Baseline Projects'!$L11*$N11*('Baseline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Projects'!T$3,'Baseline scaling factors'!$B$48:$K$48,0))</f>
        <v>248.35958971712131</v>
      </c>
      <c r="U11" s="112">
        <f>VLOOKUP($A11,'Outage by Zone inputs'!$A$4:$E$13,MATCH('Baseline Projects'!$I11,'Outage by Zone inputs'!$A$3:$E$3,0),0)*'Baseline Projects'!$L11*$N11*('Baseline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Projects'!U$3,'Baseline scaling factors'!$B$54:$K$54,0))+VLOOKUP($A11,'Outage by Zone inputs'!$A$4:$E$13,MATCH('Baseline Projects'!$I11,'Outage by Zone inputs'!$A$3:$E$3,0),0)*'Baseline Projects'!$L11*$N11*('Baseline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Projects'!U$3,'Baseline scaling factors'!$B$48:$K$48,0))</f>
        <v>227.80186729049456</v>
      </c>
      <c r="V11" s="112">
        <f>VLOOKUP($A11,'Outage by Zone inputs'!$A$4:$E$13,MATCH('Baseline Projects'!$I11,'Outage by Zone inputs'!$A$3:$E$3,0),0)*'Baseline Projects'!$L11*$N11*('Baseline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Projects'!V$3,'Baseline scaling factors'!$B$54:$K$54,0))+VLOOKUP($A11,'Outage by Zone inputs'!$A$4:$E$13,MATCH('Baseline Projects'!$I11,'Outage by Zone inputs'!$A$3:$E$3,0),0)*'Baseline Projects'!$L11*$N11*('Baseline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Projects'!V$3,'Baseline scaling factors'!$B$48:$K$48,0))</f>
        <v>208.14996398069985</v>
      </c>
      <c r="W11" s="112">
        <f>VLOOKUP($A11,'Outage by Zone inputs'!$A$4:$E$13,MATCH('Baseline Projects'!$I11,'Outage by Zone inputs'!$A$3:$E$3,0),0)*'Baseline Projects'!$L11*$N11*('Baseline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Projects'!W$3,'Baseline scaling factors'!$B$54:$K$54,0))+VLOOKUP($A11,'Outage by Zone inputs'!$A$4:$E$13,MATCH('Baseline Projects'!$I11,'Outage by Zone inputs'!$A$3:$E$3,0),0)*'Baseline Projects'!$L11*$N11*('Baseline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Projects'!W$3,'Baseline scaling factors'!$B$48:$K$48,0))</f>
        <v>189.3639673764597</v>
      </c>
      <c r="X11" s="112">
        <f>VLOOKUP($A11,'Outage by Zone inputs'!$A$4:$E$13,MATCH('Baseline Projects'!$I11,'Outage by Zone inputs'!$A$3:$E$3,0),0)*'Baseline Projects'!$L11*$N11*('Baseline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Projects'!X$3,'Baseline scaling factors'!$B$54:$K$54,0))+VLOOKUP($A11,'Outage by Zone inputs'!$A$4:$E$13,MATCH('Baseline Projects'!$I11,'Outage by Zone inputs'!$A$3:$E$3,0),0)*'Baseline Projects'!$L11*$N11*('Baseline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Projects'!X$3,'Baseline scaling factors'!$B$48:$K$48,0))</f>
        <v>171.40572369638704</v>
      </c>
      <c r="Y11" s="112">
        <f>VLOOKUP($A11,'Outage by Zone inputs'!$A$4:$E$13,MATCH('Baseline Projects'!$I11,'Outage by Zone inputs'!$A$3:$E$3,0),0)*'Baseline Projects'!$L11*$N11*('Baseline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Projects'!Y$3,'Baseline scaling factors'!$B$54:$K$54,0))+VLOOKUP($A11,'Outage by Zone inputs'!$A$4:$E$13,MATCH('Baseline Projects'!$I11,'Outage by Zone inputs'!$A$3:$E$3,0),0)*'Baseline Projects'!$L11*$N11*('Baseline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Projects'!Y$3,'Baseline scaling factors'!$B$48:$K$48,0))</f>
        <v>154.2387602998281</v>
      </c>
      <c r="Z11" s="112">
        <f>VLOOKUP($A11,'Outage by Zone inputs'!$A$4:$E$13,MATCH('Baseline Projects'!$I11,'Outage by Zone inputs'!$A$3:$E$3,0),0)*'Baseline Projects'!$L11*$N11*('Baseline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Projects'!Z$3,'Baseline scaling factors'!$B$54:$K$54,0))+VLOOKUP($A11,'Outage by Zone inputs'!$A$4:$E$13,MATCH('Baseline Projects'!$I11,'Outage by Zone inputs'!$A$3:$E$3,0),0)*'Baseline Projects'!$L11*$N11*('Baseline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Projects'!Z$3,'Baseline scaling factors'!$B$48:$K$48,0))</f>
        <v>137.82821161205121</v>
      </c>
      <c r="AA11" s="34">
        <f>VLOOKUP($A11,'Outage by Zone inputs'!$A$4:$E$13,MATCH('Baseline Projects'!$I11,'Outage by Zone inputs'!$A$3:$E$3,0),0)*$M11*$N11*('Baseline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Projects'!AA$3,'Baseline scaling factors'!$B$54:$K$54,0))+VLOOKUP($A11,'Outage by Zone inputs'!$A$4:$E$13,MATCH('Baseline Projects'!$I11,'Outage by Zone inputs'!$A$3:$E$3,0),0)*$M11*$N11*('Baseline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Projects'!AA$3,'Baseline scaling factors'!$B$48:$K$48,0))</f>
        <v>52.417216059716161</v>
      </c>
      <c r="AB11" s="34">
        <f>VLOOKUP($A11,'Outage by Zone inputs'!$A$4:$E$13,MATCH('Baseline Projects'!$I11,'Outage by Zone inputs'!$A$3:$E$3,0),0)*$M11*$N11*('Baseline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Projects'!AB$3,'Baseline scaling factors'!$B$54:$K$54,0))+VLOOKUP($A11,'Outage by Zone inputs'!$A$4:$E$13,MATCH('Baseline Projects'!$I11,'Outage by Zone inputs'!$A$3:$E$3,0),0)*$M11*$N11*('Baseline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Projects'!AB$3,'Baseline scaling factors'!$B$48:$K$48,0))</f>
        <v>48.512248170820129</v>
      </c>
      <c r="AC11" s="34">
        <f>VLOOKUP($A11,'Outage by Zone inputs'!$A$4:$E$13,MATCH('Baseline Projects'!$I11,'Outage by Zone inputs'!$A$3:$E$3,0),0)*$M11*$N11*('Baseline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Projects'!AC$3,'Baseline scaling factors'!$B$54:$K$54,0))+VLOOKUP($A11,'Outage by Zone inputs'!$A$4:$E$13,MATCH('Baseline Projects'!$I11,'Outage by Zone inputs'!$A$3:$E$3,0),0)*$M11*$N11*('Baseline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Projects'!AC$3,'Baseline scaling factors'!$B$48:$K$48,0))</f>
        <v>44.779341879554963</v>
      </c>
      <c r="AD11" s="34">
        <f>VLOOKUP($A11,'Outage by Zone inputs'!$A$4:$E$13,MATCH('Baseline Projects'!$I11,'Outage by Zone inputs'!$A$3:$E$3,0),0)*$M11*$N11*('Baseline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Projects'!AD$3,'Baseline scaling factors'!$B$54:$K$54,0))+VLOOKUP($A11,'Outage by Zone inputs'!$A$4:$E$13,MATCH('Baseline Projects'!$I11,'Outage by Zone inputs'!$A$3:$E$3,0),0)*$M11*$N11*('Baseline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Projects'!AD$3,'Baseline scaling factors'!$B$48:$K$48,0))</f>
        <v>41.210915768039229</v>
      </c>
      <c r="AE11" s="34">
        <f>VLOOKUP($A11,'Outage by Zone inputs'!$A$4:$E$13,MATCH('Baseline Projects'!$I11,'Outage by Zone inputs'!$A$3:$E$3,0),0)*$M11*$N11*('Baseline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Projects'!AE$3,'Baseline scaling factors'!$B$54:$K$54,0))+VLOOKUP($A11,'Outage by Zone inputs'!$A$4:$E$13,MATCH('Baseline Projects'!$I11,'Outage by Zone inputs'!$A$3:$E$3,0),0)*$M11*$N11*('Baseline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Projects'!AE$3,'Baseline scaling factors'!$B$48:$K$48,0))</f>
        <v>37.799722472578395</v>
      </c>
      <c r="AF11" s="34">
        <f>VLOOKUP($A11,'Outage by Zone inputs'!$A$4:$E$13,MATCH('Baseline Projects'!$I11,'Outage by Zone inputs'!$A$3:$E$3,0),0)*$M11*$N11*('Baseline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Projects'!AF$3,'Baseline scaling factors'!$B$54:$K$54,0))+VLOOKUP($A11,'Outage by Zone inputs'!$A$4:$E$13,MATCH('Baseline Projects'!$I11,'Outage by Zone inputs'!$A$3:$E$3,0),0)*$M11*$N11*('Baseline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Projects'!AF$3,'Baseline scaling factors'!$B$48:$K$48,0))</f>
        <v>34.538833964492049</v>
      </c>
      <c r="AG11" s="34">
        <f>VLOOKUP($A11,'Outage by Zone inputs'!$A$4:$E$13,MATCH('Baseline Projects'!$I11,'Outage by Zone inputs'!$A$3:$E$3,0),0)*$M11*$N11*('Baseline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Projects'!AG$3,'Baseline scaling factors'!$B$54:$K$54,0))+VLOOKUP($A11,'Outage by Zone inputs'!$A$4:$E$13,MATCH('Baseline Projects'!$I11,'Outage by Zone inputs'!$A$3:$E$3,0),0)*$M11*$N11*('Baseline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Projects'!AG$3,'Baseline scaling factors'!$B$48:$K$48,0))</f>
        <v>31.421627479500664</v>
      </c>
      <c r="AH11" s="34">
        <f>VLOOKUP($A11,'Outage by Zone inputs'!$A$4:$E$13,MATCH('Baseline Projects'!$I11,'Outage by Zone inputs'!$A$3:$E$3,0),0)*$M11*$N11*('Baseline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Projects'!AH$3,'Baseline scaling factors'!$B$54:$K$54,0))+VLOOKUP($A11,'Outage by Zone inputs'!$A$4:$E$13,MATCH('Baseline Projects'!$I11,'Outage by Zone inputs'!$A$3:$E$3,0),0)*$M11*$N11*('Baseline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Projects'!AH$3,'Baseline scaling factors'!$B$48:$K$48,0))</f>
        <v>28.441772067095066</v>
      </c>
      <c r="AI11" s="34">
        <f>VLOOKUP($A11,'Outage by Zone inputs'!$A$4:$E$13,MATCH('Baseline Projects'!$I11,'Outage by Zone inputs'!$A$3:$E$3,0),0)*$M11*$N11*('Baseline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Projects'!AI$3,'Baseline scaling factors'!$B$54:$K$54,0))+VLOOKUP($A11,'Outage by Zone inputs'!$A$4:$E$13,MATCH('Baseline Projects'!$I11,'Outage by Zone inputs'!$A$3:$E$3,0),0)*$M11*$N11*('Baseline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Projects'!AI$3,'Baseline scaling factors'!$B$48:$K$48,0))</f>
        <v>25.593215732570599</v>
      </c>
      <c r="AJ11" s="34">
        <f>VLOOKUP($A11,'Outage by Zone inputs'!$A$4:$E$13,MATCH('Baseline Projects'!$I11,'Outage by Zone inputs'!$A$3:$E$3,0),0)*$M11*$N11*('Baseline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Projects'!AJ$3,'Baseline scaling factors'!$B$54:$K$54,0))+VLOOKUP($A11,'Outage by Zone inputs'!$A$4:$E$13,MATCH('Baseline Projects'!$I11,'Outage by Zone inputs'!$A$3:$E$3,0),0)*$M11*$N11*('Baseline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Projects'!AJ$3,'Baseline scaling factors'!$B$48:$K$48,0))</f>
        <v>22.870173145612021</v>
      </c>
      <c r="AK11" s="1">
        <f t="shared" si="2"/>
        <v>6633.7929811504491</v>
      </c>
      <c r="AL11" s="1">
        <f t="shared" si="3"/>
        <v>6139.5899211583946</v>
      </c>
      <c r="AM11" s="1">
        <f t="shared" si="4"/>
        <v>5667.1625506151813</v>
      </c>
      <c r="AN11" s="1">
        <f t="shared" si="5"/>
        <v>5215.5513840595477</v>
      </c>
      <c r="AO11" s="1">
        <f t="shared" si="6"/>
        <v>4783.8392131003857</v>
      </c>
      <c r="AP11" s="1">
        <f t="shared" si="7"/>
        <v>4371.1492435946966</v>
      </c>
      <c r="AQ11" s="1">
        <f t="shared" si="8"/>
        <v>3976.6433149056538</v>
      </c>
      <c r="AR11" s="1">
        <f t="shared" si="9"/>
        <v>3599.5201976241278</v>
      </c>
      <c r="AS11" s="1">
        <f t="shared" si="10"/>
        <v>3239.0139662963902</v>
      </c>
      <c r="AT11" s="1">
        <f t="shared" si="11"/>
        <v>2894.3924438530753</v>
      </c>
      <c r="AU11" s="1">
        <f t="shared" si="12"/>
        <v>203640.88439199727</v>
      </c>
      <c r="AV11" s="1">
        <f t="shared" si="13"/>
        <v>188470.0841436362</v>
      </c>
      <c r="AW11" s="1">
        <f t="shared" si="14"/>
        <v>173967.74320207103</v>
      </c>
      <c r="AX11" s="1">
        <f t="shared" si="15"/>
        <v>160104.40775883241</v>
      </c>
      <c r="AY11" s="1">
        <f t="shared" si="16"/>
        <v>146851.92180596705</v>
      </c>
      <c r="AZ11" s="1">
        <f t="shared" si="17"/>
        <v>134183.36995205161</v>
      </c>
      <c r="BA11" s="1">
        <f t="shared" si="18"/>
        <v>122073.02275786008</v>
      </c>
      <c r="BB11" s="1">
        <f t="shared" si="19"/>
        <v>110496.28448066433</v>
      </c>
      <c r="BC11" s="1">
        <f t="shared" si="20"/>
        <v>99429.643121036774</v>
      </c>
      <c r="BD11" s="1">
        <f t="shared" si="21"/>
        <v>88850.622670702709</v>
      </c>
      <c r="BE11" s="1">
        <f t="shared" si="22"/>
        <v>210274.67737314772</v>
      </c>
      <c r="BF11" s="1">
        <f t="shared" si="23"/>
        <v>194609.67406479458</v>
      </c>
      <c r="BG11" s="1">
        <f t="shared" si="24"/>
        <v>179634.9057526862</v>
      </c>
      <c r="BH11" s="1">
        <f t="shared" si="25"/>
        <v>165319.95914289195</v>
      </c>
      <c r="BI11" s="1">
        <f t="shared" si="26"/>
        <v>151635.76101906743</v>
      </c>
      <c r="BJ11" s="1">
        <f t="shared" si="27"/>
        <v>138554.51919564631</v>
      </c>
      <c r="BK11" s="1">
        <f t="shared" si="28"/>
        <v>126049.66607276573</v>
      </c>
      <c r="BL11" s="1">
        <f t="shared" si="29"/>
        <v>114095.80467828845</v>
      </c>
      <c r="BM11" s="1">
        <f t="shared" si="30"/>
        <v>102668.65708733317</v>
      </c>
      <c r="BN11" s="1">
        <f t="shared" si="31"/>
        <v>91745.01511455579</v>
      </c>
      <c r="BO11" s="25">
        <f>VLOOKUP($A11,'Outage by Zone inputs'!$A$59:$E$68,MATCH('Baseline Projects'!$I11,'Outage by Zone inputs'!$A$58:$E$58,0),0)*AVG_INCIDENT_PERCENT_NON_STORM</f>
        <v>11.670751022590757</v>
      </c>
      <c r="BP11" s="25">
        <f>$BO11*$N11*('Baseline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Projects'!Q$3,'Baseline scaling factors'!$B$54:$K$54,0))+$BO11*$N11*('Baseline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Projects'!Q$3,'Baseline scaling factors'!$B$48:$K$48,0))</f>
        <v>3.0283401678475923</v>
      </c>
      <c r="BQ11" s="25">
        <f>$BO11*$N11*('Baseline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Projects'!R$3,'Baseline scaling factors'!$B$54:$K$54,0))+$BO11*$N11*('Baseline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Projects'!R$3,'Baseline scaling factors'!$B$48:$K$48,0))</f>
        <v>2.8027354524306838</v>
      </c>
      <c r="BR11" s="25">
        <f>$BO11*$N11*('Baseline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Projects'!S$3,'Baseline scaling factors'!$B$54:$K$54,0))+$BO11*$N11*('Baseline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Projects'!S$3,'Baseline scaling factors'!$B$48:$K$48,0))</f>
        <v>2.587071384125899</v>
      </c>
      <c r="BS11" s="25">
        <f>$BO11*$N11*('Baseline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Projects'!T$3,'Baseline scaling factors'!$B$54:$K$54,0))+$BO11*$N11*('Baseline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Projects'!T$3,'Baseline scaling factors'!$B$48:$K$48,0))</f>
        <v>2.3809099558427156</v>
      </c>
      <c r="BT11" s="25">
        <f>$BO11*$N11*('Baseline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Projects'!U$3,'Baseline scaling factors'!$B$54:$K$54,0))+$BO11*$N11*('Baseline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Projects'!U$3,'Baseline scaling factors'!$B$48:$K$48,0))</f>
        <v>2.1838324600602665</v>
      </c>
      <c r="BU11" s="25">
        <f>$BO11*$N11*('Baseline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Projects'!V$3,'Baseline scaling factors'!$B$54:$K$54,0))+$BO11*$N11*('Baseline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Projects'!V$3,'Baseline scaling factors'!$B$48:$K$48,0))</f>
        <v>1.9954386384452394</v>
      </c>
      <c r="BV11" s="25">
        <f>$BO11*$N11*('Baseline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Projects'!W$3,'Baseline scaling factors'!$B$54:$K$54,0))+$BO11*$N11*('Baseline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Projects'!W$3,'Baseline scaling factors'!$B$48:$K$48,0))</f>
        <v>1.8153458689395112</v>
      </c>
      <c r="BW11" s="25">
        <f>$BO11*$N11*('Baseline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Projects'!X$3,'Baseline scaling factors'!$B$54:$K$54,0))+$BO11*$N11*('Baseline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Projects'!X$3,'Baseline scaling factors'!$B$48:$K$48,0))</f>
        <v>1.643188388666516</v>
      </c>
      <c r="BX11" s="25">
        <f>$BO11*$N11*('Baseline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Projects'!Y$3,'Baseline scaling factors'!$B$54:$K$54,0))+$BO11*$N11*('Baseline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Projects'!Y$3,'Baseline scaling factors'!$B$48:$K$48,0))</f>
        <v>1.4786165510780882</v>
      </c>
      <c r="BY11" s="25">
        <f>$BO11*$N11*('Baseline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Projects'!Z$3,'Baseline scaling factors'!$B$54:$K$54,0))+$BO11*$N11*('Baseline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Projects'!Z$3,'Baseline scaling factors'!$B$48:$K$48,0))</f>
        <v>1.321296115833078</v>
      </c>
      <c r="BZ11" s="12">
        <f t="shared" si="32"/>
        <v>1429.3765592240636</v>
      </c>
      <c r="CA11" s="12">
        <f t="shared" si="33"/>
        <v>1322.8911335472828</v>
      </c>
      <c r="CB11" s="12">
        <f t="shared" si="34"/>
        <v>1221.0976933074244</v>
      </c>
      <c r="CC11" s="12">
        <f t="shared" si="35"/>
        <v>1123.7894991577618</v>
      </c>
      <c r="CD11" s="12">
        <f t="shared" si="36"/>
        <v>1030.7689211484458</v>
      </c>
      <c r="CE11" s="12">
        <f t="shared" si="37"/>
        <v>941.847037346153</v>
      </c>
      <c r="CF11" s="12">
        <f t="shared" si="38"/>
        <v>856.84325013944931</v>
      </c>
      <c r="CG11" s="12">
        <f t="shared" si="39"/>
        <v>775.58491945059552</v>
      </c>
      <c r="CH11" s="12">
        <f t="shared" si="40"/>
        <v>697.90701210885766</v>
      </c>
      <c r="CI11" s="12">
        <f t="shared" si="41"/>
        <v>623.65176667321282</v>
      </c>
      <c r="CJ11" s="12">
        <f>'Mitigation Projects'!$AG11*VLOOKUP('Baseline Projects'!$H11&amp;"-"&amp;'Baseline Projects'!$G11,'Baseline scaling factors'!$A$49:$K$51,MATCH('Baseline Projects'!CJ$2,'Baseline scaling factors'!$A$48:$K$48,0),0)</f>
        <v>0</v>
      </c>
      <c r="CK11" s="12">
        <f>'Mitigation Projects'!$AG11*VLOOKUP('Baseline Projects'!$H11&amp;"-"&amp;'Baseline Projects'!$G11,'Baseline scaling factors'!$A$49:$K$51,MATCH('Baseline Projects'!CK$2,'Baseline scaling factors'!$A$48:$K$48,0),0)</f>
        <v>0</v>
      </c>
      <c r="CL11" s="12">
        <f>'Mitigation Projects'!$AG11*VLOOKUP('Baseline Projects'!$H11&amp;"-"&amp;'Baseline Projects'!$G11,'Baseline scaling factors'!$A$49:$K$51,MATCH('Baseline Projects'!CL$2,'Baseline scaling factors'!$A$48:$K$48,0),0)</f>
        <v>0</v>
      </c>
      <c r="CM11" s="12">
        <f>'Mitigation Projects'!$AG11*VLOOKUP('Baseline Projects'!$H11&amp;"-"&amp;'Baseline Projects'!$G11,'Baseline scaling factors'!$A$49:$K$51,MATCH('Baseline Projects'!CM$2,'Baseline scaling factors'!$A$48:$K$48,0),0)</f>
        <v>0</v>
      </c>
      <c r="CN11" s="12">
        <f>'Mitigation Projects'!$AG11*VLOOKUP('Baseline Projects'!$H11&amp;"-"&amp;'Baseline Projects'!$G11,'Baseline scaling factors'!$A$49:$K$51,MATCH('Baseline Projects'!CN$2,'Baseline scaling factors'!$A$48:$K$48,0),0)</f>
        <v>0</v>
      </c>
      <c r="CO11" s="12">
        <f>'Mitigation Projects'!$AG11*VLOOKUP('Baseline Projects'!$H11&amp;"-"&amp;'Baseline Projects'!$G11,'Baseline scaling factors'!$A$49:$K$51,MATCH('Baseline Projects'!CO$2,'Baseline scaling factors'!$A$48:$K$48,0),0)</f>
        <v>0</v>
      </c>
      <c r="CP11" s="12">
        <f>'Mitigation Projects'!$AG11*VLOOKUP('Baseline Projects'!$H11&amp;"-"&amp;'Baseline Projects'!$G11,'Baseline scaling factors'!$A$49:$K$51,MATCH('Baseline Projects'!CP$2,'Baseline scaling factors'!$A$48:$K$48,0),0)</f>
        <v>0</v>
      </c>
      <c r="CQ11" s="12">
        <f>'Mitigation Projects'!$AG11*VLOOKUP('Baseline Projects'!$H11&amp;"-"&amp;'Baseline Projects'!$G11,'Baseline scaling factors'!$A$49:$K$51,MATCH('Baseline Projects'!CQ$2,'Baseline scaling factors'!$A$48:$K$48,0),0)</f>
        <v>0</v>
      </c>
      <c r="CR11" s="12">
        <f>'Mitigation Projects'!$AG11*VLOOKUP('Baseline Projects'!$H11&amp;"-"&amp;'Baseline Projects'!$G11,'Baseline scaling factors'!$A$49:$K$51,MATCH('Baseline Projects'!CR$2,'Baseline scaling factors'!$A$48:$K$48,0),0)</f>
        <v>0</v>
      </c>
      <c r="CS11" s="12">
        <f>'Mitigation Projects'!$AG11*VLOOKUP('Baseline Projects'!$H11&amp;"-"&amp;'Baseline Projects'!$G11,'Baseline scaling factors'!$A$49:$K$51,MATCH('Baseline Projects'!CS$2,'Baseline scaling factors'!$A$48:$K$48,0),0)</f>
        <v>0</v>
      </c>
      <c r="CT11" s="12">
        <f>'Mitigation Projects'!$AH11*VLOOKUP('Baseline Projects'!$H11&amp;"-"&amp;'Baseline Projects'!$G11,'Baseline scaling factors'!$A$49:$K$51,MATCH('Baseline Projects'!CT$2,'Baseline scaling factors'!$A$48:$K$48,0),0)</f>
        <v>0</v>
      </c>
      <c r="CU11" s="12">
        <f>'Mitigation Projects'!$AH11*VLOOKUP('Baseline Projects'!$H11&amp;"-"&amp;'Baseline Projects'!$G11,'Baseline scaling factors'!$A$49:$K$51,MATCH('Baseline Projects'!CU$2,'Baseline scaling factors'!$A$48:$K$48,0),0)</f>
        <v>0</v>
      </c>
      <c r="CV11" s="12">
        <f>'Mitigation Projects'!$AH11*VLOOKUP('Baseline Projects'!$H11&amp;"-"&amp;'Baseline Projects'!$G11,'Baseline scaling factors'!$A$49:$K$51,MATCH('Baseline Projects'!CV$2,'Baseline scaling factors'!$A$48:$K$48,0),0)</f>
        <v>0</v>
      </c>
      <c r="CW11" s="12">
        <f>'Mitigation Projects'!$AH11*VLOOKUP('Baseline Projects'!$H11&amp;"-"&amp;'Baseline Projects'!$G11,'Baseline scaling factors'!$A$49:$K$51,MATCH('Baseline Projects'!CW$2,'Baseline scaling factors'!$A$48:$K$48,0),0)</f>
        <v>0</v>
      </c>
      <c r="CX11" s="12">
        <f>'Mitigation Projects'!$AH11*VLOOKUP('Baseline Projects'!$H11&amp;"-"&amp;'Baseline Projects'!$G11,'Baseline scaling factors'!$A$49:$K$51,MATCH('Baseline Projects'!CX$2,'Baseline scaling factors'!$A$48:$K$48,0),0)</f>
        <v>0</v>
      </c>
      <c r="CY11" s="12">
        <f>'Mitigation Projects'!$AH11*VLOOKUP('Baseline Projects'!$H11&amp;"-"&amp;'Baseline Projects'!$G11,'Baseline scaling factors'!$A$49:$K$51,MATCH('Baseline Projects'!CY$2,'Baseline scaling factors'!$A$48:$K$48,0),0)</f>
        <v>0</v>
      </c>
      <c r="CZ11" s="12">
        <f>'Mitigation Projects'!$AH11*VLOOKUP('Baseline Projects'!$H11&amp;"-"&amp;'Baseline Projects'!$G11,'Baseline scaling factors'!$A$49:$K$51,MATCH('Baseline Projects'!CZ$2,'Baseline scaling factors'!$A$48:$K$48,0),0)</f>
        <v>0</v>
      </c>
      <c r="DA11" s="12">
        <f>'Mitigation Projects'!$AH11*VLOOKUP('Baseline Projects'!$H11&amp;"-"&amp;'Baseline Projects'!$G11,'Baseline scaling factors'!$A$49:$K$51,MATCH('Baseline Projects'!DA$2,'Baseline scaling factors'!$A$48:$K$48,0),0)</f>
        <v>0</v>
      </c>
      <c r="DB11" s="12">
        <f>'Mitigation Projects'!$AH11*VLOOKUP('Baseline Projects'!$H11&amp;"-"&amp;'Baseline Projects'!$G11,'Baseline scaling factors'!$A$49:$K$51,MATCH('Baseline Projects'!DB$2,'Baseline scaling factors'!$A$48:$K$48,0),0)</f>
        <v>0</v>
      </c>
      <c r="DC11" s="12">
        <f>'Mitigation Projects'!$AH11*VLOOKUP('Baseline Projects'!$H11&amp;"-"&amp;'Baseline Projects'!$G11,'Baseline scaling factors'!$A$49:$K$51,MATCH('Baseline Projects'!DC$2,'Baseline scaling factors'!$A$48:$K$48,0),0)</f>
        <v>0</v>
      </c>
    </row>
    <row r="12" spans="1:107" x14ac:dyDescent="0.4">
      <c r="A12" s="38" t="str">
        <f>'Mitigation Projects'!A12</f>
        <v>CH-G11</v>
      </c>
      <c r="B12" s="38" t="str">
        <f>'Mitigation Projects'!B12</f>
        <v>Springfield</v>
      </c>
      <c r="C12" s="39">
        <f>'Mitigation Projects'!C12</f>
        <v>201152</v>
      </c>
      <c r="D12" s="39" t="str">
        <f>'Mitigation Projects'!D12</f>
        <v>201152:  L342 TOWNSHEND RD</v>
      </c>
      <c r="E12" s="39">
        <f>'Mitigation Projects'!E12</f>
        <v>488351</v>
      </c>
      <c r="F12" s="39">
        <f>'Mitigation Projects'!F12</f>
        <v>0</v>
      </c>
      <c r="G12" s="39" t="str">
        <f>'Mitigation Projects'!G12</f>
        <v>1PH</v>
      </c>
      <c r="H12" s="39" t="str">
        <f>'Mitigation Projects'!H12</f>
        <v>OH</v>
      </c>
      <c r="I12" s="39" t="str">
        <f>'Mitigation Projects'!J12</f>
        <v>Zone 3</v>
      </c>
      <c r="J12" s="39">
        <f>'Mitigation Projects'!K12</f>
        <v>73</v>
      </c>
      <c r="K12" s="40">
        <f>'Mitigation Projects'!L12*BASELINE_CAP_SPEND</f>
        <v>261770.40000000002</v>
      </c>
      <c r="L12" s="97">
        <f>'Mitigation Projects'!Q12</f>
        <v>0.85898709036742804</v>
      </c>
      <c r="M12" s="97">
        <f>'Mitigation Projects'!R12</f>
        <v>0.14101290963257196</v>
      </c>
      <c r="N12" s="98">
        <f>'Mitigation Projects'!S12</f>
        <v>0.5</v>
      </c>
      <c r="O12" s="26">
        <f t="shared" si="0"/>
        <v>0.9</v>
      </c>
      <c r="P12" s="26">
        <f t="shared" si="1"/>
        <v>0.80330442615766917</v>
      </c>
      <c r="Q12" s="112">
        <f>VLOOKUP($A12,'Outage by Zone inputs'!$A$4:$E$13,MATCH('Baseline Projects'!$I12,'Outage by Zone inputs'!$A$3:$E$3,0),0)*'Baseline Projects'!$L12*$N12*('Baseline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Projects'!Q$3,'Baseline scaling factors'!$B$54:$K$54,0))+VLOOKUP($A12,'Outage by Zone inputs'!$A$4:$E$13,MATCH('Baseline Projects'!$I12,'Outage by Zone inputs'!$A$3:$E$3,0),0)*'Baseline Projects'!$L12*$N12*('Baseline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Projects'!Q$3,'Baseline scaling factors'!$B$48:$K$48,0))</f>
        <v>303.13883985887179</v>
      </c>
      <c r="R12" s="112">
        <f>VLOOKUP($A12,'Outage by Zone inputs'!$A$4:$E$13,MATCH('Baseline Projects'!$I12,'Outage by Zone inputs'!$A$3:$E$3,0),0)*'Baseline Projects'!$L12*$N12*('Baseline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Projects'!R$3,'Baseline scaling factors'!$B$54:$K$54,0))+VLOOKUP($A12,'Outage by Zone inputs'!$A$4:$E$13,MATCH('Baseline Projects'!$I12,'Outage by Zone inputs'!$A$3:$E$3,0),0)*'Baseline Projects'!$L12*$N12*('Baseline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Projects'!R$3,'Baseline scaling factors'!$B$48:$K$48,0))</f>
        <v>280.55565966522107</v>
      </c>
      <c r="S12" s="112">
        <f>VLOOKUP($A12,'Outage by Zone inputs'!$A$4:$E$13,MATCH('Baseline Projects'!$I12,'Outage by Zone inputs'!$A$3:$E$3,0),0)*'Baseline Projects'!$L12*$N12*('Baseline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Projects'!S$3,'Baseline scaling factors'!$B$54:$K$54,0))+VLOOKUP($A12,'Outage by Zone inputs'!$A$4:$E$13,MATCH('Baseline Projects'!$I12,'Outage by Zone inputs'!$A$3:$E$3,0),0)*'Baseline Projects'!$L12*$N12*('Baseline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Projects'!S$3,'Baseline scaling factors'!$B$48:$K$48,0))</f>
        <v>258.96754477665382</v>
      </c>
      <c r="T12" s="112">
        <f>VLOOKUP($A12,'Outage by Zone inputs'!$A$4:$E$13,MATCH('Baseline Projects'!$I12,'Outage by Zone inputs'!$A$3:$E$3,0),0)*'Baseline Projects'!$L12*$N12*('Baseline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Projects'!T$3,'Baseline scaling factors'!$B$54:$K$54,0))+VLOOKUP($A12,'Outage by Zone inputs'!$A$4:$E$13,MATCH('Baseline Projects'!$I12,'Outage by Zone inputs'!$A$3:$E$3,0),0)*'Baseline Projects'!$L12*$N12*('Baseline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Projects'!T$3,'Baseline scaling factors'!$B$48:$K$48,0))</f>
        <v>238.33065039571932</v>
      </c>
      <c r="U12" s="112">
        <f>VLOOKUP($A12,'Outage by Zone inputs'!$A$4:$E$13,MATCH('Baseline Projects'!$I12,'Outage by Zone inputs'!$A$3:$E$3,0),0)*'Baseline Projects'!$L12*$N12*('Baseline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Projects'!U$3,'Baseline scaling factors'!$B$54:$K$54,0))+VLOOKUP($A12,'Outage by Zone inputs'!$A$4:$E$13,MATCH('Baseline Projects'!$I12,'Outage by Zone inputs'!$A$3:$E$3,0),0)*'Baseline Projects'!$L12*$N12*('Baseline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Projects'!U$3,'Baseline scaling factors'!$B$48:$K$48,0))</f>
        <v>218.60306362456569</v>
      </c>
      <c r="V12" s="112">
        <f>VLOOKUP($A12,'Outage by Zone inputs'!$A$4:$E$13,MATCH('Baseline Projects'!$I12,'Outage by Zone inputs'!$A$3:$E$3,0),0)*'Baseline Projects'!$L12*$N12*('Baseline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Projects'!V$3,'Baseline scaling factors'!$B$54:$K$54,0))+VLOOKUP($A12,'Outage by Zone inputs'!$A$4:$E$13,MATCH('Baseline Projects'!$I12,'Outage by Zone inputs'!$A$3:$E$3,0),0)*'Baseline Projects'!$L12*$N12*('Baseline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Projects'!V$3,'Baseline scaling factors'!$B$48:$K$48,0))</f>
        <v>199.74471834113297</v>
      </c>
      <c r="W12" s="112">
        <f>VLOOKUP($A12,'Outage by Zone inputs'!$A$4:$E$13,MATCH('Baseline Projects'!$I12,'Outage by Zone inputs'!$A$3:$E$3,0),0)*'Baseline Projects'!$L12*$N12*('Baseline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Projects'!W$3,'Baseline scaling factors'!$B$54:$K$54,0))+VLOOKUP($A12,'Outage by Zone inputs'!$A$4:$E$13,MATCH('Baseline Projects'!$I12,'Outage by Zone inputs'!$A$3:$E$3,0),0)*'Baseline Projects'!$L12*$N12*('Baseline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Projects'!W$3,'Baseline scaling factors'!$B$48:$K$48,0))</f>
        <v>181.71731382609133</v>
      </c>
      <c r="X12" s="112">
        <f>VLOOKUP($A12,'Outage by Zone inputs'!$A$4:$E$13,MATCH('Baseline Projects'!$I12,'Outage by Zone inputs'!$A$3:$E$3,0),0)*'Baseline Projects'!$L12*$N12*('Baseline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Projects'!X$3,'Baseline scaling factors'!$B$54:$K$54,0))+VLOOKUP($A12,'Outage by Zone inputs'!$A$4:$E$13,MATCH('Baseline Projects'!$I12,'Outage by Zone inputs'!$A$3:$E$3,0),0)*'Baseline Projects'!$L12*$N12*('Baseline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Projects'!X$3,'Baseline scaling factors'!$B$48:$K$48,0))</f>
        <v>164.48423697525823</v>
      </c>
      <c r="Y12" s="112">
        <f>VLOOKUP($A12,'Outage by Zone inputs'!$A$4:$E$13,MATCH('Baseline Projects'!$I12,'Outage by Zone inputs'!$A$3:$E$3,0),0)*'Baseline Projects'!$L12*$N12*('Baseline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Projects'!Y$3,'Baseline scaling factors'!$B$54:$K$54,0))+VLOOKUP($A12,'Outage by Zone inputs'!$A$4:$E$13,MATCH('Baseline Projects'!$I12,'Outage by Zone inputs'!$A$3:$E$3,0),0)*'Baseline Projects'!$L12*$N12*('Baseline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Projects'!Y$3,'Baseline scaling factors'!$B$48:$K$48,0))</f>
        <v>148.0104879395094</v>
      </c>
      <c r="Z12" s="112">
        <f>VLOOKUP($A12,'Outage by Zone inputs'!$A$4:$E$13,MATCH('Baseline Projects'!$I12,'Outage by Zone inputs'!$A$3:$E$3,0),0)*'Baseline Projects'!$L12*$N12*('Baseline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Projects'!Z$3,'Baseline scaling factors'!$B$54:$K$54,0))+VLOOKUP($A12,'Outage by Zone inputs'!$A$4:$E$13,MATCH('Baseline Projects'!$I12,'Outage by Zone inputs'!$A$3:$E$3,0),0)*'Baseline Projects'!$L12*$N12*('Baseline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Projects'!Z$3,'Baseline scaling factors'!$B$48:$K$48,0))</f>
        <v>132.26260904116191</v>
      </c>
      <c r="AA12" s="34">
        <f>VLOOKUP($A12,'Outage by Zone inputs'!$A$4:$E$13,MATCH('Baseline Projects'!$I12,'Outage by Zone inputs'!$A$3:$E$3,0),0)*$M12*$N12*('Baseline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Projects'!AA$3,'Baseline scaling factors'!$B$54:$K$54,0))+VLOOKUP($A12,'Outage by Zone inputs'!$A$4:$E$13,MATCH('Baseline Projects'!$I12,'Outage by Zone inputs'!$A$3:$E$3,0),0)*$M12*$N12*('Baseline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Projects'!AA$3,'Baseline scaling factors'!$B$48:$K$48,0))</f>
        <v>49.763832670473732</v>
      </c>
      <c r="AB12" s="34">
        <f>VLOOKUP($A12,'Outage by Zone inputs'!$A$4:$E$13,MATCH('Baseline Projects'!$I12,'Outage by Zone inputs'!$A$3:$E$3,0),0)*$M12*$N12*('Baseline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Projects'!AB$3,'Baseline scaling factors'!$B$54:$K$54,0))+VLOOKUP($A12,'Outage by Zone inputs'!$A$4:$E$13,MATCH('Baseline Projects'!$I12,'Outage by Zone inputs'!$A$3:$E$3,0),0)*$M12*$N12*('Baseline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Projects'!AB$3,'Baseline scaling factors'!$B$48:$K$48,0))</f>
        <v>46.056536037527607</v>
      </c>
      <c r="AC12" s="34">
        <f>VLOOKUP($A12,'Outage by Zone inputs'!$A$4:$E$13,MATCH('Baseline Projects'!$I12,'Outage by Zone inputs'!$A$3:$E$3,0),0)*$M12*$N12*('Baseline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Projects'!AC$3,'Baseline scaling factors'!$B$54:$K$54,0))+VLOOKUP($A12,'Outage by Zone inputs'!$A$4:$E$13,MATCH('Baseline Projects'!$I12,'Outage by Zone inputs'!$A$3:$E$3,0),0)*$M12*$N12*('Baseline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Projects'!AC$3,'Baseline scaling factors'!$B$48:$K$48,0))</f>
        <v>42.512591165647201</v>
      </c>
      <c r="AD12" s="34">
        <f>VLOOKUP($A12,'Outage by Zone inputs'!$A$4:$E$13,MATCH('Baseline Projects'!$I12,'Outage by Zone inputs'!$A$3:$E$3,0),0)*$M12*$N12*('Baseline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Projects'!AD$3,'Baseline scaling factors'!$B$54:$K$54,0))+VLOOKUP($A12,'Outage by Zone inputs'!$A$4:$E$13,MATCH('Baseline Projects'!$I12,'Outage by Zone inputs'!$A$3:$E$3,0),0)*$M12*$N12*('Baseline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Projects'!AD$3,'Baseline scaling factors'!$B$48:$K$48,0))</f>
        <v>39.124800411782807</v>
      </c>
      <c r="AE12" s="34">
        <f>VLOOKUP($A12,'Outage by Zone inputs'!$A$4:$E$13,MATCH('Baseline Projects'!$I12,'Outage by Zone inputs'!$A$3:$E$3,0),0)*$M12*$N12*('Baseline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Projects'!AE$3,'Baseline scaling factors'!$B$54:$K$54,0))+VLOOKUP($A12,'Outage by Zone inputs'!$A$4:$E$13,MATCH('Baseline Projects'!$I12,'Outage by Zone inputs'!$A$3:$E$3,0),0)*$M12*$N12*('Baseline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Projects'!AE$3,'Baseline scaling factors'!$B$48:$K$48,0))</f>
        <v>35.886283277096325</v>
      </c>
      <c r="AF12" s="34">
        <f>VLOOKUP($A12,'Outage by Zone inputs'!$A$4:$E$13,MATCH('Baseline Projects'!$I12,'Outage by Zone inputs'!$A$3:$E$3,0),0)*$M12*$N12*('Baseline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Projects'!AF$3,'Baseline scaling factors'!$B$54:$K$54,0))+VLOOKUP($A12,'Outage by Zone inputs'!$A$4:$E$13,MATCH('Baseline Projects'!$I12,'Outage by Zone inputs'!$A$3:$E$3,0),0)*$M12*$N12*('Baseline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Projects'!AF$3,'Baseline scaling factors'!$B$48:$K$48,0))</f>
        <v>32.790462432879622</v>
      </c>
      <c r="AG12" s="34">
        <f>VLOOKUP($A12,'Outage by Zone inputs'!$A$4:$E$13,MATCH('Baseline Projects'!$I12,'Outage by Zone inputs'!$A$3:$E$3,0),0)*$M12*$N12*('Baseline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Projects'!AG$3,'Baseline scaling factors'!$B$54:$K$54,0))+VLOOKUP($A12,'Outage by Zone inputs'!$A$4:$E$13,MATCH('Baseline Projects'!$I12,'Outage by Zone inputs'!$A$3:$E$3,0),0)*$M12*$N12*('Baseline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Projects'!AG$3,'Baseline scaling factors'!$B$48:$K$48,0))</f>
        <v>29.831050362202266</v>
      </c>
      <c r="AH12" s="34">
        <f>VLOOKUP($A12,'Outage by Zone inputs'!$A$4:$E$13,MATCH('Baseline Projects'!$I12,'Outage by Zone inputs'!$A$3:$E$3,0),0)*$M12*$N12*('Baseline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Projects'!AH$3,'Baseline scaling factors'!$B$54:$K$54,0))+VLOOKUP($A12,'Outage by Zone inputs'!$A$4:$E$13,MATCH('Baseline Projects'!$I12,'Outage by Zone inputs'!$A$3:$E$3,0),0)*$M12*$N12*('Baseline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Projects'!AH$3,'Baseline scaling factors'!$B$48:$K$48,0))</f>
        <v>27.002036590157985</v>
      </c>
      <c r="AI12" s="34">
        <f>VLOOKUP($A12,'Outage by Zone inputs'!$A$4:$E$13,MATCH('Baseline Projects'!$I12,'Outage by Zone inputs'!$A$3:$E$3,0),0)*$M12*$N12*('Baseline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Projects'!AI$3,'Baseline scaling factors'!$B$54:$K$54,0))+VLOOKUP($A12,'Outage by Zone inputs'!$A$4:$E$13,MATCH('Baseline Projects'!$I12,'Outage by Zone inputs'!$A$3:$E$3,0),0)*$M12*$N12*('Baseline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Projects'!AI$3,'Baseline scaling factors'!$B$48:$K$48,0))</f>
        <v>24.297675476774941</v>
      </c>
      <c r="AJ12" s="34">
        <f>VLOOKUP($A12,'Outage by Zone inputs'!$A$4:$E$13,MATCH('Baseline Projects'!$I12,'Outage by Zone inputs'!$A$3:$E$3,0),0)*$M12*$N12*('Baseline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Projects'!AJ$3,'Baseline scaling factors'!$B$54:$K$54,0))+VLOOKUP($A12,'Outage by Zone inputs'!$A$4:$E$13,MATCH('Baseline Projects'!$I12,'Outage by Zone inputs'!$A$3:$E$3,0),0)*$M12*$N12*('Baseline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Projects'!AJ$3,'Baseline scaling factors'!$B$48:$K$48,0))</f>
        <v>21.712474547797672</v>
      </c>
      <c r="AK12" s="1">
        <f t="shared" si="2"/>
        <v>6365.915637036308</v>
      </c>
      <c r="AL12" s="1">
        <f t="shared" si="3"/>
        <v>5891.6688529696421</v>
      </c>
      <c r="AM12" s="1">
        <f t="shared" si="4"/>
        <v>5438.3184403097302</v>
      </c>
      <c r="AN12" s="1">
        <f t="shared" si="5"/>
        <v>5004.943658310106</v>
      </c>
      <c r="AO12" s="1">
        <f t="shared" si="6"/>
        <v>4590.6643361158795</v>
      </c>
      <c r="AP12" s="1">
        <f t="shared" si="7"/>
        <v>4194.6390851637925</v>
      </c>
      <c r="AQ12" s="1">
        <f t="shared" si="8"/>
        <v>3816.0635903479179</v>
      </c>
      <c r="AR12" s="1">
        <f t="shared" si="9"/>
        <v>3454.1689764804228</v>
      </c>
      <c r="AS12" s="1">
        <f t="shared" si="10"/>
        <v>3108.2202467296975</v>
      </c>
      <c r="AT12" s="1">
        <f t="shared" si="11"/>
        <v>2777.5147898644</v>
      </c>
      <c r="AU12" s="1">
        <f t="shared" si="12"/>
        <v>193332.48992479045</v>
      </c>
      <c r="AV12" s="1">
        <f t="shared" si="13"/>
        <v>178929.64250579476</v>
      </c>
      <c r="AW12" s="1">
        <f t="shared" si="14"/>
        <v>165161.41667853939</v>
      </c>
      <c r="AX12" s="1">
        <f t="shared" si="15"/>
        <v>151999.84959977621</v>
      </c>
      <c r="AY12" s="1">
        <f t="shared" si="16"/>
        <v>139418.21053151923</v>
      </c>
      <c r="AZ12" s="1">
        <f t="shared" si="17"/>
        <v>127390.94655173733</v>
      </c>
      <c r="BA12" s="1">
        <f t="shared" si="18"/>
        <v>115893.63065715581</v>
      </c>
      <c r="BB12" s="1">
        <f t="shared" si="19"/>
        <v>104902.91215276378</v>
      </c>
      <c r="BC12" s="1">
        <f t="shared" si="20"/>
        <v>94396.469227270645</v>
      </c>
      <c r="BD12" s="1">
        <f t="shared" si="21"/>
        <v>84352.963618193957</v>
      </c>
      <c r="BE12" s="1">
        <f t="shared" si="22"/>
        <v>199698.40556182677</v>
      </c>
      <c r="BF12" s="1">
        <f t="shared" si="23"/>
        <v>184821.31135876442</v>
      </c>
      <c r="BG12" s="1">
        <f t="shared" si="24"/>
        <v>170599.73511884912</v>
      </c>
      <c r="BH12" s="1">
        <f t="shared" si="25"/>
        <v>157004.79325808631</v>
      </c>
      <c r="BI12" s="1">
        <f t="shared" si="26"/>
        <v>144008.87486763511</v>
      </c>
      <c r="BJ12" s="1">
        <f t="shared" si="27"/>
        <v>131585.58563690112</v>
      </c>
      <c r="BK12" s="1">
        <f t="shared" si="28"/>
        <v>119709.69424750372</v>
      </c>
      <c r="BL12" s="1">
        <f t="shared" si="29"/>
        <v>108357.08112924419</v>
      </c>
      <c r="BM12" s="1">
        <f t="shared" si="30"/>
        <v>97504.689474000348</v>
      </c>
      <c r="BN12" s="1">
        <f t="shared" si="31"/>
        <v>87130.478408058363</v>
      </c>
      <c r="BO12" s="25">
        <f>VLOOKUP($A12,'Outage by Zone inputs'!$A$59:$E$68,MATCH('Baseline Projects'!$I12,'Outage by Zone inputs'!$A$58:$E$58,0),0)*AVG_INCIDENT_PERCENT_NON_STORM</f>
        <v>20.330971234443997</v>
      </c>
      <c r="BP12" s="25">
        <f>$BO12*$N12*('Baseline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Projects'!Q$3,'Baseline scaling factors'!$B$54:$K$54,0))+$BO12*$N12*('Baseline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Projects'!Q$3,'Baseline scaling factors'!$B$48:$K$48,0))</f>
        <v>4.6203353298561289</v>
      </c>
      <c r="BQ12" s="25">
        <f>$BO12*$N12*('Baseline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Projects'!R$3,'Baseline scaling factors'!$B$54:$K$54,0))+$BO12*$N12*('Baseline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Projects'!R$3,'Baseline scaling factors'!$B$48:$K$48,0))</f>
        <v>4.2761304587224638</v>
      </c>
      <c r="BR12" s="25">
        <f>$BO12*$N12*('Baseline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Projects'!S$3,'Baseline scaling factors'!$B$54:$K$54,0))+$BO12*$N12*('Baseline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Projects'!S$3,'Baseline scaling factors'!$B$48:$K$48,0))</f>
        <v>3.9470920221728063</v>
      </c>
      <c r="BS12" s="25">
        <f>$BO12*$N12*('Baseline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Projects'!T$3,'Baseline scaling factors'!$B$54:$K$54,0))+$BO12*$N12*('Baseline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Projects'!T$3,'Baseline scaling factors'!$B$48:$K$48,0))</f>
        <v>3.6325517532612679</v>
      </c>
      <c r="BT12" s="25">
        <f>$BO12*$N12*('Baseline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Projects'!U$3,'Baseline scaling factors'!$B$54:$K$54,0))+$BO12*$N12*('Baseline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Projects'!U$3,'Baseline scaling factors'!$B$48:$K$48,0))</f>
        <v>3.3318708303745868</v>
      </c>
      <c r="BU12" s="25">
        <f>$BO12*$N12*('Baseline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Projects'!V$3,'Baseline scaling factors'!$B$54:$K$54,0))+$BO12*$N12*('Baseline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Projects'!V$3,'Baseline scaling factors'!$B$48:$K$48,0))</f>
        <v>3.0444385798050635</v>
      </c>
      <c r="BV12" s="25">
        <f>$BO12*$N12*('Baseline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Projects'!W$3,'Baseline scaling factors'!$B$54:$K$54,0))+$BO12*$N12*('Baseline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Projects'!W$3,'Baseline scaling factors'!$B$48:$K$48,0))</f>
        <v>2.7696712354910447</v>
      </c>
      <c r="BW12" s="25">
        <f>$BO12*$N12*('Baseline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Projects'!X$3,'Baseline scaling factors'!$B$54:$K$54,0))+$BO12*$N12*('Baseline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Projects'!X$3,'Baseline scaling factors'!$B$48:$K$48,0))</f>
        <v>2.507010753406008</v>
      </c>
      <c r="BX12" s="25">
        <f>$BO12*$N12*('Baseline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Projects'!Y$3,'Baseline scaling factors'!$B$54:$K$54,0))+$BO12*$N12*('Baseline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Projects'!Y$3,'Baseline scaling factors'!$B$48:$K$48,0))</f>
        <v>2.2559236781882985</v>
      </c>
      <c r="BY12" s="25">
        <f>$BO12*$N12*('Baseline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Projects'!Z$3,'Baseline scaling factors'!$B$54:$K$54,0))+$BO12*$N12*('Baseline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Projects'!Z$3,'Baseline scaling factors'!$B$48:$K$48,0))</f>
        <v>2.015900059709701</v>
      </c>
      <c r="BZ12" s="12">
        <f t="shared" si="32"/>
        <v>2180.7982756920928</v>
      </c>
      <c r="CA12" s="12">
        <f t="shared" si="33"/>
        <v>2018.3335765170029</v>
      </c>
      <c r="CB12" s="12">
        <f t="shared" si="34"/>
        <v>1863.0274344655645</v>
      </c>
      <c r="CC12" s="12">
        <f t="shared" si="35"/>
        <v>1714.5644275393183</v>
      </c>
      <c r="CD12" s="12">
        <f t="shared" si="36"/>
        <v>1572.6430319368048</v>
      </c>
      <c r="CE12" s="12">
        <f t="shared" si="37"/>
        <v>1436.97500966799</v>
      </c>
      <c r="CF12" s="12">
        <f t="shared" si="38"/>
        <v>1307.284823151773</v>
      </c>
      <c r="CG12" s="12">
        <f t="shared" si="39"/>
        <v>1183.3090756076358</v>
      </c>
      <c r="CH12" s="12">
        <f t="shared" si="40"/>
        <v>1064.7959761048769</v>
      </c>
      <c r="CI12" s="12">
        <f t="shared" si="41"/>
        <v>951.50482818297883</v>
      </c>
      <c r="CJ12" s="12">
        <f>'Mitigation Projects'!$AG12*VLOOKUP('Baseline Projects'!$H12&amp;"-"&amp;'Baseline Projects'!$G12,'Baseline scaling factors'!$A$49:$K$51,MATCH('Baseline Projects'!CJ$2,'Baseline scaling factors'!$A$48:$K$48,0),0)</f>
        <v>0</v>
      </c>
      <c r="CK12" s="12">
        <f>'Mitigation Projects'!$AG12*VLOOKUP('Baseline Projects'!$H12&amp;"-"&amp;'Baseline Projects'!$G12,'Baseline scaling factors'!$A$49:$K$51,MATCH('Baseline Projects'!CK$2,'Baseline scaling factors'!$A$48:$K$48,0),0)</f>
        <v>0</v>
      </c>
      <c r="CL12" s="12">
        <f>'Mitigation Projects'!$AG12*VLOOKUP('Baseline Projects'!$H12&amp;"-"&amp;'Baseline Projects'!$G12,'Baseline scaling factors'!$A$49:$K$51,MATCH('Baseline Projects'!CL$2,'Baseline scaling factors'!$A$48:$K$48,0),0)</f>
        <v>0</v>
      </c>
      <c r="CM12" s="12">
        <f>'Mitigation Projects'!$AG12*VLOOKUP('Baseline Projects'!$H12&amp;"-"&amp;'Baseline Projects'!$G12,'Baseline scaling factors'!$A$49:$K$51,MATCH('Baseline Projects'!CM$2,'Baseline scaling factors'!$A$48:$K$48,0),0)</f>
        <v>0</v>
      </c>
      <c r="CN12" s="12">
        <f>'Mitigation Projects'!$AG12*VLOOKUP('Baseline Projects'!$H12&amp;"-"&amp;'Baseline Projects'!$G12,'Baseline scaling factors'!$A$49:$K$51,MATCH('Baseline Projects'!CN$2,'Baseline scaling factors'!$A$48:$K$48,0),0)</f>
        <v>0</v>
      </c>
      <c r="CO12" s="12">
        <f>'Mitigation Projects'!$AG12*VLOOKUP('Baseline Projects'!$H12&amp;"-"&amp;'Baseline Projects'!$G12,'Baseline scaling factors'!$A$49:$K$51,MATCH('Baseline Projects'!CO$2,'Baseline scaling factors'!$A$48:$K$48,0),0)</f>
        <v>0</v>
      </c>
      <c r="CP12" s="12">
        <f>'Mitigation Projects'!$AG12*VLOOKUP('Baseline Projects'!$H12&amp;"-"&amp;'Baseline Projects'!$G12,'Baseline scaling factors'!$A$49:$K$51,MATCH('Baseline Projects'!CP$2,'Baseline scaling factors'!$A$48:$K$48,0),0)</f>
        <v>0</v>
      </c>
      <c r="CQ12" s="12">
        <f>'Mitigation Projects'!$AG12*VLOOKUP('Baseline Projects'!$H12&amp;"-"&amp;'Baseline Projects'!$G12,'Baseline scaling factors'!$A$49:$K$51,MATCH('Baseline Projects'!CQ$2,'Baseline scaling factors'!$A$48:$K$48,0),0)</f>
        <v>0</v>
      </c>
      <c r="CR12" s="12">
        <f>'Mitigation Projects'!$AG12*VLOOKUP('Baseline Projects'!$H12&amp;"-"&amp;'Baseline Projects'!$G12,'Baseline scaling factors'!$A$49:$K$51,MATCH('Baseline Projects'!CR$2,'Baseline scaling factors'!$A$48:$K$48,0),0)</f>
        <v>0</v>
      </c>
      <c r="CS12" s="12">
        <f>'Mitigation Projects'!$AG12*VLOOKUP('Baseline Projects'!$H12&amp;"-"&amp;'Baseline Projects'!$G12,'Baseline scaling factors'!$A$49:$K$51,MATCH('Baseline Projects'!CS$2,'Baseline scaling factors'!$A$48:$K$48,0),0)</f>
        <v>0</v>
      </c>
      <c r="CT12" s="12">
        <f>'Mitigation Projects'!$AH12*VLOOKUP('Baseline Projects'!$H12&amp;"-"&amp;'Baseline Projects'!$G12,'Baseline scaling factors'!$A$49:$K$51,MATCH('Baseline Projects'!CT$2,'Baseline scaling factors'!$A$48:$K$48,0),0)</f>
        <v>0</v>
      </c>
      <c r="CU12" s="12">
        <f>'Mitigation Projects'!$AH12*VLOOKUP('Baseline Projects'!$H12&amp;"-"&amp;'Baseline Projects'!$G12,'Baseline scaling factors'!$A$49:$K$51,MATCH('Baseline Projects'!CU$2,'Baseline scaling factors'!$A$48:$K$48,0),0)</f>
        <v>0</v>
      </c>
      <c r="CV12" s="12">
        <f>'Mitigation Projects'!$AH12*VLOOKUP('Baseline Projects'!$H12&amp;"-"&amp;'Baseline Projects'!$G12,'Baseline scaling factors'!$A$49:$K$51,MATCH('Baseline Projects'!CV$2,'Baseline scaling factors'!$A$48:$K$48,0),0)</f>
        <v>0</v>
      </c>
      <c r="CW12" s="12">
        <f>'Mitigation Projects'!$AH12*VLOOKUP('Baseline Projects'!$H12&amp;"-"&amp;'Baseline Projects'!$G12,'Baseline scaling factors'!$A$49:$K$51,MATCH('Baseline Projects'!CW$2,'Baseline scaling factors'!$A$48:$K$48,0),0)</f>
        <v>0</v>
      </c>
      <c r="CX12" s="12">
        <f>'Mitigation Projects'!$AH12*VLOOKUP('Baseline Projects'!$H12&amp;"-"&amp;'Baseline Projects'!$G12,'Baseline scaling factors'!$A$49:$K$51,MATCH('Baseline Projects'!CX$2,'Baseline scaling factors'!$A$48:$K$48,0),0)</f>
        <v>0</v>
      </c>
      <c r="CY12" s="12">
        <f>'Mitigation Projects'!$AH12*VLOOKUP('Baseline Projects'!$H12&amp;"-"&amp;'Baseline Projects'!$G12,'Baseline scaling factors'!$A$49:$K$51,MATCH('Baseline Projects'!CY$2,'Baseline scaling factors'!$A$48:$K$48,0),0)</f>
        <v>0</v>
      </c>
      <c r="CZ12" s="12">
        <f>'Mitigation Projects'!$AH12*VLOOKUP('Baseline Projects'!$H12&amp;"-"&amp;'Baseline Projects'!$G12,'Baseline scaling factors'!$A$49:$K$51,MATCH('Baseline Projects'!CZ$2,'Baseline scaling factors'!$A$48:$K$48,0),0)</f>
        <v>0</v>
      </c>
      <c r="DA12" s="12">
        <f>'Mitigation Projects'!$AH12*VLOOKUP('Baseline Projects'!$H12&amp;"-"&amp;'Baseline Projects'!$G12,'Baseline scaling factors'!$A$49:$K$51,MATCH('Baseline Projects'!DA$2,'Baseline scaling factors'!$A$48:$K$48,0),0)</f>
        <v>0</v>
      </c>
      <c r="DB12" s="12">
        <f>'Mitigation Projects'!$AH12*VLOOKUP('Baseline Projects'!$H12&amp;"-"&amp;'Baseline Projects'!$G12,'Baseline scaling factors'!$A$49:$K$51,MATCH('Baseline Projects'!DB$2,'Baseline scaling factors'!$A$48:$K$48,0),0)</f>
        <v>0</v>
      </c>
      <c r="DC12" s="12">
        <f>'Mitigation Projects'!$AH12*VLOOKUP('Baseline Projects'!$H12&amp;"-"&amp;'Baseline Projects'!$G12,'Baseline scaling factors'!$A$49:$K$51,MATCH('Baseline Projects'!DC$2,'Baseline scaling factors'!$A$48:$K$48,0),0)</f>
        <v>0</v>
      </c>
    </row>
    <row r="13" spans="1:107" x14ac:dyDescent="0.4">
      <c r="A13" s="38" t="str">
        <f>'Mitigation Projects'!A13</f>
        <v>CH-G11</v>
      </c>
      <c r="B13" s="38" t="str">
        <f>'Mitigation Projects'!B13</f>
        <v>Springfield</v>
      </c>
      <c r="C13" s="39">
        <f>'Mitigation Projects'!C13</f>
        <v>204900</v>
      </c>
      <c r="D13" s="39" t="str">
        <f>'Mitigation Projects'!D13</f>
        <v>204900: L3135 Stage Rd</v>
      </c>
      <c r="E13" s="39">
        <f>'Mitigation Projects'!E13</f>
        <v>513356</v>
      </c>
      <c r="F13" s="39">
        <f>'Mitigation Projects'!F13</f>
        <v>0</v>
      </c>
      <c r="G13" s="39" t="str">
        <f>'Mitigation Projects'!G13</f>
        <v>1PH</v>
      </c>
      <c r="H13" s="39" t="str">
        <f>'Mitigation Projects'!H13</f>
        <v>UG</v>
      </c>
      <c r="I13" s="39" t="str">
        <f>'Mitigation Projects'!J13</f>
        <v>Zone 3</v>
      </c>
      <c r="J13" s="39">
        <f>'Mitigation Projects'!K13</f>
        <v>76</v>
      </c>
      <c r="K13" s="40">
        <f>'Mitigation Projects'!L13*BASELINE_CAP_SPEND</f>
        <v>289167.5</v>
      </c>
      <c r="L13" s="97">
        <f>'Mitigation Projects'!Q13</f>
        <v>0.85898709036742804</v>
      </c>
      <c r="M13" s="97">
        <f>'Mitigation Projects'!R13</f>
        <v>0.14101290963257196</v>
      </c>
      <c r="N13" s="98">
        <f>'Mitigation Projects'!S13</f>
        <v>0.5</v>
      </c>
      <c r="O13" s="26">
        <f t="shared" si="0"/>
        <v>0.98</v>
      </c>
      <c r="P13" s="26">
        <f t="shared" si="1"/>
        <v>0.83359200333362127</v>
      </c>
      <c r="Q13" s="112">
        <f>VLOOKUP($A13,'Outage by Zone inputs'!$A$4:$E$13,MATCH('Baseline Projects'!$I13,'Outage by Zone inputs'!$A$3:$E$3,0),0)*'Baseline Projects'!$L13*$N13*('Baseline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Projects'!Q$3,'Baseline scaling factors'!$B$54:$K$54,0))+VLOOKUP($A13,'Outage by Zone inputs'!$A$4:$E$13,MATCH('Baseline Projects'!$I13,'Outage by Zone inputs'!$A$3:$E$3,0),0)*'Baseline Projects'!$L13*$N13*('Baseline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Projects'!Q$3,'Baseline scaling factors'!$B$48:$K$48,0))</f>
        <v>312.4006306053858</v>
      </c>
      <c r="R13" s="112">
        <f>VLOOKUP($A13,'Outage by Zone inputs'!$A$4:$E$13,MATCH('Baseline Projects'!$I13,'Outage by Zone inputs'!$A$3:$E$3,0),0)*'Baseline Projects'!$L13*$N13*('Baseline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Projects'!R$3,'Baseline scaling factors'!$B$54:$K$54,0))+VLOOKUP($A13,'Outage by Zone inputs'!$A$4:$E$13,MATCH('Baseline Projects'!$I13,'Outage by Zone inputs'!$A$3:$E$3,0),0)*'Baseline Projects'!$L13*$N13*('Baseline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Projects'!R$3,'Baseline scaling factors'!$B$48:$K$48,0))</f>
        <v>285.83422627751719</v>
      </c>
      <c r="S13" s="112">
        <f>VLOOKUP($A13,'Outage by Zone inputs'!$A$4:$E$13,MATCH('Baseline Projects'!$I13,'Outage by Zone inputs'!$A$3:$E$3,0),0)*'Baseline Projects'!$L13*$N13*('Baseline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Projects'!S$3,'Baseline scaling factors'!$B$54:$K$54,0))+VLOOKUP($A13,'Outage by Zone inputs'!$A$4:$E$13,MATCH('Baseline Projects'!$I13,'Outage by Zone inputs'!$A$3:$E$3,0),0)*'Baseline Projects'!$L13*$N13*('Baseline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Projects'!S$3,'Baseline scaling factors'!$B$48:$K$48,0))</f>
        <v>260.43839699713072</v>
      </c>
      <c r="T13" s="112">
        <f>VLOOKUP($A13,'Outage by Zone inputs'!$A$4:$E$13,MATCH('Baseline Projects'!$I13,'Outage by Zone inputs'!$A$3:$E$3,0),0)*'Baseline Projects'!$L13*$N13*('Baseline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Projects'!T$3,'Baseline scaling factors'!$B$54:$K$54,0))+VLOOKUP($A13,'Outage by Zone inputs'!$A$4:$E$13,MATCH('Baseline Projects'!$I13,'Outage by Zone inputs'!$A$3:$E$3,0),0)*'Baseline Projects'!$L13*$N13*('Baseline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Projects'!T$3,'Baseline scaling factors'!$B$48:$K$48,0))</f>
        <v>236.16156461594275</v>
      </c>
      <c r="U13" s="112">
        <f>VLOOKUP($A13,'Outage by Zone inputs'!$A$4:$E$13,MATCH('Baseline Projects'!$I13,'Outage by Zone inputs'!$A$3:$E$3,0),0)*'Baseline Projects'!$L13*$N13*('Baseline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Projects'!U$3,'Baseline scaling factors'!$B$54:$K$54,0))+VLOOKUP($A13,'Outage by Zone inputs'!$A$4:$E$13,MATCH('Baseline Projects'!$I13,'Outage by Zone inputs'!$A$3:$E$3,0),0)*'Baseline Projects'!$L13*$N13*('Baseline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Projects'!U$3,'Baseline scaling factors'!$B$48:$K$48,0))</f>
        <v>212.95442363395972</v>
      </c>
      <c r="V13" s="112">
        <f>VLOOKUP($A13,'Outage by Zone inputs'!$A$4:$E$13,MATCH('Baseline Projects'!$I13,'Outage by Zone inputs'!$A$3:$E$3,0),0)*'Baseline Projects'!$L13*$N13*('Baseline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Projects'!V$3,'Baseline scaling factors'!$B$54:$K$54,0))+VLOOKUP($A13,'Outage by Zone inputs'!$A$4:$E$13,MATCH('Baseline Projects'!$I13,'Outage by Zone inputs'!$A$3:$E$3,0),0)*'Baseline Projects'!$L13*$N13*('Baseline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Projects'!V$3,'Baseline scaling factors'!$B$48:$K$48,0))</f>
        <v>190.76984106152455</v>
      </c>
      <c r="W13" s="112">
        <f>VLOOKUP($A13,'Outage by Zone inputs'!$A$4:$E$13,MATCH('Baseline Projects'!$I13,'Outage by Zone inputs'!$A$3:$E$3,0),0)*'Baseline Projects'!$L13*$N13*('Baseline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Projects'!W$3,'Baseline scaling factors'!$B$54:$K$54,0))+VLOOKUP($A13,'Outage by Zone inputs'!$A$4:$E$13,MATCH('Baseline Projects'!$I13,'Outage by Zone inputs'!$A$3:$E$3,0),0)*'Baseline Projects'!$L13*$N13*('Baseline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Projects'!W$3,'Baseline scaling factors'!$B$48:$K$48,0))</f>
        <v>169.56276069366348</v>
      </c>
      <c r="X13" s="112">
        <f>VLOOKUP($A13,'Outage by Zone inputs'!$A$4:$E$13,MATCH('Baseline Projects'!$I13,'Outage by Zone inputs'!$A$3:$E$3,0),0)*'Baseline Projects'!$L13*$N13*('Baseline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Projects'!X$3,'Baseline scaling factors'!$B$54:$K$54,0))+VLOOKUP($A13,'Outage by Zone inputs'!$A$4:$E$13,MATCH('Baseline Projects'!$I13,'Outage by Zone inputs'!$A$3:$E$3,0),0)*'Baseline Projects'!$L13*$N13*('Baseline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Projects'!X$3,'Baseline scaling factors'!$B$48:$K$48,0))</f>
        <v>149.29011160231977</v>
      </c>
      <c r="Y13" s="112">
        <f>VLOOKUP($A13,'Outage by Zone inputs'!$A$4:$E$13,MATCH('Baseline Projects'!$I13,'Outage by Zone inputs'!$A$3:$E$3,0),0)*'Baseline Projects'!$L13*$N13*('Baseline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Projects'!Y$3,'Baseline scaling factors'!$B$54:$K$54,0))+VLOOKUP($A13,'Outage by Zone inputs'!$A$4:$E$13,MATCH('Baseline Projects'!$I13,'Outage by Zone inputs'!$A$3:$E$3,0),0)*'Baseline Projects'!$L13*$N13*('Baseline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Projects'!Y$3,'Baseline scaling factors'!$B$48:$K$48,0))</f>
        <v>129.9107206606231</v>
      </c>
      <c r="Z13" s="112">
        <f>VLOOKUP($A13,'Outage by Zone inputs'!$A$4:$E$13,MATCH('Baseline Projects'!$I13,'Outage by Zone inputs'!$A$3:$E$3,0),0)*'Baseline Projects'!$L13*$N13*('Baseline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Projects'!Z$3,'Baseline scaling factors'!$B$54:$K$54,0))+VLOOKUP($A13,'Outage by Zone inputs'!$A$4:$E$13,MATCH('Baseline Projects'!$I13,'Outage by Zone inputs'!$A$3:$E$3,0),0)*'Baseline Projects'!$L13*$N13*('Baseline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Projects'!Z$3,'Baseline scaling factors'!$B$48:$K$48,0))</f>
        <v>111.38522892153532</v>
      </c>
      <c r="AA13" s="34">
        <f>VLOOKUP($A13,'Outage by Zone inputs'!$A$4:$E$13,MATCH('Baseline Projects'!$I13,'Outage by Zone inputs'!$A$3:$E$3,0),0)*$M13*$N13*('Baseline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Projects'!AA$3,'Baseline scaling factors'!$B$54:$K$54,0))+VLOOKUP($A13,'Outage by Zone inputs'!$A$4:$E$13,MATCH('Baseline Projects'!$I13,'Outage by Zone inputs'!$A$3:$E$3,0),0)*$M13*$N13*('Baseline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Projects'!AA$3,'Baseline scaling factors'!$B$48:$K$48,0))</f>
        <v>51.284265371057529</v>
      </c>
      <c r="AB13" s="34">
        <f>VLOOKUP($A13,'Outage by Zone inputs'!$A$4:$E$13,MATCH('Baseline Projects'!$I13,'Outage by Zone inputs'!$A$3:$E$3,0),0)*$M13*$N13*('Baseline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Projects'!AB$3,'Baseline scaling factors'!$B$54:$K$54,0))+VLOOKUP($A13,'Outage by Zone inputs'!$A$4:$E$13,MATCH('Baseline Projects'!$I13,'Outage by Zone inputs'!$A$3:$E$3,0),0)*$M13*$N13*('Baseline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Projects'!AB$3,'Baseline scaling factors'!$B$48:$K$48,0))</f>
        <v>46.923075296424777</v>
      </c>
      <c r="AC13" s="34">
        <f>VLOOKUP($A13,'Outage by Zone inputs'!$A$4:$E$13,MATCH('Baseline Projects'!$I13,'Outage by Zone inputs'!$A$3:$E$3,0),0)*$M13*$N13*('Baseline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Projects'!AC$3,'Baseline scaling factors'!$B$54:$K$54,0))+VLOOKUP($A13,'Outage by Zone inputs'!$A$4:$E$13,MATCH('Baseline Projects'!$I13,'Outage by Zone inputs'!$A$3:$E$3,0),0)*$M13*$N13*('Baseline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Projects'!AC$3,'Baseline scaling factors'!$B$48:$K$48,0))</f>
        <v>42.754048986812194</v>
      </c>
      <c r="AD13" s="34">
        <f>VLOOKUP($A13,'Outage by Zone inputs'!$A$4:$E$13,MATCH('Baseline Projects'!$I13,'Outage by Zone inputs'!$A$3:$E$3,0),0)*$M13*$N13*('Baseline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Projects'!AD$3,'Baseline scaling factors'!$B$54:$K$54,0))+VLOOKUP($A13,'Outage by Zone inputs'!$A$4:$E$13,MATCH('Baseline Projects'!$I13,'Outage by Zone inputs'!$A$3:$E$3,0),0)*$M13*$N13*('Baseline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Projects'!AD$3,'Baseline scaling factors'!$B$48:$K$48,0))</f>
        <v>38.768719277992901</v>
      </c>
      <c r="AE13" s="34">
        <f>VLOOKUP($A13,'Outage by Zone inputs'!$A$4:$E$13,MATCH('Baseline Projects'!$I13,'Outage by Zone inputs'!$A$3:$E$3,0),0)*$M13*$N13*('Baseline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Projects'!AE$3,'Baseline scaling factors'!$B$54:$K$54,0))+VLOOKUP($A13,'Outage by Zone inputs'!$A$4:$E$13,MATCH('Baseline Projects'!$I13,'Outage by Zone inputs'!$A$3:$E$3,0),0)*$M13*$N13*('Baseline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Projects'!AE$3,'Baseline scaling factors'!$B$48:$K$48,0))</f>
        <v>34.958992087887019</v>
      </c>
      <c r="AF13" s="34">
        <f>VLOOKUP($A13,'Outage by Zone inputs'!$A$4:$E$13,MATCH('Baseline Projects'!$I13,'Outage by Zone inputs'!$A$3:$E$3,0),0)*$M13*$N13*('Baseline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Projects'!AF$3,'Baseline scaling factors'!$B$54:$K$54,0))+VLOOKUP($A13,'Outage by Zone inputs'!$A$4:$E$13,MATCH('Baseline Projects'!$I13,'Outage by Zone inputs'!$A$3:$E$3,0),0)*$M13*$N13*('Baseline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Projects'!AF$3,'Baseline scaling factors'!$B$48:$K$48,0))</f>
        <v>31.317129977730033</v>
      </c>
      <c r="AG13" s="34">
        <f>VLOOKUP($A13,'Outage by Zone inputs'!$A$4:$E$13,MATCH('Baseline Projects'!$I13,'Outage by Zone inputs'!$A$3:$E$3,0),0)*$M13*$N13*('Baseline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Projects'!AG$3,'Baseline scaling factors'!$B$54:$K$54,0))+VLOOKUP($A13,'Outage by Zone inputs'!$A$4:$E$13,MATCH('Baseline Projects'!$I13,'Outage by Zone inputs'!$A$3:$E$3,0),0)*$M13*$N13*('Baseline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Projects'!AG$3,'Baseline scaling factors'!$B$48:$K$48,0))</f>
        <v>27.835736437572493</v>
      </c>
      <c r="AH13" s="34">
        <f>VLOOKUP($A13,'Outage by Zone inputs'!$A$4:$E$13,MATCH('Baseline Projects'!$I13,'Outage by Zone inputs'!$A$3:$E$3,0),0)*$M13*$N13*('Baseline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Projects'!AH$3,'Baseline scaling factors'!$B$54:$K$54,0))+VLOOKUP($A13,'Outage by Zone inputs'!$A$4:$E$13,MATCH('Baseline Projects'!$I13,'Outage by Zone inputs'!$A$3:$E$3,0),0)*$M13*$N13*('Baseline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Projects'!AH$3,'Baseline scaling factors'!$B$48:$K$48,0))</f>
        <v>24.507740864195839</v>
      </c>
      <c r="AI13" s="34">
        <f>VLOOKUP($A13,'Outage by Zone inputs'!$A$4:$E$13,MATCH('Baseline Projects'!$I13,'Outage by Zone inputs'!$A$3:$E$3,0),0)*$M13*$N13*('Baseline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Projects'!AI$3,'Baseline scaling factors'!$B$54:$K$54,0))+VLOOKUP($A13,'Outage by Zone inputs'!$A$4:$E$13,MATCH('Baseline Projects'!$I13,'Outage by Zone inputs'!$A$3:$E$3,0),0)*$M13*$N13*('Baseline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Projects'!AI$3,'Baseline scaling factors'!$B$48:$K$48,0))</f>
        <v>21.326384200934655</v>
      </c>
      <c r="AJ13" s="34">
        <f>VLOOKUP($A13,'Outage by Zone inputs'!$A$4:$E$13,MATCH('Baseline Projects'!$I13,'Outage by Zone inputs'!$A$3:$E$3,0),0)*$M13*$N13*('Baseline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Projects'!AJ$3,'Baseline scaling factors'!$B$54:$K$54,0))+VLOOKUP($A13,'Outage by Zone inputs'!$A$4:$E$13,MATCH('Baseline Projects'!$I13,'Outage by Zone inputs'!$A$3:$E$3,0),0)*$M13*$N13*('Baseline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Projects'!AJ$3,'Baseline scaling factors'!$B$48:$K$48,0))</f>
        <v>18.285205210240473</v>
      </c>
      <c r="AK13" s="1">
        <f t="shared" ref="AK13:AK14" si="42">Q13*ICE_VALUE_RES_WTD</f>
        <v>6560.4132427131017</v>
      </c>
      <c r="AL13" s="1">
        <f t="shared" ref="AL13:AL14" si="43">R13*ICE_VALUE_RES_WTD</f>
        <v>6002.5187518278608</v>
      </c>
      <c r="AM13" s="1">
        <f t="shared" ref="AM13:AM14" si="44">S13*ICE_VALUE_RES_WTD</f>
        <v>5469.2063369397456</v>
      </c>
      <c r="AN13" s="1">
        <f t="shared" ref="AN13:AN14" si="45">T13*ICE_VALUE_RES_WTD</f>
        <v>4959.3928569347981</v>
      </c>
      <c r="AO13" s="1">
        <f t="shared" ref="AO13:AO14" si="46">U13*ICE_VALUE_RES_WTD</f>
        <v>4472.0428963131544</v>
      </c>
      <c r="AP13" s="1">
        <f t="shared" ref="AP13:AP14" si="47">V13*ICE_VALUE_RES_WTD</f>
        <v>4006.1666622920156</v>
      </c>
      <c r="AQ13" s="1">
        <f t="shared" ref="AQ13:AQ14" si="48">W13*ICE_VALUE_RES_WTD</f>
        <v>3560.8179745669331</v>
      </c>
      <c r="AR13" s="1">
        <f t="shared" ref="AR13:AR14" si="49">X13*ICE_VALUE_RES_WTD</f>
        <v>3135.0923436487151</v>
      </c>
      <c r="AS13" s="1">
        <f t="shared" ref="AS13:AS14" si="50">Y13*ICE_VALUE_RES_WTD</f>
        <v>2728.1251338730849</v>
      </c>
      <c r="AT13" s="1">
        <f t="shared" ref="AT13:AT14" si="51">Z13*ICE_VALUE_RES_WTD</f>
        <v>2339.0898073522417</v>
      </c>
      <c r="AU13" s="1">
        <f t="shared" ref="AU13:AU14" si="52">AA13*ICE_VALUE_NONRES_WTD</f>
        <v>199239.37096655849</v>
      </c>
      <c r="AV13" s="1">
        <f t="shared" ref="AV13:AV14" si="53">AB13*ICE_VALUE_NONRES_WTD</f>
        <v>182296.14752661026</v>
      </c>
      <c r="AW13" s="1">
        <f t="shared" ref="AW13:AW14" si="54">AC13*ICE_VALUE_NONRES_WTD</f>
        <v>166099.48031376538</v>
      </c>
      <c r="AX13" s="1">
        <f t="shared" ref="AX13:AX14" si="55">AD13*ICE_VALUE_NONRES_WTD</f>
        <v>150616.47439500241</v>
      </c>
      <c r="AY13" s="1">
        <f t="shared" ref="AY13:AY14" si="56">AE13*ICE_VALUE_NONRES_WTD</f>
        <v>135815.68426144106</v>
      </c>
      <c r="AZ13" s="1">
        <f t="shared" ref="AZ13:AZ14" si="57">AF13*ICE_VALUE_NONRES_WTD</f>
        <v>121667.04996348119</v>
      </c>
      <c r="BA13" s="1">
        <f t="shared" ref="BA13:BA14" si="58">AG13*ICE_VALUE_NONRES_WTD</f>
        <v>108141.83605996914</v>
      </c>
      <c r="BB13" s="1">
        <f t="shared" ref="BB13:BB14" si="59">AH13*ICE_VALUE_NONRES_WTD</f>
        <v>95212.573257400829</v>
      </c>
      <c r="BC13" s="1">
        <f t="shared" ref="BC13:BC14" si="60">AI13*ICE_VALUE_NONRES_WTD</f>
        <v>82853.00262063113</v>
      </c>
      <c r="BD13" s="1">
        <f t="shared" ref="BD13:BD14" si="61">AJ13*ICE_VALUE_NONRES_WTD</f>
        <v>71038.022241784245</v>
      </c>
      <c r="BE13" s="1">
        <f t="shared" ref="BE13:BE14" si="62">AK13+AU13</f>
        <v>205799.7842092716</v>
      </c>
      <c r="BF13" s="1">
        <f t="shared" ref="BF13:BF14" si="63">AL13+AV13</f>
        <v>188298.66627843812</v>
      </c>
      <c r="BG13" s="1">
        <f t="shared" ref="BG13:BG14" si="64">AM13+AW13</f>
        <v>171568.68665070512</v>
      </c>
      <c r="BH13" s="1">
        <f t="shared" ref="BH13:BH14" si="65">AN13+AX13</f>
        <v>155575.86725193722</v>
      </c>
      <c r="BI13" s="1">
        <f t="shared" ref="BI13:BI14" si="66">AO13+AY13</f>
        <v>140287.72715775421</v>
      </c>
      <c r="BJ13" s="1">
        <f t="shared" ref="BJ13:BJ14" si="67">AP13+AZ13</f>
        <v>125673.2166257732</v>
      </c>
      <c r="BK13" s="1">
        <f t="shared" ref="BK13:BK14" si="68">AQ13+BA13</f>
        <v>111702.65403453607</v>
      </c>
      <c r="BL13" s="1">
        <f t="shared" ref="BL13:BL14" si="69">AR13+BB13</f>
        <v>98347.66560104955</v>
      </c>
      <c r="BM13" s="1">
        <f t="shared" ref="BM13:BM14" si="70">AS13+BC13</f>
        <v>85581.12775450421</v>
      </c>
      <c r="BN13" s="1">
        <f t="shared" ref="BN13:BN14" si="71">AT13+BD13</f>
        <v>73377.112049136485</v>
      </c>
      <c r="BO13" s="25">
        <f>VLOOKUP($A13,'Outage by Zone inputs'!$A$59:$E$68,MATCH('Baseline Projects'!$I13,'Outage by Zone inputs'!$A$58:$E$58,0),0)*AVG_INCIDENT_PERCENT_NON_STORM</f>
        <v>20.330971234443997</v>
      </c>
      <c r="BP13" s="25">
        <f>$BO13*$N13*('Baseline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Projects'!Q$3,'Baseline scaling factors'!$B$54:$K$54,0))+$BO13*$N13*('Baseline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Projects'!Q$3,'Baseline scaling factors'!$B$48:$K$48,0))</f>
        <v>4.7615002793023145</v>
      </c>
      <c r="BQ13" s="25">
        <f>$BO13*$N13*('Baseline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Projects'!R$3,'Baseline scaling factors'!$B$54:$K$54,0))+$BO13*$N13*('Baseline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Projects'!R$3,'Baseline scaling factors'!$B$48:$K$48,0))</f>
        <v>4.3565845101437386</v>
      </c>
      <c r="BR13" s="25">
        <f>$BO13*$N13*('Baseline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Projects'!S$3,'Baseline scaling factors'!$B$54:$K$54,0))+$BO13*$N13*('Baseline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Projects'!S$3,'Baseline scaling factors'!$B$48:$K$48,0))</f>
        <v>3.9695102331893515</v>
      </c>
      <c r="BS13" s="25">
        <f>$BO13*$N13*('Baseline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Projects'!T$3,'Baseline scaling factors'!$B$54:$K$54,0))+$BO13*$N13*('Baseline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Projects'!T$3,'Baseline scaling factors'!$B$48:$K$48,0))</f>
        <v>3.5994913124861569</v>
      </c>
      <c r="BT13" s="25">
        <f>$BO13*$N13*('Baseline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Projects'!U$3,'Baseline scaling factors'!$B$54:$K$54,0))+$BO13*$N13*('Baseline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Projects'!U$3,'Baseline scaling factors'!$B$48:$K$48,0))</f>
        <v>3.2457762509852044</v>
      </c>
      <c r="BU13" s="25">
        <f>$BO13*$N13*('Baseline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Projects'!V$3,'Baseline scaling factors'!$B$54:$K$54,0))+$BO13*$N13*('Baseline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Projects'!V$3,'Baseline scaling factors'!$B$48:$K$48,0))</f>
        <v>2.9076466642742029</v>
      </c>
      <c r="BV13" s="25">
        <f>$BO13*$N13*('Baseline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Projects'!W$3,'Baseline scaling factors'!$B$54:$K$54,0))+$BO13*$N13*('Baseline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Projects'!W$3,'Baseline scaling factors'!$B$48:$K$48,0))</f>
        <v>2.5844158215608646</v>
      </c>
      <c r="BW13" s="25">
        <f>$BO13*$N13*('Baseline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Projects'!X$3,'Baseline scaling factors'!$B$54:$K$54,0))+$BO13*$N13*('Baseline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Projects'!X$3,'Baseline scaling factors'!$B$48:$K$48,0))</f>
        <v>2.2754272509437903</v>
      </c>
      <c r="BX13" s="25">
        <f>$BO13*$N13*('Baseline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Projects'!Y$3,'Baseline scaling factors'!$B$54:$K$54,0))+$BO13*$N13*('Baseline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Projects'!Y$3,'Baseline scaling factors'!$B$48:$K$48,0))</f>
        <v>1.9800534061382202</v>
      </c>
      <c r="BY13" s="25">
        <f>$BO13*$N13*('Baseline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Projects'!Z$3,'Baseline scaling factors'!$B$54:$K$54,0))+$BO13*$N13*('Baseline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Projects'!Z$3,'Baseline scaling factors'!$B$48:$K$48,0))</f>
        <v>1.6976943919488341</v>
      </c>
      <c r="BZ13" s="12">
        <f t="shared" si="32"/>
        <v>2247.4281318306926</v>
      </c>
      <c r="CA13" s="12">
        <f t="shared" si="33"/>
        <v>2056.3078887878446</v>
      </c>
      <c r="CB13" s="12">
        <f t="shared" si="34"/>
        <v>1873.6088300653739</v>
      </c>
      <c r="CC13" s="12">
        <f t="shared" si="35"/>
        <v>1698.9598994934661</v>
      </c>
      <c r="CD13" s="12">
        <f t="shared" si="36"/>
        <v>1532.0063904650165</v>
      </c>
      <c r="CE13" s="12">
        <f t="shared" si="37"/>
        <v>1372.4092255374237</v>
      </c>
      <c r="CF13" s="12">
        <f t="shared" si="38"/>
        <v>1219.844267776728</v>
      </c>
      <c r="CG13" s="12">
        <f t="shared" si="39"/>
        <v>1074.001662445469</v>
      </c>
      <c r="CH13" s="12">
        <f t="shared" si="40"/>
        <v>934.58520769723998</v>
      </c>
      <c r="CI13" s="12">
        <f t="shared" si="41"/>
        <v>801.31175299984966</v>
      </c>
      <c r="CJ13" s="12">
        <f>'Mitigation Projects'!$AG13*VLOOKUP('Baseline Projects'!$H13&amp;"-"&amp;'Baseline Projects'!$G13,'Baseline scaling factors'!$A$49:$K$51,MATCH('Baseline Projects'!CJ$2,'Baseline scaling factors'!$A$48:$K$48,0),0)</f>
        <v>0</v>
      </c>
      <c r="CK13" s="12">
        <f>'Mitigation Projects'!$AG13*VLOOKUP('Baseline Projects'!$H13&amp;"-"&amp;'Baseline Projects'!$G13,'Baseline scaling factors'!$A$49:$K$51,MATCH('Baseline Projects'!CK$2,'Baseline scaling factors'!$A$48:$K$48,0),0)</f>
        <v>0</v>
      </c>
      <c r="CL13" s="12">
        <f>'Mitigation Projects'!$AG13*VLOOKUP('Baseline Projects'!$H13&amp;"-"&amp;'Baseline Projects'!$G13,'Baseline scaling factors'!$A$49:$K$51,MATCH('Baseline Projects'!CL$2,'Baseline scaling factors'!$A$48:$K$48,0),0)</f>
        <v>0</v>
      </c>
      <c r="CM13" s="12">
        <f>'Mitigation Projects'!$AG13*VLOOKUP('Baseline Projects'!$H13&amp;"-"&amp;'Baseline Projects'!$G13,'Baseline scaling factors'!$A$49:$K$51,MATCH('Baseline Projects'!CM$2,'Baseline scaling factors'!$A$48:$K$48,0),0)</f>
        <v>0</v>
      </c>
      <c r="CN13" s="12">
        <f>'Mitigation Projects'!$AG13*VLOOKUP('Baseline Projects'!$H13&amp;"-"&amp;'Baseline Projects'!$G13,'Baseline scaling factors'!$A$49:$K$51,MATCH('Baseline Projects'!CN$2,'Baseline scaling factors'!$A$48:$K$48,0),0)</f>
        <v>0</v>
      </c>
      <c r="CO13" s="12">
        <f>'Mitigation Projects'!$AG13*VLOOKUP('Baseline Projects'!$H13&amp;"-"&amp;'Baseline Projects'!$G13,'Baseline scaling factors'!$A$49:$K$51,MATCH('Baseline Projects'!CO$2,'Baseline scaling factors'!$A$48:$K$48,0),0)</f>
        <v>0</v>
      </c>
      <c r="CP13" s="12">
        <f>'Mitigation Projects'!$AG13*VLOOKUP('Baseline Projects'!$H13&amp;"-"&amp;'Baseline Projects'!$G13,'Baseline scaling factors'!$A$49:$K$51,MATCH('Baseline Projects'!CP$2,'Baseline scaling factors'!$A$48:$K$48,0),0)</f>
        <v>0</v>
      </c>
      <c r="CQ13" s="12">
        <f>'Mitigation Projects'!$AG13*VLOOKUP('Baseline Projects'!$H13&amp;"-"&amp;'Baseline Projects'!$G13,'Baseline scaling factors'!$A$49:$K$51,MATCH('Baseline Projects'!CQ$2,'Baseline scaling factors'!$A$48:$K$48,0),0)</f>
        <v>0</v>
      </c>
      <c r="CR13" s="12">
        <f>'Mitigation Projects'!$AG13*VLOOKUP('Baseline Projects'!$H13&amp;"-"&amp;'Baseline Projects'!$G13,'Baseline scaling factors'!$A$49:$K$51,MATCH('Baseline Projects'!CR$2,'Baseline scaling factors'!$A$48:$K$48,0),0)</f>
        <v>0</v>
      </c>
      <c r="CS13" s="12">
        <f>'Mitigation Projects'!$AG13*VLOOKUP('Baseline Projects'!$H13&amp;"-"&amp;'Baseline Projects'!$G13,'Baseline scaling factors'!$A$49:$K$51,MATCH('Baseline Projects'!CS$2,'Baseline scaling factors'!$A$48:$K$48,0),0)</f>
        <v>0</v>
      </c>
      <c r="CT13" s="12">
        <f>'Mitigation Projects'!$AH13*VLOOKUP('Baseline Projects'!$H13&amp;"-"&amp;'Baseline Projects'!$G13,'Baseline scaling factors'!$A$49:$K$51,MATCH('Baseline Projects'!CT$2,'Baseline scaling factors'!$A$48:$K$48,0),0)</f>
        <v>0</v>
      </c>
      <c r="CU13" s="12">
        <f>'Mitigation Projects'!$AH13*VLOOKUP('Baseline Projects'!$H13&amp;"-"&amp;'Baseline Projects'!$G13,'Baseline scaling factors'!$A$49:$K$51,MATCH('Baseline Projects'!CU$2,'Baseline scaling factors'!$A$48:$K$48,0),0)</f>
        <v>0</v>
      </c>
      <c r="CV13" s="12">
        <f>'Mitigation Projects'!$AH13*VLOOKUP('Baseline Projects'!$H13&amp;"-"&amp;'Baseline Projects'!$G13,'Baseline scaling factors'!$A$49:$K$51,MATCH('Baseline Projects'!CV$2,'Baseline scaling factors'!$A$48:$K$48,0),0)</f>
        <v>0</v>
      </c>
      <c r="CW13" s="12">
        <f>'Mitigation Projects'!$AH13*VLOOKUP('Baseline Projects'!$H13&amp;"-"&amp;'Baseline Projects'!$G13,'Baseline scaling factors'!$A$49:$K$51,MATCH('Baseline Projects'!CW$2,'Baseline scaling factors'!$A$48:$K$48,0),0)</f>
        <v>0</v>
      </c>
      <c r="CX13" s="12">
        <f>'Mitigation Projects'!$AH13*VLOOKUP('Baseline Projects'!$H13&amp;"-"&amp;'Baseline Projects'!$G13,'Baseline scaling factors'!$A$49:$K$51,MATCH('Baseline Projects'!CX$2,'Baseline scaling factors'!$A$48:$K$48,0),0)</f>
        <v>0</v>
      </c>
      <c r="CY13" s="12">
        <f>'Mitigation Projects'!$AH13*VLOOKUP('Baseline Projects'!$H13&amp;"-"&amp;'Baseline Projects'!$G13,'Baseline scaling factors'!$A$49:$K$51,MATCH('Baseline Projects'!CY$2,'Baseline scaling factors'!$A$48:$K$48,0),0)</f>
        <v>0</v>
      </c>
      <c r="CZ13" s="12">
        <f>'Mitigation Projects'!$AH13*VLOOKUP('Baseline Projects'!$H13&amp;"-"&amp;'Baseline Projects'!$G13,'Baseline scaling factors'!$A$49:$K$51,MATCH('Baseline Projects'!CZ$2,'Baseline scaling factors'!$A$48:$K$48,0),0)</f>
        <v>0</v>
      </c>
      <c r="DA13" s="12">
        <f>'Mitigation Projects'!$AH13*VLOOKUP('Baseline Projects'!$H13&amp;"-"&amp;'Baseline Projects'!$G13,'Baseline scaling factors'!$A$49:$K$51,MATCH('Baseline Projects'!DA$2,'Baseline scaling factors'!$A$48:$K$48,0),0)</f>
        <v>0</v>
      </c>
      <c r="DB13" s="12">
        <f>'Mitigation Projects'!$AH13*VLOOKUP('Baseline Projects'!$H13&amp;"-"&amp;'Baseline Projects'!$G13,'Baseline scaling factors'!$A$49:$K$51,MATCH('Baseline Projects'!DB$2,'Baseline scaling factors'!$A$48:$K$48,0),0)</f>
        <v>0</v>
      </c>
      <c r="DC13" s="12">
        <f>'Mitigation Projects'!$AH13*VLOOKUP('Baseline Projects'!$H13&amp;"-"&amp;'Baseline Projects'!$G13,'Baseline scaling factors'!$A$49:$K$51,MATCH('Baseline Projects'!DC$2,'Baseline scaling factors'!$A$48:$K$48,0),0)</f>
        <v>0</v>
      </c>
    </row>
    <row r="14" spans="1:107" x14ac:dyDescent="0.4">
      <c r="A14" s="38" t="str">
        <f>'Mitigation Projects'!A14</f>
        <v>CS-G34</v>
      </c>
      <c r="B14" s="38" t="str">
        <f>'Mitigation Projects'!B14</f>
        <v>Royalton</v>
      </c>
      <c r="C14" s="39">
        <f>'Mitigation Projects'!C14</f>
        <v>203325</v>
      </c>
      <c r="D14" s="39" t="str">
        <f>'Mitigation Projects'!D14</f>
        <v>203325: Chelsea L6 Zone 2 L6 P327</v>
      </c>
      <c r="E14" s="39">
        <f>'Mitigation Projects'!E14</f>
        <v>0</v>
      </c>
      <c r="F14" s="39">
        <f>'Mitigation Projects'!F14</f>
        <v>0</v>
      </c>
      <c r="G14" s="39" t="str">
        <f>'Mitigation Projects'!G14</f>
        <v>3PH</v>
      </c>
      <c r="H14" s="39" t="str">
        <f>'Mitigation Projects'!H14</f>
        <v>OH</v>
      </c>
      <c r="I14" s="39" t="str">
        <f>'Mitigation Projects'!J14</f>
        <v>Zone 1</v>
      </c>
      <c r="J14" s="39">
        <f>'Mitigation Projects'!K14</f>
        <v>569</v>
      </c>
      <c r="K14" s="40">
        <f>'Mitigation Projects'!L14*BASELINE_CAP_SPEND</f>
        <v>200972.7</v>
      </c>
      <c r="L14" s="97">
        <f>'Mitigation Projects'!Q14</f>
        <v>0.83087400681044266</v>
      </c>
      <c r="M14" s="97">
        <f>'Mitigation Projects'!R14</f>
        <v>0.16912599318955734</v>
      </c>
      <c r="N14" s="98">
        <f>'Mitigation Projects'!S14</f>
        <v>1</v>
      </c>
      <c r="O14" s="26">
        <f t="shared" si="0"/>
        <v>0.9</v>
      </c>
      <c r="P14" s="26">
        <f t="shared" si="1"/>
        <v>0.80330442615766917</v>
      </c>
      <c r="Q14" s="112">
        <f>VLOOKUP($A14,'Outage by Zone inputs'!$A$4:$E$13,MATCH('Baseline Projects'!$I14,'Outage by Zone inputs'!$A$3:$E$3,0),0)*'Baseline Projects'!$L14*$N14*('Baseline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Projects'!Q$3,'Baseline scaling factors'!$B$54:$K$54,0))+VLOOKUP($A14,'Outage by Zone inputs'!$A$4:$E$13,MATCH('Baseline Projects'!$I14,'Outage by Zone inputs'!$A$3:$E$3,0),0)*'Baseline Projects'!$L14*$N14*('Baseline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Projects'!Q$3,'Baseline scaling factors'!$B$48:$K$48,0))</f>
        <v>769.46995087775736</v>
      </c>
      <c r="R14" s="112">
        <f>VLOOKUP($A14,'Outage by Zone inputs'!$A$4:$E$13,MATCH('Baseline Projects'!$I14,'Outage by Zone inputs'!$A$3:$E$3,0),0)*'Baseline Projects'!$L14*$N14*('Baseline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Projects'!R$3,'Baseline scaling factors'!$B$54:$K$54,0))+VLOOKUP($A14,'Outage by Zone inputs'!$A$4:$E$13,MATCH('Baseline Projects'!$I14,'Outage by Zone inputs'!$A$3:$E$3,0),0)*'Baseline Projects'!$L14*$N14*('Baseline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Projects'!R$3,'Baseline scaling factors'!$B$48:$K$48,0))</f>
        <v>712.14612341189388</v>
      </c>
      <c r="S14" s="112">
        <f>VLOOKUP($A14,'Outage by Zone inputs'!$A$4:$E$13,MATCH('Baseline Projects'!$I14,'Outage by Zone inputs'!$A$3:$E$3,0),0)*'Baseline Projects'!$L14*$N14*('Baseline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Projects'!S$3,'Baseline scaling factors'!$B$54:$K$54,0))+VLOOKUP($A14,'Outage by Zone inputs'!$A$4:$E$13,MATCH('Baseline Projects'!$I14,'Outage by Zone inputs'!$A$3:$E$3,0),0)*'Baseline Projects'!$L14*$N14*('Baseline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Projects'!S$3,'Baseline scaling factors'!$B$48:$K$48,0))</f>
        <v>657.34811168042847</v>
      </c>
      <c r="T14" s="112">
        <f>VLOOKUP($A14,'Outage by Zone inputs'!$A$4:$E$13,MATCH('Baseline Projects'!$I14,'Outage by Zone inputs'!$A$3:$E$3,0),0)*'Baseline Projects'!$L14*$N14*('Baseline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Projects'!T$3,'Baseline scaling factors'!$B$54:$K$54,0))+VLOOKUP($A14,'Outage by Zone inputs'!$A$4:$E$13,MATCH('Baseline Projects'!$I14,'Outage by Zone inputs'!$A$3:$E$3,0),0)*'Baseline Projects'!$L14*$N14*('Baseline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Projects'!T$3,'Baseline scaling factors'!$B$48:$K$48,0))</f>
        <v>604.96462260670944</v>
      </c>
      <c r="U14" s="112">
        <f>VLOOKUP($A14,'Outage by Zone inputs'!$A$4:$E$13,MATCH('Baseline Projects'!$I14,'Outage by Zone inputs'!$A$3:$E$3,0),0)*'Baseline Projects'!$L14*$N14*('Baseline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Projects'!U$3,'Baseline scaling factors'!$B$54:$K$54,0))+VLOOKUP($A14,'Outage by Zone inputs'!$A$4:$E$13,MATCH('Baseline Projects'!$I14,'Outage by Zone inputs'!$A$3:$E$3,0),0)*'Baseline Projects'!$L14*$N14*('Baseline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Projects'!U$3,'Baseline scaling factors'!$B$48:$K$48,0))</f>
        <v>554.88926693534995</v>
      </c>
      <c r="V14" s="112">
        <f>VLOOKUP($A14,'Outage by Zone inputs'!$A$4:$E$13,MATCH('Baseline Projects'!$I14,'Outage by Zone inputs'!$A$3:$E$3,0),0)*'Baseline Projects'!$L14*$N14*('Baseline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Projects'!V$3,'Baseline scaling factors'!$B$54:$K$54,0))+VLOOKUP($A14,'Outage by Zone inputs'!$A$4:$E$13,MATCH('Baseline Projects'!$I14,'Outage by Zone inputs'!$A$3:$E$3,0),0)*'Baseline Projects'!$L14*$N14*('Baseline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Projects'!V$3,'Baseline scaling factors'!$B$48:$K$48,0))</f>
        <v>507.0203431589232</v>
      </c>
      <c r="W14" s="112">
        <f>VLOOKUP($A14,'Outage by Zone inputs'!$A$4:$E$13,MATCH('Baseline Projects'!$I14,'Outage by Zone inputs'!$A$3:$E$3,0),0)*'Baseline Projects'!$L14*$N14*('Baseline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Projects'!W$3,'Baseline scaling factors'!$B$54:$K$54,0))+VLOOKUP($A14,'Outage by Zone inputs'!$A$4:$E$13,MATCH('Baseline Projects'!$I14,'Outage by Zone inputs'!$A$3:$E$3,0),0)*'Baseline Projects'!$L14*$N14*('Baseline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Projects'!W$3,'Baseline scaling factors'!$B$48:$K$48,0))</f>
        <v>461.26063096532721</v>
      </c>
      <c r="X14" s="112">
        <f>VLOOKUP($A14,'Outage by Zone inputs'!$A$4:$E$13,MATCH('Baseline Projects'!$I14,'Outage by Zone inputs'!$A$3:$E$3,0),0)*'Baseline Projects'!$L14*$N14*('Baseline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Projects'!X$3,'Baseline scaling factors'!$B$54:$K$54,0))+VLOOKUP($A14,'Outage by Zone inputs'!$A$4:$E$13,MATCH('Baseline Projects'!$I14,'Outage by Zone inputs'!$A$3:$E$3,0),0)*'Baseline Projects'!$L14*$N14*('Baseline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Projects'!X$3,'Baseline scaling factors'!$B$48:$K$48,0))</f>
        <v>417.51719378632174</v>
      </c>
      <c r="Y14" s="112">
        <f>VLOOKUP($A14,'Outage by Zone inputs'!$A$4:$E$13,MATCH('Baseline Projects'!$I14,'Outage by Zone inputs'!$A$3:$E$3,0),0)*'Baseline Projects'!$L14*$N14*('Baseline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Projects'!Y$3,'Baseline scaling factors'!$B$54:$K$54,0))+VLOOKUP($A14,'Outage by Zone inputs'!$A$4:$E$13,MATCH('Baseline Projects'!$I14,'Outage by Zone inputs'!$A$3:$E$3,0),0)*'Baseline Projects'!$L14*$N14*('Baseline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Projects'!Y$3,'Baseline scaling factors'!$B$48:$K$48,0))</f>
        <v>375.70119004621512</v>
      </c>
      <c r="Z14" s="112">
        <f>VLOOKUP($A14,'Outage by Zone inputs'!$A$4:$E$13,MATCH('Baseline Projects'!$I14,'Outage by Zone inputs'!$A$3:$E$3,0),0)*'Baseline Projects'!$L14*$N14*('Baseline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Projects'!Z$3,'Baseline scaling factors'!$B$54:$K$54,0))+VLOOKUP($A14,'Outage by Zone inputs'!$A$4:$E$13,MATCH('Baseline Projects'!$I14,'Outage by Zone inputs'!$A$3:$E$3,0),0)*'Baseline Projects'!$L14*$N14*('Baseline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Projects'!Z$3,'Baseline scaling factors'!$B$48:$K$48,0))</f>
        <v>335.72769272735741</v>
      </c>
      <c r="AA14" s="34">
        <f>VLOOKUP($A14,'Outage by Zone inputs'!$A$4:$E$13,MATCH('Baseline Projects'!$I14,'Outage by Zone inputs'!$A$3:$E$3,0),0)*$M14*$N14*('Baseline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Projects'!AA$3,'Baseline scaling factors'!$B$54:$K$54,0))+VLOOKUP($A14,'Outage by Zone inputs'!$A$4:$E$13,MATCH('Baseline Projects'!$I14,'Outage by Zone inputs'!$A$3:$E$3,0),0)*$M14*$N14*('Baseline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Projects'!AA$3,'Baseline scaling factors'!$B$48:$K$48,0))</f>
        <v>156.62708016500801</v>
      </c>
      <c r="AB14" s="34">
        <f>VLOOKUP($A14,'Outage by Zone inputs'!$A$4:$E$13,MATCH('Baseline Projects'!$I14,'Outage by Zone inputs'!$A$3:$E$3,0),0)*$M14*$N14*('Baseline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Projects'!AB$3,'Baseline scaling factors'!$B$54:$K$54,0))+VLOOKUP($A14,'Outage by Zone inputs'!$A$4:$E$13,MATCH('Baseline Projects'!$I14,'Outage by Zone inputs'!$A$3:$E$3,0),0)*$M14*$N14*('Baseline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Projects'!AB$3,'Baseline scaling factors'!$B$48:$K$48,0))</f>
        <v>144.95870544859588</v>
      </c>
      <c r="AC14" s="34">
        <f>VLOOKUP($A14,'Outage by Zone inputs'!$A$4:$E$13,MATCH('Baseline Projects'!$I14,'Outage by Zone inputs'!$A$3:$E$3,0),0)*$M14*$N14*('Baseline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Projects'!AC$3,'Baseline scaling factors'!$B$54:$K$54,0))+VLOOKUP($A14,'Outage by Zone inputs'!$A$4:$E$13,MATCH('Baseline Projects'!$I14,'Outage by Zone inputs'!$A$3:$E$3,0),0)*$M14*$N14*('Baseline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Projects'!AC$3,'Baseline scaling factors'!$B$48:$K$48,0))</f>
        <v>133.80446535571565</v>
      </c>
      <c r="AD14" s="34">
        <f>VLOOKUP($A14,'Outage by Zone inputs'!$A$4:$E$13,MATCH('Baseline Projects'!$I14,'Outage by Zone inputs'!$A$3:$E$3,0),0)*$M14*$N14*('Baseline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Projects'!AD$3,'Baseline scaling factors'!$B$54:$K$54,0))+VLOOKUP($A14,'Outage by Zone inputs'!$A$4:$E$13,MATCH('Baseline Projects'!$I14,'Outage by Zone inputs'!$A$3:$E$3,0),0)*$M14*$N14*('Baseline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Projects'!AD$3,'Baseline scaling factors'!$B$48:$K$48,0))</f>
        <v>123.14170596775915</v>
      </c>
      <c r="AE14" s="34">
        <f>VLOOKUP($A14,'Outage by Zone inputs'!$A$4:$E$13,MATCH('Baseline Projects'!$I14,'Outage by Zone inputs'!$A$3:$E$3,0),0)*$M14*$N14*('Baseline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Projects'!AE$3,'Baseline scaling factors'!$B$54:$K$54,0))+VLOOKUP($A14,'Outage by Zone inputs'!$A$4:$E$13,MATCH('Baseline Projects'!$I14,'Outage by Zone inputs'!$A$3:$E$3,0),0)*$M14*$N14*('Baseline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Projects'!AE$3,'Baseline scaling factors'!$B$48:$K$48,0))</f>
        <v>112.94877154831578</v>
      </c>
      <c r="AF14" s="34">
        <f>VLOOKUP($A14,'Outage by Zone inputs'!$A$4:$E$13,MATCH('Baseline Projects'!$I14,'Outage by Zone inputs'!$A$3:$E$3,0),0)*$M14*$N14*('Baseline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Projects'!AF$3,'Baseline scaling factors'!$B$54:$K$54,0))+VLOOKUP($A14,'Outage by Zone inputs'!$A$4:$E$13,MATCH('Baseline Projects'!$I14,'Outage by Zone inputs'!$A$3:$E$3,0),0)*$M14*$N14*('Baseline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Projects'!AF$3,'Baseline scaling factors'!$B$48:$K$48,0))</f>
        <v>103.20496056103767</v>
      </c>
      <c r="AG14" s="34">
        <f>VLOOKUP($A14,'Outage by Zone inputs'!$A$4:$E$13,MATCH('Baseline Projects'!$I14,'Outage by Zone inputs'!$A$3:$E$3,0),0)*$M14*$N14*('Baseline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Projects'!AG$3,'Baseline scaling factors'!$B$54:$K$54,0))+VLOOKUP($A14,'Outage by Zone inputs'!$A$4:$E$13,MATCH('Baseline Projects'!$I14,'Outage by Zone inputs'!$A$3:$E$3,0),0)*$M14*$N14*('Baseline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Projects'!AG$3,'Baseline scaling factors'!$B$48:$K$48,0))</f>
        <v>93.890483625455971</v>
      </c>
      <c r="AH14" s="34">
        <f>VLOOKUP($A14,'Outage by Zone inputs'!$A$4:$E$13,MATCH('Baseline Projects'!$I14,'Outage by Zone inputs'!$A$3:$E$3,0),0)*$M14*$N14*('Baseline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Projects'!AH$3,'Baseline scaling factors'!$B$54:$K$54,0))+VLOOKUP($A14,'Outage by Zone inputs'!$A$4:$E$13,MATCH('Baseline Projects'!$I14,'Outage by Zone inputs'!$A$3:$E$3,0),0)*$M14*$N14*('Baseline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Projects'!AH$3,'Baseline scaling factors'!$B$48:$K$48,0))</f>
        <v>84.986423325357833</v>
      </c>
      <c r="AI14" s="34">
        <f>VLOOKUP($A14,'Outage by Zone inputs'!$A$4:$E$13,MATCH('Baseline Projects'!$I14,'Outage by Zone inputs'!$A$3:$E$3,0),0)*$M14*$N14*('Baseline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Projects'!AI$3,'Baseline scaling factors'!$B$54:$K$54,0))+VLOOKUP($A14,'Outage by Zone inputs'!$A$4:$E$13,MATCH('Baseline Projects'!$I14,'Outage by Zone inputs'!$A$3:$E$3,0),0)*$M14*$N14*('Baseline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Projects'!AI$3,'Baseline scaling factors'!$B$48:$K$48,0))</f>
        <v>76.474695788095715</v>
      </c>
      <c r="AJ14" s="34">
        <f>VLOOKUP($A14,'Outage by Zone inputs'!$A$4:$E$13,MATCH('Baseline Projects'!$I14,'Outage by Zone inputs'!$A$3:$E$3,0),0)*$M14*$N14*('Baseline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Projects'!AJ$3,'Baseline scaling factors'!$B$54:$K$54,0))+VLOOKUP($A14,'Outage by Zone inputs'!$A$4:$E$13,MATCH('Baseline Projects'!$I14,'Outage by Zone inputs'!$A$3:$E$3,0),0)*$M14*$N14*('Baseline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Projects'!AJ$3,'Baseline scaling factors'!$B$48:$K$48,0))</f>
        <v>68.338013956798164</v>
      </c>
      <c r="AK14" s="1">
        <f t="shared" si="42"/>
        <v>16158.868968432904</v>
      </c>
      <c r="AL14" s="1">
        <f t="shared" si="43"/>
        <v>14955.068591649771</v>
      </c>
      <c r="AM14" s="1">
        <f t="shared" si="44"/>
        <v>13804.310345288997</v>
      </c>
      <c r="AN14" s="1">
        <f t="shared" si="45"/>
        <v>12704.257074740899</v>
      </c>
      <c r="AO14" s="1">
        <f t="shared" si="46"/>
        <v>11652.674605642349</v>
      </c>
      <c r="AP14" s="1">
        <f t="shared" si="47"/>
        <v>10647.427206337386</v>
      </c>
      <c r="AQ14" s="1">
        <f t="shared" si="48"/>
        <v>9686.4732502718707</v>
      </c>
      <c r="AR14" s="1">
        <f t="shared" si="49"/>
        <v>8767.8610695127572</v>
      </c>
      <c r="AS14" s="1">
        <f t="shared" si="50"/>
        <v>7889.7249909705179</v>
      </c>
      <c r="AT14" s="1">
        <f t="shared" si="51"/>
        <v>7050.281547274506</v>
      </c>
      <c r="AU14" s="1">
        <f t="shared" si="52"/>
        <v>608496.2064410561</v>
      </c>
      <c r="AV14" s="1">
        <f t="shared" si="53"/>
        <v>563164.57066779502</v>
      </c>
      <c r="AW14" s="1">
        <f t="shared" si="54"/>
        <v>519830.34790695528</v>
      </c>
      <c r="AX14" s="1">
        <f t="shared" si="55"/>
        <v>478405.52768474427</v>
      </c>
      <c r="AY14" s="1">
        <f t="shared" si="56"/>
        <v>438805.97746520682</v>
      </c>
      <c r="AZ14" s="1">
        <f t="shared" si="57"/>
        <v>400951.27177963132</v>
      </c>
      <c r="BA14" s="1">
        <f t="shared" si="58"/>
        <v>364764.52888489643</v>
      </c>
      <c r="BB14" s="1">
        <f t="shared" si="59"/>
        <v>330172.25461901521</v>
      </c>
      <c r="BC14" s="1">
        <f t="shared" si="60"/>
        <v>297104.19313675183</v>
      </c>
      <c r="BD14" s="1">
        <f t="shared" si="61"/>
        <v>265493.1842221609</v>
      </c>
      <c r="BE14" s="1">
        <f t="shared" si="62"/>
        <v>624655.07540948899</v>
      </c>
      <c r="BF14" s="1">
        <f t="shared" si="63"/>
        <v>578119.63925944478</v>
      </c>
      <c r="BG14" s="1">
        <f t="shared" si="64"/>
        <v>533634.65825224423</v>
      </c>
      <c r="BH14" s="1">
        <f t="shared" si="65"/>
        <v>491109.78475948516</v>
      </c>
      <c r="BI14" s="1">
        <f t="shared" si="66"/>
        <v>450458.65207084914</v>
      </c>
      <c r="BJ14" s="1">
        <f t="shared" si="67"/>
        <v>411598.69898596872</v>
      </c>
      <c r="BK14" s="1">
        <f t="shared" si="68"/>
        <v>374451.0021351683</v>
      </c>
      <c r="BL14" s="1">
        <f t="shared" si="69"/>
        <v>338940.11568852793</v>
      </c>
      <c r="BM14" s="1">
        <f t="shared" si="70"/>
        <v>304993.91812772234</v>
      </c>
      <c r="BN14" s="1">
        <f t="shared" si="71"/>
        <v>272543.4657694354</v>
      </c>
      <c r="BO14" s="25">
        <f>VLOOKUP($A14,'Outage by Zone inputs'!$A$59:$E$68,MATCH('Baseline Projects'!$I14,'Outage by Zone inputs'!$A$58:$E$58,0),0)*AVG_INCIDENT_PERCENT_NON_STORM</f>
        <v>1.3614312017488024</v>
      </c>
      <c r="BP14" s="25">
        <f>$BO14*$N14*('Baseline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Projects'!Q$3,'Baseline scaling factors'!$B$54:$K$54,0))+$BO14*$N14*('Baseline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Projects'!Q$3,'Baseline scaling factors'!$B$48:$K$48,0))</f>
        <v>0.42675110415198259</v>
      </c>
      <c r="BQ14" s="25">
        <f>$BO14*$N14*('Baseline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Projects'!R$3,'Baseline scaling factors'!$B$54:$K$54,0))+$BO14*$N14*('Baseline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Projects'!R$3,'Baseline scaling factors'!$B$48:$K$48,0))</f>
        <v>0.39495908077619085</v>
      </c>
      <c r="BR14" s="25">
        <f>$BO14*$N14*('Baseline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Projects'!S$3,'Baseline scaling factors'!$B$54:$K$54,0))+$BO14*$N14*('Baseline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Projects'!S$3,'Baseline scaling factors'!$B$48:$K$48,0))</f>
        <v>0.36456788488210817</v>
      </c>
      <c r="BS14" s="25">
        <f>$BO14*$N14*('Baseline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Projects'!T$3,'Baseline scaling factors'!$B$54:$K$54,0))+$BO14*$N14*('Baseline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Projects'!T$3,'Baseline scaling factors'!$B$48:$K$48,0))</f>
        <v>0.33551579288547817</v>
      </c>
      <c r="BT14" s="25">
        <f>$BO14*$N14*('Baseline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Projects'!U$3,'Baseline scaling factors'!$B$54:$K$54,0))+$BO14*$N14*('Baseline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Projects'!U$3,'Baseline scaling factors'!$B$48:$K$48,0))</f>
        <v>0.30774380088087966</v>
      </c>
      <c r="BU14" s="25">
        <f>$BO14*$N14*('Baseline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Projects'!V$3,'Baseline scaling factors'!$B$54:$K$54,0))+$BO14*$N14*('Baseline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Projects'!V$3,'Baseline scaling factors'!$B$48:$K$48,0))</f>
        <v>0.28119550480660899</v>
      </c>
      <c r="BV14" s="25">
        <f>$BO14*$N14*('Baseline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Projects'!W$3,'Baseline scaling factors'!$B$54:$K$54,0))+$BO14*$N14*('Baseline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Projects'!W$3,'Baseline scaling factors'!$B$48:$K$48,0))</f>
        <v>0.2558169858897652</v>
      </c>
      <c r="BW14" s="25">
        <f>$BO14*$N14*('Baseline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Projects'!X$3,'Baseline scaling factors'!$B$54:$K$54,0))+$BO14*$N14*('Baseline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Projects'!X$3,'Baseline scaling factors'!$B$48:$K$48,0))</f>
        <v>0.23155670113888069</v>
      </c>
      <c r="BX14" s="25">
        <f>$BO14*$N14*('Baseline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Projects'!Y$3,'Baseline scaling factors'!$B$54:$K$54,0))+$BO14*$N14*('Baseline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Projects'!Y$3,'Baseline scaling factors'!$B$48:$K$48,0))</f>
        <v>0.2083653786616903</v>
      </c>
      <c r="BY14" s="25">
        <f>$BO14*$N14*('Baseline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Projects'!Z$3,'Baseline scaling factors'!$B$54:$K$54,0))+$BO14*$N14*('Baseline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Projects'!Z$3,'Baseline scaling factors'!$B$48:$K$48,0))</f>
        <v>0.18619591759543366</v>
      </c>
      <c r="BZ14" s="12">
        <f t="shared" si="32"/>
        <v>201.42652115973578</v>
      </c>
      <c r="CA14" s="12">
        <f t="shared" si="33"/>
        <v>186.42068612636209</v>
      </c>
      <c r="CB14" s="12">
        <f t="shared" si="34"/>
        <v>172.07604166435505</v>
      </c>
      <c r="CC14" s="12">
        <f t="shared" si="35"/>
        <v>158.3634542419457</v>
      </c>
      <c r="CD14" s="12">
        <f t="shared" si="36"/>
        <v>145.25507401577519</v>
      </c>
      <c r="CE14" s="12">
        <f t="shared" si="37"/>
        <v>132.72427826871944</v>
      </c>
      <c r="CF14" s="12">
        <f t="shared" si="38"/>
        <v>120.74561733996917</v>
      </c>
      <c r="CG14" s="12">
        <f t="shared" si="39"/>
        <v>109.29476293755168</v>
      </c>
      <c r="CH14" s="12">
        <f t="shared" si="40"/>
        <v>98.348458728317823</v>
      </c>
      <c r="CI14" s="12">
        <f t="shared" si="41"/>
        <v>87.884473105044691</v>
      </c>
      <c r="CJ14" s="12">
        <f>'Mitigation Projects'!$AG14*VLOOKUP('Baseline Projects'!$H14&amp;"-"&amp;'Baseline Projects'!$G14,'Baseline scaling factors'!$A$49:$K$51,MATCH('Baseline Projects'!CJ$2,'Baseline scaling factors'!$A$48:$K$48,0),0)</f>
        <v>0</v>
      </c>
      <c r="CK14" s="12">
        <f>'Mitigation Projects'!$AG14*VLOOKUP('Baseline Projects'!$H14&amp;"-"&amp;'Baseline Projects'!$G14,'Baseline scaling factors'!$A$49:$K$51,MATCH('Baseline Projects'!CK$2,'Baseline scaling factors'!$A$48:$K$48,0),0)</f>
        <v>0</v>
      </c>
      <c r="CL14" s="12">
        <f>'Mitigation Projects'!$AG14*VLOOKUP('Baseline Projects'!$H14&amp;"-"&amp;'Baseline Projects'!$G14,'Baseline scaling factors'!$A$49:$K$51,MATCH('Baseline Projects'!CL$2,'Baseline scaling factors'!$A$48:$K$48,0),0)</f>
        <v>0</v>
      </c>
      <c r="CM14" s="12">
        <f>'Mitigation Projects'!$AG14*VLOOKUP('Baseline Projects'!$H14&amp;"-"&amp;'Baseline Projects'!$G14,'Baseline scaling factors'!$A$49:$K$51,MATCH('Baseline Projects'!CM$2,'Baseline scaling factors'!$A$48:$K$48,0),0)</f>
        <v>0</v>
      </c>
      <c r="CN14" s="12">
        <f>'Mitigation Projects'!$AG14*VLOOKUP('Baseline Projects'!$H14&amp;"-"&amp;'Baseline Projects'!$G14,'Baseline scaling factors'!$A$49:$K$51,MATCH('Baseline Projects'!CN$2,'Baseline scaling factors'!$A$48:$K$48,0),0)</f>
        <v>0</v>
      </c>
      <c r="CO14" s="12">
        <f>'Mitigation Projects'!$AG14*VLOOKUP('Baseline Projects'!$H14&amp;"-"&amp;'Baseline Projects'!$G14,'Baseline scaling factors'!$A$49:$K$51,MATCH('Baseline Projects'!CO$2,'Baseline scaling factors'!$A$48:$K$48,0),0)</f>
        <v>0</v>
      </c>
      <c r="CP14" s="12">
        <f>'Mitigation Projects'!$AG14*VLOOKUP('Baseline Projects'!$H14&amp;"-"&amp;'Baseline Projects'!$G14,'Baseline scaling factors'!$A$49:$K$51,MATCH('Baseline Projects'!CP$2,'Baseline scaling factors'!$A$48:$K$48,0),0)</f>
        <v>0</v>
      </c>
      <c r="CQ14" s="12">
        <f>'Mitigation Projects'!$AG14*VLOOKUP('Baseline Projects'!$H14&amp;"-"&amp;'Baseline Projects'!$G14,'Baseline scaling factors'!$A$49:$K$51,MATCH('Baseline Projects'!CQ$2,'Baseline scaling factors'!$A$48:$K$48,0),0)</f>
        <v>0</v>
      </c>
      <c r="CR14" s="12">
        <f>'Mitigation Projects'!$AG14*VLOOKUP('Baseline Projects'!$H14&amp;"-"&amp;'Baseline Projects'!$G14,'Baseline scaling factors'!$A$49:$K$51,MATCH('Baseline Projects'!CR$2,'Baseline scaling factors'!$A$48:$K$48,0),0)</f>
        <v>0</v>
      </c>
      <c r="CS14" s="12">
        <f>'Mitigation Projects'!$AG14*VLOOKUP('Baseline Projects'!$H14&amp;"-"&amp;'Baseline Projects'!$G14,'Baseline scaling factors'!$A$49:$K$51,MATCH('Baseline Projects'!CS$2,'Baseline scaling factors'!$A$48:$K$48,0),0)</f>
        <v>0</v>
      </c>
      <c r="CT14" s="12">
        <f>'Mitigation Projects'!$AH14*VLOOKUP('Baseline Projects'!$H14&amp;"-"&amp;'Baseline Projects'!$G14,'Baseline scaling factors'!$A$49:$K$51,MATCH('Baseline Projects'!CT$2,'Baseline scaling factors'!$A$48:$K$48,0),0)</f>
        <v>0</v>
      </c>
      <c r="CU14" s="12">
        <f>'Mitigation Projects'!$AH14*VLOOKUP('Baseline Projects'!$H14&amp;"-"&amp;'Baseline Projects'!$G14,'Baseline scaling factors'!$A$49:$K$51,MATCH('Baseline Projects'!CU$2,'Baseline scaling factors'!$A$48:$K$48,0),0)</f>
        <v>0</v>
      </c>
      <c r="CV14" s="12">
        <f>'Mitigation Projects'!$AH14*VLOOKUP('Baseline Projects'!$H14&amp;"-"&amp;'Baseline Projects'!$G14,'Baseline scaling factors'!$A$49:$K$51,MATCH('Baseline Projects'!CV$2,'Baseline scaling factors'!$A$48:$K$48,0),0)</f>
        <v>0</v>
      </c>
      <c r="CW14" s="12">
        <f>'Mitigation Projects'!$AH14*VLOOKUP('Baseline Projects'!$H14&amp;"-"&amp;'Baseline Projects'!$G14,'Baseline scaling factors'!$A$49:$K$51,MATCH('Baseline Projects'!CW$2,'Baseline scaling factors'!$A$48:$K$48,0),0)</f>
        <v>0</v>
      </c>
      <c r="CX14" s="12">
        <f>'Mitigation Projects'!$AH14*VLOOKUP('Baseline Projects'!$H14&amp;"-"&amp;'Baseline Projects'!$G14,'Baseline scaling factors'!$A$49:$K$51,MATCH('Baseline Projects'!CX$2,'Baseline scaling factors'!$A$48:$K$48,0),0)</f>
        <v>0</v>
      </c>
      <c r="CY14" s="12">
        <f>'Mitigation Projects'!$AH14*VLOOKUP('Baseline Projects'!$H14&amp;"-"&amp;'Baseline Projects'!$G14,'Baseline scaling factors'!$A$49:$K$51,MATCH('Baseline Projects'!CY$2,'Baseline scaling factors'!$A$48:$K$48,0),0)</f>
        <v>0</v>
      </c>
      <c r="CZ14" s="12">
        <f>'Mitigation Projects'!$AH14*VLOOKUP('Baseline Projects'!$H14&amp;"-"&amp;'Baseline Projects'!$G14,'Baseline scaling factors'!$A$49:$K$51,MATCH('Baseline Projects'!CZ$2,'Baseline scaling factors'!$A$48:$K$48,0),0)</f>
        <v>0</v>
      </c>
      <c r="DA14" s="12">
        <f>'Mitigation Projects'!$AH14*VLOOKUP('Baseline Projects'!$H14&amp;"-"&amp;'Baseline Projects'!$G14,'Baseline scaling factors'!$A$49:$K$51,MATCH('Baseline Projects'!DA$2,'Baseline scaling factors'!$A$48:$K$48,0),0)</f>
        <v>0</v>
      </c>
      <c r="DB14" s="12">
        <f>'Mitigation Projects'!$AH14*VLOOKUP('Baseline Projects'!$H14&amp;"-"&amp;'Baseline Projects'!$G14,'Baseline scaling factors'!$A$49:$K$51,MATCH('Baseline Projects'!DB$2,'Baseline scaling factors'!$A$48:$K$48,0),0)</f>
        <v>0</v>
      </c>
      <c r="DC14" s="12">
        <f>'Mitigation Projects'!$AH14*VLOOKUP('Baseline Projects'!$H14&amp;"-"&amp;'Baseline Projects'!$G14,'Baseline scaling factors'!$A$49:$K$51,MATCH('Baseline Projects'!DC$2,'Baseline scaling factors'!$A$48:$K$48,0),0)</f>
        <v>0</v>
      </c>
    </row>
    <row r="15" spans="1:107" x14ac:dyDescent="0.4">
      <c r="A15" s="38" t="str">
        <f>'Mitigation Projects'!A15</f>
        <v>CS-G34</v>
      </c>
      <c r="B15" s="38" t="str">
        <f>'Mitigation Projects'!B15</f>
        <v>Royalton</v>
      </c>
      <c r="C15" s="39">
        <f>'Mitigation Projects'!C15</f>
        <v>204898</v>
      </c>
      <c r="D15" s="39" t="str">
        <f>'Mitigation Projects'!D15</f>
        <v>204898: L61 P1 - P47 Russell Rd W</v>
      </c>
      <c r="E15" s="39">
        <f>'Mitigation Projects'!E15</f>
        <v>616282</v>
      </c>
      <c r="F15" s="39">
        <f>'Mitigation Projects'!F15</f>
        <v>0</v>
      </c>
      <c r="G15" s="39" t="str">
        <f>'Mitigation Projects'!G15</f>
        <v>1PH</v>
      </c>
      <c r="H15" s="39" t="str">
        <f>'Mitigation Projects'!H15</f>
        <v>UG</v>
      </c>
      <c r="I15" s="39" t="str">
        <f>'Mitigation Projects'!J15</f>
        <v>Zone 3</v>
      </c>
      <c r="J15" s="39">
        <f>'Mitigation Projects'!K15</f>
        <v>106</v>
      </c>
      <c r="K15" s="40">
        <f>'Mitigation Projects'!L15*BASELINE_CAP_SPEND</f>
        <v>179764</v>
      </c>
      <c r="L15" s="97">
        <f>'Mitigation Projects'!Q15</f>
        <v>0.83087400681044266</v>
      </c>
      <c r="M15" s="97">
        <f>'Mitigation Projects'!R15</f>
        <v>0.16912599318955734</v>
      </c>
      <c r="N15" s="98">
        <f>'Mitigation Projects'!S15</f>
        <v>0.5</v>
      </c>
      <c r="O15" s="26">
        <f t="shared" si="0"/>
        <v>0.98</v>
      </c>
      <c r="P15" s="26">
        <f t="shared" si="1"/>
        <v>0.83359200333362127</v>
      </c>
      <c r="Q15" s="112">
        <f>VLOOKUP($A15,'Outage by Zone inputs'!$A$4:$E$13,MATCH('Baseline Projects'!$I15,'Outage by Zone inputs'!$A$3:$E$3,0),0)*'Baseline Projects'!$L15*$N15*('Baseline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Projects'!Q$3,'Baseline scaling factors'!$B$54:$K$54,0))+VLOOKUP($A15,'Outage by Zone inputs'!$A$4:$E$13,MATCH('Baseline Projects'!$I15,'Outage by Zone inputs'!$A$3:$E$3,0),0)*'Baseline Projects'!$L15*$N15*('Baseline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Projects'!Q$3,'Baseline scaling factors'!$B$48:$K$48,0))</f>
        <v>118.00671918467256</v>
      </c>
      <c r="R15" s="112">
        <f>VLOOKUP($A15,'Outage by Zone inputs'!$A$4:$E$13,MATCH('Baseline Projects'!$I15,'Outage by Zone inputs'!$A$3:$E$3,0),0)*'Baseline Projects'!$L15*$N15*('Baseline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Projects'!R$3,'Baseline scaling factors'!$B$54:$K$54,0))+VLOOKUP($A15,'Outage by Zone inputs'!$A$4:$E$13,MATCH('Baseline Projects'!$I15,'Outage by Zone inputs'!$A$3:$E$3,0),0)*'Baseline Projects'!$L15*$N15*('Baseline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Projects'!R$3,'Baseline scaling factors'!$B$48:$K$48,0))</f>
        <v>107.97148267061667</v>
      </c>
      <c r="S15" s="112">
        <f>VLOOKUP($A15,'Outage by Zone inputs'!$A$4:$E$13,MATCH('Baseline Projects'!$I15,'Outage by Zone inputs'!$A$3:$E$3,0),0)*'Baseline Projects'!$L15*$N15*('Baseline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Projects'!S$3,'Baseline scaling factors'!$B$54:$K$54,0))+VLOOKUP($A15,'Outage by Zone inputs'!$A$4:$E$13,MATCH('Baseline Projects'!$I15,'Outage by Zone inputs'!$A$3:$E$3,0),0)*'Baseline Projects'!$L15*$N15*('Baseline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Projects'!S$3,'Baseline scaling factors'!$B$48:$K$48,0))</f>
        <v>98.378421067171914</v>
      </c>
      <c r="T15" s="112">
        <f>VLOOKUP($A15,'Outage by Zone inputs'!$A$4:$E$13,MATCH('Baseline Projects'!$I15,'Outage by Zone inputs'!$A$3:$E$3,0),0)*'Baseline Projects'!$L15*$N15*('Baseline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Projects'!T$3,'Baseline scaling factors'!$B$54:$K$54,0))+VLOOKUP($A15,'Outage by Zone inputs'!$A$4:$E$13,MATCH('Baseline Projects'!$I15,'Outage by Zone inputs'!$A$3:$E$3,0),0)*'Baseline Projects'!$L15*$N15*('Baseline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Projects'!T$3,'Baseline scaling factors'!$B$48:$K$48,0))</f>
        <v>89.20805116123222</v>
      </c>
      <c r="U15" s="112">
        <f>VLOOKUP($A15,'Outage by Zone inputs'!$A$4:$E$13,MATCH('Baseline Projects'!$I15,'Outage by Zone inputs'!$A$3:$E$3,0),0)*'Baseline Projects'!$L15*$N15*('Baseline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Projects'!U$3,'Baseline scaling factors'!$B$54:$K$54,0))+VLOOKUP($A15,'Outage by Zone inputs'!$A$4:$E$13,MATCH('Baseline Projects'!$I15,'Outage by Zone inputs'!$A$3:$E$3,0),0)*'Baseline Projects'!$L15*$N15*('Baseline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Projects'!U$3,'Baseline scaling factors'!$B$48:$K$48,0))</f>
        <v>80.441748213530161</v>
      </c>
      <c r="V15" s="112">
        <f>VLOOKUP($A15,'Outage by Zone inputs'!$A$4:$E$13,MATCH('Baseline Projects'!$I15,'Outage by Zone inputs'!$A$3:$E$3,0),0)*'Baseline Projects'!$L15*$N15*('Baseline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Projects'!V$3,'Baseline scaling factors'!$B$54:$K$54,0))+VLOOKUP($A15,'Outage by Zone inputs'!$A$4:$E$13,MATCH('Baseline Projects'!$I15,'Outage by Zone inputs'!$A$3:$E$3,0),0)*'Baseline Projects'!$L15*$N15*('Baseline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Projects'!V$3,'Baseline scaling factors'!$B$48:$K$48,0))</f>
        <v>72.061708132364558</v>
      </c>
      <c r="W15" s="112">
        <f>VLOOKUP($A15,'Outage by Zone inputs'!$A$4:$E$13,MATCH('Baseline Projects'!$I15,'Outage by Zone inputs'!$A$3:$E$3,0),0)*'Baseline Projects'!$L15*$N15*('Baseline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Projects'!W$3,'Baseline scaling factors'!$B$54:$K$54,0))+VLOOKUP($A15,'Outage by Zone inputs'!$A$4:$E$13,MATCH('Baseline Projects'!$I15,'Outage by Zone inputs'!$A$3:$E$3,0),0)*'Baseline Projects'!$L15*$N15*('Baseline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Projects'!W$3,'Baseline scaling factors'!$B$48:$K$48,0))</f>
        <v>64.050911314037592</v>
      </c>
      <c r="X15" s="112">
        <f>VLOOKUP($A15,'Outage by Zone inputs'!$A$4:$E$13,MATCH('Baseline Projects'!$I15,'Outage by Zone inputs'!$A$3:$E$3,0),0)*'Baseline Projects'!$L15*$N15*('Baseline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Projects'!X$3,'Baseline scaling factors'!$B$54:$K$54,0))+VLOOKUP($A15,'Outage by Zone inputs'!$A$4:$E$13,MATCH('Baseline Projects'!$I15,'Outage by Zone inputs'!$A$3:$E$3,0),0)*'Baseline Projects'!$L15*$N15*('Baseline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Projects'!X$3,'Baseline scaling factors'!$B$48:$K$48,0))</f>
        <v>56.393088076563117</v>
      </c>
      <c r="Y15" s="112">
        <f>VLOOKUP($A15,'Outage by Zone inputs'!$A$4:$E$13,MATCH('Baseline Projects'!$I15,'Outage by Zone inputs'!$A$3:$E$3,0),0)*'Baseline Projects'!$L15*$N15*('Baseline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Projects'!Y$3,'Baseline scaling factors'!$B$54:$K$54,0))+VLOOKUP($A15,'Outage by Zone inputs'!$A$4:$E$13,MATCH('Baseline Projects'!$I15,'Outage by Zone inputs'!$A$3:$E$3,0),0)*'Baseline Projects'!$L15*$N15*('Baseline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Projects'!Y$3,'Baseline scaling factors'!$B$48:$K$48,0))</f>
        <v>49.072685616442854</v>
      </c>
      <c r="Z15" s="112">
        <f>VLOOKUP($A15,'Outage by Zone inputs'!$A$4:$E$13,MATCH('Baseline Projects'!$I15,'Outage by Zone inputs'!$A$3:$E$3,0),0)*'Baseline Projects'!$L15*$N15*('Baseline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Projects'!Z$3,'Baseline scaling factors'!$B$54:$K$54,0))+VLOOKUP($A15,'Outage by Zone inputs'!$A$4:$E$13,MATCH('Baseline Projects'!$I15,'Outage by Zone inputs'!$A$3:$E$3,0),0)*'Baseline Projects'!$L15*$N15*('Baseline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Projects'!Z$3,'Baseline scaling factors'!$B$48:$K$48,0))</f>
        <v>42.074836421400875</v>
      </c>
      <c r="AA15" s="34">
        <f>VLOOKUP($A15,'Outage by Zone inputs'!$A$4:$E$13,MATCH('Baseline Projects'!$I15,'Outage by Zone inputs'!$A$3:$E$3,0),0)*$M15*$N15*('Baseline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Projects'!AA$3,'Baseline scaling factors'!$B$54:$K$54,0))+VLOOKUP($A15,'Outage by Zone inputs'!$A$4:$E$13,MATCH('Baseline Projects'!$I15,'Outage by Zone inputs'!$A$3:$E$3,0),0)*$M15*$N15*('Baseline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Projects'!AA$3,'Baseline scaling factors'!$B$48:$K$48,0))</f>
        <v>24.020493385951113</v>
      </c>
      <c r="AB15" s="34">
        <f>VLOOKUP($A15,'Outage by Zone inputs'!$A$4:$E$13,MATCH('Baseline Projects'!$I15,'Outage by Zone inputs'!$A$3:$E$3,0),0)*$M15*$N15*('Baseline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Projects'!AB$3,'Baseline scaling factors'!$B$54:$K$54,0))+VLOOKUP($A15,'Outage by Zone inputs'!$A$4:$E$13,MATCH('Baseline Projects'!$I15,'Outage by Zone inputs'!$A$3:$E$3,0),0)*$M15*$N15*('Baseline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Projects'!AB$3,'Baseline scaling factors'!$B$48:$K$48,0))</f>
        <v>21.977801800439735</v>
      </c>
      <c r="AC15" s="34">
        <f>VLOOKUP($A15,'Outage by Zone inputs'!$A$4:$E$13,MATCH('Baseline Projects'!$I15,'Outage by Zone inputs'!$A$3:$E$3,0),0)*$M15*$N15*('Baseline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Projects'!AC$3,'Baseline scaling factors'!$B$54:$K$54,0))+VLOOKUP($A15,'Outage by Zone inputs'!$A$4:$E$13,MATCH('Baseline Projects'!$I15,'Outage by Zone inputs'!$A$3:$E$3,0),0)*$M15*$N15*('Baseline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Projects'!AC$3,'Baseline scaling factors'!$B$48:$K$48,0))</f>
        <v>20.025115763672975</v>
      </c>
      <c r="AD15" s="34">
        <f>VLOOKUP($A15,'Outage by Zone inputs'!$A$4:$E$13,MATCH('Baseline Projects'!$I15,'Outage by Zone inputs'!$A$3:$E$3,0),0)*$M15*$N15*('Baseline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Projects'!AD$3,'Baseline scaling factors'!$B$54:$K$54,0))+VLOOKUP($A15,'Outage by Zone inputs'!$A$4:$E$13,MATCH('Baseline Projects'!$I15,'Outage by Zone inputs'!$A$3:$E$3,0),0)*$M15*$N15*('Baseline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Projects'!AD$3,'Baseline scaling factors'!$B$48:$K$48,0))</f>
        <v>18.15846943036011</v>
      </c>
      <c r="AE15" s="34">
        <f>VLOOKUP($A15,'Outage by Zone inputs'!$A$4:$E$13,MATCH('Baseline Projects'!$I15,'Outage by Zone inputs'!$A$3:$E$3,0),0)*$M15*$N15*('Baseline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Projects'!AE$3,'Baseline scaling factors'!$B$54:$K$54,0))+VLOOKUP($A15,'Outage by Zone inputs'!$A$4:$E$13,MATCH('Baseline Projects'!$I15,'Outage by Zone inputs'!$A$3:$E$3,0),0)*$M15*$N15*('Baseline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Projects'!AE$3,'Baseline scaling factors'!$B$48:$K$48,0))</f>
        <v>16.374071699202176</v>
      </c>
      <c r="AF15" s="34">
        <f>VLOOKUP($A15,'Outage by Zone inputs'!$A$4:$E$13,MATCH('Baseline Projects'!$I15,'Outage by Zone inputs'!$A$3:$E$3,0),0)*$M15*$N15*('Baseline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Projects'!AF$3,'Baseline scaling factors'!$B$54:$K$54,0))+VLOOKUP($A15,'Outage by Zone inputs'!$A$4:$E$13,MATCH('Baseline Projects'!$I15,'Outage by Zone inputs'!$A$3:$E$3,0),0)*$M15*$N15*('Baseline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Projects'!AF$3,'Baseline scaling factors'!$B$48:$K$48,0))</f>
        <v>14.668298513281858</v>
      </c>
      <c r="AG15" s="34">
        <f>VLOOKUP($A15,'Outage by Zone inputs'!$A$4:$E$13,MATCH('Baseline Projects'!$I15,'Outage by Zone inputs'!$A$3:$E$3,0),0)*$M15*$N15*('Baseline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Projects'!AG$3,'Baseline scaling factors'!$B$54:$K$54,0))+VLOOKUP($A15,'Outage by Zone inputs'!$A$4:$E$13,MATCH('Baseline Projects'!$I15,'Outage by Zone inputs'!$A$3:$E$3,0),0)*$M15*$N15*('Baseline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Projects'!AG$3,'Baseline scaling factors'!$B$48:$K$48,0))</f>
        <v>13.037685499715302</v>
      </c>
      <c r="AH15" s="34">
        <f>VLOOKUP($A15,'Outage by Zone inputs'!$A$4:$E$13,MATCH('Baseline Projects'!$I15,'Outage by Zone inputs'!$A$3:$E$3,0),0)*$M15*$N15*('Baseline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Projects'!AH$3,'Baseline scaling factors'!$B$54:$K$54,0))+VLOOKUP($A15,'Outage by Zone inputs'!$A$4:$E$13,MATCH('Baseline Projects'!$I15,'Outage by Zone inputs'!$A$3:$E$3,0),0)*$M15*$N15*('Baseline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Projects'!AH$3,'Baseline scaling factors'!$B$48:$K$48,0))</f>
        <v>11.478920933617356</v>
      </c>
      <c r="AI15" s="34">
        <f>VLOOKUP($A15,'Outage by Zone inputs'!$A$4:$E$13,MATCH('Baseline Projects'!$I15,'Outage by Zone inputs'!$A$3:$E$3,0),0)*$M15*$N15*('Baseline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Projects'!AI$3,'Baseline scaling factors'!$B$54:$K$54,0))+VLOOKUP($A15,'Outage by Zone inputs'!$A$4:$E$13,MATCH('Baseline Projects'!$I15,'Outage by Zone inputs'!$A$3:$E$3,0),0)*$M15*$N15*('Baseline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Projects'!AI$3,'Baseline scaling factors'!$B$48:$K$48,0))</f>
        <v>9.9888390120901462</v>
      </c>
      <c r="AJ15" s="34">
        <f>VLOOKUP($A15,'Outage by Zone inputs'!$A$4:$E$13,MATCH('Baseline Projects'!$I15,'Outage by Zone inputs'!$A$3:$E$3,0),0)*$M15*$N15*('Baseline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Projects'!AJ$3,'Baseline scaling factors'!$B$54:$K$54,0))+VLOOKUP($A15,'Outage by Zone inputs'!$A$4:$E$13,MATCH('Baseline Projects'!$I15,'Outage by Zone inputs'!$A$3:$E$3,0),0)*$M15*$N15*('Baseline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Projects'!AJ$3,'Baseline scaling factors'!$B$48:$K$48,0))</f>
        <v>8.5644134245747701</v>
      </c>
      <c r="AK15" s="1">
        <f t="shared" si="2"/>
        <v>2478.141102878124</v>
      </c>
      <c r="AL15" s="1">
        <f t="shared" si="3"/>
        <v>2267.40113608295</v>
      </c>
      <c r="AM15" s="1">
        <f t="shared" si="4"/>
        <v>2065.9468424106103</v>
      </c>
      <c r="AN15" s="1">
        <f t="shared" si="5"/>
        <v>1873.3690743858765</v>
      </c>
      <c r="AO15" s="1">
        <f t="shared" si="6"/>
        <v>1689.2767124841334</v>
      </c>
      <c r="AP15" s="1">
        <f t="shared" si="7"/>
        <v>1513.2958707796556</v>
      </c>
      <c r="AQ15" s="1">
        <f t="shared" si="8"/>
        <v>1345.0691375947895</v>
      </c>
      <c r="AR15" s="1">
        <f t="shared" si="9"/>
        <v>1184.2548496078255</v>
      </c>
      <c r="AS15" s="1">
        <f t="shared" si="10"/>
        <v>1030.5263979453</v>
      </c>
      <c r="AT15" s="1">
        <f t="shared" si="11"/>
        <v>883.57156484941834</v>
      </c>
      <c r="AU15" s="1">
        <f t="shared" si="12"/>
        <v>93319.616804420075</v>
      </c>
      <c r="AV15" s="1">
        <f t="shared" si="13"/>
        <v>85383.759994708365</v>
      </c>
      <c r="AW15" s="1">
        <f t="shared" si="14"/>
        <v>77797.57474186951</v>
      </c>
      <c r="AX15" s="1">
        <f t="shared" si="15"/>
        <v>70545.653736949025</v>
      </c>
      <c r="AY15" s="1">
        <f t="shared" si="16"/>
        <v>63613.268551400455</v>
      </c>
      <c r="AZ15" s="1">
        <f t="shared" si="17"/>
        <v>56986.33972410002</v>
      </c>
      <c r="BA15" s="1">
        <f t="shared" si="18"/>
        <v>50651.408166393951</v>
      </c>
      <c r="BB15" s="1">
        <f t="shared" si="19"/>
        <v>44595.607827103428</v>
      </c>
      <c r="BC15" s="1">
        <f t="shared" si="20"/>
        <v>38806.639561970216</v>
      </c>
      <c r="BD15" s="1">
        <f t="shared" si="21"/>
        <v>33272.746154472981</v>
      </c>
      <c r="BE15" s="1">
        <f t="shared" si="22"/>
        <v>95797.757907298204</v>
      </c>
      <c r="BF15" s="1">
        <f t="shared" si="23"/>
        <v>87651.161130791312</v>
      </c>
      <c r="BG15" s="1">
        <f t="shared" si="24"/>
        <v>79863.521584280126</v>
      </c>
      <c r="BH15" s="1">
        <f t="shared" si="25"/>
        <v>72419.0228113349</v>
      </c>
      <c r="BI15" s="1">
        <f t="shared" si="26"/>
        <v>65302.545263884589</v>
      </c>
      <c r="BJ15" s="1">
        <f t="shared" si="27"/>
        <v>58499.635594879677</v>
      </c>
      <c r="BK15" s="1">
        <f t="shared" si="28"/>
        <v>51996.477303988737</v>
      </c>
      <c r="BL15" s="1">
        <f t="shared" si="29"/>
        <v>45779.862676711251</v>
      </c>
      <c r="BM15" s="1">
        <f t="shared" si="30"/>
        <v>39837.165959915517</v>
      </c>
      <c r="BN15" s="1">
        <f t="shared" si="31"/>
        <v>34156.317719322396</v>
      </c>
      <c r="BO15" s="25">
        <f>VLOOKUP($A15,'Outage by Zone inputs'!$A$59:$E$68,MATCH('Baseline Projects'!$I15,'Outage by Zone inputs'!$A$58:$E$58,0),0)*AVG_INCIDENT_PERCENT_NON_STORM</f>
        <v>2.3547831532510397</v>
      </c>
      <c r="BP15" s="25">
        <f>$BO15*$N15*('Baseline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Projects'!Q$3,'Baseline scaling factors'!$B$54:$K$54,0))+$BO15*$N15*('Baseline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Projects'!Q$3,'Baseline scaling factors'!$B$48:$K$48,0))</f>
        <v>1.0812080847249148</v>
      </c>
      <c r="BQ15" s="25">
        <f>$BO15*$N15*('Baseline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Projects'!R$3,'Baseline scaling factors'!$B$54:$K$54,0))+$BO15*$N15*('Baseline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Projects'!R$3,'Baseline scaling factors'!$B$48:$K$48,0))</f>
        <v>0.98926265207421904</v>
      </c>
      <c r="BR15" s="25">
        <f>$BO15*$N15*('Baseline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Projects'!S$3,'Baseline scaling factors'!$B$54:$K$54,0))+$BO15*$N15*('Baseline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Projects'!S$3,'Baseline scaling factors'!$B$48:$K$48,0))</f>
        <v>0.90136854032726854</v>
      </c>
      <c r="BS15" s="25">
        <f>$BO15*$N15*('Baseline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Projects'!T$3,'Baseline scaling factors'!$B$54:$K$54,0))+$BO15*$N15*('Baseline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Projects'!T$3,'Baseline scaling factors'!$B$48:$K$48,0))</f>
        <v>0.81734723924606778</v>
      </c>
      <c r="BT15" s="25">
        <f>$BO15*$N15*('Baseline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Projects'!U$3,'Baseline scaling factors'!$B$54:$K$54,0))+$BO15*$N15*('Baseline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Projects'!U$3,'Baseline scaling factors'!$B$48:$K$48,0))</f>
        <v>0.73702810415198405</v>
      </c>
      <c r="BU15" s="25">
        <f>$BO15*$N15*('Baseline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Projects'!V$3,'Baseline scaling factors'!$B$54:$K$54,0))+$BO15*$N15*('Baseline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Projects'!V$3,'Baseline scaling factors'!$B$48:$K$48,0))</f>
        <v>0.66024800935165406</v>
      </c>
      <c r="BV15" s="25">
        <f>$BO15*$N15*('Baseline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Projects'!W$3,'Baseline scaling factors'!$B$54:$K$54,0))+$BO15*$N15*('Baseline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Projects'!W$3,'Baseline scaling factors'!$B$48:$K$48,0))</f>
        <v>0.58685101683371677</v>
      </c>
      <c r="BW15" s="25">
        <f>$BO15*$N15*('Baseline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Projects'!X$3,'Baseline scaling factors'!$B$54:$K$54,0))+$BO15*$N15*('Baseline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Projects'!X$3,'Baseline scaling factors'!$B$48:$K$48,0))</f>
        <v>0.51668805956350783</v>
      </c>
      <c r="BX15" s="25">
        <f>$BO15*$N15*('Baseline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Projects'!Y$3,'Baseline scaling factors'!$B$54:$K$54,0))+$BO15*$N15*('Baseline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Projects'!Y$3,'Baseline scaling factors'!$B$48:$K$48,0))</f>
        <v>0.44961663873249624</v>
      </c>
      <c r="BY15" s="25">
        <f>$BO15*$N15*('Baseline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Projects'!Z$3,'Baseline scaling factors'!$B$54:$K$54,0))+$BO15*$N15*('Baseline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Projects'!Z$3,'Baseline scaling factors'!$B$48:$K$48,0))</f>
        <v>0.38550053434758713</v>
      </c>
      <c r="BZ15" s="12">
        <f t="shared" si="32"/>
        <v>510.33021599015979</v>
      </c>
      <c r="CA15" s="12">
        <f t="shared" si="33"/>
        <v>466.93197177903141</v>
      </c>
      <c r="CB15" s="12">
        <f t="shared" si="34"/>
        <v>425.44595103447074</v>
      </c>
      <c r="CC15" s="12">
        <f t="shared" si="35"/>
        <v>385.78789692414398</v>
      </c>
      <c r="CD15" s="12">
        <f t="shared" si="36"/>
        <v>347.87726515973645</v>
      </c>
      <c r="CE15" s="12">
        <f t="shared" si="37"/>
        <v>311.63706041398069</v>
      </c>
      <c r="CF15" s="12">
        <f t="shared" si="38"/>
        <v>276.99367994551432</v>
      </c>
      <c r="CG15" s="12">
        <f t="shared" si="39"/>
        <v>243.8767641139757</v>
      </c>
      <c r="CH15" s="12">
        <f t="shared" si="40"/>
        <v>212.21905348173823</v>
      </c>
      <c r="CI15" s="12">
        <f t="shared" si="41"/>
        <v>181.95625221206112</v>
      </c>
      <c r="CJ15" s="12">
        <f>'Mitigation Projects'!$AG15*VLOOKUP('Baseline Projects'!$H15&amp;"-"&amp;'Baseline Projects'!$G15,'Baseline scaling factors'!$A$49:$K$51,MATCH('Baseline Projects'!CJ$2,'Baseline scaling factors'!$A$48:$K$48,0),0)</f>
        <v>0</v>
      </c>
      <c r="CK15" s="12">
        <f>'Mitigation Projects'!$AG15*VLOOKUP('Baseline Projects'!$H15&amp;"-"&amp;'Baseline Projects'!$G15,'Baseline scaling factors'!$A$49:$K$51,MATCH('Baseline Projects'!CK$2,'Baseline scaling factors'!$A$48:$K$48,0),0)</f>
        <v>0</v>
      </c>
      <c r="CL15" s="12">
        <f>'Mitigation Projects'!$AG15*VLOOKUP('Baseline Projects'!$H15&amp;"-"&amp;'Baseline Projects'!$G15,'Baseline scaling factors'!$A$49:$K$51,MATCH('Baseline Projects'!CL$2,'Baseline scaling factors'!$A$48:$K$48,0),0)</f>
        <v>0</v>
      </c>
      <c r="CM15" s="12">
        <f>'Mitigation Projects'!$AG15*VLOOKUP('Baseline Projects'!$H15&amp;"-"&amp;'Baseline Projects'!$G15,'Baseline scaling factors'!$A$49:$K$51,MATCH('Baseline Projects'!CM$2,'Baseline scaling factors'!$A$48:$K$48,0),0)</f>
        <v>0</v>
      </c>
      <c r="CN15" s="12">
        <f>'Mitigation Projects'!$AG15*VLOOKUP('Baseline Projects'!$H15&amp;"-"&amp;'Baseline Projects'!$G15,'Baseline scaling factors'!$A$49:$K$51,MATCH('Baseline Projects'!CN$2,'Baseline scaling factors'!$A$48:$K$48,0),0)</f>
        <v>0</v>
      </c>
      <c r="CO15" s="12">
        <f>'Mitigation Projects'!$AG15*VLOOKUP('Baseline Projects'!$H15&amp;"-"&amp;'Baseline Projects'!$G15,'Baseline scaling factors'!$A$49:$K$51,MATCH('Baseline Projects'!CO$2,'Baseline scaling factors'!$A$48:$K$48,0),0)</f>
        <v>0</v>
      </c>
      <c r="CP15" s="12">
        <f>'Mitigation Projects'!$AG15*VLOOKUP('Baseline Projects'!$H15&amp;"-"&amp;'Baseline Projects'!$G15,'Baseline scaling factors'!$A$49:$K$51,MATCH('Baseline Projects'!CP$2,'Baseline scaling factors'!$A$48:$K$48,0),0)</f>
        <v>0</v>
      </c>
      <c r="CQ15" s="12">
        <f>'Mitigation Projects'!$AG15*VLOOKUP('Baseline Projects'!$H15&amp;"-"&amp;'Baseline Projects'!$G15,'Baseline scaling factors'!$A$49:$K$51,MATCH('Baseline Projects'!CQ$2,'Baseline scaling factors'!$A$48:$K$48,0),0)</f>
        <v>0</v>
      </c>
      <c r="CR15" s="12">
        <f>'Mitigation Projects'!$AG15*VLOOKUP('Baseline Projects'!$H15&amp;"-"&amp;'Baseline Projects'!$G15,'Baseline scaling factors'!$A$49:$K$51,MATCH('Baseline Projects'!CR$2,'Baseline scaling factors'!$A$48:$K$48,0),0)</f>
        <v>0</v>
      </c>
      <c r="CS15" s="12">
        <f>'Mitigation Projects'!$AG15*VLOOKUP('Baseline Projects'!$H15&amp;"-"&amp;'Baseline Projects'!$G15,'Baseline scaling factors'!$A$49:$K$51,MATCH('Baseline Projects'!CS$2,'Baseline scaling factors'!$A$48:$K$48,0),0)</f>
        <v>0</v>
      </c>
      <c r="CT15" s="12">
        <f>'Mitigation Projects'!$AH15*VLOOKUP('Baseline Projects'!$H15&amp;"-"&amp;'Baseline Projects'!$G15,'Baseline scaling factors'!$A$49:$K$51,MATCH('Baseline Projects'!CT$2,'Baseline scaling factors'!$A$48:$K$48,0),0)</f>
        <v>0</v>
      </c>
      <c r="CU15" s="12">
        <f>'Mitigation Projects'!$AH15*VLOOKUP('Baseline Projects'!$H15&amp;"-"&amp;'Baseline Projects'!$G15,'Baseline scaling factors'!$A$49:$K$51,MATCH('Baseline Projects'!CU$2,'Baseline scaling factors'!$A$48:$K$48,0),0)</f>
        <v>0</v>
      </c>
      <c r="CV15" s="12">
        <f>'Mitigation Projects'!$AH15*VLOOKUP('Baseline Projects'!$H15&amp;"-"&amp;'Baseline Projects'!$G15,'Baseline scaling factors'!$A$49:$K$51,MATCH('Baseline Projects'!CV$2,'Baseline scaling factors'!$A$48:$K$48,0),0)</f>
        <v>0</v>
      </c>
      <c r="CW15" s="12">
        <f>'Mitigation Projects'!$AH15*VLOOKUP('Baseline Projects'!$H15&amp;"-"&amp;'Baseline Projects'!$G15,'Baseline scaling factors'!$A$49:$K$51,MATCH('Baseline Projects'!CW$2,'Baseline scaling factors'!$A$48:$K$48,0),0)</f>
        <v>0</v>
      </c>
      <c r="CX15" s="12">
        <f>'Mitigation Projects'!$AH15*VLOOKUP('Baseline Projects'!$H15&amp;"-"&amp;'Baseline Projects'!$G15,'Baseline scaling factors'!$A$49:$K$51,MATCH('Baseline Projects'!CX$2,'Baseline scaling factors'!$A$48:$K$48,0),0)</f>
        <v>0</v>
      </c>
      <c r="CY15" s="12">
        <f>'Mitigation Projects'!$AH15*VLOOKUP('Baseline Projects'!$H15&amp;"-"&amp;'Baseline Projects'!$G15,'Baseline scaling factors'!$A$49:$K$51,MATCH('Baseline Projects'!CY$2,'Baseline scaling factors'!$A$48:$K$48,0),0)</f>
        <v>0</v>
      </c>
      <c r="CZ15" s="12">
        <f>'Mitigation Projects'!$AH15*VLOOKUP('Baseline Projects'!$H15&amp;"-"&amp;'Baseline Projects'!$G15,'Baseline scaling factors'!$A$49:$K$51,MATCH('Baseline Projects'!CZ$2,'Baseline scaling factors'!$A$48:$K$48,0),0)</f>
        <v>0</v>
      </c>
      <c r="DA15" s="12">
        <f>'Mitigation Projects'!$AH15*VLOOKUP('Baseline Projects'!$H15&amp;"-"&amp;'Baseline Projects'!$G15,'Baseline scaling factors'!$A$49:$K$51,MATCH('Baseline Projects'!DA$2,'Baseline scaling factors'!$A$48:$K$48,0),0)</f>
        <v>0</v>
      </c>
      <c r="DB15" s="12">
        <f>'Mitigation Projects'!$AH15*VLOOKUP('Baseline Projects'!$H15&amp;"-"&amp;'Baseline Projects'!$G15,'Baseline scaling factors'!$A$49:$K$51,MATCH('Baseline Projects'!DB$2,'Baseline scaling factors'!$A$48:$K$48,0),0)</f>
        <v>0</v>
      </c>
      <c r="DC15" s="12">
        <f>'Mitigation Projects'!$AH15*VLOOKUP('Baseline Projects'!$H15&amp;"-"&amp;'Baseline Projects'!$G15,'Baseline scaling factors'!$A$49:$K$51,MATCH('Baseline Projects'!DC$2,'Baseline scaling factors'!$A$48:$K$48,0),0)</f>
        <v>0</v>
      </c>
    </row>
    <row r="16" spans="1:107" x14ac:dyDescent="0.4">
      <c r="A16" s="38" t="str">
        <f>'Mitigation Projects'!A16</f>
        <v>CS-G34</v>
      </c>
      <c r="B16" s="38" t="str">
        <f>'Mitigation Projects'!B16</f>
        <v>Royalton</v>
      </c>
      <c r="C16" s="39">
        <f>'Mitigation Projects'!C16</f>
        <v>205188</v>
      </c>
      <c r="D16" s="39" t="str">
        <f>'Mitigation Projects'!D16</f>
        <v>205188: L.6 P .251X - P166</v>
      </c>
      <c r="E16" s="39">
        <f>'Mitigation Projects'!E16</f>
        <v>616175</v>
      </c>
      <c r="F16" s="39">
        <f>'Mitigation Projects'!F16</f>
        <v>0</v>
      </c>
      <c r="G16" s="39" t="str">
        <f>'Mitigation Projects'!G16</f>
        <v>3PH</v>
      </c>
      <c r="H16" s="39" t="str">
        <f>'Mitigation Projects'!H16</f>
        <v>OH</v>
      </c>
      <c r="I16" s="39" t="str">
        <f>'Mitigation Projects'!J16</f>
        <v>Zone 1</v>
      </c>
      <c r="J16" s="39">
        <f>'Mitigation Projects'!K16</f>
        <v>871</v>
      </c>
      <c r="K16" s="40">
        <f>'Mitigation Projects'!L16*BASELINE_CAP_SPEND</f>
        <v>207331.40000000002</v>
      </c>
      <c r="L16" s="97">
        <f>'Mitigation Projects'!Q16</f>
        <v>0.83087400681044266</v>
      </c>
      <c r="M16" s="97">
        <f>'Mitigation Projects'!R16</f>
        <v>0.16912599318955734</v>
      </c>
      <c r="N16" s="98">
        <f>'Mitigation Projects'!S16</f>
        <v>1</v>
      </c>
      <c r="O16" s="26">
        <f t="shared" si="0"/>
        <v>0.9</v>
      </c>
      <c r="P16" s="26">
        <f t="shared" si="1"/>
        <v>0.80330442615766917</v>
      </c>
      <c r="Q16" s="112">
        <f>VLOOKUP($A16,'Outage by Zone inputs'!$A$4:$E$13,MATCH('Baseline Projects'!$I16,'Outage by Zone inputs'!$A$3:$E$3,0),0)*'Baseline Projects'!$L16*$N16*('Baseline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Projects'!Q$3,'Baseline scaling factors'!$B$54:$K$54,0))+VLOOKUP($A16,'Outage by Zone inputs'!$A$4:$E$13,MATCH('Baseline Projects'!$I16,'Outage by Zone inputs'!$A$3:$E$3,0),0)*'Baseline Projects'!$L16*$N16*('Baseline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Projects'!Q$3,'Baseline scaling factors'!$B$48:$K$48,0))</f>
        <v>1177.8705223453894</v>
      </c>
      <c r="R16" s="112">
        <f>VLOOKUP($A16,'Outage by Zone inputs'!$A$4:$E$13,MATCH('Baseline Projects'!$I16,'Outage by Zone inputs'!$A$3:$E$3,0),0)*'Baseline Projects'!$L16*$N16*('Baseline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Projects'!R$3,'Baseline scaling factors'!$B$54:$K$54,0))+VLOOKUP($A16,'Outage by Zone inputs'!$A$4:$E$13,MATCH('Baseline Projects'!$I16,'Outage by Zone inputs'!$A$3:$E$3,0),0)*'Baseline Projects'!$L16*$N16*('Baseline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Projects'!R$3,'Baseline scaling factors'!$B$48:$K$48,0))</f>
        <v>1090.1217460312118</v>
      </c>
      <c r="S16" s="112">
        <f>VLOOKUP($A16,'Outage by Zone inputs'!$A$4:$E$13,MATCH('Baseline Projects'!$I16,'Outage by Zone inputs'!$A$3:$E$3,0),0)*'Baseline Projects'!$L16*$N16*('Baseline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Projects'!S$3,'Baseline scaling factors'!$B$54:$K$54,0))+VLOOKUP($A16,'Outage by Zone inputs'!$A$4:$E$13,MATCH('Baseline Projects'!$I16,'Outage by Zone inputs'!$A$3:$E$3,0),0)*'Baseline Projects'!$L16*$N16*('Baseline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Projects'!S$3,'Baseline scaling factors'!$B$48:$K$48,0))</f>
        <v>1006.2393765793553</v>
      </c>
      <c r="T16" s="112">
        <f>VLOOKUP($A16,'Outage by Zone inputs'!$A$4:$E$13,MATCH('Baseline Projects'!$I16,'Outage by Zone inputs'!$A$3:$E$3,0),0)*'Baseline Projects'!$L16*$N16*('Baseline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Projects'!T$3,'Baseline scaling factors'!$B$54:$K$54,0))+VLOOKUP($A16,'Outage by Zone inputs'!$A$4:$E$13,MATCH('Baseline Projects'!$I16,'Outage by Zone inputs'!$A$3:$E$3,0),0)*'Baseline Projects'!$L16*$N16*('Baseline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Projects'!T$3,'Baseline scaling factors'!$B$48:$K$48,0))</f>
        <v>926.05305147705417</v>
      </c>
      <c r="U16" s="112">
        <f>VLOOKUP($A16,'Outage by Zone inputs'!$A$4:$E$13,MATCH('Baseline Projects'!$I16,'Outage by Zone inputs'!$A$3:$E$3,0),0)*'Baseline Projects'!$L16*$N16*('Baseline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Projects'!U$3,'Baseline scaling factors'!$B$54:$K$54,0))+VLOOKUP($A16,'Outage by Zone inputs'!$A$4:$E$13,MATCH('Baseline Projects'!$I16,'Outage by Zone inputs'!$A$3:$E$3,0),0)*'Baseline Projects'!$L16*$N16*('Baseline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Projects'!U$3,'Baseline scaling factors'!$B$48:$K$48,0))</f>
        <v>849.39991476395403</v>
      </c>
      <c r="V16" s="112">
        <f>VLOOKUP($A16,'Outage by Zone inputs'!$A$4:$E$13,MATCH('Baseline Projects'!$I16,'Outage by Zone inputs'!$A$3:$E$3,0),0)*'Baseline Projects'!$L16*$N16*('Baseline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Projects'!V$3,'Baseline scaling factors'!$B$54:$K$54,0))+VLOOKUP($A16,'Outage by Zone inputs'!$A$4:$E$13,MATCH('Baseline Projects'!$I16,'Outage by Zone inputs'!$A$3:$E$3,0),0)*'Baseline Projects'!$L16*$N16*('Baseline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Projects'!V$3,'Baseline scaling factors'!$B$48:$K$48,0))</f>
        <v>776.12428627666441</v>
      </c>
      <c r="W16" s="112">
        <f>VLOOKUP($A16,'Outage by Zone inputs'!$A$4:$E$13,MATCH('Baseline Projects'!$I16,'Outage by Zone inputs'!$A$3:$E$3,0),0)*'Baseline Projects'!$L16*$N16*('Baseline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Projects'!W$3,'Baseline scaling factors'!$B$54:$K$54,0))+VLOOKUP($A16,'Outage by Zone inputs'!$A$4:$E$13,MATCH('Baseline Projects'!$I16,'Outage by Zone inputs'!$A$3:$E$3,0),0)*'Baseline Projects'!$L16*$N16*('Baseline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Projects'!W$3,'Baseline scaling factors'!$B$48:$K$48,0))</f>
        <v>706.07734546713539</v>
      </c>
      <c r="X16" s="112">
        <f>VLOOKUP($A16,'Outage by Zone inputs'!$A$4:$E$13,MATCH('Baseline Projects'!$I16,'Outage by Zone inputs'!$A$3:$E$3,0),0)*'Baseline Projects'!$L16*$N16*('Baseline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Projects'!X$3,'Baseline scaling factors'!$B$54:$K$54,0))+VLOOKUP($A16,'Outage by Zone inputs'!$A$4:$E$13,MATCH('Baseline Projects'!$I16,'Outage by Zone inputs'!$A$3:$E$3,0),0)*'Baseline Projects'!$L16*$N16*('Baseline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Projects'!X$3,'Baseline scaling factors'!$B$48:$K$48,0))</f>
        <v>639.11682915269978</v>
      </c>
      <c r="Y16" s="112">
        <f>VLOOKUP($A16,'Outage by Zone inputs'!$A$4:$E$13,MATCH('Baseline Projects'!$I16,'Outage by Zone inputs'!$A$3:$E$3,0),0)*'Baseline Projects'!$L16*$N16*('Baseline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Projects'!Y$3,'Baseline scaling factors'!$B$54:$K$54,0))+VLOOKUP($A16,'Outage by Zone inputs'!$A$4:$E$13,MATCH('Baseline Projects'!$I16,'Outage by Zone inputs'!$A$3:$E$3,0),0)*'Baseline Projects'!$L16*$N16*('Baseline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Projects'!Y$3,'Baseline scaling factors'!$B$48:$K$48,0))</f>
        <v>575.1067425839251</v>
      </c>
      <c r="Z16" s="112">
        <f>VLOOKUP($A16,'Outage by Zone inputs'!$A$4:$E$13,MATCH('Baseline Projects'!$I16,'Outage by Zone inputs'!$A$3:$E$3,0),0)*'Baseline Projects'!$L16*$N16*('Baseline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Projects'!Z$3,'Baseline scaling factors'!$B$54:$K$54,0))+VLOOKUP($A16,'Outage by Zone inputs'!$A$4:$E$13,MATCH('Baseline Projects'!$I16,'Outage by Zone inputs'!$A$3:$E$3,0),0)*'Baseline Projects'!$L16*$N16*('Baseline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Projects'!Z$3,'Baseline scaling factors'!$B$48:$K$48,0))</f>
        <v>513.91708324345916</v>
      </c>
      <c r="AA16" s="34">
        <f>VLOOKUP($A16,'Outage by Zone inputs'!$A$4:$E$13,MATCH('Baseline Projects'!$I16,'Outage by Zone inputs'!$A$3:$E$3,0),0)*$M16*$N16*('Baseline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Projects'!AA$3,'Baseline scaling factors'!$B$54:$K$54,0))+VLOOKUP($A16,'Outage by Zone inputs'!$A$4:$E$13,MATCH('Baseline Projects'!$I16,'Outage by Zone inputs'!$A$3:$E$3,0),0)*$M16*$N16*('Baseline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Projects'!AA$3,'Baseline scaling factors'!$B$48:$K$48,0))</f>
        <v>239.75779758123366</v>
      </c>
      <c r="AB16" s="34">
        <f>VLOOKUP($A16,'Outage by Zone inputs'!$A$4:$E$13,MATCH('Baseline Projects'!$I16,'Outage by Zone inputs'!$A$3:$E$3,0),0)*$M16*$N16*('Baseline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Projects'!AB$3,'Baseline scaling factors'!$B$54:$K$54,0))+VLOOKUP($A16,'Outage by Zone inputs'!$A$4:$E$13,MATCH('Baseline Projects'!$I16,'Outage by Zone inputs'!$A$3:$E$3,0),0)*$M16*$N16*('Baseline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Projects'!AB$3,'Baseline scaling factors'!$B$48:$K$48,0))</f>
        <v>221.89636633695432</v>
      </c>
      <c r="AC16" s="34">
        <f>VLOOKUP($A16,'Outage by Zone inputs'!$A$4:$E$13,MATCH('Baseline Projects'!$I16,'Outage by Zone inputs'!$A$3:$E$3,0),0)*$M16*$N16*('Baseline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Projects'!AC$3,'Baseline scaling factors'!$B$54:$K$54,0))+VLOOKUP($A16,'Outage by Zone inputs'!$A$4:$E$13,MATCH('Baseline Projects'!$I16,'Outage by Zone inputs'!$A$3:$E$3,0),0)*$M16*$N16*('Baseline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Projects'!AC$3,'Baseline scaling factors'!$B$48:$K$48,0))</f>
        <v>204.82194960426767</v>
      </c>
      <c r="AD16" s="34">
        <f>VLOOKUP($A16,'Outage by Zone inputs'!$A$4:$E$13,MATCH('Baseline Projects'!$I16,'Outage by Zone inputs'!$A$3:$E$3,0),0)*$M16*$N16*('Baseline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Projects'!AD$3,'Baseline scaling factors'!$B$54:$K$54,0))+VLOOKUP($A16,'Outage by Zone inputs'!$A$4:$E$13,MATCH('Baseline Projects'!$I16,'Outage by Zone inputs'!$A$3:$E$3,0),0)*$M16*$N16*('Baseline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Projects'!AD$3,'Baseline scaling factors'!$B$48:$K$48,0))</f>
        <v>188.49986976787031</v>
      </c>
      <c r="AE16" s="34">
        <f>VLOOKUP($A16,'Outage by Zone inputs'!$A$4:$E$13,MATCH('Baseline Projects'!$I16,'Outage by Zone inputs'!$A$3:$E$3,0),0)*$M16*$N16*('Baseline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Projects'!AE$3,'Baseline scaling factors'!$B$54:$K$54,0))+VLOOKUP($A16,'Outage by Zone inputs'!$A$4:$E$13,MATCH('Baseline Projects'!$I16,'Outage by Zone inputs'!$A$3:$E$3,0),0)*$M16*$N16*('Baseline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Projects'!AE$3,'Baseline scaling factors'!$B$48:$K$48,0))</f>
        <v>172.89697718555891</v>
      </c>
      <c r="AF16" s="34">
        <f>VLOOKUP($A16,'Outage by Zone inputs'!$A$4:$E$13,MATCH('Baseline Projects'!$I16,'Outage by Zone inputs'!$A$3:$E$3,0),0)*$M16*$N16*('Baseline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Projects'!AF$3,'Baseline scaling factors'!$B$54:$K$54,0))+VLOOKUP($A16,'Outage by Zone inputs'!$A$4:$E$13,MATCH('Baseline Projects'!$I16,'Outage by Zone inputs'!$A$3:$E$3,0),0)*$M16*$N16*('Baseline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Projects'!AF$3,'Baseline scaling factors'!$B$48:$K$48,0))</f>
        <v>157.98158286232649</v>
      </c>
      <c r="AG16" s="34">
        <f>VLOOKUP($A16,'Outage by Zone inputs'!$A$4:$E$13,MATCH('Baseline Projects'!$I16,'Outage by Zone inputs'!$A$3:$E$3,0),0)*$M16*$N16*('Baseline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Projects'!AG$3,'Baseline scaling factors'!$B$54:$K$54,0))+VLOOKUP($A16,'Outage by Zone inputs'!$A$4:$E$13,MATCH('Baseline Projects'!$I16,'Outage by Zone inputs'!$A$3:$E$3,0),0)*$M16*$N16*('Baseline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Projects'!AG$3,'Baseline scaling factors'!$B$48:$K$48,0))</f>
        <v>143.72339409098794</v>
      </c>
      <c r="AH16" s="34">
        <f>VLOOKUP($A16,'Outage by Zone inputs'!$A$4:$E$13,MATCH('Baseline Projects'!$I16,'Outage by Zone inputs'!$A$3:$E$3,0),0)*$M16*$N16*('Baseline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Projects'!AH$3,'Baseline scaling factors'!$B$54:$K$54,0))+VLOOKUP($A16,'Outage by Zone inputs'!$A$4:$E$13,MATCH('Baseline Projects'!$I16,'Outage by Zone inputs'!$A$3:$E$3,0),0)*$M16*$N16*('Baseline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Projects'!AH$3,'Baseline scaling factors'!$B$48:$K$48,0))</f>
        <v>130.09345292862332</v>
      </c>
      <c r="AI16" s="34">
        <f>VLOOKUP($A16,'Outage by Zone inputs'!$A$4:$E$13,MATCH('Baseline Projects'!$I16,'Outage by Zone inputs'!$A$3:$E$3,0),0)*$M16*$N16*('Baseline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Projects'!AI$3,'Baseline scaling factors'!$B$54:$K$54,0))+VLOOKUP($A16,'Outage by Zone inputs'!$A$4:$E$13,MATCH('Baseline Projects'!$I16,'Outage by Zone inputs'!$A$3:$E$3,0),0)*$M16*$N16*('Baseline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Projects'!AI$3,'Baseline scaling factors'!$B$48:$K$48,0))</f>
        <v>117.06407738388637</v>
      </c>
      <c r="AJ16" s="34">
        <f>VLOOKUP($A16,'Outage by Zone inputs'!$A$4:$E$13,MATCH('Baseline Projects'!$I16,'Outage by Zone inputs'!$A$3:$E$3,0),0)*$M16*$N16*('Baseline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Projects'!AJ$3,'Baseline scaling factors'!$B$54:$K$54,0))+VLOOKUP($A16,'Outage by Zone inputs'!$A$4:$E$13,MATCH('Baseline Projects'!$I16,'Outage by Zone inputs'!$A$3:$E$3,0),0)*$M16*$N16*('Baseline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Projects'!AJ$3,'Baseline scaling factors'!$B$48:$K$48,0))</f>
        <v>104.60880519573143</v>
      </c>
      <c r="AK16" s="1">
        <f t="shared" si="2"/>
        <v>24735.280969253177</v>
      </c>
      <c r="AL16" s="1">
        <f t="shared" si="3"/>
        <v>22892.556666655448</v>
      </c>
      <c r="AM16" s="1">
        <f t="shared" si="4"/>
        <v>21131.026908166459</v>
      </c>
      <c r="AN16" s="1">
        <f t="shared" si="5"/>
        <v>19447.114081018139</v>
      </c>
      <c r="AO16" s="1">
        <f t="shared" si="6"/>
        <v>17837.398210043033</v>
      </c>
      <c r="AP16" s="1">
        <f t="shared" si="7"/>
        <v>16298.610011809953</v>
      </c>
      <c r="AQ16" s="1">
        <f t="shared" si="8"/>
        <v>14827.624254809843</v>
      </c>
      <c r="AR16" s="1">
        <f t="shared" si="9"/>
        <v>13421.453412206696</v>
      </c>
      <c r="AS16" s="1">
        <f t="shared" si="10"/>
        <v>12077.241594262427</v>
      </c>
      <c r="AT16" s="1">
        <f t="shared" si="11"/>
        <v>10792.258748112643</v>
      </c>
      <c r="AU16" s="1">
        <f t="shared" si="12"/>
        <v>931459.04360309278</v>
      </c>
      <c r="AV16" s="1">
        <f t="shared" si="13"/>
        <v>862067.38321906747</v>
      </c>
      <c r="AW16" s="1">
        <f t="shared" si="14"/>
        <v>795733.27421257994</v>
      </c>
      <c r="AX16" s="1">
        <f t="shared" si="15"/>
        <v>732321.9940481761</v>
      </c>
      <c r="AY16" s="1">
        <f t="shared" si="16"/>
        <v>671704.75636589632</v>
      </c>
      <c r="AZ16" s="1">
        <f t="shared" si="17"/>
        <v>613758.44942013838</v>
      </c>
      <c r="BA16" s="1">
        <f t="shared" si="18"/>
        <v>558365.38604348816</v>
      </c>
      <c r="BB16" s="1">
        <f t="shared" si="19"/>
        <v>505413.06462770159</v>
      </c>
      <c r="BC16" s="1">
        <f t="shared" si="20"/>
        <v>454793.94063639856</v>
      </c>
      <c r="BD16" s="1">
        <f t="shared" si="21"/>
        <v>406405.20818541665</v>
      </c>
      <c r="BE16" s="1">
        <f t="shared" si="22"/>
        <v>956194.32457234594</v>
      </c>
      <c r="BF16" s="1">
        <f t="shared" si="23"/>
        <v>884959.93988572294</v>
      </c>
      <c r="BG16" s="1">
        <f t="shared" si="24"/>
        <v>816864.30112074642</v>
      </c>
      <c r="BH16" s="1">
        <f t="shared" si="25"/>
        <v>751769.10812919424</v>
      </c>
      <c r="BI16" s="1">
        <f t="shared" si="26"/>
        <v>689542.15457593941</v>
      </c>
      <c r="BJ16" s="1">
        <f t="shared" si="27"/>
        <v>630057.05943194835</v>
      </c>
      <c r="BK16" s="1">
        <f t="shared" si="28"/>
        <v>573193.01029829797</v>
      </c>
      <c r="BL16" s="1">
        <f t="shared" si="29"/>
        <v>518834.51803990826</v>
      </c>
      <c r="BM16" s="1">
        <f t="shared" si="30"/>
        <v>466871.18223066098</v>
      </c>
      <c r="BN16" s="1">
        <f t="shared" si="31"/>
        <v>417197.4669335293</v>
      </c>
      <c r="BO16" s="25">
        <f>VLOOKUP($A16,'Outage by Zone inputs'!$A$59:$E$68,MATCH('Baseline Projects'!$I16,'Outage by Zone inputs'!$A$58:$E$58,0),0)*AVG_INCIDENT_PERCENT_NON_STORM</f>
        <v>1.3614312017488024</v>
      </c>
      <c r="BP16" s="25">
        <f>$BO16*$N16*('Baseline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Projects'!Q$3,'Baseline scaling factors'!$B$54:$K$54,0))+$BO16*$N16*('Baseline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Projects'!Q$3,'Baseline scaling factors'!$B$48:$K$48,0))</f>
        <v>0.65325169018695395</v>
      </c>
      <c r="BQ16" s="25">
        <f>$BO16*$N16*('Baseline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Projects'!R$3,'Baseline scaling factors'!$B$54:$K$54,0))+$BO16*$N16*('Baseline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Projects'!R$3,'Baseline scaling factors'!$B$48:$K$48,0))</f>
        <v>0.60458586881557508</v>
      </c>
      <c r="BR16" s="25">
        <f>$BO16*$N16*('Baseline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Projects'!S$3,'Baseline scaling factors'!$B$54:$K$54,0))+$BO16*$N16*('Baseline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Projects'!S$3,'Baseline scaling factors'!$B$48:$K$48,0))</f>
        <v>0.55806437211303372</v>
      </c>
      <c r="BS16" s="25">
        <f>$BO16*$N16*('Baseline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Projects'!T$3,'Baseline scaling factors'!$B$54:$K$54,0))+$BO16*$N16*('Baseline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Projects'!T$3,'Baseline scaling factors'!$B$48:$K$48,0))</f>
        <v>0.51359271635017834</v>
      </c>
      <c r="BT16" s="25">
        <f>$BO16*$N16*('Baseline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Projects'!U$3,'Baseline scaling factors'!$B$54:$K$54,0))+$BO16*$N16*('Baseline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Projects'!U$3,'Baseline scaling factors'!$B$48:$K$48,0))</f>
        <v>0.4710805809617683</v>
      </c>
      <c r="BU16" s="25">
        <f>$BO16*$N16*('Baseline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Projects'!V$3,'Baseline scaling factors'!$B$54:$K$54,0))+$BO16*$N16*('Baseline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Projects'!V$3,'Baseline scaling factors'!$B$48:$K$48,0))</f>
        <v>0.43044162510818346</v>
      </c>
      <c r="BV16" s="25">
        <f>$BO16*$N16*('Baseline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Projects'!W$3,'Baseline scaling factors'!$B$54:$K$54,0))+$BO16*$N16*('Baseline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Projects'!W$3,'Baseline scaling factors'!$B$48:$K$48,0))</f>
        <v>0.39159331231983391</v>
      </c>
      <c r="BW16" s="25">
        <f>$BO16*$N16*('Baseline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Projects'!X$3,'Baseline scaling factors'!$B$54:$K$54,0))+$BO16*$N16*('Baseline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Projects'!X$3,'Baseline scaling factors'!$B$48:$K$48,0))</f>
        <v>0.35445674286812845</v>
      </c>
      <c r="BX16" s="25">
        <f>$BO16*$N16*('Baseline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Projects'!Y$3,'Baseline scaling factors'!$B$54:$K$54,0))+$BO16*$N16*('Baseline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Projects'!Y$3,'Baseline scaling factors'!$B$48:$K$48,0))</f>
        <v>0.31895649352255229</v>
      </c>
      <c r="BY16" s="25">
        <f>$BO16*$N16*('Baseline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Projects'!Z$3,'Baseline scaling factors'!$B$54:$K$54,0))+$BO16*$N16*('Baseline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Projects'!Z$3,'Baseline scaling factors'!$B$48:$K$48,0))</f>
        <v>0.2850204643684055</v>
      </c>
      <c r="BZ16" s="12">
        <f t="shared" si="32"/>
        <v>308.33479776824225</v>
      </c>
      <c r="CA16" s="12">
        <f t="shared" si="33"/>
        <v>285.36453008095145</v>
      </c>
      <c r="CB16" s="12">
        <f t="shared" si="34"/>
        <v>263.40638363735189</v>
      </c>
      <c r="CC16" s="12">
        <f t="shared" si="35"/>
        <v>242.41576211728417</v>
      </c>
      <c r="CD16" s="12">
        <f t="shared" si="36"/>
        <v>222.35003421395464</v>
      </c>
      <c r="CE16" s="12">
        <f t="shared" si="37"/>
        <v>203.1684470510626</v>
      </c>
      <c r="CF16" s="12">
        <f t="shared" si="38"/>
        <v>184.83204341496162</v>
      </c>
      <c r="CG16" s="12">
        <f t="shared" si="39"/>
        <v>167.30358263375663</v>
      </c>
      <c r="CH16" s="12">
        <f t="shared" si="40"/>
        <v>150.54746494264467</v>
      </c>
      <c r="CI16" s="12">
        <f t="shared" si="41"/>
        <v>134.52965918188741</v>
      </c>
      <c r="CJ16" s="12">
        <f>'Mitigation Projects'!$AG16*VLOOKUP('Baseline Projects'!$H16&amp;"-"&amp;'Baseline Projects'!$G16,'Baseline scaling factors'!$A$49:$K$51,MATCH('Baseline Projects'!CJ$2,'Baseline scaling factors'!$A$48:$K$48,0),0)</f>
        <v>483.83640167073918</v>
      </c>
      <c r="CK16" s="12">
        <f>'Mitigation Projects'!$AG16*VLOOKUP('Baseline Projects'!$H16&amp;"-"&amp;'Baseline Projects'!$G16,'Baseline scaling factors'!$A$49:$K$51,MATCH('Baseline Projects'!CK$2,'Baseline scaling factors'!$A$48:$K$48,0),0)</f>
        <v>946.35389198751807</v>
      </c>
      <c r="CL16" s="12">
        <f>'Mitigation Projects'!$AG16*VLOOKUP('Baseline Projects'!$H16&amp;"-"&amp;'Baseline Projects'!$G16,'Baseline scaling factors'!$A$49:$K$51,MATCH('Baseline Projects'!CL$2,'Baseline scaling factors'!$A$48:$K$48,0),0)</f>
        <v>1388.4918297496092</v>
      </c>
      <c r="CM16" s="12">
        <f>'Mitigation Projects'!$AG16*VLOOKUP('Baseline Projects'!$H16&amp;"-"&amp;'Baseline Projects'!$G16,'Baseline scaling factors'!$A$49:$K$51,MATCH('Baseline Projects'!CM$2,'Baseline scaling factors'!$A$48:$K$48,0),0)</f>
        <v>1811.1481835117695</v>
      </c>
      <c r="CN16" s="12">
        <f>'Mitigation Projects'!$AG16*VLOOKUP('Baseline Projects'!$H16&amp;"-"&amp;'Baseline Projects'!$G16,'Baseline scaling factors'!$A$49:$K$51,MATCH('Baseline Projects'!CN$2,'Baseline scaling factors'!$A$48:$K$48,0),0)</f>
        <v>2215.1813553307579</v>
      </c>
      <c r="CO16" s="12">
        <f>'Mitigation Projects'!$AG16*VLOOKUP('Baseline Projects'!$H16&amp;"-"&amp;'Baseline Projects'!$G16,'Baseline scaling factors'!$A$49:$K$51,MATCH('Baseline Projects'!CO$2,'Baseline scaling factors'!$A$48:$K$48,0),0)</f>
        <v>2601.4119241535168</v>
      </c>
      <c r="CP16" s="12">
        <f>'Mitigation Projects'!$AG16*VLOOKUP('Baseline Projects'!$H16&amp;"-"&amp;'Baseline Projects'!$G16,'Baseline scaling factors'!$A$49:$K$51,MATCH('Baseline Projects'!CP$2,'Baseline scaling factors'!$A$48:$K$48,0),0)</f>
        <v>2970.6243123877771</v>
      </c>
      <c r="CQ16" s="12">
        <f>'Mitigation Projects'!$AG16*VLOOKUP('Baseline Projects'!$H16&amp;"-"&amp;'Baseline Projects'!$G16,'Baseline scaling factors'!$A$49:$K$51,MATCH('Baseline Projects'!CQ$2,'Baseline scaling factors'!$A$48:$K$48,0),0)</f>
        <v>3323.5683790398448</v>
      </c>
      <c r="CR16" s="12">
        <f>'Mitigation Projects'!$AG16*VLOOKUP('Baseline Projects'!$H16&amp;"-"&amp;'Baseline Projects'!$G16,'Baseline scaling factors'!$A$49:$K$51,MATCH('Baseline Projects'!CR$2,'Baseline scaling factors'!$A$48:$K$48,0),0)</f>
        <v>3660.9609426551851</v>
      </c>
      <c r="CS16" s="12">
        <f>'Mitigation Projects'!$AG16*VLOOKUP('Baseline Projects'!$H16&amp;"-"&amp;'Baseline Projects'!$G16,'Baseline scaling factors'!$A$49:$K$51,MATCH('Baseline Projects'!CS$2,'Baseline scaling factors'!$A$48:$K$48,0),0)</f>
        <v>3983.4872371548427</v>
      </c>
      <c r="CT16" s="12">
        <f>'Mitigation Projects'!$AH16*VLOOKUP('Baseline Projects'!$H16&amp;"-"&amp;'Baseline Projects'!$G16,'Baseline scaling factors'!$A$49:$K$51,MATCH('Baseline Projects'!CT$2,'Baseline scaling factors'!$A$48:$K$48,0),0)</f>
        <v>18219.87761209553</v>
      </c>
      <c r="CU16" s="12">
        <f>'Mitigation Projects'!$AH16*VLOOKUP('Baseline Projects'!$H16&amp;"-"&amp;'Baseline Projects'!$G16,'Baseline scaling factors'!$A$49:$K$51,MATCH('Baseline Projects'!CU$2,'Baseline scaling factors'!$A$48:$K$48,0),0)</f>
        <v>35636.946765896093</v>
      </c>
      <c r="CV16" s="12">
        <f>'Mitigation Projects'!$AH16*VLOOKUP('Baseline Projects'!$H16&amp;"-"&amp;'Baseline Projects'!$G16,'Baseline scaling factors'!$A$49:$K$51,MATCH('Baseline Projects'!CV$2,'Baseline scaling factors'!$A$48:$K$48,0),0)</f>
        <v>52286.580993234951</v>
      </c>
      <c r="CW16" s="12">
        <f>'Mitigation Projects'!$AH16*VLOOKUP('Baseline Projects'!$H16&amp;"-"&amp;'Baseline Projects'!$G16,'Baseline scaling factors'!$A$49:$K$51,MATCH('Baseline Projects'!CW$2,'Baseline scaling factors'!$A$48:$K$48,0),0)</f>
        <v>68202.595189210304</v>
      </c>
      <c r="CX16" s="12">
        <f>'Mitigation Projects'!$AH16*VLOOKUP('Baseline Projects'!$H16&amp;"-"&amp;'Baseline Projects'!$G16,'Baseline scaling factors'!$A$49:$K$51,MATCH('Baseline Projects'!CX$2,'Baseline scaling factors'!$A$48:$K$48,0),0)</f>
        <v>83417.314289197209</v>
      </c>
      <c r="CY16" s="12">
        <f>'Mitigation Projects'!$AH16*VLOOKUP('Baseline Projects'!$H16&amp;"-"&amp;'Baseline Projects'!$G16,'Baseline scaling factors'!$A$49:$K$51,MATCH('Baseline Projects'!CY$2,'Baseline scaling factors'!$A$48:$K$48,0),0)</f>
        <v>97961.638919797406</v>
      </c>
      <c r="CZ16" s="12">
        <f>'Mitigation Projects'!$AH16*VLOOKUP('Baseline Projects'!$H16&amp;"-"&amp;'Baseline Projects'!$G16,'Baseline scaling factors'!$A$49:$K$51,MATCH('Baseline Projects'!CZ$2,'Baseline scaling factors'!$A$48:$K$48,0),0)</f>
        <v>111865.10815706159</v>
      </c>
      <c r="DA16" s="12">
        <f>'Mitigation Projects'!$AH16*VLOOKUP('Baseline Projects'!$H16&amp;"-"&amp;'Baseline Projects'!$G16,'Baseline scaling factors'!$A$49:$K$51,MATCH('Baseline Projects'!DA$2,'Baseline scaling factors'!$A$48:$K$48,0),0)</f>
        <v>125155.95951944446</v>
      </c>
      <c r="DB16" s="12">
        <f>'Mitigation Projects'!$AH16*VLOOKUP('Baseline Projects'!$H16&amp;"-"&amp;'Baseline Projects'!$G16,'Baseline scaling factors'!$A$49:$K$51,MATCH('Baseline Projects'!DB$2,'Baseline scaling factors'!$A$48:$K$48,0),0)</f>
        <v>137861.18631733634</v>
      </c>
      <c r="DC16" s="12">
        <f>'Mitigation Projects'!$AH16*VLOOKUP('Baseline Projects'!$H16&amp;"-"&amp;'Baseline Projects'!$G16,'Baseline scaling factors'!$A$49:$K$51,MATCH('Baseline Projects'!DC$2,'Baseline scaling factors'!$A$48:$K$48,0),0)</f>
        <v>150006.59247564652</v>
      </c>
    </row>
    <row r="17" spans="1:107" x14ac:dyDescent="0.4">
      <c r="A17" s="38" t="str">
        <f>'Mitigation Projects'!A17</f>
        <v>CS-G34</v>
      </c>
      <c r="B17" s="38" t="str">
        <f>'Mitigation Projects'!B17</f>
        <v>Royalton</v>
      </c>
      <c r="C17" s="39">
        <f>'Mitigation Projects'!C17</f>
        <v>205534</v>
      </c>
      <c r="D17" s="39" t="str">
        <f>'Mitigation Projects'!D17</f>
        <v>205534: L6 P126 to P66</v>
      </c>
      <c r="E17" s="39">
        <f>'Mitigation Projects'!E17</f>
        <v>615615</v>
      </c>
      <c r="F17" s="39">
        <f>'Mitigation Projects'!F17</f>
        <v>617660</v>
      </c>
      <c r="G17" s="39" t="str">
        <f>'Mitigation Projects'!G17</f>
        <v>3PH</v>
      </c>
      <c r="H17" s="39" t="str">
        <f>'Mitigation Projects'!H17</f>
        <v>OH</v>
      </c>
      <c r="I17" s="39" t="str">
        <f>'Mitigation Projects'!J17</f>
        <v>Zone 1</v>
      </c>
      <c r="J17" s="39">
        <f>'Mitigation Projects'!K17</f>
        <v>244</v>
      </c>
      <c r="K17" s="40">
        <f>'Mitigation Projects'!L17*BASELINE_CAP_SPEND</f>
        <v>140039.5</v>
      </c>
      <c r="L17" s="97">
        <f>'Mitigation Projects'!Q17</f>
        <v>0.83087400681044266</v>
      </c>
      <c r="M17" s="97">
        <f>'Mitigation Projects'!R17</f>
        <v>0.16912599318955734</v>
      </c>
      <c r="N17" s="98">
        <f>'Mitigation Projects'!S17</f>
        <v>1</v>
      </c>
      <c r="O17" s="26">
        <f t="shared" si="0"/>
        <v>0.9</v>
      </c>
      <c r="P17" s="26">
        <f t="shared" si="1"/>
        <v>0.80330442615766917</v>
      </c>
      <c r="Q17" s="112">
        <f>VLOOKUP($A17,'Outage by Zone inputs'!$A$4:$E$13,MATCH('Baseline Projects'!$I17,'Outage by Zone inputs'!$A$3:$E$3,0),0)*'Baseline Projects'!$L17*$N17*('Baseline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Projects'!Q$3,'Baseline scaling factors'!$B$54:$K$54,0))+VLOOKUP($A17,'Outage by Zone inputs'!$A$4:$E$13,MATCH('Baseline Projects'!$I17,'Outage by Zone inputs'!$A$3:$E$3,0),0)*'Baseline Projects'!$L17*$N17*('Baseline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Projects'!Q$3,'Baseline scaling factors'!$B$48:$K$48,0))</f>
        <v>329.9660246294776</v>
      </c>
      <c r="R17" s="112">
        <f>VLOOKUP($A17,'Outage by Zone inputs'!$A$4:$E$13,MATCH('Baseline Projects'!$I17,'Outage by Zone inputs'!$A$3:$E$3,0),0)*'Baseline Projects'!$L17*$N17*('Baseline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Projects'!R$3,'Baseline scaling factors'!$B$54:$K$54,0))+VLOOKUP($A17,'Outage by Zone inputs'!$A$4:$E$13,MATCH('Baseline Projects'!$I17,'Outage by Zone inputs'!$A$3:$E$3,0),0)*'Baseline Projects'!$L17*$N17*('Baseline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Projects'!R$3,'Baseline scaling factors'!$B$48:$K$48,0))</f>
        <v>305.38427787785957</v>
      </c>
      <c r="S17" s="112">
        <f>VLOOKUP($A17,'Outage by Zone inputs'!$A$4:$E$13,MATCH('Baseline Projects'!$I17,'Outage by Zone inputs'!$A$3:$E$3,0),0)*'Baseline Projects'!$L17*$N17*('Baseline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Projects'!S$3,'Baseline scaling factors'!$B$54:$K$54,0))+VLOOKUP($A17,'Outage by Zone inputs'!$A$4:$E$13,MATCH('Baseline Projects'!$I17,'Outage by Zone inputs'!$A$3:$E$3,0),0)*'Baseline Projects'!$L17*$N17*('Baseline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Projects'!S$3,'Baseline scaling factors'!$B$48:$K$48,0))</f>
        <v>281.88565773290782</v>
      </c>
      <c r="T17" s="112">
        <f>VLOOKUP($A17,'Outage by Zone inputs'!$A$4:$E$13,MATCH('Baseline Projects'!$I17,'Outage by Zone inputs'!$A$3:$E$3,0),0)*'Baseline Projects'!$L17*$N17*('Baseline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Projects'!T$3,'Baseline scaling factors'!$B$54:$K$54,0))+VLOOKUP($A17,'Outage by Zone inputs'!$A$4:$E$13,MATCH('Baseline Projects'!$I17,'Outage by Zone inputs'!$A$3:$E$3,0),0)*'Baseline Projects'!$L17*$N17*('Baseline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Projects'!T$3,'Baseline scaling factors'!$B$48:$K$48,0))</f>
        <v>259.42243921974881</v>
      </c>
      <c r="U17" s="112">
        <f>VLOOKUP($A17,'Outage by Zone inputs'!$A$4:$E$13,MATCH('Baseline Projects'!$I17,'Outage by Zone inputs'!$A$3:$E$3,0),0)*'Baseline Projects'!$L17*$N17*('Baseline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Projects'!U$3,'Baseline scaling factors'!$B$54:$K$54,0))+VLOOKUP($A17,'Outage by Zone inputs'!$A$4:$E$13,MATCH('Baseline Projects'!$I17,'Outage by Zone inputs'!$A$3:$E$3,0),0)*'Baseline Projects'!$L17*$N17*('Baseline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Projects'!U$3,'Baseline scaling factors'!$B$48:$K$48,0))</f>
        <v>237.94900023238205</v>
      </c>
      <c r="V17" s="112">
        <f>VLOOKUP($A17,'Outage by Zone inputs'!$A$4:$E$13,MATCH('Baseline Projects'!$I17,'Outage by Zone inputs'!$A$3:$E$3,0),0)*'Baseline Projects'!$L17*$N17*('Baseline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Projects'!V$3,'Baseline scaling factors'!$B$54:$K$54,0))+VLOOKUP($A17,'Outage by Zone inputs'!$A$4:$E$13,MATCH('Baseline Projects'!$I17,'Outage by Zone inputs'!$A$3:$E$3,0),0)*'Baseline Projects'!$L17*$N17*('Baseline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Projects'!V$3,'Baseline scaling factors'!$B$48:$K$48,0))</f>
        <v>217.42172887658566</v>
      </c>
      <c r="W17" s="112">
        <f>VLOOKUP($A17,'Outage by Zone inputs'!$A$4:$E$13,MATCH('Baseline Projects'!$I17,'Outage by Zone inputs'!$A$3:$E$3,0),0)*'Baseline Projects'!$L17*$N17*('Baseline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Projects'!W$3,'Baseline scaling factors'!$B$54:$K$54,0))+VLOOKUP($A17,'Outage by Zone inputs'!$A$4:$E$13,MATCH('Baseline Projects'!$I17,'Outage by Zone inputs'!$A$3:$E$3,0),0)*'Baseline Projects'!$L17*$N17*('Baseline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Projects'!W$3,'Baseline scaling factors'!$B$48:$K$48,0))</f>
        <v>197.79893489550057</v>
      </c>
      <c r="X17" s="112">
        <f>VLOOKUP($A17,'Outage by Zone inputs'!$A$4:$E$13,MATCH('Baseline Projects'!$I17,'Outage by Zone inputs'!$A$3:$E$3,0),0)*'Baseline Projects'!$L17*$N17*('Baseline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Projects'!X$3,'Baseline scaling factors'!$B$54:$K$54,0))+VLOOKUP($A17,'Outage by Zone inputs'!$A$4:$E$13,MATCH('Baseline Projects'!$I17,'Outage by Zone inputs'!$A$3:$E$3,0),0)*'Baseline Projects'!$L17*$N17*('Baseline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Projects'!X$3,'Baseline scaling factors'!$B$48:$K$48,0))</f>
        <v>179.04076499800084</v>
      </c>
      <c r="Y17" s="112">
        <f>VLOOKUP($A17,'Outage by Zone inputs'!$A$4:$E$13,MATCH('Baseline Projects'!$I17,'Outage by Zone inputs'!$A$3:$E$3,0),0)*'Baseline Projects'!$L17*$N17*('Baseline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Projects'!Y$3,'Baseline scaling factors'!$B$54:$K$54,0))+VLOOKUP($A17,'Outage by Zone inputs'!$A$4:$E$13,MATCH('Baseline Projects'!$I17,'Outage by Zone inputs'!$A$3:$E$3,0),0)*'Baseline Projects'!$L17*$N17*('Baseline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Projects'!Y$3,'Baseline scaling factors'!$B$48:$K$48,0))</f>
        <v>161.10912191788486</v>
      </c>
      <c r="Z17" s="112">
        <f>VLOOKUP($A17,'Outage by Zone inputs'!$A$4:$E$13,MATCH('Baseline Projects'!$I17,'Outage by Zone inputs'!$A$3:$E$3,0),0)*'Baseline Projects'!$L17*$N17*('Baseline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Projects'!Z$3,'Baseline scaling factors'!$B$54:$K$54,0))+VLOOKUP($A17,'Outage by Zone inputs'!$A$4:$E$13,MATCH('Baseline Projects'!$I17,'Outage by Zone inputs'!$A$3:$E$3,0),0)*'Baseline Projects'!$L17*$N17*('Baseline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Projects'!Z$3,'Baseline scaling factors'!$B$48:$K$48,0))</f>
        <v>143.96758703949945</v>
      </c>
      <c r="AA17" s="34">
        <f>VLOOKUP($A17,'Outage by Zone inputs'!$A$4:$E$13,MATCH('Baseline Projects'!$I17,'Outage by Zone inputs'!$A$3:$E$3,0),0)*$M17*$N17*('Baseline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Projects'!AA$3,'Baseline scaling factors'!$B$54:$K$54,0))+VLOOKUP($A17,'Outage by Zone inputs'!$A$4:$E$13,MATCH('Baseline Projects'!$I17,'Outage by Zone inputs'!$A$3:$E$3,0),0)*$M17*$N17*('Baseline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Projects'!AA$3,'Baseline scaling factors'!$B$48:$K$48,0))</f>
        <v>67.165215395890954</v>
      </c>
      <c r="AB17" s="34">
        <f>VLOOKUP($A17,'Outage by Zone inputs'!$A$4:$E$13,MATCH('Baseline Projects'!$I17,'Outage by Zone inputs'!$A$3:$E$3,0),0)*$M17*$N17*('Baseline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Projects'!AB$3,'Baseline scaling factors'!$B$54:$K$54,0))+VLOOKUP($A17,'Outage by Zone inputs'!$A$4:$E$13,MATCH('Baseline Projects'!$I17,'Outage by Zone inputs'!$A$3:$E$3,0),0)*$M17*$N17*('Baseline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Projects'!AB$3,'Baseline scaling factors'!$B$48:$K$48,0))</f>
        <v>62.161553830329339</v>
      </c>
      <c r="AC17" s="34">
        <f>VLOOKUP($A17,'Outage by Zone inputs'!$A$4:$E$13,MATCH('Baseline Projects'!$I17,'Outage by Zone inputs'!$A$3:$E$3,0),0)*$M17*$N17*('Baseline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Projects'!AC$3,'Baseline scaling factors'!$B$54:$K$54,0))+VLOOKUP($A17,'Outage by Zone inputs'!$A$4:$E$13,MATCH('Baseline Projects'!$I17,'Outage by Zone inputs'!$A$3:$E$3,0),0)*$M17*$N17*('Baseline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Projects'!AC$3,'Baseline scaling factors'!$B$48:$K$48,0))</f>
        <v>57.378364757108287</v>
      </c>
      <c r="AD17" s="34">
        <f>VLOOKUP($A17,'Outage by Zone inputs'!$A$4:$E$13,MATCH('Baseline Projects'!$I17,'Outage by Zone inputs'!$A$3:$E$3,0),0)*$M17*$N17*('Baseline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Projects'!AD$3,'Baseline scaling factors'!$B$54:$K$54,0))+VLOOKUP($A17,'Outage by Zone inputs'!$A$4:$E$13,MATCH('Baseline Projects'!$I17,'Outage by Zone inputs'!$A$3:$E$3,0),0)*$M17*$N17*('Baseline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Projects'!AD$3,'Baseline scaling factors'!$B$48:$K$48,0))</f>
        <v>52.805933666314992</v>
      </c>
      <c r="AE17" s="34">
        <f>VLOOKUP($A17,'Outage by Zone inputs'!$A$4:$E$13,MATCH('Baseline Projects'!$I17,'Outage by Zone inputs'!$A$3:$E$3,0),0)*$M17*$N17*('Baseline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Projects'!AE$3,'Baseline scaling factors'!$B$54:$K$54,0))+VLOOKUP($A17,'Outage by Zone inputs'!$A$4:$E$13,MATCH('Baseline Projects'!$I17,'Outage by Zone inputs'!$A$3:$E$3,0),0)*$M17*$N17*('Baseline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Projects'!AE$3,'Baseline scaling factors'!$B$48:$K$48,0))</f>
        <v>48.434974091017665</v>
      </c>
      <c r="AF17" s="34">
        <f>VLOOKUP($A17,'Outage by Zone inputs'!$A$4:$E$13,MATCH('Baseline Projects'!$I17,'Outage by Zone inputs'!$A$3:$E$3,0),0)*$M17*$N17*('Baseline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Projects'!AF$3,'Baseline scaling factors'!$B$54:$K$54,0))+VLOOKUP($A17,'Outage by Zone inputs'!$A$4:$E$13,MATCH('Baseline Projects'!$I17,'Outage by Zone inputs'!$A$3:$E$3,0),0)*$M17*$N17*('Baseline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Projects'!AF$3,'Baseline scaling factors'!$B$48:$K$48,0))</f>
        <v>44.256608746736703</v>
      </c>
      <c r="AG17" s="34">
        <f>VLOOKUP($A17,'Outage by Zone inputs'!$A$4:$E$13,MATCH('Baseline Projects'!$I17,'Outage by Zone inputs'!$A$3:$E$3,0),0)*$M17*$N17*('Baseline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Projects'!AG$3,'Baseline scaling factors'!$B$54:$K$54,0))+VLOOKUP($A17,'Outage by Zone inputs'!$A$4:$E$13,MATCH('Baseline Projects'!$I17,'Outage by Zone inputs'!$A$3:$E$3,0),0)*$M17*$N17*('Baseline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Projects'!AG$3,'Baseline scaling factors'!$B$48:$K$48,0))</f>
        <v>40.262351501952992</v>
      </c>
      <c r="AH17" s="34">
        <f>VLOOKUP($A17,'Outage by Zone inputs'!$A$4:$E$13,MATCH('Baseline Projects'!$I17,'Outage by Zone inputs'!$A$3:$E$3,0),0)*$M17*$N17*('Baseline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Projects'!AH$3,'Baseline scaling factors'!$B$54:$K$54,0))+VLOOKUP($A17,'Outage by Zone inputs'!$A$4:$E$13,MATCH('Baseline Projects'!$I17,'Outage by Zone inputs'!$A$3:$E$3,0),0)*$M17*$N17*('Baseline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Projects'!AH$3,'Baseline scaling factors'!$B$48:$K$48,0))</f>
        <v>36.444090143035694</v>
      </c>
      <c r="AI17" s="34">
        <f>VLOOKUP($A17,'Outage by Zone inputs'!$A$4:$E$13,MATCH('Baseline Projects'!$I17,'Outage by Zone inputs'!$A$3:$E$3,0),0)*$M17*$N17*('Baseline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Projects'!AI$3,'Baseline scaling factors'!$B$54:$K$54,0))+VLOOKUP($A17,'Outage by Zone inputs'!$A$4:$E$13,MATCH('Baseline Projects'!$I17,'Outage by Zone inputs'!$A$3:$E$3,0),0)*$M17*$N17*('Baseline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Projects'!AI$3,'Baseline scaling factors'!$B$48:$K$48,0))</f>
        <v>32.794069898585853</v>
      </c>
      <c r="AJ17" s="34">
        <f>VLOOKUP($A17,'Outage by Zone inputs'!$A$4:$E$13,MATCH('Baseline Projects'!$I17,'Outage by Zone inputs'!$A$3:$E$3,0),0)*$M17*$N17*('Baseline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Projects'!AJ$3,'Baseline scaling factors'!$B$54:$K$54,0))+VLOOKUP($A17,'Outage by Zone inputs'!$A$4:$E$13,MATCH('Baseline Projects'!$I17,'Outage by Zone inputs'!$A$3:$E$3,0),0)*$M17*$N17*('Baseline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Projects'!AJ$3,'Baseline scaling factors'!$B$48:$K$48,0))</f>
        <v>29.30487768973418</v>
      </c>
      <c r="AK17" s="1">
        <f t="shared" si="2"/>
        <v>6929.2865172190295</v>
      </c>
      <c r="AL17" s="1">
        <f t="shared" si="3"/>
        <v>6413.0698354350507</v>
      </c>
      <c r="AM17" s="1">
        <f t="shared" si="4"/>
        <v>5919.5988123910638</v>
      </c>
      <c r="AN17" s="1">
        <f t="shared" si="5"/>
        <v>5447.8712236147248</v>
      </c>
      <c r="AO17" s="1">
        <f t="shared" si="6"/>
        <v>4996.9290048800231</v>
      </c>
      <c r="AP17" s="1">
        <f t="shared" si="7"/>
        <v>4565.8563064082991</v>
      </c>
      <c r="AQ17" s="1">
        <f t="shared" si="8"/>
        <v>4153.7776328055115</v>
      </c>
      <c r="AR17" s="1">
        <f t="shared" si="9"/>
        <v>3759.8560649580177</v>
      </c>
      <c r="AS17" s="1">
        <f t="shared" si="10"/>
        <v>3383.291560275582</v>
      </c>
      <c r="AT17" s="1">
        <f t="shared" si="11"/>
        <v>3023.3193278294884</v>
      </c>
      <c r="AU17" s="1">
        <f t="shared" si="12"/>
        <v>260936.86181303635</v>
      </c>
      <c r="AV17" s="1">
        <f t="shared" si="13"/>
        <v>241497.63663082948</v>
      </c>
      <c r="AW17" s="1">
        <f t="shared" si="14"/>
        <v>222914.94708136568</v>
      </c>
      <c r="AX17" s="1">
        <f t="shared" si="15"/>
        <v>205151.05229363375</v>
      </c>
      <c r="AY17" s="1">
        <f t="shared" si="16"/>
        <v>188169.87434360362</v>
      </c>
      <c r="AZ17" s="1">
        <f t="shared" si="17"/>
        <v>171936.92498107208</v>
      </c>
      <c r="BA17" s="1">
        <f t="shared" si="18"/>
        <v>156419.23558508739</v>
      </c>
      <c r="BB17" s="1">
        <f t="shared" si="19"/>
        <v>141585.29020569369</v>
      </c>
      <c r="BC17" s="1">
        <f t="shared" si="20"/>
        <v>127404.96155600603</v>
      </c>
      <c r="BD17" s="1">
        <f t="shared" si="21"/>
        <v>113849.44982461729</v>
      </c>
      <c r="BE17" s="1">
        <f t="shared" si="22"/>
        <v>267866.14833025535</v>
      </c>
      <c r="BF17" s="1">
        <f t="shared" si="23"/>
        <v>247910.70646626453</v>
      </c>
      <c r="BG17" s="1">
        <f t="shared" si="24"/>
        <v>228834.54589375673</v>
      </c>
      <c r="BH17" s="1">
        <f t="shared" si="25"/>
        <v>210598.92351724848</v>
      </c>
      <c r="BI17" s="1">
        <f t="shared" si="26"/>
        <v>193166.80334848363</v>
      </c>
      <c r="BJ17" s="1">
        <f t="shared" si="27"/>
        <v>176502.78128748038</v>
      </c>
      <c r="BK17" s="1">
        <f t="shared" si="28"/>
        <v>160573.01321789291</v>
      </c>
      <c r="BL17" s="1">
        <f t="shared" si="29"/>
        <v>145345.14627065172</v>
      </c>
      <c r="BM17" s="1">
        <f t="shared" si="30"/>
        <v>130788.25311628162</v>
      </c>
      <c r="BN17" s="1">
        <f t="shared" si="31"/>
        <v>116872.76915244678</v>
      </c>
      <c r="BO17" s="25">
        <f>VLOOKUP($A17,'Outage by Zone inputs'!$A$59:$E$68,MATCH('Baseline Projects'!$I17,'Outage by Zone inputs'!$A$58:$E$58,0),0)*AVG_INCIDENT_PERCENT_NON_STORM</f>
        <v>1.3614312017488024</v>
      </c>
      <c r="BP17" s="25">
        <f>$BO17*$N17*('Baseline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Projects'!Q$3,'Baseline scaling factors'!$B$54:$K$54,0))+$BO17*$N17*('Baseline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Projects'!Q$3,'Baseline scaling factors'!$B$48:$K$48,0))</f>
        <v>0.18300047348520873</v>
      </c>
      <c r="BQ17" s="25">
        <f>$BO17*$N17*('Baseline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Projects'!R$3,'Baseline scaling factors'!$B$54:$K$54,0))+$BO17*$N17*('Baseline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Projects'!R$3,'Baseline scaling factors'!$B$48:$K$48,0))</f>
        <v>0.16936733868082704</v>
      </c>
      <c r="BR17" s="25">
        <f>$BO17*$N17*('Baseline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Projects'!S$3,'Baseline scaling factors'!$B$54:$K$54,0))+$BO17*$N17*('Baseline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Projects'!S$3,'Baseline scaling factors'!$B$48:$K$48,0))</f>
        <v>0.1563349102130657</v>
      </c>
      <c r="BS17" s="25">
        <f>$BO17*$N17*('Baseline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Projects'!T$3,'Baseline scaling factors'!$B$54:$K$54,0))+$BO17*$N17*('Baseline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Projects'!T$3,'Baseline scaling factors'!$B$48:$K$48,0))</f>
        <v>0.14387671962048626</v>
      </c>
      <c r="BT17" s="25">
        <f>$BO17*$N17*('Baseline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Projects'!U$3,'Baseline scaling factors'!$B$54:$K$54,0))+$BO17*$N17*('Baseline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Projects'!U$3,'Baseline scaling factors'!$B$48:$K$48,0))</f>
        <v>0.13196746470111537</v>
      </c>
      <c r="BU17" s="25">
        <f>$BO17*$N17*('Baseline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Projects'!V$3,'Baseline scaling factors'!$B$54:$K$54,0))+$BO17*$N17*('Baseline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Projects'!V$3,'Baseline scaling factors'!$B$48:$K$48,0))</f>
        <v>0.12058295812445095</v>
      </c>
      <c r="BV17" s="25">
        <f>$BO17*$N17*('Baseline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Projects'!W$3,'Baseline scaling factors'!$B$54:$K$54,0))+$BO17*$N17*('Baseline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Projects'!W$3,'Baseline scaling factors'!$B$48:$K$48,0))</f>
        <v>0.10970007830773763</v>
      </c>
      <c r="BW17" s="25">
        <f>$BO17*$N17*('Baseline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Projects'!X$3,'Baseline scaling factors'!$B$54:$K$54,0))+$BO17*$N17*('Baseline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Projects'!X$3,'Baseline scaling factors'!$B$48:$K$48,0))</f>
        <v>9.9296722456743231E-2</v>
      </c>
      <c r="BX17" s="25">
        <f>$BO17*$N17*('Baseline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Projects'!Y$3,'Baseline scaling factors'!$B$54:$K$54,0))+$BO17*$N17*('Baseline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Projects'!Y$3,'Baseline scaling factors'!$B$48:$K$48,0))</f>
        <v>8.9351761675663333E-2</v>
      </c>
      <c r="BY17" s="25">
        <f>$BO17*$N17*('Baseline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Projects'!Z$3,'Baseline scaling factors'!$B$54:$K$54,0))+$BO17*$N17*('Baseline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Projects'!Z$3,'Baseline scaling factors'!$B$48:$K$48,0))</f>
        <v>7.9844998054983851E-2</v>
      </c>
      <c r="BZ17" s="12">
        <f t="shared" si="32"/>
        <v>86.376223485018528</v>
      </c>
      <c r="CA17" s="12">
        <f t="shared" si="33"/>
        <v>79.94138385735036</v>
      </c>
      <c r="CB17" s="12">
        <f t="shared" si="34"/>
        <v>73.790077620567004</v>
      </c>
      <c r="CC17" s="12">
        <f t="shared" si="35"/>
        <v>67.909811660869508</v>
      </c>
      <c r="CD17" s="12">
        <f t="shared" si="36"/>
        <v>62.288643338926455</v>
      </c>
      <c r="CE17" s="12">
        <f t="shared" si="37"/>
        <v>56.915156234740849</v>
      </c>
      <c r="CF17" s="12">
        <f t="shared" si="38"/>
        <v>51.778436961252162</v>
      </c>
      <c r="CG17" s="12">
        <f t="shared" si="39"/>
        <v>46.868052999582808</v>
      </c>
      <c r="CH17" s="12">
        <f t="shared" si="40"/>
        <v>42.174031510913096</v>
      </c>
      <c r="CI17" s="12">
        <f t="shared" si="41"/>
        <v>37.686839081952378</v>
      </c>
      <c r="CJ17" s="12">
        <f>'Mitigation Projects'!$AG17*VLOOKUP('Baseline Projects'!$H17&amp;"-"&amp;'Baseline Projects'!$G17,'Baseline scaling factors'!$A$49:$K$51,MATCH('Baseline Projects'!CJ$2,'Baseline scaling factors'!$A$48:$K$48,0),0)</f>
        <v>0</v>
      </c>
      <c r="CK17" s="12">
        <f>'Mitigation Projects'!$AG17*VLOOKUP('Baseline Projects'!$H17&amp;"-"&amp;'Baseline Projects'!$G17,'Baseline scaling factors'!$A$49:$K$51,MATCH('Baseline Projects'!CK$2,'Baseline scaling factors'!$A$48:$K$48,0),0)</f>
        <v>0</v>
      </c>
      <c r="CL17" s="12">
        <f>'Mitigation Projects'!$AG17*VLOOKUP('Baseline Projects'!$H17&amp;"-"&amp;'Baseline Projects'!$G17,'Baseline scaling factors'!$A$49:$K$51,MATCH('Baseline Projects'!CL$2,'Baseline scaling factors'!$A$48:$K$48,0),0)</f>
        <v>0</v>
      </c>
      <c r="CM17" s="12">
        <f>'Mitigation Projects'!$AG17*VLOOKUP('Baseline Projects'!$H17&amp;"-"&amp;'Baseline Projects'!$G17,'Baseline scaling factors'!$A$49:$K$51,MATCH('Baseline Projects'!CM$2,'Baseline scaling factors'!$A$48:$K$48,0),0)</f>
        <v>0</v>
      </c>
      <c r="CN17" s="12">
        <f>'Mitigation Projects'!$AG17*VLOOKUP('Baseline Projects'!$H17&amp;"-"&amp;'Baseline Projects'!$G17,'Baseline scaling factors'!$A$49:$K$51,MATCH('Baseline Projects'!CN$2,'Baseline scaling factors'!$A$48:$K$48,0),0)</f>
        <v>0</v>
      </c>
      <c r="CO17" s="12">
        <f>'Mitigation Projects'!$AG17*VLOOKUP('Baseline Projects'!$H17&amp;"-"&amp;'Baseline Projects'!$G17,'Baseline scaling factors'!$A$49:$K$51,MATCH('Baseline Projects'!CO$2,'Baseline scaling factors'!$A$48:$K$48,0),0)</f>
        <v>0</v>
      </c>
      <c r="CP17" s="12">
        <f>'Mitigation Projects'!$AG17*VLOOKUP('Baseline Projects'!$H17&amp;"-"&amp;'Baseline Projects'!$G17,'Baseline scaling factors'!$A$49:$K$51,MATCH('Baseline Projects'!CP$2,'Baseline scaling factors'!$A$48:$K$48,0),0)</f>
        <v>0</v>
      </c>
      <c r="CQ17" s="12">
        <f>'Mitigation Projects'!$AG17*VLOOKUP('Baseline Projects'!$H17&amp;"-"&amp;'Baseline Projects'!$G17,'Baseline scaling factors'!$A$49:$K$51,MATCH('Baseline Projects'!CQ$2,'Baseline scaling factors'!$A$48:$K$48,0),0)</f>
        <v>0</v>
      </c>
      <c r="CR17" s="12">
        <f>'Mitigation Projects'!$AG17*VLOOKUP('Baseline Projects'!$H17&amp;"-"&amp;'Baseline Projects'!$G17,'Baseline scaling factors'!$A$49:$K$51,MATCH('Baseline Projects'!CR$2,'Baseline scaling factors'!$A$48:$K$48,0),0)</f>
        <v>0</v>
      </c>
      <c r="CS17" s="12">
        <f>'Mitigation Projects'!$AG17*VLOOKUP('Baseline Projects'!$H17&amp;"-"&amp;'Baseline Projects'!$G17,'Baseline scaling factors'!$A$49:$K$51,MATCH('Baseline Projects'!CS$2,'Baseline scaling factors'!$A$48:$K$48,0),0)</f>
        <v>0</v>
      </c>
      <c r="CT17" s="12">
        <f>'Mitigation Projects'!$AH17*VLOOKUP('Baseline Projects'!$H17&amp;"-"&amp;'Baseline Projects'!$G17,'Baseline scaling factors'!$A$49:$K$51,MATCH('Baseline Projects'!CT$2,'Baseline scaling factors'!$A$48:$K$48,0),0)</f>
        <v>0</v>
      </c>
      <c r="CU17" s="12">
        <f>'Mitigation Projects'!$AH17*VLOOKUP('Baseline Projects'!$H17&amp;"-"&amp;'Baseline Projects'!$G17,'Baseline scaling factors'!$A$49:$K$51,MATCH('Baseline Projects'!CU$2,'Baseline scaling factors'!$A$48:$K$48,0),0)</f>
        <v>0</v>
      </c>
      <c r="CV17" s="12">
        <f>'Mitigation Projects'!$AH17*VLOOKUP('Baseline Projects'!$H17&amp;"-"&amp;'Baseline Projects'!$G17,'Baseline scaling factors'!$A$49:$K$51,MATCH('Baseline Projects'!CV$2,'Baseline scaling factors'!$A$48:$K$48,0),0)</f>
        <v>0</v>
      </c>
      <c r="CW17" s="12">
        <f>'Mitigation Projects'!$AH17*VLOOKUP('Baseline Projects'!$H17&amp;"-"&amp;'Baseline Projects'!$G17,'Baseline scaling factors'!$A$49:$K$51,MATCH('Baseline Projects'!CW$2,'Baseline scaling factors'!$A$48:$K$48,0),0)</f>
        <v>0</v>
      </c>
      <c r="CX17" s="12">
        <f>'Mitigation Projects'!$AH17*VLOOKUP('Baseline Projects'!$H17&amp;"-"&amp;'Baseline Projects'!$G17,'Baseline scaling factors'!$A$49:$K$51,MATCH('Baseline Projects'!CX$2,'Baseline scaling factors'!$A$48:$K$48,0),0)</f>
        <v>0</v>
      </c>
      <c r="CY17" s="12">
        <f>'Mitigation Projects'!$AH17*VLOOKUP('Baseline Projects'!$H17&amp;"-"&amp;'Baseline Projects'!$G17,'Baseline scaling factors'!$A$49:$K$51,MATCH('Baseline Projects'!CY$2,'Baseline scaling factors'!$A$48:$K$48,0),0)</f>
        <v>0</v>
      </c>
      <c r="CZ17" s="12">
        <f>'Mitigation Projects'!$AH17*VLOOKUP('Baseline Projects'!$H17&amp;"-"&amp;'Baseline Projects'!$G17,'Baseline scaling factors'!$A$49:$K$51,MATCH('Baseline Projects'!CZ$2,'Baseline scaling factors'!$A$48:$K$48,0),0)</f>
        <v>0</v>
      </c>
      <c r="DA17" s="12">
        <f>'Mitigation Projects'!$AH17*VLOOKUP('Baseline Projects'!$H17&amp;"-"&amp;'Baseline Projects'!$G17,'Baseline scaling factors'!$A$49:$K$51,MATCH('Baseline Projects'!DA$2,'Baseline scaling factors'!$A$48:$K$48,0),0)</f>
        <v>0</v>
      </c>
      <c r="DB17" s="12">
        <f>'Mitigation Projects'!$AH17*VLOOKUP('Baseline Projects'!$H17&amp;"-"&amp;'Baseline Projects'!$G17,'Baseline scaling factors'!$A$49:$K$51,MATCH('Baseline Projects'!DB$2,'Baseline scaling factors'!$A$48:$K$48,0),0)</f>
        <v>0</v>
      </c>
      <c r="DC17" s="12">
        <f>'Mitigation Projects'!$AH17*VLOOKUP('Baseline Projects'!$H17&amp;"-"&amp;'Baseline Projects'!$G17,'Baseline scaling factors'!$A$49:$K$51,MATCH('Baseline Projects'!DC$2,'Baseline scaling factors'!$A$48:$K$48,0),0)</f>
        <v>0</v>
      </c>
    </row>
    <row r="18" spans="1:107" x14ac:dyDescent="0.4">
      <c r="A18" s="38" t="str">
        <f>'Mitigation Projects'!A18</f>
        <v>CV-G65</v>
      </c>
      <c r="B18" s="38" t="str">
        <f>'Mitigation Projects'!B18</f>
        <v>Springfield</v>
      </c>
      <c r="C18" s="39">
        <f>'Mitigation Projects'!C18</f>
        <v>175351</v>
      </c>
      <c r="D18" s="39" t="str">
        <f>'Mitigation Projects'!D18</f>
        <v xml:space="preserve">175351: Cavendish line 2 </v>
      </c>
      <c r="E18" s="39">
        <f>'Mitigation Projects'!E18</f>
        <v>520170</v>
      </c>
      <c r="F18" s="39" t="str">
        <f>'Mitigation Projects'!F18</f>
        <v>Sub Breaker</v>
      </c>
      <c r="G18" s="39" t="str">
        <f>'Mitigation Projects'!G18</f>
        <v>3PH</v>
      </c>
      <c r="H18" s="39" t="str">
        <f>'Mitigation Projects'!H18</f>
        <v>OH</v>
      </c>
      <c r="I18" s="39" t="str">
        <f>'Mitigation Projects'!J18</f>
        <v>Zone 1</v>
      </c>
      <c r="J18" s="39">
        <f>'Mitigation Projects'!K18</f>
        <v>331</v>
      </c>
      <c r="K18" s="40">
        <f>'Mitigation Projects'!L18*BASELINE_CAP_SPEND</f>
        <v>91748.400000000009</v>
      </c>
      <c r="L18" s="97">
        <f>'Mitigation Projects'!Q18</f>
        <v>0.89644970414201186</v>
      </c>
      <c r="M18" s="97">
        <f>'Mitigation Projects'!R18</f>
        <v>0.10355029585798814</v>
      </c>
      <c r="N18" s="98">
        <f>'Mitigation Projects'!S18</f>
        <v>1</v>
      </c>
      <c r="O18" s="26">
        <f t="shared" si="0"/>
        <v>0.9</v>
      </c>
      <c r="P18" s="26">
        <f t="shared" si="1"/>
        <v>0.80330442615766917</v>
      </c>
      <c r="Q18" s="112">
        <f>VLOOKUP($A18,'Outage by Zone inputs'!$A$4:$E$13,MATCH('Baseline Projects'!$I18,'Outage by Zone inputs'!$A$3:$E$3,0),0)*'Baseline Projects'!$L18*$N18*('Baseline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Projects'!Q$3,'Baseline scaling factors'!$B$54:$K$54,0))+VLOOKUP($A18,'Outage by Zone inputs'!$A$4:$E$13,MATCH('Baseline Projects'!$I18,'Outage by Zone inputs'!$A$3:$E$3,0),0)*'Baseline Projects'!$L18*$N18*('Baseline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Projects'!Q$3,'Baseline scaling factors'!$B$48:$K$48,0))</f>
        <v>570.82944980000991</v>
      </c>
      <c r="R18" s="112">
        <f>VLOOKUP($A18,'Outage by Zone inputs'!$A$4:$E$13,MATCH('Baseline Projects'!$I18,'Outage by Zone inputs'!$A$3:$E$3,0),0)*'Baseline Projects'!$L18*$N18*('Baseline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Projects'!R$3,'Baseline scaling factors'!$B$54:$K$54,0))+VLOOKUP($A18,'Outage by Zone inputs'!$A$4:$E$13,MATCH('Baseline Projects'!$I18,'Outage by Zone inputs'!$A$3:$E$3,0),0)*'Baseline Projects'!$L18*$N18*('Baseline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Projects'!R$3,'Baseline scaling factors'!$B$48:$K$48,0))</f>
        <v>528.30390496821701</v>
      </c>
      <c r="S18" s="112">
        <f>VLOOKUP($A18,'Outage by Zone inputs'!$A$4:$E$13,MATCH('Baseline Projects'!$I18,'Outage by Zone inputs'!$A$3:$E$3,0),0)*'Baseline Projects'!$L18*$N18*('Baseline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Projects'!S$3,'Baseline scaling factors'!$B$54:$K$54,0))+VLOOKUP($A18,'Outage by Zone inputs'!$A$4:$E$13,MATCH('Baseline Projects'!$I18,'Outage by Zone inputs'!$A$3:$E$3,0),0)*'Baseline Projects'!$L18*$N18*('Baseline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Projects'!S$3,'Baseline scaling factors'!$B$48:$K$48,0))</f>
        <v>487.65213052124284</v>
      </c>
      <c r="T18" s="112">
        <f>VLOOKUP($A18,'Outage by Zone inputs'!$A$4:$E$13,MATCH('Baseline Projects'!$I18,'Outage by Zone inputs'!$A$3:$E$3,0),0)*'Baseline Projects'!$L18*$N18*('Baseline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Projects'!T$3,'Baseline scaling factors'!$B$54:$K$54,0))+VLOOKUP($A18,'Outage by Zone inputs'!$A$4:$E$13,MATCH('Baseline Projects'!$I18,'Outage by Zone inputs'!$A$3:$E$3,0),0)*'Baseline Projects'!$L18*$N18*('Baseline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Projects'!T$3,'Baseline scaling factors'!$B$48:$K$48,0))</f>
        <v>448.79156395532851</v>
      </c>
      <c r="U18" s="112">
        <f>VLOOKUP($A18,'Outage by Zone inputs'!$A$4:$E$13,MATCH('Baseline Projects'!$I18,'Outage by Zone inputs'!$A$3:$E$3,0),0)*'Baseline Projects'!$L18*$N18*('Baseline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Projects'!U$3,'Baseline scaling factors'!$B$54:$K$54,0))+VLOOKUP($A18,'Outage by Zone inputs'!$A$4:$E$13,MATCH('Baseline Projects'!$I18,'Outage by Zone inputs'!$A$3:$E$3,0),0)*'Baseline Projects'!$L18*$N18*('Baseline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Projects'!U$3,'Baseline scaling factors'!$B$48:$K$48,0))</f>
        <v>411.64328065483744</v>
      </c>
      <c r="V18" s="112">
        <f>VLOOKUP($A18,'Outage by Zone inputs'!$A$4:$E$13,MATCH('Baseline Projects'!$I18,'Outage by Zone inputs'!$A$3:$E$3,0),0)*'Baseline Projects'!$L18*$N18*('Baseline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Projects'!V$3,'Baseline scaling factors'!$B$54:$K$54,0))+VLOOKUP($A18,'Outage by Zone inputs'!$A$4:$E$13,MATCH('Baseline Projects'!$I18,'Outage by Zone inputs'!$A$3:$E$3,0),0)*'Baseline Projects'!$L18*$N18*('Baseline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Projects'!V$3,'Baseline scaling factors'!$B$48:$K$48,0))</f>
        <v>376.13183359878821</v>
      </c>
      <c r="W18" s="112">
        <f>VLOOKUP($A18,'Outage by Zone inputs'!$A$4:$E$13,MATCH('Baseline Projects'!$I18,'Outage by Zone inputs'!$A$3:$E$3,0),0)*'Baseline Projects'!$L18*$N18*('Baseline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Projects'!W$3,'Baseline scaling factors'!$B$54:$K$54,0))+VLOOKUP($A18,'Outage by Zone inputs'!$A$4:$E$13,MATCH('Baseline Projects'!$I18,'Outage by Zone inputs'!$A$3:$E$3,0),0)*'Baseline Projects'!$L18*$N18*('Baseline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Projects'!W$3,'Baseline scaling factors'!$B$48:$K$48,0))</f>
        <v>342.18510013027492</v>
      </c>
      <c r="X18" s="112">
        <f>VLOOKUP($A18,'Outage by Zone inputs'!$A$4:$E$13,MATCH('Baseline Projects'!$I18,'Outage by Zone inputs'!$A$3:$E$3,0),0)*'Baseline Projects'!$L18*$N18*('Baseline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Projects'!X$3,'Baseline scaling factors'!$B$54:$K$54,0))+VLOOKUP($A18,'Outage by Zone inputs'!$A$4:$E$13,MATCH('Baseline Projects'!$I18,'Outage by Zone inputs'!$A$3:$E$3,0),0)*'Baseline Projects'!$L18*$N18*('Baseline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Projects'!X$3,'Baseline scaling factors'!$B$48:$K$48,0))</f>
        <v>309.73413547756957</v>
      </c>
      <c r="Y18" s="112">
        <f>VLOOKUP($A18,'Outage by Zone inputs'!$A$4:$E$13,MATCH('Baseline Projects'!$I18,'Outage by Zone inputs'!$A$3:$E$3,0),0)*'Baseline Projects'!$L18*$N18*('Baseline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Projects'!Y$3,'Baseline scaling factors'!$B$54:$K$54,0))+VLOOKUP($A18,'Outage by Zone inputs'!$A$4:$E$13,MATCH('Baseline Projects'!$I18,'Outage by Zone inputs'!$A$3:$E$3,0),0)*'Baseline Projects'!$L18*$N18*('Baseline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Projects'!Y$3,'Baseline scaling factors'!$B$48:$K$48,0))</f>
        <v>278.71303272941009</v>
      </c>
      <c r="Z18" s="112">
        <f>VLOOKUP($A18,'Outage by Zone inputs'!$A$4:$E$13,MATCH('Baseline Projects'!$I18,'Outage by Zone inputs'!$A$3:$E$3,0),0)*'Baseline Projects'!$L18*$N18*('Baseline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Projects'!Z$3,'Baseline scaling factors'!$B$54:$K$54,0))+VLOOKUP($A18,'Outage by Zone inputs'!$A$4:$E$13,MATCH('Baseline Projects'!$I18,'Outage by Zone inputs'!$A$3:$E$3,0),0)*'Baseline Projects'!$L18*$N18*('Baseline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Projects'!Z$3,'Baseline scaling factors'!$B$48:$K$48,0))</f>
        <v>249.05878898009078</v>
      </c>
      <c r="AA18" s="34">
        <f>VLOOKUP($A18,'Outage by Zone inputs'!$A$4:$E$13,MATCH('Baseline Projects'!$I18,'Outage by Zone inputs'!$A$3:$E$3,0),0)*$M18*$N18*('Baseline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Projects'!AA$3,'Baseline scaling factors'!$B$54:$K$54,0))+VLOOKUP($A18,'Outage by Zone inputs'!$A$4:$E$13,MATCH('Baseline Projects'!$I18,'Outage by Zone inputs'!$A$3:$E$3,0),0)*$M18*$N18*('Baseline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Projects'!AA$3,'Baseline scaling factors'!$B$48:$K$48,0))</f>
        <v>65.937395191420251</v>
      </c>
      <c r="AB18" s="34">
        <f>VLOOKUP($A18,'Outage by Zone inputs'!$A$4:$E$13,MATCH('Baseline Projects'!$I18,'Outage by Zone inputs'!$A$3:$E$3,0),0)*$M18*$N18*('Baseline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Projects'!AB$3,'Baseline scaling factors'!$B$54:$K$54,0))+VLOOKUP($A18,'Outage by Zone inputs'!$A$4:$E$13,MATCH('Baseline Projects'!$I18,'Outage by Zone inputs'!$A$3:$E$3,0),0)*$M18*$N18*('Baseline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Projects'!AB$3,'Baseline scaling factors'!$B$48:$K$48,0))</f>
        <v>61.025203544183455</v>
      </c>
      <c r="AC18" s="34">
        <f>VLOOKUP($A18,'Outage by Zone inputs'!$A$4:$E$13,MATCH('Baseline Projects'!$I18,'Outage by Zone inputs'!$A$3:$E$3,0),0)*$M18*$N18*('Baseline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Projects'!AC$3,'Baseline scaling factors'!$B$54:$K$54,0))+VLOOKUP($A18,'Outage by Zone inputs'!$A$4:$E$13,MATCH('Baseline Projects'!$I18,'Outage by Zone inputs'!$A$3:$E$3,0),0)*$M18*$N18*('Baseline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Projects'!AC$3,'Baseline scaling factors'!$B$48:$K$48,0))</f>
        <v>56.329454020605588</v>
      </c>
      <c r="AD18" s="34">
        <f>VLOOKUP($A18,'Outage by Zone inputs'!$A$4:$E$13,MATCH('Baseline Projects'!$I18,'Outage by Zone inputs'!$A$3:$E$3,0),0)*$M18*$N18*('Baseline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Projects'!AD$3,'Baseline scaling factors'!$B$54:$K$54,0))+VLOOKUP($A18,'Outage by Zone inputs'!$A$4:$E$13,MATCH('Baseline Projects'!$I18,'Outage by Zone inputs'!$A$3:$E$3,0),0)*$M18*$N18*('Baseline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Projects'!AD$3,'Baseline scaling factors'!$B$48:$K$48,0))</f>
        <v>51.840609697810201</v>
      </c>
      <c r="AE18" s="34">
        <f>VLOOKUP($A18,'Outage by Zone inputs'!$A$4:$E$13,MATCH('Baseline Projects'!$I18,'Outage by Zone inputs'!$A$3:$E$3,0),0)*$M18*$N18*('Baseline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Projects'!AE$3,'Baseline scaling factors'!$B$54:$K$54,0))+VLOOKUP($A18,'Outage by Zone inputs'!$A$4:$E$13,MATCH('Baseline Projects'!$I18,'Outage by Zone inputs'!$A$3:$E$3,0),0)*$M18*$N18*('Baseline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Projects'!AE$3,'Baseline scaling factors'!$B$48:$K$48,0))</f>
        <v>47.549553871020805</v>
      </c>
      <c r="AF18" s="34">
        <f>VLOOKUP($A18,'Outage by Zone inputs'!$A$4:$E$13,MATCH('Baseline Projects'!$I18,'Outage by Zone inputs'!$A$3:$E$3,0),0)*$M18*$N18*('Baseline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Projects'!AF$3,'Baseline scaling factors'!$B$54:$K$54,0))+VLOOKUP($A18,'Outage by Zone inputs'!$A$4:$E$13,MATCH('Baseline Projects'!$I18,'Outage by Zone inputs'!$A$3:$E$3,0),0)*$M18*$N18*('Baseline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Projects'!AF$3,'Baseline scaling factors'!$B$48:$K$48,0))</f>
        <v>43.447571537813793</v>
      </c>
      <c r="AG18" s="34">
        <f>VLOOKUP($A18,'Outage by Zone inputs'!$A$4:$E$13,MATCH('Baseline Projects'!$I18,'Outage by Zone inputs'!$A$3:$E$3,0),0)*$M18*$N18*('Baseline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Projects'!AG$3,'Baseline scaling factors'!$B$54:$K$54,0))+VLOOKUP($A18,'Outage by Zone inputs'!$A$4:$E$13,MATCH('Baseline Projects'!$I18,'Outage by Zone inputs'!$A$3:$E$3,0),0)*$M18*$N18*('Baseline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Projects'!AG$3,'Baseline scaling factors'!$B$48:$K$48,0))</f>
        <v>39.526331698216559</v>
      </c>
      <c r="AH18" s="34">
        <f>VLOOKUP($A18,'Outage by Zone inputs'!$A$4:$E$13,MATCH('Baseline Projects'!$I18,'Outage by Zone inputs'!$A$3:$E$3,0),0)*$M18*$N18*('Baseline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Projects'!AH$3,'Baseline scaling factors'!$B$54:$K$54,0))+VLOOKUP($A18,'Outage by Zone inputs'!$A$4:$E$13,MATCH('Baseline Projects'!$I18,'Outage by Zone inputs'!$A$3:$E$3,0),0)*$M18*$N18*('Baseline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Projects'!AH$3,'Baseline scaling factors'!$B$48:$K$48,0))</f>
        <v>35.777870434702741</v>
      </c>
      <c r="AI18" s="34">
        <f>VLOOKUP($A18,'Outage by Zone inputs'!$A$4:$E$13,MATCH('Baseline Projects'!$I18,'Outage by Zone inputs'!$A$3:$E$3,0),0)*$M18*$N18*('Baseline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Projects'!AI$3,'Baseline scaling factors'!$B$54:$K$54,0))+VLOOKUP($A18,'Outage by Zone inputs'!$A$4:$E$13,MATCH('Baseline Projects'!$I18,'Outage by Zone inputs'!$A$3:$E$3,0),0)*$M18*$N18*('Baseline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Projects'!AI$3,'Baseline scaling factors'!$B$48:$K$48,0))</f>
        <v>32.194574737720622</v>
      </c>
      <c r="AJ18" s="34">
        <f>VLOOKUP($A18,'Outage by Zone inputs'!$A$4:$E$13,MATCH('Baseline Projects'!$I18,'Outage by Zone inputs'!$A$3:$E$3,0),0)*$M18*$N18*('Baseline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Projects'!AJ$3,'Baseline scaling factors'!$B$54:$K$54,0))+VLOOKUP($A18,'Outage by Zone inputs'!$A$4:$E$13,MATCH('Baseline Projects'!$I18,'Outage by Zone inputs'!$A$3:$E$3,0),0)*$M18*$N18*('Baseline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Projects'!AJ$3,'Baseline scaling factors'!$B$48:$K$48,0))</f>
        <v>28.769167043904865</v>
      </c>
      <c r="AK18" s="1">
        <f t="shared" si="2"/>
        <v>11987.418445800207</v>
      </c>
      <c r="AL18" s="1">
        <f t="shared" si="3"/>
        <v>11094.382004332558</v>
      </c>
      <c r="AM18" s="1">
        <f t="shared" si="4"/>
        <v>10240.694740946099</v>
      </c>
      <c r="AN18" s="1">
        <f t="shared" si="5"/>
        <v>9424.6228430618994</v>
      </c>
      <c r="AO18" s="1">
        <f t="shared" si="6"/>
        <v>8644.5088937515866</v>
      </c>
      <c r="AP18" s="1">
        <f t="shared" si="7"/>
        <v>7898.7685055745524</v>
      </c>
      <c r="AQ18" s="1">
        <f t="shared" si="8"/>
        <v>7185.8871027357736</v>
      </c>
      <c r="AR18" s="1">
        <f t="shared" si="9"/>
        <v>6504.4168450289608</v>
      </c>
      <c r="AS18" s="1">
        <f t="shared" si="10"/>
        <v>5852.9736873176116</v>
      </c>
      <c r="AT18" s="1">
        <f t="shared" si="11"/>
        <v>5230.2345685819064</v>
      </c>
      <c r="AU18" s="1">
        <f t="shared" si="12"/>
        <v>256166.78031866768</v>
      </c>
      <c r="AV18" s="1">
        <f t="shared" si="13"/>
        <v>237082.91576915272</v>
      </c>
      <c r="AW18" s="1">
        <f t="shared" si="14"/>
        <v>218839.92887005271</v>
      </c>
      <c r="AX18" s="1">
        <f t="shared" si="15"/>
        <v>201400.76867599264</v>
      </c>
      <c r="AY18" s="1">
        <f t="shared" si="16"/>
        <v>184730.01678891582</v>
      </c>
      <c r="AZ18" s="1">
        <f t="shared" si="17"/>
        <v>168793.81542440658</v>
      </c>
      <c r="BA18" s="1">
        <f t="shared" si="18"/>
        <v>153559.79864757133</v>
      </c>
      <c r="BB18" s="1">
        <f t="shared" si="19"/>
        <v>138997.02663882016</v>
      </c>
      <c r="BC18" s="1">
        <f t="shared" si="20"/>
        <v>125075.92285604462</v>
      </c>
      <c r="BD18" s="1">
        <f t="shared" si="21"/>
        <v>111768.21396557039</v>
      </c>
      <c r="BE18" s="1">
        <f t="shared" si="22"/>
        <v>268154.1987644679</v>
      </c>
      <c r="BF18" s="1">
        <f t="shared" si="23"/>
        <v>248177.29777348528</v>
      </c>
      <c r="BG18" s="1">
        <f t="shared" si="24"/>
        <v>229080.62361099879</v>
      </c>
      <c r="BH18" s="1">
        <f t="shared" si="25"/>
        <v>210825.39151905454</v>
      </c>
      <c r="BI18" s="1">
        <f t="shared" si="26"/>
        <v>193374.52568266742</v>
      </c>
      <c r="BJ18" s="1">
        <f t="shared" si="27"/>
        <v>176692.58392998113</v>
      </c>
      <c r="BK18" s="1">
        <f t="shared" si="28"/>
        <v>160745.68575030711</v>
      </c>
      <c r="BL18" s="1">
        <f t="shared" si="29"/>
        <v>145501.44348384911</v>
      </c>
      <c r="BM18" s="1">
        <f t="shared" si="30"/>
        <v>130928.89654336224</v>
      </c>
      <c r="BN18" s="1">
        <f t="shared" si="31"/>
        <v>116998.4485341523</v>
      </c>
      <c r="BO18" s="25">
        <f>VLOOKUP($A18,'Outage by Zone inputs'!$A$59:$E$68,MATCH('Baseline Projects'!$I18,'Outage by Zone inputs'!$A$58:$E$58,0),0)*AVG_INCIDENT_PERCENT_NON_STORM</f>
        <v>3.2948240521541896</v>
      </c>
      <c r="BP18" s="25">
        <f>$BO18*$N18*('Baseline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Projects'!Q$3,'Baseline scaling factors'!$B$54:$K$54,0))+$BO18*$N18*('Baseline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Projects'!Q$3,'Baseline scaling factors'!$B$48:$K$48,0))</f>
        <v>2.0074209836194381</v>
      </c>
      <c r="BQ18" s="25">
        <f>$BO18*$N18*('Baseline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Projects'!R$3,'Baseline scaling factors'!$B$54:$K$54,0))+$BO18*$N18*('Baseline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Projects'!R$3,'Baseline scaling factors'!$B$48:$K$48,0))</f>
        <v>1.8578725132924458</v>
      </c>
      <c r="BR18" s="25">
        <f>$BO18*$N18*('Baseline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Projects'!S$3,'Baseline scaling factors'!$B$54:$K$54,0))+$BO18*$N18*('Baseline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Projects'!S$3,'Baseline scaling factors'!$B$48:$K$48,0))</f>
        <v>1.7149134822284202</v>
      </c>
      <c r="BS18" s="25">
        <f>$BO18*$N18*('Baseline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Projects'!T$3,'Baseline scaling factors'!$B$54:$K$54,0))+$BO18*$N18*('Baseline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Projects'!T$3,'Baseline scaling factors'!$B$48:$K$48,0))</f>
        <v>1.5782535450316144</v>
      </c>
      <c r="BT18" s="25">
        <f>$BO18*$N18*('Baseline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Projects'!U$3,'Baseline scaling factors'!$B$54:$K$54,0))+$BO18*$N18*('Baseline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Projects'!U$3,'Baseline scaling factors'!$B$48:$K$48,0))</f>
        <v>1.4476151495722145</v>
      </c>
      <c r="BU18" s="25">
        <f>$BO18*$N18*('Baseline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Projects'!V$3,'Baseline scaling factors'!$B$54:$K$54,0))+$BO18*$N18*('Baseline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Projects'!V$3,'Baseline scaling factors'!$B$48:$K$48,0))</f>
        <v>1.322732973286497</v>
      </c>
      <c r="BV18" s="25">
        <f>$BO18*$N18*('Baseline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Projects'!W$3,'Baseline scaling factors'!$B$54:$K$54,0))+$BO18*$N18*('Baseline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Projects'!W$3,'Baseline scaling factors'!$B$48:$K$48,0))</f>
        <v>1.2033533843148621</v>
      </c>
      <c r="BW18" s="25">
        <f>$BO18*$N18*('Baseline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Projects'!X$3,'Baseline scaling factors'!$B$54:$K$54,0))+$BO18*$N18*('Baseline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Projects'!X$3,'Baseline scaling factors'!$B$48:$K$48,0))</f>
        <v>1.0892339263833271</v>
      </c>
      <c r="BX18" s="25">
        <f>$BO18*$N18*('Baseline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Projects'!Y$3,'Baseline scaling factors'!$B$54:$K$54,0))+$BO18*$N18*('Baseline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Projects'!Y$3,'Baseline scaling factors'!$B$48:$K$48,0))</f>
        <v>0.98014282638228978</v>
      </c>
      <c r="BY18" s="25">
        <f>$BO18*$N18*('Baseline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Projects'!Z$3,'Baseline scaling factors'!$B$54:$K$54,0))+$BO18*$N18*('Baseline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Projects'!Z$3,'Baseline scaling factors'!$B$48:$K$48,0))</f>
        <v>0.87585852364246974</v>
      </c>
      <c r="BZ18" s="12">
        <f t="shared" si="32"/>
        <v>947.50270426837483</v>
      </c>
      <c r="CA18" s="12">
        <f t="shared" si="33"/>
        <v>876.91582627403443</v>
      </c>
      <c r="CB18" s="12">
        <f t="shared" si="34"/>
        <v>809.43916361181437</v>
      </c>
      <c r="CC18" s="12">
        <f t="shared" si="35"/>
        <v>744.93567325492199</v>
      </c>
      <c r="CD18" s="12">
        <f t="shared" si="36"/>
        <v>683.27435059808522</v>
      </c>
      <c r="CE18" s="12">
        <f t="shared" si="37"/>
        <v>624.32996339122656</v>
      </c>
      <c r="CF18" s="12">
        <f t="shared" si="38"/>
        <v>567.98279739661484</v>
      </c>
      <c r="CG18" s="12">
        <f t="shared" si="39"/>
        <v>514.1184132529304</v>
      </c>
      <c r="CH18" s="12">
        <f t="shared" si="40"/>
        <v>462.62741405244077</v>
      </c>
      <c r="CI18" s="12">
        <f t="shared" si="41"/>
        <v>413.40522315924574</v>
      </c>
      <c r="CJ18" s="12">
        <f>'Mitigation Projects'!$AG18*VLOOKUP('Baseline Projects'!$H18&amp;"-"&amp;'Baseline Projects'!$G18,'Baseline scaling factors'!$A$49:$K$51,MATCH('Baseline Projects'!CJ$2,'Baseline scaling factors'!$A$48:$K$48,0),0)</f>
        <v>2894.0440033411983</v>
      </c>
      <c r="CK18" s="12">
        <f>'Mitigation Projects'!$AG18*VLOOKUP('Baseline Projects'!$H18&amp;"-"&amp;'Baseline Projects'!$G18,'Baseline scaling factors'!$A$49:$K$51,MATCH('Baseline Projects'!CK$2,'Baseline scaling factors'!$A$48:$K$48,0),0)</f>
        <v>5660.5699709400624</v>
      </c>
      <c r="CL18" s="12">
        <f>'Mitigation Projects'!$AG18*VLOOKUP('Baseline Projects'!$H18&amp;"-"&amp;'Baseline Projects'!$G18,'Baseline scaling factors'!$A$49:$K$51,MATCH('Baseline Projects'!CL$2,'Baseline scaling factors'!$A$48:$K$48,0),0)</f>
        <v>8305.1966319592466</v>
      </c>
      <c r="CM18" s="12">
        <f>'Mitigation Projects'!$AG18*VLOOKUP('Baseline Projects'!$H18&amp;"-"&amp;'Baseline Projects'!$G18,'Baseline scaling factors'!$A$49:$K$51,MATCH('Baseline Projects'!CM$2,'Baseline scaling factors'!$A$48:$K$48,0),0)</f>
        <v>10833.295141818453</v>
      </c>
      <c r="CN18" s="12">
        <f>'Mitigation Projects'!$AG18*VLOOKUP('Baseline Projects'!$H18&amp;"-"&amp;'Baseline Projects'!$G18,'Baseline scaling factors'!$A$49:$K$51,MATCH('Baseline Projects'!CN$2,'Baseline scaling factors'!$A$48:$K$48,0),0)</f>
        <v>13249.999990845901</v>
      </c>
      <c r="CO18" s="12">
        <f>'Mitigation Projects'!$AG18*VLOOKUP('Baseline Projects'!$H18&amp;"-"&amp;'Baseline Projects'!$G18,'Baseline scaling factors'!$A$49:$K$51,MATCH('Baseline Projects'!CO$2,'Baseline scaling factors'!$A$48:$K$48,0),0)</f>
        <v>15560.219432270298</v>
      </c>
      <c r="CP18" s="12">
        <f>'Mitigation Projects'!$AG18*VLOOKUP('Baseline Projects'!$H18&amp;"-"&amp;'Baseline Projects'!$G18,'Baseline scaling factors'!$A$49:$K$51,MATCH('Baseline Projects'!CP$2,'Baseline scaling factors'!$A$48:$K$48,0),0)</f>
        <v>17768.645450732198</v>
      </c>
      <c r="CQ18" s="12">
        <f>'Mitigation Projects'!$AG18*VLOOKUP('Baseline Projects'!$H18&amp;"-"&amp;'Baseline Projects'!$G18,'Baseline scaling factors'!$A$49:$K$51,MATCH('Baseline Projects'!CQ$2,'Baseline scaling factors'!$A$48:$K$48,0),0)</f>
        <v>19879.763291560517</v>
      </c>
      <c r="CR18" s="12">
        <f>'Mitigation Projects'!$AG18*VLOOKUP('Baseline Projects'!$H18&amp;"-"&amp;'Baseline Projects'!$G18,'Baseline scaling factors'!$A$49:$K$51,MATCH('Baseline Projects'!CR$2,'Baseline scaling factors'!$A$48:$K$48,0),0)</f>
        <v>21897.860570167861</v>
      </c>
      <c r="CS18" s="12">
        <f>'Mitigation Projects'!$AG18*VLOOKUP('Baseline Projects'!$H18&amp;"-"&amp;'Baseline Projects'!$G18,'Baseline scaling factors'!$A$49:$K$51,MATCH('Baseline Projects'!CS$2,'Baseline scaling factors'!$A$48:$K$48,0),0)</f>
        <v>23827.03598006559</v>
      </c>
      <c r="CT18" s="12">
        <f>'Mitigation Projects'!$AH18*VLOOKUP('Baseline Projects'!$H18&amp;"-"&amp;'Baseline Projects'!$G18,'Baseline scaling factors'!$A$49:$K$51,MATCH('Baseline Projects'!CT$2,'Baseline scaling factors'!$A$48:$K$48,0),0)</f>
        <v>61844.669708363879</v>
      </c>
      <c r="CU18" s="12">
        <f>'Mitigation Projects'!$AH18*VLOOKUP('Baseline Projects'!$H18&amp;"-"&amp;'Baseline Projects'!$G18,'Baseline scaling factors'!$A$49:$K$51,MATCH('Baseline Projects'!CU$2,'Baseline scaling factors'!$A$48:$K$48,0),0)</f>
        <v>120964.32528659042</v>
      </c>
      <c r="CV18" s="12">
        <f>'Mitigation Projects'!$AH18*VLOOKUP('Baseline Projects'!$H18&amp;"-"&amp;'Baseline Projects'!$G18,'Baseline scaling factors'!$A$49:$K$51,MATCH('Baseline Projects'!CV$2,'Baseline scaling factors'!$A$48:$K$48,0),0)</f>
        <v>177479.03693708288</v>
      </c>
      <c r="CW18" s="12">
        <f>'Mitigation Projects'!$AH18*VLOOKUP('Baseline Projects'!$H18&amp;"-"&amp;'Baseline Projects'!$G18,'Baseline scaling factors'!$A$49:$K$51,MATCH('Baseline Projects'!CW$2,'Baseline scaling factors'!$A$48:$K$48,0),0)</f>
        <v>231503.58430123588</v>
      </c>
      <c r="CX18" s="12">
        <f>'Mitigation Projects'!$AH18*VLOOKUP('Baseline Projects'!$H18&amp;"-"&amp;'Baseline Projects'!$G18,'Baseline scaling factors'!$A$49:$K$51,MATCH('Baseline Projects'!CX$2,'Baseline scaling factors'!$A$48:$K$48,0),0)</f>
        <v>283147.68957335706</v>
      </c>
      <c r="CY18" s="12">
        <f>'Mitigation Projects'!$AH18*VLOOKUP('Baseline Projects'!$H18&amp;"-"&amp;'Baseline Projects'!$G18,'Baseline scaling factors'!$A$49:$K$51,MATCH('Baseline Projects'!CY$2,'Baseline scaling factors'!$A$48:$K$48,0),0)</f>
        <v>332516.24034306983</v>
      </c>
      <c r="CZ18" s="12">
        <f>'Mitigation Projects'!$AH18*VLOOKUP('Baseline Projects'!$H18&amp;"-"&amp;'Baseline Projects'!$G18,'Baseline scaling factors'!$A$49:$K$51,MATCH('Baseline Projects'!CZ$2,'Baseline scaling factors'!$A$48:$K$48,0),0)</f>
        <v>379709.50261878205</v>
      </c>
      <c r="DA18" s="12">
        <f>'Mitigation Projects'!$AH18*VLOOKUP('Baseline Projects'!$H18&amp;"-"&amp;'Baseline Projects'!$G18,'Baseline scaling factors'!$A$49:$K$51,MATCH('Baseline Projects'!DA$2,'Baseline scaling factors'!$A$48:$K$48,0),0)</f>
        <v>424823.32446486573</v>
      </c>
      <c r="DB18" s="12">
        <f>'Mitigation Projects'!$AH18*VLOOKUP('Baseline Projects'!$H18&amp;"-"&amp;'Baseline Projects'!$G18,'Baseline scaling factors'!$A$49:$K$51,MATCH('Baseline Projects'!DB$2,'Baseline scaling factors'!$A$48:$K$48,0),0)</f>
        <v>467949.33066612825</v>
      </c>
      <c r="DC18" s="12">
        <f>'Mitigation Projects'!$AH18*VLOOKUP('Baseline Projects'!$H18&amp;"-"&amp;'Baseline Projects'!$G18,'Baseline scaling factors'!$A$49:$K$51,MATCH('Baseline Projects'!DC$2,'Baseline scaling factors'!$A$48:$K$48,0),0)</f>
        <v>509175.10881493287</v>
      </c>
    </row>
    <row r="19" spans="1:107" x14ac:dyDescent="0.4">
      <c r="A19" s="38" t="str">
        <f>'Mitigation Projects'!A19</f>
        <v>CV-G65</v>
      </c>
      <c r="B19" s="38" t="str">
        <f>'Mitigation Projects'!B19</f>
        <v>Springfield</v>
      </c>
      <c r="C19" s="39">
        <f>'Mitigation Projects'!C19</f>
        <v>201142</v>
      </c>
      <c r="D19" s="39" t="str">
        <f>'Mitigation Projects'!D19</f>
        <v>201142: L208 HIGH ST. - CIC</v>
      </c>
      <c r="E19" s="39" t="str">
        <f>'Mitigation Projects'!E19</f>
        <v/>
      </c>
      <c r="F19" s="39" t="str">
        <f>'Mitigation Projects'!F19</f>
        <v/>
      </c>
      <c r="G19" s="39" t="str">
        <f>'Mitigation Projects'!G19</f>
        <v>1PH</v>
      </c>
      <c r="H19" s="39" t="str">
        <f>'Mitigation Projects'!H19</f>
        <v>UG</v>
      </c>
      <c r="I19" s="39" t="str">
        <f>'Mitigation Projects'!J19</f>
        <v>Zone 3</v>
      </c>
      <c r="J19" s="39">
        <f>'Mitigation Projects'!K19</f>
        <v>122</v>
      </c>
      <c r="K19" s="40">
        <f>'Mitigation Projects'!L19*BASELINE_CAP_SPEND</f>
        <v>107650.3</v>
      </c>
      <c r="L19" s="97">
        <f>'Mitigation Projects'!Q19</f>
        <v>0.89644970414201186</v>
      </c>
      <c r="M19" s="97">
        <f>'Mitigation Projects'!R19</f>
        <v>0.10355029585798814</v>
      </c>
      <c r="N19" s="98">
        <f>'Mitigation Projects'!S19</f>
        <v>0.5</v>
      </c>
      <c r="O19" s="26">
        <f t="shared" si="0"/>
        <v>0.98</v>
      </c>
      <c r="P19" s="26">
        <f t="shared" si="1"/>
        <v>0.83359200333362127</v>
      </c>
      <c r="Q19" s="112">
        <f>VLOOKUP($A19,'Outage by Zone inputs'!$A$4:$E$13,MATCH('Baseline Projects'!$I19,'Outage by Zone inputs'!$A$3:$E$3,0),0)*'Baseline Projects'!$L19*$N19*('Baseline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Projects'!Q$3,'Baseline scaling factors'!$B$54:$K$54,0))+VLOOKUP($A19,'Outage by Zone inputs'!$A$4:$E$13,MATCH('Baseline Projects'!$I19,'Outage by Zone inputs'!$A$3:$E$3,0),0)*'Baseline Projects'!$L19*$N19*('Baseline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Projects'!Q$3,'Baseline scaling factors'!$B$48:$K$48,0))</f>
        <v>135.63343391216702</v>
      </c>
      <c r="R19" s="112">
        <f>VLOOKUP($A19,'Outage by Zone inputs'!$A$4:$E$13,MATCH('Baseline Projects'!$I19,'Outage by Zone inputs'!$A$3:$E$3,0),0)*'Baseline Projects'!$L19*$N19*('Baseline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Projects'!R$3,'Baseline scaling factors'!$B$54:$K$54,0))+VLOOKUP($A19,'Outage by Zone inputs'!$A$4:$E$13,MATCH('Baseline Projects'!$I19,'Outage by Zone inputs'!$A$3:$E$3,0),0)*'Baseline Projects'!$L19*$N19*('Baseline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Projects'!R$3,'Baseline scaling factors'!$B$48:$K$48,0))</f>
        <v>124.09922977594223</v>
      </c>
      <c r="S19" s="112">
        <f>VLOOKUP($A19,'Outage by Zone inputs'!$A$4:$E$13,MATCH('Baseline Projects'!$I19,'Outage by Zone inputs'!$A$3:$E$3,0),0)*'Baseline Projects'!$L19*$N19*('Baseline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Projects'!S$3,'Baseline scaling factors'!$B$54:$K$54,0))+VLOOKUP($A19,'Outage by Zone inputs'!$A$4:$E$13,MATCH('Baseline Projects'!$I19,'Outage by Zone inputs'!$A$3:$E$3,0),0)*'Baseline Projects'!$L19*$N19*('Baseline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Projects'!S$3,'Baseline scaling factors'!$B$48:$K$48,0))</f>
        <v>113.07324840813577</v>
      </c>
      <c r="T19" s="112">
        <f>VLOOKUP($A19,'Outage by Zone inputs'!$A$4:$E$13,MATCH('Baseline Projects'!$I19,'Outage by Zone inputs'!$A$3:$E$3,0),0)*'Baseline Projects'!$L19*$N19*('Baseline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Projects'!T$3,'Baseline scaling factors'!$B$54:$K$54,0))+VLOOKUP($A19,'Outage by Zone inputs'!$A$4:$E$13,MATCH('Baseline Projects'!$I19,'Outage by Zone inputs'!$A$3:$E$3,0),0)*'Baseline Projects'!$L19*$N19*('Baseline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Projects'!T$3,'Baseline scaling factors'!$B$48:$K$48,0))</f>
        <v>102.53309637966592</v>
      </c>
      <c r="U19" s="112">
        <f>VLOOKUP($A19,'Outage by Zone inputs'!$A$4:$E$13,MATCH('Baseline Projects'!$I19,'Outage by Zone inputs'!$A$3:$E$3,0),0)*'Baseline Projects'!$L19*$N19*('Baseline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Projects'!U$3,'Baseline scaling factors'!$B$54:$K$54,0))+VLOOKUP($A19,'Outage by Zone inputs'!$A$4:$E$13,MATCH('Baseline Projects'!$I19,'Outage by Zone inputs'!$A$3:$E$3,0),0)*'Baseline Projects'!$L19*$N19*('Baseline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Projects'!U$3,'Baseline scaling factors'!$B$48:$K$48,0))</f>
        <v>92.457366965898615</v>
      </c>
      <c r="V19" s="112">
        <f>VLOOKUP($A19,'Outage by Zone inputs'!$A$4:$E$13,MATCH('Baseline Projects'!$I19,'Outage by Zone inputs'!$A$3:$E$3,0),0)*'Baseline Projects'!$L19*$N19*('Baseline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Projects'!V$3,'Baseline scaling factors'!$B$54:$K$54,0))+VLOOKUP($A19,'Outage by Zone inputs'!$A$4:$E$13,MATCH('Baseline Projects'!$I19,'Outage by Zone inputs'!$A$3:$E$3,0),0)*'Baseline Projects'!$L19*$N19*('Baseline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Projects'!V$3,'Baseline scaling factors'!$B$48:$K$48,0))</f>
        <v>82.82559667024826</v>
      </c>
      <c r="W19" s="112">
        <f>VLOOKUP($A19,'Outage by Zone inputs'!$A$4:$E$13,MATCH('Baseline Projects'!$I19,'Outage by Zone inputs'!$A$3:$E$3,0),0)*'Baseline Projects'!$L19*$N19*('Baseline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Projects'!W$3,'Baseline scaling factors'!$B$54:$K$54,0))+VLOOKUP($A19,'Outage by Zone inputs'!$A$4:$E$13,MATCH('Baseline Projects'!$I19,'Outage by Zone inputs'!$A$3:$E$3,0),0)*'Baseline Projects'!$L19*$N19*('Baseline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Projects'!W$3,'Baseline scaling factors'!$B$48:$K$48,0))</f>
        <v>73.61822366344515</v>
      </c>
      <c r="X19" s="112">
        <f>VLOOKUP($A19,'Outage by Zone inputs'!$A$4:$E$13,MATCH('Baseline Projects'!$I19,'Outage by Zone inputs'!$A$3:$E$3,0),0)*'Baseline Projects'!$L19*$N19*('Baseline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Projects'!X$3,'Baseline scaling factors'!$B$54:$K$54,0))+VLOOKUP($A19,'Outage by Zone inputs'!$A$4:$E$13,MATCH('Baseline Projects'!$I19,'Outage by Zone inputs'!$A$3:$E$3,0),0)*'Baseline Projects'!$L19*$N19*('Baseline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Projects'!X$3,'Baseline scaling factors'!$B$48:$K$48,0))</f>
        <v>64.816548054062068</v>
      </c>
      <c r="Y19" s="112">
        <f>VLOOKUP($A19,'Outage by Zone inputs'!$A$4:$E$13,MATCH('Baseline Projects'!$I19,'Outage by Zone inputs'!$A$3:$E$3,0),0)*'Baseline Projects'!$L19*$N19*('Baseline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Projects'!Y$3,'Baseline scaling factors'!$B$54:$K$54,0))+VLOOKUP($A19,'Outage by Zone inputs'!$A$4:$E$13,MATCH('Baseline Projects'!$I19,'Outage by Zone inputs'!$A$3:$E$3,0),0)*'Baseline Projects'!$L19*$N19*('Baseline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Projects'!Y$3,'Baseline scaling factors'!$B$48:$K$48,0))</f>
        <v>56.402693909609681</v>
      </c>
      <c r="Z19" s="112">
        <f>VLOOKUP($A19,'Outage by Zone inputs'!$A$4:$E$13,MATCH('Baseline Projects'!$I19,'Outage by Zone inputs'!$A$3:$E$3,0),0)*'Baseline Projects'!$L19*$N19*('Baseline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Projects'!Z$3,'Baseline scaling factors'!$B$54:$K$54,0))+VLOOKUP($A19,'Outage by Zone inputs'!$A$4:$E$13,MATCH('Baseline Projects'!$I19,'Outage by Zone inputs'!$A$3:$E$3,0),0)*'Baseline Projects'!$L19*$N19*('Baseline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Projects'!Z$3,'Baseline scaling factors'!$B$48:$K$48,0))</f>
        <v>48.359572951067534</v>
      </c>
      <c r="AA19" s="34">
        <f>VLOOKUP($A19,'Outage by Zone inputs'!$A$4:$E$13,MATCH('Baseline Projects'!$I19,'Outage by Zone inputs'!$A$3:$E$3,0),0)*$M19*$N19*('Baseline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Projects'!AA$3,'Baseline scaling factors'!$B$54:$K$54,0))+VLOOKUP($A19,'Outage by Zone inputs'!$A$4:$E$13,MATCH('Baseline Projects'!$I19,'Outage by Zone inputs'!$A$3:$E$3,0),0)*$M19*$N19*('Baseline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Projects'!AA$3,'Baseline scaling factors'!$B$48:$K$48,0))</f>
        <v>15.667228339689256</v>
      </c>
      <c r="AB19" s="34">
        <f>VLOOKUP($A19,'Outage by Zone inputs'!$A$4:$E$13,MATCH('Baseline Projects'!$I19,'Outage by Zone inputs'!$A$3:$E$3,0),0)*$M19*$N19*('Baseline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Projects'!AB$3,'Baseline scaling factors'!$B$54:$K$54,0))+VLOOKUP($A19,'Outage by Zone inputs'!$A$4:$E$13,MATCH('Baseline Projects'!$I19,'Outage by Zone inputs'!$A$3:$E$3,0),0)*$M19*$N19*('Baseline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Projects'!AB$3,'Baseline scaling factors'!$B$48:$K$48,0))</f>
        <v>14.334894528574184</v>
      </c>
      <c r="AC19" s="34">
        <f>VLOOKUP($A19,'Outage by Zone inputs'!$A$4:$E$13,MATCH('Baseline Projects'!$I19,'Outage by Zone inputs'!$A$3:$E$3,0),0)*$M19*$N19*('Baseline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Projects'!AC$3,'Baseline scaling factors'!$B$54:$K$54,0))+VLOOKUP($A19,'Outage by Zone inputs'!$A$4:$E$13,MATCH('Baseline Projects'!$I19,'Outage by Zone inputs'!$A$3:$E$3,0),0)*$M19*$N19*('Baseline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Projects'!AC$3,'Baseline scaling factors'!$B$48:$K$48,0))</f>
        <v>13.061266317771457</v>
      </c>
      <c r="AD19" s="34">
        <f>VLOOKUP($A19,'Outage by Zone inputs'!$A$4:$E$13,MATCH('Baseline Projects'!$I19,'Outage by Zone inputs'!$A$3:$E$3,0),0)*$M19*$N19*('Baseline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Projects'!AD$3,'Baseline scaling factors'!$B$54:$K$54,0))+VLOOKUP($A19,'Outage by Zone inputs'!$A$4:$E$13,MATCH('Baseline Projects'!$I19,'Outage by Zone inputs'!$A$3:$E$3,0),0)*$M19*$N19*('Baseline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Projects'!AD$3,'Baseline scaling factors'!$B$48:$K$48,0))</f>
        <v>11.843757007552167</v>
      </c>
      <c r="AE19" s="34">
        <f>VLOOKUP($A19,'Outage by Zone inputs'!$A$4:$E$13,MATCH('Baseline Projects'!$I19,'Outage by Zone inputs'!$A$3:$E$3,0),0)*$M19*$N19*('Baseline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Projects'!AE$3,'Baseline scaling factors'!$B$54:$K$54,0))+VLOOKUP($A19,'Outage by Zone inputs'!$A$4:$E$13,MATCH('Baseline Projects'!$I19,'Outage by Zone inputs'!$A$3:$E$3,0),0)*$M19*$N19*('Baseline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Projects'!AE$3,'Baseline scaling factors'!$B$48:$K$48,0))</f>
        <v>10.679893873948684</v>
      </c>
      <c r="AF19" s="34">
        <f>VLOOKUP($A19,'Outage by Zone inputs'!$A$4:$E$13,MATCH('Baseline Projects'!$I19,'Outage by Zone inputs'!$A$3:$E$3,0),0)*$M19*$N19*('Baseline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Projects'!AF$3,'Baseline scaling factors'!$B$54:$K$54,0))+VLOOKUP($A19,'Outage by Zone inputs'!$A$4:$E$13,MATCH('Baseline Projects'!$I19,'Outage by Zone inputs'!$A$3:$E$3,0),0)*$M19*$N19*('Baseline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Projects'!AF$3,'Baseline scaling factors'!$B$48:$K$48,0))</f>
        <v>9.5673131467283454</v>
      </c>
      <c r="AG19" s="34">
        <f>VLOOKUP($A19,'Outage by Zone inputs'!$A$4:$E$13,MATCH('Baseline Projects'!$I19,'Outage by Zone inputs'!$A$3:$E$3,0),0)*$M19*$N19*('Baseline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Projects'!AG$3,'Baseline scaling factors'!$B$54:$K$54,0))+VLOOKUP($A19,'Outage by Zone inputs'!$A$4:$E$13,MATCH('Baseline Projects'!$I19,'Outage by Zone inputs'!$A$3:$E$3,0),0)*$M19*$N19*('Baseline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Projects'!AG$3,'Baseline scaling factors'!$B$48:$K$48,0))</f>
        <v>8.5037552086487782</v>
      </c>
      <c r="AH19" s="34">
        <f>VLOOKUP($A19,'Outage by Zone inputs'!$A$4:$E$13,MATCH('Baseline Projects'!$I19,'Outage by Zone inputs'!$A$3:$E$3,0),0)*$M19*$N19*('Baseline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Projects'!AH$3,'Baseline scaling factors'!$B$54:$K$54,0))+VLOOKUP($A19,'Outage by Zone inputs'!$A$4:$E$13,MATCH('Baseline Projects'!$I19,'Outage by Zone inputs'!$A$3:$E$3,0),0)*$M19*$N19*('Baseline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Projects'!AH$3,'Baseline scaling factors'!$B$48:$K$48,0))</f>
        <v>7.487060006244791</v>
      </c>
      <c r="AI19" s="34">
        <f>VLOOKUP($A19,'Outage by Zone inputs'!$A$4:$E$13,MATCH('Baseline Projects'!$I19,'Outage by Zone inputs'!$A$3:$E$3,0),0)*$M19*$N19*('Baseline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Projects'!AI$3,'Baseline scaling factors'!$B$54:$K$54,0))+VLOOKUP($A19,'Outage by Zone inputs'!$A$4:$E$13,MATCH('Baseline Projects'!$I19,'Outage by Zone inputs'!$A$3:$E$3,0),0)*$M19*$N19*('Baseline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Projects'!AI$3,'Baseline scaling factors'!$B$48:$K$48,0))</f>
        <v>6.5151626628261994</v>
      </c>
      <c r="AJ19" s="34">
        <f>VLOOKUP($A19,'Outage by Zone inputs'!$A$4:$E$13,MATCH('Baseline Projects'!$I19,'Outage by Zone inputs'!$A$3:$E$3,0),0)*$M19*$N19*('Baseline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Projects'!AJ$3,'Baseline scaling factors'!$B$54:$K$54,0))+VLOOKUP($A19,'Outage by Zone inputs'!$A$4:$E$13,MATCH('Baseline Projects'!$I19,'Outage by Zone inputs'!$A$3:$E$3,0),0)*$M19*$N19*('Baseline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Projects'!AJ$3,'Baseline scaling factors'!$B$48:$K$48,0))</f>
        <v>5.5860892847767767</v>
      </c>
      <c r="AK19" s="1">
        <f t="shared" si="2"/>
        <v>2848.3021121555075</v>
      </c>
      <c r="AL19" s="1">
        <f t="shared" si="3"/>
        <v>2606.0838252947869</v>
      </c>
      <c r="AM19" s="1">
        <f t="shared" si="4"/>
        <v>2374.5382165708511</v>
      </c>
      <c r="AN19" s="1">
        <f t="shared" si="5"/>
        <v>2153.1950239729845</v>
      </c>
      <c r="AO19" s="1">
        <f t="shared" si="6"/>
        <v>1941.6047062838709</v>
      </c>
      <c r="AP19" s="1">
        <f t="shared" si="7"/>
        <v>1739.3375300752134</v>
      </c>
      <c r="AQ19" s="1">
        <f t="shared" si="8"/>
        <v>1545.9826969323481</v>
      </c>
      <c r="AR19" s="1">
        <f t="shared" si="9"/>
        <v>1361.1475091353034</v>
      </c>
      <c r="AS19" s="1">
        <f t="shared" si="10"/>
        <v>1184.4565721018032</v>
      </c>
      <c r="AT19" s="1">
        <f t="shared" si="11"/>
        <v>1015.5510319724182</v>
      </c>
      <c r="AU19" s="1">
        <f t="shared" si="12"/>
        <v>60867.182099692756</v>
      </c>
      <c r="AV19" s="1">
        <f t="shared" si="13"/>
        <v>55691.065243510704</v>
      </c>
      <c r="AW19" s="1">
        <f t="shared" si="14"/>
        <v>50743.01964454211</v>
      </c>
      <c r="AX19" s="1">
        <f t="shared" si="15"/>
        <v>46012.995974340171</v>
      </c>
      <c r="AY19" s="1">
        <f t="shared" si="16"/>
        <v>41491.387700290637</v>
      </c>
      <c r="AZ19" s="1">
        <f t="shared" si="17"/>
        <v>37169.011575039622</v>
      </c>
      <c r="BA19" s="1">
        <f t="shared" si="18"/>
        <v>33037.088985600501</v>
      </c>
      <c r="BB19" s="1">
        <f t="shared" si="19"/>
        <v>29087.228124261012</v>
      </c>
      <c r="BC19" s="1">
        <f t="shared" si="20"/>
        <v>25311.406945079783</v>
      </c>
      <c r="BD19" s="1">
        <f t="shared" si="21"/>
        <v>21701.956871357779</v>
      </c>
      <c r="BE19" s="1">
        <f t="shared" si="22"/>
        <v>63715.484211848263</v>
      </c>
      <c r="BF19" s="1">
        <f t="shared" si="23"/>
        <v>58297.149068805491</v>
      </c>
      <c r="BG19" s="1">
        <f t="shared" si="24"/>
        <v>53117.55786111296</v>
      </c>
      <c r="BH19" s="1">
        <f t="shared" si="25"/>
        <v>48166.190998313155</v>
      </c>
      <c r="BI19" s="1">
        <f t="shared" si="26"/>
        <v>43432.992406574507</v>
      </c>
      <c r="BJ19" s="1">
        <f t="shared" si="27"/>
        <v>38908.349105114838</v>
      </c>
      <c r="BK19" s="1">
        <f t="shared" si="28"/>
        <v>34583.071682532849</v>
      </c>
      <c r="BL19" s="1">
        <f t="shared" si="29"/>
        <v>30448.375633396314</v>
      </c>
      <c r="BM19" s="1">
        <f t="shared" si="30"/>
        <v>26495.863517181588</v>
      </c>
      <c r="BN19" s="1">
        <f t="shared" si="31"/>
        <v>22717.507903330199</v>
      </c>
      <c r="BO19" s="25">
        <f>VLOOKUP($A19,'Outage by Zone inputs'!$A$59:$E$68,MATCH('Baseline Projects'!$I19,'Outage by Zone inputs'!$A$58:$E$58,0),0)*AVG_INCIDENT_PERCENT_NON_STORM</f>
        <v>7.0795490566694976</v>
      </c>
      <c r="BP19" s="25">
        <f>$BO19*$N19*('Baseline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Projects'!Q$3,'Baseline scaling factors'!$B$54:$K$54,0))+$BO19*$N19*('Baseline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Projects'!Q$3,'Baseline scaling factors'!$B$48:$K$48,0))</f>
        <v>2.2031866199573962</v>
      </c>
      <c r="BQ19" s="25">
        <f>$BO19*$N19*('Baseline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Projects'!R$3,'Baseline scaling factors'!$B$54:$K$54,0))+$BO19*$N19*('Baseline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Projects'!R$3,'Baseline scaling factors'!$B$48:$K$48,0))</f>
        <v>2.0158286545073447</v>
      </c>
      <c r="BR19" s="25">
        <f>$BO19*$N19*('Baseline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Projects'!S$3,'Baseline scaling factors'!$B$54:$K$54,0))+$BO19*$N19*('Baseline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Projects'!S$3,'Baseline scaling factors'!$B$48:$K$48,0))</f>
        <v>1.8367260990328451</v>
      </c>
      <c r="BS19" s="25">
        <f>$BO19*$N19*('Baseline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Projects'!T$3,'Baseline scaling factors'!$B$54:$K$54,0))+$BO19*$N19*('Baseline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Projects'!T$3,'Baseline scaling factors'!$B$48:$K$48,0))</f>
        <v>1.665515201751578</v>
      </c>
      <c r="BT19" s="25">
        <f>$BO19*$N19*('Baseline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Projects'!U$3,'Baseline scaling factors'!$B$54:$K$54,0))+$BO19*$N19*('Baseline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Projects'!U$3,'Baseline scaling factors'!$B$48:$K$48,0))</f>
        <v>1.5018482385963234</v>
      </c>
      <c r="BU19" s="25">
        <f>$BO19*$N19*('Baseline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Projects'!V$3,'Baseline scaling factors'!$B$54:$K$54,0))+$BO19*$N19*('Baseline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Projects'!V$3,'Baseline scaling factors'!$B$48:$K$48,0))</f>
        <v>1.3453928069980794</v>
      </c>
      <c r="BV19" s="25">
        <f>$BO19*$N19*('Baseline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Projects'!W$3,'Baseline scaling factors'!$B$54:$K$54,0))+$BO19*$N19*('Baseline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Projects'!W$3,'Baseline scaling factors'!$B$48:$K$48,0))</f>
        <v>1.1958311507866619</v>
      </c>
      <c r="BW19" s="25">
        <f>$BO19*$N19*('Baseline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Projects'!X$3,'Baseline scaling factors'!$B$54:$K$54,0))+$BO19*$N19*('Baseline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Projects'!X$3,'Baseline scaling factors'!$B$48:$K$48,0))</f>
        <v>1.0528595148376982</v>
      </c>
      <c r="BX19" s="25">
        <f>$BO19*$N19*('Baseline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Projects'!Y$3,'Baseline scaling factors'!$B$54:$K$54,0))+$BO19*$N19*('Baseline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Projects'!Y$3,'Baseline scaling factors'!$B$48:$K$48,0))</f>
        <v>0.9161875281553078</v>
      </c>
      <c r="BY19" s="25">
        <f>$BO19*$N19*('Baseline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Projects'!Z$3,'Baseline scaling factors'!$B$54:$K$54,0))+$BO19*$N19*('Baseline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Projects'!Z$3,'Baseline scaling factors'!$B$48:$K$48,0))</f>
        <v>0.78553761413754175</v>
      </c>
      <c r="BZ19" s="12">
        <f t="shared" si="32"/>
        <v>1039.9040846198909</v>
      </c>
      <c r="CA19" s="12">
        <f t="shared" si="33"/>
        <v>951.47112492746669</v>
      </c>
      <c r="CB19" s="12">
        <f t="shared" si="34"/>
        <v>866.93471874350291</v>
      </c>
      <c r="CC19" s="12">
        <f t="shared" si="35"/>
        <v>786.12317522674482</v>
      </c>
      <c r="CD19" s="12">
        <f t="shared" si="36"/>
        <v>708.87236861746464</v>
      </c>
      <c r="CE19" s="12">
        <f t="shared" si="37"/>
        <v>635.02540490309343</v>
      </c>
      <c r="CF19" s="12">
        <f t="shared" si="38"/>
        <v>564.4323031713044</v>
      </c>
      <c r="CG19" s="12">
        <f t="shared" si="39"/>
        <v>496.94969100339358</v>
      </c>
      <c r="CH19" s="12">
        <f t="shared" si="40"/>
        <v>432.44051328930527</v>
      </c>
      <c r="CI19" s="12">
        <f t="shared" si="41"/>
        <v>370.77375387291971</v>
      </c>
      <c r="CJ19" s="12">
        <f>'Mitigation Projects'!$AG19*VLOOKUP('Baseline Projects'!$H19&amp;"-"&amp;'Baseline Projects'!$G19,'Baseline scaling factors'!$A$49:$K$51,MATCH('Baseline Projects'!CJ$2,'Baseline scaling factors'!$A$48:$K$48,0),0)</f>
        <v>0</v>
      </c>
      <c r="CK19" s="12">
        <f>'Mitigation Projects'!$AG19*VLOOKUP('Baseline Projects'!$H19&amp;"-"&amp;'Baseline Projects'!$G19,'Baseline scaling factors'!$A$49:$K$51,MATCH('Baseline Projects'!CK$2,'Baseline scaling factors'!$A$48:$K$48,0),0)</f>
        <v>0</v>
      </c>
      <c r="CL19" s="12">
        <f>'Mitigation Projects'!$AG19*VLOOKUP('Baseline Projects'!$H19&amp;"-"&amp;'Baseline Projects'!$G19,'Baseline scaling factors'!$A$49:$K$51,MATCH('Baseline Projects'!CL$2,'Baseline scaling factors'!$A$48:$K$48,0),0)</f>
        <v>0</v>
      </c>
      <c r="CM19" s="12">
        <f>'Mitigation Projects'!$AG19*VLOOKUP('Baseline Projects'!$H19&amp;"-"&amp;'Baseline Projects'!$G19,'Baseline scaling factors'!$A$49:$K$51,MATCH('Baseline Projects'!CM$2,'Baseline scaling factors'!$A$48:$K$48,0),0)</f>
        <v>0</v>
      </c>
      <c r="CN19" s="12">
        <f>'Mitigation Projects'!$AG19*VLOOKUP('Baseline Projects'!$H19&amp;"-"&amp;'Baseline Projects'!$G19,'Baseline scaling factors'!$A$49:$K$51,MATCH('Baseline Projects'!CN$2,'Baseline scaling factors'!$A$48:$K$48,0),0)</f>
        <v>0</v>
      </c>
      <c r="CO19" s="12">
        <f>'Mitigation Projects'!$AG19*VLOOKUP('Baseline Projects'!$H19&amp;"-"&amp;'Baseline Projects'!$G19,'Baseline scaling factors'!$A$49:$K$51,MATCH('Baseline Projects'!CO$2,'Baseline scaling factors'!$A$48:$K$48,0),0)</f>
        <v>0</v>
      </c>
      <c r="CP19" s="12">
        <f>'Mitigation Projects'!$AG19*VLOOKUP('Baseline Projects'!$H19&amp;"-"&amp;'Baseline Projects'!$G19,'Baseline scaling factors'!$A$49:$K$51,MATCH('Baseline Projects'!CP$2,'Baseline scaling factors'!$A$48:$K$48,0),0)</f>
        <v>0</v>
      </c>
      <c r="CQ19" s="12">
        <f>'Mitigation Projects'!$AG19*VLOOKUP('Baseline Projects'!$H19&amp;"-"&amp;'Baseline Projects'!$G19,'Baseline scaling factors'!$A$49:$K$51,MATCH('Baseline Projects'!CQ$2,'Baseline scaling factors'!$A$48:$K$48,0),0)</f>
        <v>0</v>
      </c>
      <c r="CR19" s="12">
        <f>'Mitigation Projects'!$AG19*VLOOKUP('Baseline Projects'!$H19&amp;"-"&amp;'Baseline Projects'!$G19,'Baseline scaling factors'!$A$49:$K$51,MATCH('Baseline Projects'!CR$2,'Baseline scaling factors'!$A$48:$K$48,0),0)</f>
        <v>0</v>
      </c>
      <c r="CS19" s="12">
        <f>'Mitigation Projects'!$AG19*VLOOKUP('Baseline Projects'!$H19&amp;"-"&amp;'Baseline Projects'!$G19,'Baseline scaling factors'!$A$49:$K$51,MATCH('Baseline Projects'!CS$2,'Baseline scaling factors'!$A$48:$K$48,0),0)</f>
        <v>0</v>
      </c>
      <c r="CT19" s="12">
        <f>'Mitigation Projects'!$AH19*VLOOKUP('Baseline Projects'!$H19&amp;"-"&amp;'Baseline Projects'!$G19,'Baseline scaling factors'!$A$49:$K$51,MATCH('Baseline Projects'!CT$2,'Baseline scaling factors'!$A$48:$K$48,0),0)</f>
        <v>0</v>
      </c>
      <c r="CU19" s="12">
        <f>'Mitigation Projects'!$AH19*VLOOKUP('Baseline Projects'!$H19&amp;"-"&amp;'Baseline Projects'!$G19,'Baseline scaling factors'!$A$49:$K$51,MATCH('Baseline Projects'!CU$2,'Baseline scaling factors'!$A$48:$K$48,0),0)</f>
        <v>0</v>
      </c>
      <c r="CV19" s="12">
        <f>'Mitigation Projects'!$AH19*VLOOKUP('Baseline Projects'!$H19&amp;"-"&amp;'Baseline Projects'!$G19,'Baseline scaling factors'!$A$49:$K$51,MATCH('Baseline Projects'!CV$2,'Baseline scaling factors'!$A$48:$K$48,0),0)</f>
        <v>0</v>
      </c>
      <c r="CW19" s="12">
        <f>'Mitigation Projects'!$AH19*VLOOKUP('Baseline Projects'!$H19&amp;"-"&amp;'Baseline Projects'!$G19,'Baseline scaling factors'!$A$49:$K$51,MATCH('Baseline Projects'!CW$2,'Baseline scaling factors'!$A$48:$K$48,0),0)</f>
        <v>0</v>
      </c>
      <c r="CX19" s="12">
        <f>'Mitigation Projects'!$AH19*VLOOKUP('Baseline Projects'!$H19&amp;"-"&amp;'Baseline Projects'!$G19,'Baseline scaling factors'!$A$49:$K$51,MATCH('Baseline Projects'!CX$2,'Baseline scaling factors'!$A$48:$K$48,0),0)</f>
        <v>0</v>
      </c>
      <c r="CY19" s="12">
        <f>'Mitigation Projects'!$AH19*VLOOKUP('Baseline Projects'!$H19&amp;"-"&amp;'Baseline Projects'!$G19,'Baseline scaling factors'!$A$49:$K$51,MATCH('Baseline Projects'!CY$2,'Baseline scaling factors'!$A$48:$K$48,0),0)</f>
        <v>0</v>
      </c>
      <c r="CZ19" s="12">
        <f>'Mitigation Projects'!$AH19*VLOOKUP('Baseline Projects'!$H19&amp;"-"&amp;'Baseline Projects'!$G19,'Baseline scaling factors'!$A$49:$K$51,MATCH('Baseline Projects'!CZ$2,'Baseline scaling factors'!$A$48:$K$48,0),0)</f>
        <v>0</v>
      </c>
      <c r="DA19" s="12">
        <f>'Mitigation Projects'!$AH19*VLOOKUP('Baseline Projects'!$H19&amp;"-"&amp;'Baseline Projects'!$G19,'Baseline scaling factors'!$A$49:$K$51,MATCH('Baseline Projects'!DA$2,'Baseline scaling factors'!$A$48:$K$48,0),0)</f>
        <v>0</v>
      </c>
      <c r="DB19" s="12">
        <f>'Mitigation Projects'!$AH19*VLOOKUP('Baseline Projects'!$H19&amp;"-"&amp;'Baseline Projects'!$G19,'Baseline scaling factors'!$A$49:$K$51,MATCH('Baseline Projects'!DB$2,'Baseline scaling factors'!$A$48:$K$48,0),0)</f>
        <v>0</v>
      </c>
      <c r="DC19" s="12">
        <f>'Mitigation Projects'!$AH19*VLOOKUP('Baseline Projects'!$H19&amp;"-"&amp;'Baseline Projects'!$G19,'Baseline scaling factors'!$A$49:$K$51,MATCH('Baseline Projects'!DC$2,'Baseline scaling factors'!$A$48:$K$48,0),0)</f>
        <v>0</v>
      </c>
    </row>
    <row r="20" spans="1:107" x14ac:dyDescent="0.4">
      <c r="A20" s="38" t="str">
        <f>'Mitigation Projects'!A20</f>
        <v>CV-G65</v>
      </c>
      <c r="B20" s="38" t="str">
        <f>'Mitigation Projects'!B20</f>
        <v>Springfield</v>
      </c>
      <c r="C20" s="39">
        <f>'Mitigation Projects'!C20</f>
        <v>202178</v>
      </c>
      <c r="D20" s="39" t="str">
        <f>'Mitigation Projects'!D20</f>
        <v>202178: CV-G65 L2P206</v>
      </c>
      <c r="E20" s="39">
        <f>'Mitigation Projects'!E20</f>
        <v>521921</v>
      </c>
      <c r="F20" s="39">
        <f>'Mitigation Projects'!F20</f>
        <v>654678</v>
      </c>
      <c r="G20" s="39" t="str">
        <f>'Mitigation Projects'!G20</f>
        <v>3PH</v>
      </c>
      <c r="H20" s="39" t="str">
        <f>'Mitigation Projects'!H20</f>
        <v>OH</v>
      </c>
      <c r="I20" s="39" t="str">
        <f>'Mitigation Projects'!J20</f>
        <v>Zone 1</v>
      </c>
      <c r="J20" s="39">
        <f>'Mitigation Projects'!K20</f>
        <v>173</v>
      </c>
      <c r="K20" s="40">
        <f>'Mitigation Projects'!L20*BASELINE_CAP_SPEND</f>
        <v>413836.10000000003</v>
      </c>
      <c r="L20" s="97">
        <f>'Mitigation Projects'!Q20</f>
        <v>0.89644970414201186</v>
      </c>
      <c r="M20" s="97">
        <f>'Mitigation Projects'!R20</f>
        <v>0.10355029585798814</v>
      </c>
      <c r="N20" s="98">
        <f>'Mitigation Projects'!S20</f>
        <v>1</v>
      </c>
      <c r="O20" s="26">
        <f t="shared" si="0"/>
        <v>0.9</v>
      </c>
      <c r="P20" s="26">
        <f t="shared" si="1"/>
        <v>0.80330442615766917</v>
      </c>
      <c r="Q20" s="112">
        <f>VLOOKUP($A20,'Outage by Zone inputs'!$A$4:$E$13,MATCH('Baseline Projects'!$I20,'Outage by Zone inputs'!$A$3:$E$3,0),0)*'Baseline Projects'!$L20*$N20*('Baseline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Projects'!Q$3,'Baseline scaling factors'!$B$54:$K$54,0))+VLOOKUP($A20,'Outage by Zone inputs'!$A$4:$E$13,MATCH('Baseline Projects'!$I20,'Outage by Zone inputs'!$A$3:$E$3,0),0)*'Baseline Projects'!$L20*$N20*('Baseline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Projects'!Q$3,'Baseline scaling factors'!$B$48:$K$48,0))</f>
        <v>298.34892693474836</v>
      </c>
      <c r="R20" s="112">
        <f>VLOOKUP($A20,'Outage by Zone inputs'!$A$4:$E$13,MATCH('Baseline Projects'!$I20,'Outage by Zone inputs'!$A$3:$E$3,0),0)*'Baseline Projects'!$L20*$N20*('Baseline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Projects'!R$3,'Baseline scaling factors'!$B$54:$K$54,0))+VLOOKUP($A20,'Outage by Zone inputs'!$A$4:$E$13,MATCH('Baseline Projects'!$I20,'Outage by Zone inputs'!$A$3:$E$3,0),0)*'Baseline Projects'!$L20*$N20*('Baseline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Projects'!R$3,'Baseline scaling factors'!$B$48:$K$48,0))</f>
        <v>276.12258477190795</v>
      </c>
      <c r="S20" s="112">
        <f>VLOOKUP($A20,'Outage by Zone inputs'!$A$4:$E$13,MATCH('Baseline Projects'!$I20,'Outage by Zone inputs'!$A$3:$E$3,0),0)*'Baseline Projects'!$L20*$N20*('Baseline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Projects'!S$3,'Baseline scaling factors'!$B$54:$K$54,0))+VLOOKUP($A20,'Outage by Zone inputs'!$A$4:$E$13,MATCH('Baseline Projects'!$I20,'Outage by Zone inputs'!$A$3:$E$3,0),0)*'Baseline Projects'!$L20*$N20*('Baseline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Projects'!S$3,'Baseline scaling factors'!$B$48:$K$48,0))</f>
        <v>254.87558483436561</v>
      </c>
      <c r="T20" s="112">
        <f>VLOOKUP($A20,'Outage by Zone inputs'!$A$4:$E$13,MATCH('Baseline Projects'!$I20,'Outage by Zone inputs'!$A$3:$E$3,0),0)*'Baseline Projects'!$L20*$N20*('Baseline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Projects'!T$3,'Baseline scaling factors'!$B$54:$K$54,0))+VLOOKUP($A20,'Outage by Zone inputs'!$A$4:$E$13,MATCH('Baseline Projects'!$I20,'Outage by Zone inputs'!$A$3:$E$3,0),0)*'Baseline Projects'!$L20*$N20*('Baseline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Projects'!T$3,'Baseline scaling factors'!$B$48:$K$48,0))</f>
        <v>234.56477511864603</v>
      </c>
      <c r="U20" s="112">
        <f>VLOOKUP($A20,'Outage by Zone inputs'!$A$4:$E$13,MATCH('Baseline Projects'!$I20,'Outage by Zone inputs'!$A$3:$E$3,0),0)*'Baseline Projects'!$L20*$N20*('Baseline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Projects'!U$3,'Baseline scaling factors'!$B$54:$K$54,0))+VLOOKUP($A20,'Outage by Zone inputs'!$A$4:$E$13,MATCH('Baseline Projects'!$I20,'Outage by Zone inputs'!$A$3:$E$3,0),0)*'Baseline Projects'!$L20*$N20*('Baseline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Projects'!U$3,'Baseline scaling factors'!$B$48:$K$48,0))</f>
        <v>215.14890499482439</v>
      </c>
      <c r="V20" s="112">
        <f>VLOOKUP($A20,'Outage by Zone inputs'!$A$4:$E$13,MATCH('Baseline Projects'!$I20,'Outage by Zone inputs'!$A$3:$E$3,0),0)*'Baseline Projects'!$L20*$N20*('Baseline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Projects'!V$3,'Baseline scaling factors'!$B$54:$K$54,0))+VLOOKUP($A20,'Outage by Zone inputs'!$A$4:$E$13,MATCH('Baseline Projects'!$I20,'Outage by Zone inputs'!$A$3:$E$3,0),0)*'Baseline Projects'!$L20*$N20*('Baseline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Projects'!V$3,'Baseline scaling factors'!$B$48:$K$48,0))</f>
        <v>196.58854142776539</v>
      </c>
      <c r="W20" s="112">
        <f>VLOOKUP($A20,'Outage by Zone inputs'!$A$4:$E$13,MATCH('Baseline Projects'!$I20,'Outage by Zone inputs'!$A$3:$E$3,0),0)*'Baseline Projects'!$L20*$N20*('Baseline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Projects'!W$3,'Baseline scaling factors'!$B$54:$K$54,0))+VLOOKUP($A20,'Outage by Zone inputs'!$A$4:$E$13,MATCH('Baseline Projects'!$I20,'Outage by Zone inputs'!$A$3:$E$3,0),0)*'Baseline Projects'!$L20*$N20*('Baseline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Projects'!W$3,'Baseline scaling factors'!$B$48:$K$48,0))</f>
        <v>178.84598888984158</v>
      </c>
      <c r="X20" s="112">
        <f>VLOOKUP($A20,'Outage by Zone inputs'!$A$4:$E$13,MATCH('Baseline Projects'!$I20,'Outage by Zone inputs'!$A$3:$E$3,0),0)*'Baseline Projects'!$L20*$N20*('Baseline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Projects'!X$3,'Baseline scaling factors'!$B$54:$K$54,0))+VLOOKUP($A20,'Outage by Zone inputs'!$A$4:$E$13,MATCH('Baseline Projects'!$I20,'Outage by Zone inputs'!$A$3:$E$3,0),0)*'Baseline Projects'!$L20*$N20*('Baseline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Projects'!X$3,'Baseline scaling factors'!$B$48:$K$48,0))</f>
        <v>161.88521280247593</v>
      </c>
      <c r="Y20" s="112">
        <f>VLOOKUP($A20,'Outage by Zone inputs'!$A$4:$E$13,MATCH('Baseline Projects'!$I20,'Outage by Zone inputs'!$A$3:$E$3,0),0)*'Baseline Projects'!$L20*$N20*('Baseline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Projects'!Y$3,'Baseline scaling factors'!$B$54:$K$54,0))+VLOOKUP($A20,'Outage by Zone inputs'!$A$4:$E$13,MATCH('Baseline Projects'!$I20,'Outage by Zone inputs'!$A$3:$E$3,0),0)*'Baseline Projects'!$L20*$N20*('Baseline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Projects'!Y$3,'Baseline scaling factors'!$B$48:$K$48,0))</f>
        <v>145.67176635102095</v>
      </c>
      <c r="Z20" s="112">
        <f>VLOOKUP($A20,'Outage by Zone inputs'!$A$4:$E$13,MATCH('Baseline Projects'!$I20,'Outage by Zone inputs'!$A$3:$E$3,0),0)*'Baseline Projects'!$L20*$N20*('Baseline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Projects'!Z$3,'Baseline scaling factors'!$B$54:$K$54,0))+VLOOKUP($A20,'Outage by Zone inputs'!$A$4:$E$13,MATCH('Baseline Projects'!$I20,'Outage by Zone inputs'!$A$3:$E$3,0),0)*'Baseline Projects'!$L20*$N20*('Baseline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Projects'!Z$3,'Baseline scaling factors'!$B$48:$K$48,0))</f>
        <v>130.17272052433748</v>
      </c>
      <c r="AA20" s="34">
        <f>VLOOKUP($A20,'Outage by Zone inputs'!$A$4:$E$13,MATCH('Baseline Projects'!$I20,'Outage by Zone inputs'!$A$3:$E$3,0),0)*$M20*$N20*('Baseline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Projects'!AA$3,'Baseline scaling factors'!$B$54:$K$54,0))+VLOOKUP($A20,'Outage by Zone inputs'!$A$4:$E$13,MATCH('Baseline Projects'!$I20,'Outage by Zone inputs'!$A$3:$E$3,0),0)*$M20*$N20*('Baseline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Projects'!AA$3,'Baseline scaling factors'!$B$48:$K$48,0))</f>
        <v>34.462747335696996</v>
      </c>
      <c r="AB20" s="34">
        <f>VLOOKUP($A20,'Outage by Zone inputs'!$A$4:$E$13,MATCH('Baseline Projects'!$I20,'Outage by Zone inputs'!$A$3:$E$3,0),0)*$M20*$N20*('Baseline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Projects'!AB$3,'Baseline scaling factors'!$B$54:$K$54,0))+VLOOKUP($A20,'Outage by Zone inputs'!$A$4:$E$13,MATCH('Baseline Projects'!$I20,'Outage by Zone inputs'!$A$3:$E$3,0),0)*$M20*$N20*('Baseline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Projects'!AB$3,'Baseline scaling factors'!$B$48:$K$48,0))</f>
        <v>31.895348075962954</v>
      </c>
      <c r="AC20" s="34">
        <f>VLOOKUP($A20,'Outage by Zone inputs'!$A$4:$E$13,MATCH('Baseline Projects'!$I20,'Outage by Zone inputs'!$A$3:$E$3,0),0)*$M20*$N20*('Baseline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Projects'!AC$3,'Baseline scaling factors'!$B$54:$K$54,0))+VLOOKUP($A20,'Outage by Zone inputs'!$A$4:$E$13,MATCH('Baseline Projects'!$I20,'Outage by Zone inputs'!$A$3:$E$3,0),0)*$M20*$N20*('Baseline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Projects'!AC$3,'Baseline scaling factors'!$B$48:$K$48,0))</f>
        <v>29.441074155784797</v>
      </c>
      <c r="AD20" s="34">
        <f>VLOOKUP($A20,'Outage by Zone inputs'!$A$4:$E$13,MATCH('Baseline Projects'!$I20,'Outage by Zone inputs'!$A$3:$E$3,0),0)*$M20*$N20*('Baseline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Projects'!AD$3,'Baseline scaling factors'!$B$54:$K$54,0))+VLOOKUP($A20,'Outage by Zone inputs'!$A$4:$E$13,MATCH('Baseline Projects'!$I20,'Outage by Zone inputs'!$A$3:$E$3,0),0)*$M20*$N20*('Baseline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Projects'!AD$3,'Baseline scaling factors'!$B$48:$K$48,0))</f>
        <v>27.094941020305637</v>
      </c>
      <c r="AE20" s="34">
        <f>VLOOKUP($A20,'Outage by Zone inputs'!$A$4:$E$13,MATCH('Baseline Projects'!$I20,'Outage by Zone inputs'!$A$3:$E$3,0),0)*$M20*$N20*('Baseline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Projects'!AE$3,'Baseline scaling factors'!$B$54:$K$54,0))+VLOOKUP($A20,'Outage by Zone inputs'!$A$4:$E$13,MATCH('Baseline Projects'!$I20,'Outage by Zone inputs'!$A$3:$E$3,0),0)*$M20*$N20*('Baseline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Projects'!AE$3,'Baseline scaling factors'!$B$48:$K$48,0))</f>
        <v>24.852183745276736</v>
      </c>
      <c r="AF20" s="34">
        <f>VLOOKUP($A20,'Outage by Zone inputs'!$A$4:$E$13,MATCH('Baseline Projects'!$I20,'Outage by Zone inputs'!$A$3:$E$3,0),0)*$M20*$N20*('Baseline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Projects'!AF$3,'Baseline scaling factors'!$B$54:$K$54,0))+VLOOKUP($A20,'Outage by Zone inputs'!$A$4:$E$13,MATCH('Baseline Projects'!$I20,'Outage by Zone inputs'!$A$3:$E$3,0),0)*$M20*$N20*('Baseline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Projects'!AF$3,'Baseline scaling factors'!$B$48:$K$48,0))</f>
        <v>22.708247359642861</v>
      </c>
      <c r="AG20" s="34">
        <f>VLOOKUP($A20,'Outage by Zone inputs'!$A$4:$E$13,MATCH('Baseline Projects'!$I20,'Outage by Zone inputs'!$A$3:$E$3,0),0)*$M20*$N20*('Baseline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Projects'!AG$3,'Baseline scaling factors'!$B$54:$K$54,0))+VLOOKUP($A20,'Outage by Zone inputs'!$A$4:$E$13,MATCH('Baseline Projects'!$I20,'Outage by Zone inputs'!$A$3:$E$3,0),0)*$M20*$N20*('Baseline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Projects'!AG$3,'Baseline scaling factors'!$B$48:$K$48,0))</f>
        <v>20.658777594536151</v>
      </c>
      <c r="AH20" s="34">
        <f>VLOOKUP($A20,'Outage by Zone inputs'!$A$4:$E$13,MATCH('Baseline Projects'!$I20,'Outage by Zone inputs'!$A$3:$E$3,0),0)*$M20*$N20*('Baseline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Projects'!AH$3,'Baseline scaling factors'!$B$54:$K$54,0))+VLOOKUP($A20,'Outage by Zone inputs'!$A$4:$E$13,MATCH('Baseline Projects'!$I20,'Outage by Zone inputs'!$A$3:$E$3,0),0)*$M20*$N20*('Baseline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Projects'!AH$3,'Baseline scaling factors'!$B$48:$K$48,0))</f>
        <v>18.699612039889956</v>
      </c>
      <c r="AI20" s="34">
        <f>VLOOKUP($A20,'Outage by Zone inputs'!$A$4:$E$13,MATCH('Baseline Projects'!$I20,'Outage by Zone inputs'!$A$3:$E$3,0),0)*$M20*$N20*('Baseline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Projects'!AI$3,'Baseline scaling factors'!$B$54:$K$54,0))+VLOOKUP($A20,'Outage by Zone inputs'!$A$4:$E$13,MATCH('Baseline Projects'!$I20,'Outage by Zone inputs'!$A$3:$E$3,0),0)*$M20*$N20*('Baseline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Projects'!AI$3,'Baseline scaling factors'!$B$48:$K$48,0))</f>
        <v>16.826771690711986</v>
      </c>
      <c r="AJ20" s="34">
        <f>VLOOKUP($A20,'Outage by Zone inputs'!$A$4:$E$13,MATCH('Baseline Projects'!$I20,'Outage by Zone inputs'!$A$3:$E$3,0),0)*$M20*$N20*('Baseline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Projects'!AJ$3,'Baseline scaling factors'!$B$54:$K$54,0))+VLOOKUP($A20,'Outage by Zone inputs'!$A$4:$E$13,MATCH('Baseline Projects'!$I20,'Outage by Zone inputs'!$A$3:$E$3,0),0)*$M20*$N20*('Baseline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Projects'!AJ$3,'Baseline scaling factors'!$B$48:$K$48,0))</f>
        <v>15.036452865847558</v>
      </c>
      <c r="AK20" s="1">
        <f t="shared" si="2"/>
        <v>6265.3274656297153</v>
      </c>
      <c r="AL20" s="1">
        <f t="shared" si="3"/>
        <v>5798.5742802100667</v>
      </c>
      <c r="AM20" s="1">
        <f t="shared" si="4"/>
        <v>5352.3872815216782</v>
      </c>
      <c r="AN20" s="1">
        <f t="shared" si="5"/>
        <v>4925.8602774915662</v>
      </c>
      <c r="AO20" s="1">
        <f t="shared" si="6"/>
        <v>4518.127004891312</v>
      </c>
      <c r="AP20" s="1">
        <f t="shared" si="7"/>
        <v>4128.3593699830735</v>
      </c>
      <c r="AQ20" s="1">
        <f t="shared" si="8"/>
        <v>3755.765766686673</v>
      </c>
      <c r="AR20" s="1">
        <f t="shared" si="9"/>
        <v>3399.5894688519948</v>
      </c>
      <c r="AS20" s="1">
        <f t="shared" si="10"/>
        <v>3059.10709337144</v>
      </c>
      <c r="AT20" s="1">
        <f t="shared" si="11"/>
        <v>2733.6271310110869</v>
      </c>
      <c r="AU20" s="1">
        <f t="shared" si="12"/>
        <v>133887.77339918283</v>
      </c>
      <c r="AV20" s="1">
        <f t="shared" si="13"/>
        <v>123913.42727511608</v>
      </c>
      <c r="AW20" s="1">
        <f t="shared" si="14"/>
        <v>114378.57309522394</v>
      </c>
      <c r="AX20" s="1">
        <f t="shared" si="15"/>
        <v>105263.8458638874</v>
      </c>
      <c r="AY20" s="1">
        <f t="shared" si="16"/>
        <v>96550.733850400124</v>
      </c>
      <c r="AZ20" s="1">
        <f t="shared" si="17"/>
        <v>88221.540992212511</v>
      </c>
      <c r="BA20" s="1">
        <f t="shared" si="18"/>
        <v>80259.350954772948</v>
      </c>
      <c r="BB20" s="1">
        <f t="shared" si="19"/>
        <v>72647.992774972474</v>
      </c>
      <c r="BC20" s="1">
        <f t="shared" si="20"/>
        <v>65372.008018416069</v>
      </c>
      <c r="BD20" s="1">
        <f t="shared" si="21"/>
        <v>58416.619383817764</v>
      </c>
      <c r="BE20" s="1">
        <f t="shared" si="22"/>
        <v>140153.10086481256</v>
      </c>
      <c r="BF20" s="1">
        <f t="shared" si="23"/>
        <v>129712.00155532615</v>
      </c>
      <c r="BG20" s="1">
        <f t="shared" si="24"/>
        <v>119730.96037674561</v>
      </c>
      <c r="BH20" s="1">
        <f t="shared" si="25"/>
        <v>110189.70614137896</v>
      </c>
      <c r="BI20" s="1">
        <f t="shared" si="26"/>
        <v>101068.86085529144</v>
      </c>
      <c r="BJ20" s="1">
        <f t="shared" si="27"/>
        <v>92349.900362195578</v>
      </c>
      <c r="BK20" s="1">
        <f t="shared" si="28"/>
        <v>84015.116721459621</v>
      </c>
      <c r="BL20" s="1">
        <f t="shared" si="29"/>
        <v>76047.582243824465</v>
      </c>
      <c r="BM20" s="1">
        <f t="shared" si="30"/>
        <v>68431.115111787512</v>
      </c>
      <c r="BN20" s="1">
        <f t="shared" si="31"/>
        <v>61150.246514828854</v>
      </c>
      <c r="BO20" s="25">
        <f>VLOOKUP($A20,'Outage by Zone inputs'!$A$59:$E$68,MATCH('Baseline Projects'!$I20,'Outage by Zone inputs'!$A$58:$E$58,0),0)*AVG_INCIDENT_PERCENT_NON_STORM</f>
        <v>3.2948240521541896</v>
      </c>
      <c r="BP20" s="25">
        <f>$BO20*$N20*('Baseline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Projects'!Q$3,'Baseline scaling factors'!$B$54:$K$54,0))+$BO20*$N20*('Baseline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Projects'!Q$3,'Baseline scaling factors'!$B$48:$K$48,0))</f>
        <v>1.0491958615291928</v>
      </c>
      <c r="BQ20" s="25">
        <f>$BO20*$N20*('Baseline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Projects'!R$3,'Baseline scaling factors'!$B$54:$K$54,0))+$BO20*$N20*('Baseline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Projects'!R$3,'Baseline scaling factors'!$B$48:$K$48,0))</f>
        <v>0.97103306585979798</v>
      </c>
      <c r="BR20" s="25">
        <f>$BO20*$N20*('Baseline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Projects'!S$3,'Baseline scaling factors'!$B$54:$K$54,0))+$BO20*$N20*('Baseline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Projects'!S$3,'Baseline scaling factors'!$B$48:$K$48,0))</f>
        <v>0.89631429735805646</v>
      </c>
      <c r="BS20" s="25">
        <f>$BO20*$N20*('Baseline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Projects'!T$3,'Baseline scaling factors'!$B$54:$K$54,0))+$BO20*$N20*('Baseline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Projects'!T$3,'Baseline scaling factors'!$B$48:$K$48,0))</f>
        <v>0.82488780450292853</v>
      </c>
      <c r="BT20" s="25">
        <f>$BO20*$N20*('Baseline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Projects'!U$3,'Baseline scaling factors'!$B$54:$K$54,0))+$BO20*$N20*('Baseline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Projects'!U$3,'Baseline scaling factors'!$B$48:$K$48,0))</f>
        <v>0.75660852228396713</v>
      </c>
      <c r="BU20" s="25">
        <f>$BO20*$N20*('Baseline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Projects'!V$3,'Baseline scaling factors'!$B$54:$K$54,0))+$BO20*$N20*('Baseline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Projects'!V$3,'Baseline scaling factors'!$B$48:$K$48,0))</f>
        <v>0.69133777757874315</v>
      </c>
      <c r="BV20" s="25">
        <f>$BO20*$N20*('Baseline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Projects'!W$3,'Baseline scaling factors'!$B$54:$K$54,0))+$BO20*$N20*('Baseline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Projects'!W$3,'Baseline scaling factors'!$B$48:$K$48,0))</f>
        <v>0.62894300751199739</v>
      </c>
      <c r="BW20" s="25">
        <f>$BO20*$N20*('Baseline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Projects'!X$3,'Baseline scaling factors'!$B$54:$K$54,0))+$BO20*$N20*('Baseline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Projects'!X$3,'Baseline scaling factors'!$B$48:$K$48,0))</f>
        <v>0.56929749022451848</v>
      </c>
      <c r="BX20" s="25">
        <f>$BO20*$N20*('Baseline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Projects'!Y$3,'Baseline scaling factors'!$B$54:$K$54,0))+$BO20*$N20*('Baseline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Projects'!Y$3,'Baseline scaling factors'!$B$48:$K$48,0))</f>
        <v>0.51228008750494292</v>
      </c>
      <c r="BY20" s="25">
        <f>$BO20*$N20*('Baseline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Projects'!Z$3,'Baseline scaling factors'!$B$54:$K$54,0))+$BO20*$N20*('Baseline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Projects'!Z$3,'Baseline scaling factors'!$B$48:$K$48,0))</f>
        <v>0.4577749987617743</v>
      </c>
      <c r="BZ20" s="12">
        <f t="shared" si="32"/>
        <v>495.22044664177901</v>
      </c>
      <c r="CA20" s="12">
        <f t="shared" si="33"/>
        <v>458.32760708582464</v>
      </c>
      <c r="CB20" s="12">
        <f t="shared" si="34"/>
        <v>423.06034835300267</v>
      </c>
      <c r="CC20" s="12">
        <f t="shared" si="35"/>
        <v>389.34704372538226</v>
      </c>
      <c r="CD20" s="12">
        <f t="shared" si="36"/>
        <v>357.11922251803247</v>
      </c>
      <c r="CE20" s="12">
        <f t="shared" si="37"/>
        <v>326.31143101716674</v>
      </c>
      <c r="CF20" s="12">
        <f t="shared" si="38"/>
        <v>296.86109954566274</v>
      </c>
      <c r="CG20" s="12">
        <f t="shared" si="39"/>
        <v>268.70841538597273</v>
      </c>
      <c r="CH20" s="12">
        <f t="shared" si="40"/>
        <v>241.79620130233306</v>
      </c>
      <c r="CI20" s="12">
        <f t="shared" si="41"/>
        <v>216.06979941555747</v>
      </c>
      <c r="CJ20" s="12">
        <f>'Mitigation Projects'!$AG20*VLOOKUP('Baseline Projects'!$H20&amp;"-"&amp;'Baseline Projects'!$G20,'Baseline scaling factors'!$A$49:$K$51,MATCH('Baseline Projects'!CJ$2,'Baseline scaling factors'!$A$48:$K$48,0),0)</f>
        <v>0</v>
      </c>
      <c r="CK20" s="12">
        <f>'Mitigation Projects'!$AG20*VLOOKUP('Baseline Projects'!$H20&amp;"-"&amp;'Baseline Projects'!$G20,'Baseline scaling factors'!$A$49:$K$51,MATCH('Baseline Projects'!CK$2,'Baseline scaling factors'!$A$48:$K$48,0),0)</f>
        <v>0</v>
      </c>
      <c r="CL20" s="12">
        <f>'Mitigation Projects'!$AG20*VLOOKUP('Baseline Projects'!$H20&amp;"-"&amp;'Baseline Projects'!$G20,'Baseline scaling factors'!$A$49:$K$51,MATCH('Baseline Projects'!CL$2,'Baseline scaling factors'!$A$48:$K$48,0),0)</f>
        <v>0</v>
      </c>
      <c r="CM20" s="12">
        <f>'Mitigation Projects'!$AG20*VLOOKUP('Baseline Projects'!$H20&amp;"-"&amp;'Baseline Projects'!$G20,'Baseline scaling factors'!$A$49:$K$51,MATCH('Baseline Projects'!CM$2,'Baseline scaling factors'!$A$48:$K$48,0),0)</f>
        <v>0</v>
      </c>
      <c r="CN20" s="12">
        <f>'Mitigation Projects'!$AG20*VLOOKUP('Baseline Projects'!$H20&amp;"-"&amp;'Baseline Projects'!$G20,'Baseline scaling factors'!$A$49:$K$51,MATCH('Baseline Projects'!CN$2,'Baseline scaling factors'!$A$48:$K$48,0),0)</f>
        <v>0</v>
      </c>
      <c r="CO20" s="12">
        <f>'Mitigation Projects'!$AG20*VLOOKUP('Baseline Projects'!$H20&amp;"-"&amp;'Baseline Projects'!$G20,'Baseline scaling factors'!$A$49:$K$51,MATCH('Baseline Projects'!CO$2,'Baseline scaling factors'!$A$48:$K$48,0),0)</f>
        <v>0</v>
      </c>
      <c r="CP20" s="12">
        <f>'Mitigation Projects'!$AG20*VLOOKUP('Baseline Projects'!$H20&amp;"-"&amp;'Baseline Projects'!$G20,'Baseline scaling factors'!$A$49:$K$51,MATCH('Baseline Projects'!CP$2,'Baseline scaling factors'!$A$48:$K$48,0),0)</f>
        <v>0</v>
      </c>
      <c r="CQ20" s="12">
        <f>'Mitigation Projects'!$AG20*VLOOKUP('Baseline Projects'!$H20&amp;"-"&amp;'Baseline Projects'!$G20,'Baseline scaling factors'!$A$49:$K$51,MATCH('Baseline Projects'!CQ$2,'Baseline scaling factors'!$A$48:$K$48,0),0)</f>
        <v>0</v>
      </c>
      <c r="CR20" s="12">
        <f>'Mitigation Projects'!$AG20*VLOOKUP('Baseline Projects'!$H20&amp;"-"&amp;'Baseline Projects'!$G20,'Baseline scaling factors'!$A$49:$K$51,MATCH('Baseline Projects'!CR$2,'Baseline scaling factors'!$A$48:$K$48,0),0)</f>
        <v>0</v>
      </c>
      <c r="CS20" s="12">
        <f>'Mitigation Projects'!$AG20*VLOOKUP('Baseline Projects'!$H20&amp;"-"&amp;'Baseline Projects'!$G20,'Baseline scaling factors'!$A$49:$K$51,MATCH('Baseline Projects'!CS$2,'Baseline scaling factors'!$A$48:$K$48,0),0)</f>
        <v>0</v>
      </c>
      <c r="CT20" s="12">
        <f>'Mitigation Projects'!$AH20*VLOOKUP('Baseline Projects'!$H20&amp;"-"&amp;'Baseline Projects'!$G20,'Baseline scaling factors'!$A$49:$K$51,MATCH('Baseline Projects'!CT$2,'Baseline scaling factors'!$A$48:$K$48,0),0)</f>
        <v>0</v>
      </c>
      <c r="CU20" s="12">
        <f>'Mitigation Projects'!$AH20*VLOOKUP('Baseline Projects'!$H20&amp;"-"&amp;'Baseline Projects'!$G20,'Baseline scaling factors'!$A$49:$K$51,MATCH('Baseline Projects'!CU$2,'Baseline scaling factors'!$A$48:$K$48,0),0)</f>
        <v>0</v>
      </c>
      <c r="CV20" s="12">
        <f>'Mitigation Projects'!$AH20*VLOOKUP('Baseline Projects'!$H20&amp;"-"&amp;'Baseline Projects'!$G20,'Baseline scaling factors'!$A$49:$K$51,MATCH('Baseline Projects'!CV$2,'Baseline scaling factors'!$A$48:$K$48,0),0)</f>
        <v>0</v>
      </c>
      <c r="CW20" s="12">
        <f>'Mitigation Projects'!$AH20*VLOOKUP('Baseline Projects'!$H20&amp;"-"&amp;'Baseline Projects'!$G20,'Baseline scaling factors'!$A$49:$K$51,MATCH('Baseline Projects'!CW$2,'Baseline scaling factors'!$A$48:$K$48,0),0)</f>
        <v>0</v>
      </c>
      <c r="CX20" s="12">
        <f>'Mitigation Projects'!$AH20*VLOOKUP('Baseline Projects'!$H20&amp;"-"&amp;'Baseline Projects'!$G20,'Baseline scaling factors'!$A$49:$K$51,MATCH('Baseline Projects'!CX$2,'Baseline scaling factors'!$A$48:$K$48,0),0)</f>
        <v>0</v>
      </c>
      <c r="CY20" s="12">
        <f>'Mitigation Projects'!$AH20*VLOOKUP('Baseline Projects'!$H20&amp;"-"&amp;'Baseline Projects'!$G20,'Baseline scaling factors'!$A$49:$K$51,MATCH('Baseline Projects'!CY$2,'Baseline scaling factors'!$A$48:$K$48,0),0)</f>
        <v>0</v>
      </c>
      <c r="CZ20" s="12">
        <f>'Mitigation Projects'!$AH20*VLOOKUP('Baseline Projects'!$H20&amp;"-"&amp;'Baseline Projects'!$G20,'Baseline scaling factors'!$A$49:$K$51,MATCH('Baseline Projects'!CZ$2,'Baseline scaling factors'!$A$48:$K$48,0),0)</f>
        <v>0</v>
      </c>
      <c r="DA20" s="12">
        <f>'Mitigation Projects'!$AH20*VLOOKUP('Baseline Projects'!$H20&amp;"-"&amp;'Baseline Projects'!$G20,'Baseline scaling factors'!$A$49:$K$51,MATCH('Baseline Projects'!DA$2,'Baseline scaling factors'!$A$48:$K$48,0),0)</f>
        <v>0</v>
      </c>
      <c r="DB20" s="12">
        <f>'Mitigation Projects'!$AH20*VLOOKUP('Baseline Projects'!$H20&amp;"-"&amp;'Baseline Projects'!$G20,'Baseline scaling factors'!$A$49:$K$51,MATCH('Baseline Projects'!DB$2,'Baseline scaling factors'!$A$48:$K$48,0),0)</f>
        <v>0</v>
      </c>
      <c r="DC20" s="12">
        <f>'Mitigation Projects'!$AH20*VLOOKUP('Baseline Projects'!$H20&amp;"-"&amp;'Baseline Projects'!$G20,'Baseline scaling factors'!$A$49:$K$51,MATCH('Baseline Projects'!DC$2,'Baseline scaling factors'!$A$48:$K$48,0),0)</f>
        <v>0</v>
      </c>
    </row>
    <row r="21" spans="1:107" x14ac:dyDescent="0.4">
      <c r="A21" s="38" t="str">
        <f>'Mitigation Projects'!A21</f>
        <v>CV-G65</v>
      </c>
      <c r="B21" s="38" t="str">
        <f>'Mitigation Projects'!B21</f>
        <v>Springfield</v>
      </c>
      <c r="C21" s="39">
        <f>'Mitigation Projects'!C21</f>
        <v>204894</v>
      </c>
      <c r="D21" s="39" t="str">
        <f>'Mitigation Projects'!D21</f>
        <v>204894: L209 P1-P53 Tarbel Rd-Kna</v>
      </c>
      <c r="E21" s="39">
        <f>'Mitigation Projects'!E21</f>
        <v>528262</v>
      </c>
      <c r="F21" s="39">
        <f>'Mitigation Projects'!F21</f>
        <v>0</v>
      </c>
      <c r="G21" s="39" t="str">
        <f>'Mitigation Projects'!G21</f>
        <v>1PH</v>
      </c>
      <c r="H21" s="39" t="str">
        <f>'Mitigation Projects'!H21</f>
        <v>UG</v>
      </c>
      <c r="I21" s="39" t="str">
        <f>'Mitigation Projects'!J21</f>
        <v>Zone 3</v>
      </c>
      <c r="J21" s="39">
        <f>'Mitigation Projects'!K21</f>
        <v>58</v>
      </c>
      <c r="K21" s="40">
        <f>'Mitigation Projects'!L21*BASELINE_CAP_SPEND</f>
        <v>144583.9</v>
      </c>
      <c r="L21" s="97">
        <f>'Mitigation Projects'!Q21</f>
        <v>0.89644970414201186</v>
      </c>
      <c r="M21" s="97">
        <f>'Mitigation Projects'!R21</f>
        <v>0.10355029585798814</v>
      </c>
      <c r="N21" s="98">
        <f>'Mitigation Projects'!S21</f>
        <v>0.5</v>
      </c>
      <c r="O21" s="26">
        <f t="shared" si="0"/>
        <v>0.98</v>
      </c>
      <c r="P21" s="26">
        <f t="shared" si="1"/>
        <v>0.83359200333362127</v>
      </c>
      <c r="Q21" s="112">
        <f>VLOOKUP($A21,'Outage by Zone inputs'!$A$4:$E$13,MATCH('Baseline Projects'!$I21,'Outage by Zone inputs'!$A$3:$E$3,0),0)*'Baseline Projects'!$L21*$N21*('Baseline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Projects'!Q$3,'Baseline scaling factors'!$B$54:$K$54,0))+VLOOKUP($A21,'Outage by Zone inputs'!$A$4:$E$13,MATCH('Baseline Projects'!$I21,'Outage by Zone inputs'!$A$3:$E$3,0),0)*'Baseline Projects'!$L21*$N21*('Baseline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Projects'!Q$3,'Baseline scaling factors'!$B$48:$K$48,0))</f>
        <v>64.48146858119415</v>
      </c>
      <c r="R21" s="112">
        <f>VLOOKUP($A21,'Outage by Zone inputs'!$A$4:$E$13,MATCH('Baseline Projects'!$I21,'Outage by Zone inputs'!$A$3:$E$3,0),0)*'Baseline Projects'!$L21*$N21*('Baseline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Projects'!R$3,'Baseline scaling factors'!$B$54:$K$54,0))+VLOOKUP($A21,'Outage by Zone inputs'!$A$4:$E$13,MATCH('Baseline Projects'!$I21,'Outage by Zone inputs'!$A$3:$E$3,0),0)*'Baseline Projects'!$L21*$N21*('Baseline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Projects'!R$3,'Baseline scaling factors'!$B$48:$K$48,0))</f>
        <v>58.997994483644675</v>
      </c>
      <c r="S21" s="112">
        <f>VLOOKUP($A21,'Outage by Zone inputs'!$A$4:$E$13,MATCH('Baseline Projects'!$I21,'Outage by Zone inputs'!$A$3:$E$3,0),0)*'Baseline Projects'!$L21*$N21*('Baseline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Projects'!S$3,'Baseline scaling factors'!$B$54:$K$54,0))+VLOOKUP($A21,'Outage by Zone inputs'!$A$4:$E$13,MATCH('Baseline Projects'!$I21,'Outage by Zone inputs'!$A$3:$E$3,0),0)*'Baseline Projects'!$L21*$N21*('Baseline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Projects'!S$3,'Baseline scaling factors'!$B$48:$K$48,0))</f>
        <v>53.756134489113727</v>
      </c>
      <c r="T21" s="112">
        <f>VLOOKUP($A21,'Outage by Zone inputs'!$A$4:$E$13,MATCH('Baseline Projects'!$I21,'Outage by Zone inputs'!$A$3:$E$3,0),0)*'Baseline Projects'!$L21*$N21*('Baseline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Projects'!T$3,'Baseline scaling factors'!$B$54:$K$54,0))+VLOOKUP($A21,'Outage by Zone inputs'!$A$4:$E$13,MATCH('Baseline Projects'!$I21,'Outage by Zone inputs'!$A$3:$E$3,0),0)*'Baseline Projects'!$L21*$N21*('Baseline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Projects'!T$3,'Baseline scaling factors'!$B$48:$K$48,0))</f>
        <v>48.745242541152649</v>
      </c>
      <c r="U21" s="112">
        <f>VLOOKUP($A21,'Outage by Zone inputs'!$A$4:$E$13,MATCH('Baseline Projects'!$I21,'Outage by Zone inputs'!$A$3:$E$3,0),0)*'Baseline Projects'!$L21*$N21*('Baseline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Projects'!U$3,'Baseline scaling factors'!$B$54:$K$54,0))+VLOOKUP($A21,'Outage by Zone inputs'!$A$4:$E$13,MATCH('Baseline Projects'!$I21,'Outage by Zone inputs'!$A$3:$E$3,0),0)*'Baseline Projects'!$L21*$N21*('Baseline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Projects'!U$3,'Baseline scaling factors'!$B$48:$K$48,0))</f>
        <v>43.955141672312465</v>
      </c>
      <c r="V21" s="112">
        <f>VLOOKUP($A21,'Outage by Zone inputs'!$A$4:$E$13,MATCH('Baseline Projects'!$I21,'Outage by Zone inputs'!$A$3:$E$3,0),0)*'Baseline Projects'!$L21*$N21*('Baseline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Projects'!V$3,'Baseline scaling factors'!$B$54:$K$54,0))+VLOOKUP($A21,'Outage by Zone inputs'!$A$4:$E$13,MATCH('Baseline Projects'!$I21,'Outage by Zone inputs'!$A$3:$E$3,0),0)*'Baseline Projects'!$L21*$N21*('Baseline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Projects'!V$3,'Baseline scaling factors'!$B$48:$K$48,0))</f>
        <v>39.376103335036056</v>
      </c>
      <c r="W21" s="112">
        <f>VLOOKUP($A21,'Outage by Zone inputs'!$A$4:$E$13,MATCH('Baseline Projects'!$I21,'Outage by Zone inputs'!$A$3:$E$3,0),0)*'Baseline Projects'!$L21*$N21*('Baseline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Projects'!W$3,'Baseline scaling factors'!$B$54:$K$54,0))+VLOOKUP($A21,'Outage by Zone inputs'!$A$4:$E$13,MATCH('Baseline Projects'!$I21,'Outage by Zone inputs'!$A$3:$E$3,0),0)*'Baseline Projects'!$L21*$N21*('Baseline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Projects'!W$3,'Baseline scaling factors'!$B$48:$K$48,0))</f>
        <v>34.998827643277203</v>
      </c>
      <c r="X21" s="112">
        <f>VLOOKUP($A21,'Outage by Zone inputs'!$A$4:$E$13,MATCH('Baseline Projects'!$I21,'Outage by Zone inputs'!$A$3:$E$3,0),0)*'Baseline Projects'!$L21*$N21*('Baseline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Projects'!X$3,'Baseline scaling factors'!$B$54:$K$54,0))+VLOOKUP($A21,'Outage by Zone inputs'!$A$4:$E$13,MATCH('Baseline Projects'!$I21,'Outage by Zone inputs'!$A$3:$E$3,0),0)*'Baseline Projects'!$L21*$N21*('Baseline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Projects'!X$3,'Baseline scaling factors'!$B$48:$K$48,0))</f>
        <v>30.814424484718028</v>
      </c>
      <c r="Y21" s="112">
        <f>VLOOKUP($A21,'Outage by Zone inputs'!$A$4:$E$13,MATCH('Baseline Projects'!$I21,'Outage by Zone inputs'!$A$3:$E$3,0),0)*'Baseline Projects'!$L21*$N21*('Baseline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Projects'!Y$3,'Baseline scaling factors'!$B$54:$K$54,0))+VLOOKUP($A21,'Outage by Zone inputs'!$A$4:$E$13,MATCH('Baseline Projects'!$I21,'Outage by Zone inputs'!$A$3:$E$3,0),0)*'Baseline Projects'!$L21*$N21*('Baseline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Projects'!Y$3,'Baseline scaling factors'!$B$48:$K$48,0))</f>
        <v>26.814395465224273</v>
      </c>
      <c r="Z21" s="112">
        <f>VLOOKUP($A21,'Outage by Zone inputs'!$A$4:$E$13,MATCH('Baseline Projects'!$I21,'Outage by Zone inputs'!$A$3:$E$3,0),0)*'Baseline Projects'!$L21*$N21*('Baseline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Projects'!Z$3,'Baseline scaling factors'!$B$54:$K$54,0))+VLOOKUP($A21,'Outage by Zone inputs'!$A$4:$E$13,MATCH('Baseline Projects'!$I21,'Outage by Zone inputs'!$A$3:$E$3,0),0)*'Baseline Projects'!$L21*$N21*('Baseline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Projects'!Z$3,'Baseline scaling factors'!$B$48:$K$48,0))</f>
        <v>22.990616648868169</v>
      </c>
      <c r="AA21" s="34">
        <f>VLOOKUP($A21,'Outage by Zone inputs'!$A$4:$E$13,MATCH('Baseline Projects'!$I21,'Outage by Zone inputs'!$A$3:$E$3,0),0)*$M21*$N21*('Baseline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Projects'!AA$3,'Baseline scaling factors'!$B$54:$K$54,0))+VLOOKUP($A21,'Outage by Zone inputs'!$A$4:$E$13,MATCH('Baseline Projects'!$I21,'Outage by Zone inputs'!$A$3:$E$3,0),0)*$M21*$N21*('Baseline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Projects'!AA$3,'Baseline scaling factors'!$B$48:$K$48,0))</f>
        <v>7.44835445657358</v>
      </c>
      <c r="AB21" s="34">
        <f>VLOOKUP($A21,'Outage by Zone inputs'!$A$4:$E$13,MATCH('Baseline Projects'!$I21,'Outage by Zone inputs'!$A$3:$E$3,0),0)*$M21*$N21*('Baseline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Projects'!AB$3,'Baseline scaling factors'!$B$54:$K$54,0))+VLOOKUP($A21,'Outage by Zone inputs'!$A$4:$E$13,MATCH('Baseline Projects'!$I21,'Outage by Zone inputs'!$A$3:$E$3,0),0)*$M21*$N21*('Baseline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Projects'!AB$3,'Baseline scaling factors'!$B$48:$K$48,0))</f>
        <v>6.8149498578467425</v>
      </c>
      <c r="AC21" s="34">
        <f>VLOOKUP($A21,'Outage by Zone inputs'!$A$4:$E$13,MATCH('Baseline Projects'!$I21,'Outage by Zone inputs'!$A$3:$E$3,0),0)*$M21*$N21*('Baseline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Projects'!AC$3,'Baseline scaling factors'!$B$54:$K$54,0))+VLOOKUP($A21,'Outage by Zone inputs'!$A$4:$E$13,MATCH('Baseline Projects'!$I21,'Outage by Zone inputs'!$A$3:$E$3,0),0)*$M21*$N21*('Baseline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Projects'!AC$3,'Baseline scaling factors'!$B$48:$K$48,0))</f>
        <v>6.2094544789405282</v>
      </c>
      <c r="AD21" s="34">
        <f>VLOOKUP($A21,'Outage by Zone inputs'!$A$4:$E$13,MATCH('Baseline Projects'!$I21,'Outage by Zone inputs'!$A$3:$E$3,0),0)*$M21*$N21*('Baseline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Projects'!AD$3,'Baseline scaling factors'!$B$54:$K$54,0))+VLOOKUP($A21,'Outage by Zone inputs'!$A$4:$E$13,MATCH('Baseline Projects'!$I21,'Outage by Zone inputs'!$A$3:$E$3,0),0)*$M21*$N21*('Baseline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Projects'!AD$3,'Baseline scaling factors'!$B$48:$K$48,0))</f>
        <v>5.630638577360866</v>
      </c>
      <c r="AE21" s="34">
        <f>VLOOKUP($A21,'Outage by Zone inputs'!$A$4:$E$13,MATCH('Baseline Projects'!$I21,'Outage by Zone inputs'!$A$3:$E$3,0),0)*$M21*$N21*('Baseline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Projects'!AE$3,'Baseline scaling factors'!$B$54:$K$54,0))+VLOOKUP($A21,'Outage by Zone inputs'!$A$4:$E$13,MATCH('Baseline Projects'!$I21,'Outage by Zone inputs'!$A$3:$E$3,0),0)*$M21*$N21*('Baseline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Projects'!AE$3,'Baseline scaling factors'!$B$48:$K$48,0))</f>
        <v>5.0773265958116696</v>
      </c>
      <c r="AF21" s="34">
        <f>VLOOKUP($A21,'Outage by Zone inputs'!$A$4:$E$13,MATCH('Baseline Projects'!$I21,'Outage by Zone inputs'!$A$3:$E$3,0),0)*$M21*$N21*('Baseline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Projects'!AF$3,'Baseline scaling factors'!$B$54:$K$54,0))+VLOOKUP($A21,'Outage by Zone inputs'!$A$4:$E$13,MATCH('Baseline Projects'!$I21,'Outage by Zone inputs'!$A$3:$E$3,0),0)*$M21*$N21*('Baseline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Projects'!AF$3,'Baseline scaling factors'!$B$48:$K$48,0))</f>
        <v>4.5483947746741302</v>
      </c>
      <c r="AG21" s="34">
        <f>VLOOKUP($A21,'Outage by Zone inputs'!$A$4:$E$13,MATCH('Baseline Projects'!$I21,'Outage by Zone inputs'!$A$3:$E$3,0),0)*$M21*$N21*('Baseline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Projects'!AG$3,'Baseline scaling factors'!$B$54:$K$54,0))+VLOOKUP($A21,'Outage by Zone inputs'!$A$4:$E$13,MATCH('Baseline Projects'!$I21,'Outage by Zone inputs'!$A$3:$E$3,0),0)*$M21*$N21*('Baseline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Projects'!AG$3,'Baseline scaling factors'!$B$48:$K$48,0))</f>
        <v>4.0427688696854833</v>
      </c>
      <c r="AH21" s="34">
        <f>VLOOKUP($A21,'Outage by Zone inputs'!$A$4:$E$13,MATCH('Baseline Projects'!$I21,'Outage by Zone inputs'!$A$3:$E$3,0),0)*$M21*$N21*('Baseline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Projects'!AH$3,'Baseline scaling factors'!$B$54:$K$54,0))+VLOOKUP($A21,'Outage by Zone inputs'!$A$4:$E$13,MATCH('Baseline Projects'!$I21,'Outage by Zone inputs'!$A$3:$E$3,0),0)*$M21*$N21*('Baseline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Projects'!AH$3,'Baseline scaling factors'!$B$48:$K$48,0))</f>
        <v>3.5594219701819494</v>
      </c>
      <c r="AI21" s="34">
        <f>VLOOKUP($A21,'Outage by Zone inputs'!$A$4:$E$13,MATCH('Baseline Projects'!$I21,'Outage by Zone inputs'!$A$3:$E$3,0),0)*$M21*$N21*('Baseline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Projects'!AI$3,'Baseline scaling factors'!$B$54:$K$54,0))+VLOOKUP($A21,'Outage by Zone inputs'!$A$4:$E$13,MATCH('Baseline Projects'!$I21,'Outage by Zone inputs'!$A$3:$E$3,0),0)*$M21*$N21*('Baseline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Projects'!AI$3,'Baseline scaling factors'!$B$48:$K$48,0))</f>
        <v>3.0973724134747505</v>
      </c>
      <c r="AJ21" s="34">
        <f>VLOOKUP($A21,'Outage by Zone inputs'!$A$4:$E$13,MATCH('Baseline Projects'!$I21,'Outage by Zone inputs'!$A$3:$E$3,0),0)*$M21*$N21*('Baseline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Projects'!AJ$3,'Baseline scaling factors'!$B$54:$K$54,0))+VLOOKUP($A21,'Outage by Zone inputs'!$A$4:$E$13,MATCH('Baseline Projects'!$I21,'Outage by Zone inputs'!$A$3:$E$3,0),0)*$M21*$N21*('Baseline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Projects'!AJ$3,'Baseline scaling factors'!$B$48:$K$48,0))</f>
        <v>2.6556817911233854</v>
      </c>
      <c r="AK21" s="1">
        <f t="shared" ref="AK21" si="72">Q21*ICE_VALUE_RES_WTD</f>
        <v>1354.1108402050772</v>
      </c>
      <c r="AL21" s="1">
        <f t="shared" ref="AL21" si="73">R21*ICE_VALUE_RES_WTD</f>
        <v>1238.9578841565381</v>
      </c>
      <c r="AM21" s="1">
        <f t="shared" ref="AM21" si="74">S21*ICE_VALUE_RES_WTD</f>
        <v>1128.8788242713883</v>
      </c>
      <c r="AN21" s="1">
        <f t="shared" ref="AN21" si="75">T21*ICE_VALUE_RES_WTD</f>
        <v>1023.6500933642056</v>
      </c>
      <c r="AO21" s="1">
        <f t="shared" ref="AO21" si="76">U21*ICE_VALUE_RES_WTD</f>
        <v>923.05797511856179</v>
      </c>
      <c r="AP21" s="1">
        <f t="shared" ref="AP21" si="77">V21*ICE_VALUE_RES_WTD</f>
        <v>826.89817003575718</v>
      </c>
      <c r="AQ21" s="1">
        <f t="shared" ref="AQ21" si="78">W21*ICE_VALUE_RES_WTD</f>
        <v>734.97538050882122</v>
      </c>
      <c r="AR21" s="1">
        <f t="shared" ref="AR21" si="79">X21*ICE_VALUE_RES_WTD</f>
        <v>647.10291417907854</v>
      </c>
      <c r="AS21" s="1">
        <f t="shared" ref="AS21" si="80">Y21*ICE_VALUE_RES_WTD</f>
        <v>563.10230476970969</v>
      </c>
      <c r="AT21" s="1">
        <f t="shared" ref="AT21" si="81">Z21*ICE_VALUE_RES_WTD</f>
        <v>482.80294962623157</v>
      </c>
      <c r="AU21" s="1">
        <f t="shared" ref="AU21" si="82">AA21*ICE_VALUE_NONRES_WTD</f>
        <v>28936.857063788357</v>
      </c>
      <c r="AV21" s="1">
        <f t="shared" ref="AV21" si="83">AB21*ICE_VALUE_NONRES_WTD</f>
        <v>26476.080197734595</v>
      </c>
      <c r="AW21" s="1">
        <f t="shared" ref="AW21" si="84">AC21*ICE_VALUE_NONRES_WTD</f>
        <v>24123.730650683952</v>
      </c>
      <c r="AX21" s="1">
        <f t="shared" ref="AX21" si="85">AD21*ICE_VALUE_NONRES_WTD</f>
        <v>21875.030873046966</v>
      </c>
      <c r="AY21" s="1">
        <f t="shared" ref="AY21" si="86">AE21*ICE_VALUE_NONRES_WTD</f>
        <v>19725.413824728337</v>
      </c>
      <c r="AZ21" s="1">
        <f t="shared" ref="AZ21" si="87">AF21*ICE_VALUE_NONRES_WTD</f>
        <v>17670.513699608997</v>
      </c>
      <c r="BA21" s="1">
        <f t="shared" ref="BA21" si="88">AG21*ICE_VALUE_NONRES_WTD</f>
        <v>15706.157058728102</v>
      </c>
      <c r="BB21" s="1">
        <f t="shared" ref="BB21" si="89">AH21*ICE_VALUE_NONRES_WTD</f>
        <v>13828.354354156874</v>
      </c>
      <c r="BC21" s="1">
        <f t="shared" ref="BC21" si="90">AI21*ICE_VALUE_NONRES_WTD</f>
        <v>12033.291826349405</v>
      </c>
      <c r="BD21" s="1">
        <f t="shared" ref="BD21" si="91">AJ21*ICE_VALUE_NONRES_WTD</f>
        <v>10317.323758514352</v>
      </c>
      <c r="BE21" s="1">
        <f t="shared" ref="BE21" si="92">AK21+AU21</f>
        <v>30290.967903993434</v>
      </c>
      <c r="BF21" s="1">
        <f t="shared" ref="BF21" si="93">AL21+AV21</f>
        <v>27715.038081891133</v>
      </c>
      <c r="BG21" s="1">
        <f t="shared" ref="BG21" si="94">AM21+AW21</f>
        <v>25252.609474955341</v>
      </c>
      <c r="BH21" s="1">
        <f t="shared" ref="BH21" si="95">AN21+AX21</f>
        <v>22898.680966411172</v>
      </c>
      <c r="BI21" s="1">
        <f t="shared" ref="BI21" si="96">AO21+AY21</f>
        <v>20648.471799846899</v>
      </c>
      <c r="BJ21" s="1">
        <f t="shared" ref="BJ21" si="97">AP21+AZ21</f>
        <v>18497.411869644755</v>
      </c>
      <c r="BK21" s="1">
        <f t="shared" ref="BK21" si="98">AQ21+BA21</f>
        <v>16441.132439236924</v>
      </c>
      <c r="BL21" s="1">
        <f t="shared" ref="BL21" si="99">AR21+BB21</f>
        <v>14475.457268335953</v>
      </c>
      <c r="BM21" s="1">
        <f t="shared" ref="BM21" si="100">AS21+BC21</f>
        <v>12596.394131119114</v>
      </c>
      <c r="BN21" s="1">
        <f t="shared" ref="BN21" si="101">AT21+BD21</f>
        <v>10800.126708140584</v>
      </c>
      <c r="BO21" s="25">
        <f>VLOOKUP($A21,'Outage by Zone inputs'!$A$59:$E$68,MATCH('Baseline Projects'!$I21,'Outage by Zone inputs'!$A$58:$E$58,0),0)*AVG_INCIDENT_PERCENT_NON_STORM</f>
        <v>7.0795490566694976</v>
      </c>
      <c r="BP21" s="25">
        <f>$BO21*$N21*('Baseline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Projects'!Q$3,'Baseline scaling factors'!$B$54:$K$54,0))+$BO21*$N21*('Baseline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Projects'!Q$3,'Baseline scaling factors'!$B$48:$K$48,0))</f>
        <v>1.0474165898158114</v>
      </c>
      <c r="BQ21" s="25">
        <f>$BO21*$N21*('Baseline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Projects'!R$3,'Baseline scaling factors'!$B$54:$K$54,0))+$BO21*$N21*('Baseline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Projects'!R$3,'Baseline scaling factors'!$B$48:$K$48,0))</f>
        <v>0.95834477017562292</v>
      </c>
      <c r="BR21" s="25">
        <f>$BO21*$N21*('Baseline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Projects'!S$3,'Baseline scaling factors'!$B$54:$K$54,0))+$BO21*$N21*('Baseline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Projects'!S$3,'Baseline scaling factors'!$B$48:$K$48,0))</f>
        <v>0.87319765363856572</v>
      </c>
      <c r="BS21" s="25">
        <f>$BO21*$N21*('Baseline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Projects'!T$3,'Baseline scaling factors'!$B$54:$K$54,0))+$BO21*$N21*('Baseline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Projects'!T$3,'Baseline scaling factors'!$B$48:$K$48,0))</f>
        <v>0.7918023090294386</v>
      </c>
      <c r="BT21" s="25">
        <f>$BO21*$N21*('Baseline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Projects'!U$3,'Baseline scaling factors'!$B$54:$K$54,0))+$BO21*$N21*('Baseline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Projects'!U$3,'Baseline scaling factors'!$B$48:$K$48,0))</f>
        <v>0.71399342490644868</v>
      </c>
      <c r="BU21" s="25">
        <f>$BO21*$N21*('Baseline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Projects'!V$3,'Baseline scaling factors'!$B$54:$K$54,0))+$BO21*$N21*('Baseline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Projects'!V$3,'Baseline scaling factors'!$B$48:$K$48,0))</f>
        <v>0.63961297381875903</v>
      </c>
      <c r="BV21" s="25">
        <f>$BO21*$N21*('Baseline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Projects'!W$3,'Baseline scaling factors'!$B$54:$K$54,0))+$BO21*$N21*('Baseline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Projects'!W$3,'Baseline scaling factors'!$B$48:$K$48,0))</f>
        <v>0.56850989135759333</v>
      </c>
      <c r="BW21" s="25">
        <f>$BO21*$N21*('Baseline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Projects'!X$3,'Baseline scaling factors'!$B$54:$K$54,0))+$BO21*$N21*('Baseline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Projects'!X$3,'Baseline scaling factors'!$B$48:$K$48,0))</f>
        <v>0.50053976934906963</v>
      </c>
      <c r="BX21" s="25">
        <f>$BO21*$N21*('Baseline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Projects'!Y$3,'Baseline scaling factors'!$B$54:$K$54,0))+$BO21*$N21*('Baseline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Projects'!Y$3,'Baseline scaling factors'!$B$48:$K$48,0))</f>
        <v>0.43556456256563814</v>
      </c>
      <c r="BY21" s="25">
        <f>$BO21*$N21*('Baseline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Projects'!Z$3,'Baseline scaling factors'!$B$54:$K$54,0))+$BO21*$N21*('Baseline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Projects'!Z$3,'Baseline scaling factors'!$B$48:$K$48,0))</f>
        <v>0.37345230836047061</v>
      </c>
      <c r="BZ21" s="12">
        <f t="shared" ref="BZ21" si="102">BP21*OM_AVG_RESTORATION_COST_PER_INCIDENT</f>
        <v>494.38063039306297</v>
      </c>
      <c r="CA21" s="12">
        <f t="shared" ref="CA21" si="103">BQ21*OM_AVG_RESTORATION_COST_PER_INCIDENT</f>
        <v>452.33873152289402</v>
      </c>
      <c r="CB21" s="12">
        <f t="shared" ref="CB21" si="104">BR21*OM_AVG_RESTORATION_COST_PER_INCIDENT</f>
        <v>412.14929251740301</v>
      </c>
      <c r="CC21" s="12">
        <f t="shared" ref="CC21" si="105">BS21*OM_AVG_RESTORATION_COST_PER_INCIDENT</f>
        <v>373.73068986189503</v>
      </c>
      <c r="CD21" s="12">
        <f t="shared" ref="CD21" si="106">BT21*OM_AVG_RESTORATION_COST_PER_INCIDENT</f>
        <v>337.0048965558438</v>
      </c>
      <c r="CE21" s="12">
        <f t="shared" ref="CE21" si="107">BU21*OM_AVG_RESTORATION_COST_PER_INCIDENT</f>
        <v>301.89732364245424</v>
      </c>
      <c r="CF21" s="12">
        <f t="shared" ref="CF21" si="108">BV21*OM_AVG_RESTORATION_COST_PER_INCIDENT</f>
        <v>268.33666872078408</v>
      </c>
      <c r="CG21" s="12">
        <f t="shared" ref="CG21" si="109">BW21*OM_AVG_RESTORATION_COST_PER_INCIDENT</f>
        <v>236.25477113276088</v>
      </c>
      <c r="CH21" s="12">
        <f t="shared" ref="CH21" si="110">BX21*OM_AVG_RESTORATION_COST_PER_INCIDENT</f>
        <v>205.58647353098121</v>
      </c>
      <c r="CI21" s="12">
        <f t="shared" ref="CI21" si="111">BY21*OM_AVG_RESTORATION_COST_PER_INCIDENT</f>
        <v>176.26948954614213</v>
      </c>
      <c r="CJ21" s="12">
        <f>'Mitigation Projects'!$AG21*VLOOKUP('Baseline Projects'!$H21&amp;"-"&amp;'Baseline Projects'!$G21,'Baseline scaling factors'!$A$49:$K$51,MATCH('Baseline Projects'!CJ$2,'Baseline scaling factors'!$A$48:$K$48,0),0)</f>
        <v>0</v>
      </c>
      <c r="CK21" s="12">
        <f>'Mitigation Projects'!$AG21*VLOOKUP('Baseline Projects'!$H21&amp;"-"&amp;'Baseline Projects'!$G21,'Baseline scaling factors'!$A$49:$K$51,MATCH('Baseline Projects'!CK$2,'Baseline scaling factors'!$A$48:$K$48,0),0)</f>
        <v>0</v>
      </c>
      <c r="CL21" s="12">
        <f>'Mitigation Projects'!$AG21*VLOOKUP('Baseline Projects'!$H21&amp;"-"&amp;'Baseline Projects'!$G21,'Baseline scaling factors'!$A$49:$K$51,MATCH('Baseline Projects'!CL$2,'Baseline scaling factors'!$A$48:$K$48,0),0)</f>
        <v>0</v>
      </c>
      <c r="CM21" s="12">
        <f>'Mitigation Projects'!$AG21*VLOOKUP('Baseline Projects'!$H21&amp;"-"&amp;'Baseline Projects'!$G21,'Baseline scaling factors'!$A$49:$K$51,MATCH('Baseline Projects'!CM$2,'Baseline scaling factors'!$A$48:$K$48,0),0)</f>
        <v>0</v>
      </c>
      <c r="CN21" s="12">
        <f>'Mitigation Projects'!$AG21*VLOOKUP('Baseline Projects'!$H21&amp;"-"&amp;'Baseline Projects'!$G21,'Baseline scaling factors'!$A$49:$K$51,MATCH('Baseline Projects'!CN$2,'Baseline scaling factors'!$A$48:$K$48,0),0)</f>
        <v>0</v>
      </c>
      <c r="CO21" s="12">
        <f>'Mitigation Projects'!$AG21*VLOOKUP('Baseline Projects'!$H21&amp;"-"&amp;'Baseline Projects'!$G21,'Baseline scaling factors'!$A$49:$K$51,MATCH('Baseline Projects'!CO$2,'Baseline scaling factors'!$A$48:$K$48,0),0)</f>
        <v>0</v>
      </c>
      <c r="CP21" s="12">
        <f>'Mitigation Projects'!$AG21*VLOOKUP('Baseline Projects'!$H21&amp;"-"&amp;'Baseline Projects'!$G21,'Baseline scaling factors'!$A$49:$K$51,MATCH('Baseline Projects'!CP$2,'Baseline scaling factors'!$A$48:$K$48,0),0)</f>
        <v>0</v>
      </c>
      <c r="CQ21" s="12">
        <f>'Mitigation Projects'!$AG21*VLOOKUP('Baseline Projects'!$H21&amp;"-"&amp;'Baseline Projects'!$G21,'Baseline scaling factors'!$A$49:$K$51,MATCH('Baseline Projects'!CQ$2,'Baseline scaling factors'!$A$48:$K$48,0),0)</f>
        <v>0</v>
      </c>
      <c r="CR21" s="12">
        <f>'Mitigation Projects'!$AG21*VLOOKUP('Baseline Projects'!$H21&amp;"-"&amp;'Baseline Projects'!$G21,'Baseline scaling factors'!$A$49:$K$51,MATCH('Baseline Projects'!CR$2,'Baseline scaling factors'!$A$48:$K$48,0),0)</f>
        <v>0</v>
      </c>
      <c r="CS21" s="12">
        <f>'Mitigation Projects'!$AG21*VLOOKUP('Baseline Projects'!$H21&amp;"-"&amp;'Baseline Projects'!$G21,'Baseline scaling factors'!$A$49:$K$51,MATCH('Baseline Projects'!CS$2,'Baseline scaling factors'!$A$48:$K$48,0),0)</f>
        <v>0</v>
      </c>
      <c r="CT21" s="12">
        <f>'Mitigation Projects'!$AH21*VLOOKUP('Baseline Projects'!$H21&amp;"-"&amp;'Baseline Projects'!$G21,'Baseline scaling factors'!$A$49:$K$51,MATCH('Baseline Projects'!CT$2,'Baseline scaling factors'!$A$48:$K$48,0),0)</f>
        <v>0</v>
      </c>
      <c r="CU21" s="12">
        <f>'Mitigation Projects'!$AH21*VLOOKUP('Baseline Projects'!$H21&amp;"-"&amp;'Baseline Projects'!$G21,'Baseline scaling factors'!$A$49:$K$51,MATCH('Baseline Projects'!CU$2,'Baseline scaling factors'!$A$48:$K$48,0),0)</f>
        <v>0</v>
      </c>
      <c r="CV21" s="12">
        <f>'Mitigation Projects'!$AH21*VLOOKUP('Baseline Projects'!$H21&amp;"-"&amp;'Baseline Projects'!$G21,'Baseline scaling factors'!$A$49:$K$51,MATCH('Baseline Projects'!CV$2,'Baseline scaling factors'!$A$48:$K$48,0),0)</f>
        <v>0</v>
      </c>
      <c r="CW21" s="12">
        <f>'Mitigation Projects'!$AH21*VLOOKUP('Baseline Projects'!$H21&amp;"-"&amp;'Baseline Projects'!$G21,'Baseline scaling factors'!$A$49:$K$51,MATCH('Baseline Projects'!CW$2,'Baseline scaling factors'!$A$48:$K$48,0),0)</f>
        <v>0</v>
      </c>
      <c r="CX21" s="12">
        <f>'Mitigation Projects'!$AH21*VLOOKUP('Baseline Projects'!$H21&amp;"-"&amp;'Baseline Projects'!$G21,'Baseline scaling factors'!$A$49:$K$51,MATCH('Baseline Projects'!CX$2,'Baseline scaling factors'!$A$48:$K$48,0),0)</f>
        <v>0</v>
      </c>
      <c r="CY21" s="12">
        <f>'Mitigation Projects'!$AH21*VLOOKUP('Baseline Projects'!$H21&amp;"-"&amp;'Baseline Projects'!$G21,'Baseline scaling factors'!$A$49:$K$51,MATCH('Baseline Projects'!CY$2,'Baseline scaling factors'!$A$48:$K$48,0),0)</f>
        <v>0</v>
      </c>
      <c r="CZ21" s="12">
        <f>'Mitigation Projects'!$AH21*VLOOKUP('Baseline Projects'!$H21&amp;"-"&amp;'Baseline Projects'!$G21,'Baseline scaling factors'!$A$49:$K$51,MATCH('Baseline Projects'!CZ$2,'Baseline scaling factors'!$A$48:$K$48,0),0)</f>
        <v>0</v>
      </c>
      <c r="DA21" s="12">
        <f>'Mitigation Projects'!$AH21*VLOOKUP('Baseline Projects'!$H21&amp;"-"&amp;'Baseline Projects'!$G21,'Baseline scaling factors'!$A$49:$K$51,MATCH('Baseline Projects'!DA$2,'Baseline scaling factors'!$A$48:$K$48,0),0)</f>
        <v>0</v>
      </c>
      <c r="DB21" s="12">
        <f>'Mitigation Projects'!$AH21*VLOOKUP('Baseline Projects'!$H21&amp;"-"&amp;'Baseline Projects'!$G21,'Baseline scaling factors'!$A$49:$K$51,MATCH('Baseline Projects'!DB$2,'Baseline scaling factors'!$A$48:$K$48,0),0)</f>
        <v>0</v>
      </c>
      <c r="DC21" s="12">
        <f>'Mitigation Projects'!$AH21*VLOOKUP('Baseline Projects'!$H21&amp;"-"&amp;'Baseline Projects'!$G21,'Baseline scaling factors'!$A$49:$K$51,MATCH('Baseline Projects'!DC$2,'Baseline scaling factors'!$A$48:$K$48,0),0)</f>
        <v>0</v>
      </c>
    </row>
    <row r="22" spans="1:107" x14ac:dyDescent="0.4">
      <c r="A22" s="38" t="str">
        <f>'Mitigation Projects'!A22</f>
        <v>DM-G6</v>
      </c>
      <c r="B22" s="38" t="str">
        <f>'Mitigation Projects'!B22</f>
        <v>Brattleboro</v>
      </c>
      <c r="C22" s="39">
        <f>'Mitigation Projects'!C22</f>
        <v>199297</v>
      </c>
      <c r="D22" s="39" t="str">
        <f>'Mitigation Projects'!D22</f>
        <v>199297: L66 P15-1 to L62 P140</v>
      </c>
      <c r="E22" s="39">
        <f>'Mitigation Projects'!E22</f>
        <v>554333</v>
      </c>
      <c r="F22" s="39">
        <f>'Mitigation Projects'!F22</f>
        <v>554331</v>
      </c>
      <c r="G22" s="39" t="str">
        <f>'Mitigation Projects'!G22</f>
        <v>3PH</v>
      </c>
      <c r="H22" s="39" t="str">
        <f>'Mitigation Projects'!H22</f>
        <v>OH</v>
      </c>
      <c r="I22" s="39" t="str">
        <f>'Mitigation Projects'!J22</f>
        <v>Zone 2</v>
      </c>
      <c r="J22" s="39">
        <f>'Mitigation Projects'!K22</f>
        <v>254</v>
      </c>
      <c r="K22" s="40">
        <f>'Mitigation Projects'!L22*BASELINE_CAP_SPEND</f>
        <v>245623.40000000002</v>
      </c>
      <c r="L22" s="97">
        <f>'Mitigation Projects'!Q22</f>
        <v>0.89446185997910133</v>
      </c>
      <c r="M22" s="97">
        <f>'Mitigation Projects'!R22</f>
        <v>0.10553814002089867</v>
      </c>
      <c r="N22" s="98">
        <f>'Mitigation Projects'!S22</f>
        <v>1</v>
      </c>
      <c r="O22" s="26">
        <f t="shared" si="0"/>
        <v>0.9</v>
      </c>
      <c r="P22" s="26">
        <f t="shared" si="1"/>
        <v>0.80330442615766917</v>
      </c>
      <c r="Q22" s="112">
        <f>VLOOKUP($A22,'Outage by Zone inputs'!$A$4:$E$13,MATCH('Baseline Projects'!$I22,'Outage by Zone inputs'!$A$3:$E$3,0),0)*'Baseline Projects'!$L22*$N22*('Baseline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Projects'!Q$3,'Baseline scaling factors'!$B$54:$K$54,0))+VLOOKUP($A22,'Outage by Zone inputs'!$A$4:$E$13,MATCH('Baseline Projects'!$I22,'Outage by Zone inputs'!$A$3:$E$3,0),0)*'Baseline Projects'!$L22*$N22*('Baseline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Projects'!Q$3,'Baseline scaling factors'!$B$48:$K$48,0))</f>
        <v>707.56372221337608</v>
      </c>
      <c r="R22" s="112">
        <f>VLOOKUP($A22,'Outage by Zone inputs'!$A$4:$E$13,MATCH('Baseline Projects'!$I22,'Outage by Zone inputs'!$A$3:$E$3,0),0)*'Baseline Projects'!$L22*$N22*('Baseline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Projects'!R$3,'Baseline scaling factors'!$B$54:$K$54,0))+VLOOKUP($A22,'Outage by Zone inputs'!$A$4:$E$13,MATCH('Baseline Projects'!$I22,'Outage by Zone inputs'!$A$3:$E$3,0),0)*'Baseline Projects'!$L22*$N22*('Baseline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Projects'!R$3,'Baseline scaling factors'!$B$48:$K$48,0))</f>
        <v>654.85177331011414</v>
      </c>
      <c r="S22" s="112">
        <f>VLOOKUP($A22,'Outage by Zone inputs'!$A$4:$E$13,MATCH('Baseline Projects'!$I22,'Outage by Zone inputs'!$A$3:$E$3,0),0)*'Baseline Projects'!$L22*$N22*('Baseline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Projects'!S$3,'Baseline scaling factors'!$B$54:$K$54,0))+VLOOKUP($A22,'Outage by Zone inputs'!$A$4:$E$13,MATCH('Baseline Projects'!$I22,'Outage by Zone inputs'!$A$3:$E$3,0),0)*'Baseline Projects'!$L22*$N22*('Baseline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Projects'!S$3,'Baseline scaling factors'!$B$48:$K$48,0))</f>
        <v>604.46243048213478</v>
      </c>
      <c r="T22" s="112">
        <f>VLOOKUP($A22,'Outage by Zone inputs'!$A$4:$E$13,MATCH('Baseline Projects'!$I22,'Outage by Zone inputs'!$A$3:$E$3,0),0)*'Baseline Projects'!$L22*$N22*('Baseline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Projects'!T$3,'Baseline scaling factors'!$B$54:$K$54,0))+VLOOKUP($A22,'Outage by Zone inputs'!$A$4:$E$13,MATCH('Baseline Projects'!$I22,'Outage by Zone inputs'!$A$3:$E$3,0),0)*'Baseline Projects'!$L22*$N22*('Baseline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Projects'!T$3,'Baseline scaling factors'!$B$48:$K$48,0))</f>
        <v>556.29335452375108</v>
      </c>
      <c r="U22" s="112">
        <f>VLOOKUP($A22,'Outage by Zone inputs'!$A$4:$E$13,MATCH('Baseline Projects'!$I22,'Outage by Zone inputs'!$A$3:$E$3,0),0)*'Baseline Projects'!$L22*$N22*('Baseline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Projects'!U$3,'Baseline scaling factors'!$B$54:$K$54,0))+VLOOKUP($A22,'Outage by Zone inputs'!$A$4:$E$13,MATCH('Baseline Projects'!$I22,'Outage by Zone inputs'!$A$3:$E$3,0),0)*'Baseline Projects'!$L22*$N22*('Baseline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Projects'!U$3,'Baseline scaling factors'!$B$48:$K$48,0))</f>
        <v>510.24671552301038</v>
      </c>
      <c r="V22" s="112">
        <f>VLOOKUP($A22,'Outage by Zone inputs'!$A$4:$E$13,MATCH('Baseline Projects'!$I22,'Outage by Zone inputs'!$A$3:$E$3,0),0)*'Baseline Projects'!$L22*$N22*('Baseline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Projects'!V$3,'Baseline scaling factors'!$B$54:$K$54,0))+VLOOKUP($A22,'Outage by Zone inputs'!$A$4:$E$13,MATCH('Baseline Projects'!$I22,'Outage by Zone inputs'!$A$3:$E$3,0),0)*'Baseline Projects'!$L22*$N22*('Baseline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Projects'!V$3,'Baseline scaling factors'!$B$48:$K$48,0))</f>
        <v>466.22899417215058</v>
      </c>
      <c r="W22" s="112">
        <f>VLOOKUP($A22,'Outage by Zone inputs'!$A$4:$E$13,MATCH('Baseline Projects'!$I22,'Outage by Zone inputs'!$A$3:$E$3,0),0)*'Baseline Projects'!$L22*$N22*('Baseline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Projects'!W$3,'Baseline scaling factors'!$B$54:$K$54,0))+VLOOKUP($A22,'Outage by Zone inputs'!$A$4:$E$13,MATCH('Baseline Projects'!$I22,'Outage by Zone inputs'!$A$3:$E$3,0),0)*'Baseline Projects'!$L22*$N22*('Baseline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Projects'!W$3,'Baseline scaling factors'!$B$48:$K$48,0))</f>
        <v>424.15079183276214</v>
      </c>
      <c r="X22" s="112">
        <f>VLOOKUP($A22,'Outage by Zone inputs'!$A$4:$E$13,MATCH('Baseline Projects'!$I22,'Outage by Zone inputs'!$A$3:$E$3,0),0)*'Baseline Projects'!$L22*$N22*('Baseline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Projects'!X$3,'Baseline scaling factors'!$B$54:$K$54,0))+VLOOKUP($A22,'Outage by Zone inputs'!$A$4:$E$13,MATCH('Baseline Projects'!$I22,'Outage by Zone inputs'!$A$3:$E$3,0),0)*'Baseline Projects'!$L22*$N22*('Baseline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Projects'!X$3,'Baseline scaling factors'!$B$48:$K$48,0))</f>
        <v>383.92664896990294</v>
      </c>
      <c r="Y22" s="112">
        <f>VLOOKUP($A22,'Outage by Zone inputs'!$A$4:$E$13,MATCH('Baseline Projects'!$I22,'Outage by Zone inputs'!$A$3:$E$3,0),0)*'Baseline Projects'!$L22*$N22*('Baseline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Projects'!Y$3,'Baseline scaling factors'!$B$54:$K$54,0))+VLOOKUP($A22,'Outage by Zone inputs'!$A$4:$E$13,MATCH('Baseline Projects'!$I22,'Outage by Zone inputs'!$A$3:$E$3,0),0)*'Baseline Projects'!$L22*$N22*('Baseline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Projects'!Y$3,'Baseline scaling factors'!$B$48:$K$48,0))</f>
        <v>345.4748715864107</v>
      </c>
      <c r="Z22" s="112">
        <f>VLOOKUP($A22,'Outage by Zone inputs'!$A$4:$E$13,MATCH('Baseline Projects'!$I22,'Outage by Zone inputs'!$A$3:$E$3,0),0)*'Baseline Projects'!$L22*$N22*('Baseline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Projects'!Z$3,'Baseline scaling factors'!$B$54:$K$54,0))+VLOOKUP($A22,'Outage by Zone inputs'!$A$4:$E$13,MATCH('Baseline Projects'!$I22,'Outage by Zone inputs'!$A$3:$E$3,0),0)*'Baseline Projects'!$L22*$N22*('Baseline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Projects'!Z$3,'Baseline scaling factors'!$B$48:$K$48,0))</f>
        <v>308.71736530490716</v>
      </c>
      <c r="AA22" s="34">
        <f>VLOOKUP($A22,'Outage by Zone inputs'!$A$4:$E$13,MATCH('Baseline Projects'!$I22,'Outage by Zone inputs'!$A$3:$E$3,0),0)*$M22*$N22*('Baseline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Projects'!AA$3,'Baseline scaling factors'!$B$54:$K$54,0))+VLOOKUP($A22,'Outage by Zone inputs'!$A$4:$E$13,MATCH('Baseline Projects'!$I22,'Outage by Zone inputs'!$A$3:$E$3,0),0)*$M22*$N22*('Baseline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Projects'!AA$3,'Baseline scaling factors'!$B$48:$K$48,0))</f>
        <v>83.485906476110983</v>
      </c>
      <c r="AB22" s="34">
        <f>VLOOKUP($A22,'Outage by Zone inputs'!$A$4:$E$13,MATCH('Baseline Projects'!$I22,'Outage by Zone inputs'!$A$3:$E$3,0),0)*$M22*$N22*('Baseline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Projects'!AB$3,'Baseline scaling factors'!$B$54:$K$54,0))+VLOOKUP($A22,'Outage by Zone inputs'!$A$4:$E$13,MATCH('Baseline Projects'!$I22,'Outage by Zone inputs'!$A$3:$E$3,0),0)*$M22*$N22*('Baseline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Projects'!AB$3,'Baseline scaling factors'!$B$48:$K$48,0))</f>
        <v>77.266389140562566</v>
      </c>
      <c r="AC22" s="34">
        <f>VLOOKUP($A22,'Outage by Zone inputs'!$A$4:$E$13,MATCH('Baseline Projects'!$I22,'Outage by Zone inputs'!$A$3:$E$3,0),0)*$M22*$N22*('Baseline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Projects'!AC$3,'Baseline scaling factors'!$B$54:$K$54,0))+VLOOKUP($A22,'Outage by Zone inputs'!$A$4:$E$13,MATCH('Baseline Projects'!$I22,'Outage by Zone inputs'!$A$3:$E$3,0),0)*$M22*$N22*('Baseline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Projects'!AC$3,'Baseline scaling factors'!$B$48:$K$48,0))</f>
        <v>71.320917615298626</v>
      </c>
      <c r="AD22" s="34">
        <f>VLOOKUP($A22,'Outage by Zone inputs'!$A$4:$E$13,MATCH('Baseline Projects'!$I22,'Outage by Zone inputs'!$A$3:$E$3,0),0)*$M22*$N22*('Baseline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Projects'!AD$3,'Baseline scaling factors'!$B$54:$K$54,0))+VLOOKUP($A22,'Outage by Zone inputs'!$A$4:$E$13,MATCH('Baseline Projects'!$I22,'Outage by Zone inputs'!$A$3:$E$3,0),0)*$M22*$N22*('Baseline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Projects'!AD$3,'Baseline scaling factors'!$B$48:$K$48,0))</f>
        <v>65.637416830489343</v>
      </c>
      <c r="AE22" s="34">
        <f>VLOOKUP($A22,'Outage by Zone inputs'!$A$4:$E$13,MATCH('Baseline Projects'!$I22,'Outage by Zone inputs'!$A$3:$E$3,0),0)*$M22*$N22*('Baseline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Projects'!AE$3,'Baseline scaling factors'!$B$54:$K$54,0))+VLOOKUP($A22,'Outage by Zone inputs'!$A$4:$E$13,MATCH('Baseline Projects'!$I22,'Outage by Zone inputs'!$A$3:$E$3,0),0)*$M22*$N22*('Baseline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Projects'!AE$3,'Baseline scaling factors'!$B$48:$K$48,0))</f>
        <v>60.204343770822511</v>
      </c>
      <c r="AF22" s="34">
        <f>VLOOKUP($A22,'Outage by Zone inputs'!$A$4:$E$13,MATCH('Baseline Projects'!$I22,'Outage by Zone inputs'!$A$3:$E$3,0),0)*$M22*$N22*('Baseline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Projects'!AF$3,'Baseline scaling factors'!$B$54:$K$54,0))+VLOOKUP($A22,'Outage by Zone inputs'!$A$4:$E$13,MATCH('Baseline Projects'!$I22,'Outage by Zone inputs'!$A$3:$E$3,0),0)*$M22*$N22*('Baseline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Projects'!AF$3,'Baseline scaling factors'!$B$48:$K$48,0))</f>
        <v>55.010664031994423</v>
      </c>
      <c r="AG22" s="34">
        <f>VLOOKUP($A22,'Outage by Zone inputs'!$A$4:$E$13,MATCH('Baseline Projects'!$I22,'Outage by Zone inputs'!$A$3:$E$3,0),0)*$M22*$N22*('Baseline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Projects'!AG$3,'Baseline scaling factors'!$B$54:$K$54,0))+VLOOKUP($A22,'Outage by Zone inputs'!$A$4:$E$13,MATCH('Baseline Projects'!$I22,'Outage by Zone inputs'!$A$3:$E$3,0),0)*$M22*$N22*('Baseline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Projects'!AG$3,'Baseline scaling factors'!$B$48:$K$48,0))</f>
        <v>50.045829410174051</v>
      </c>
      <c r="AH22" s="34">
        <f>VLOOKUP($A22,'Outage by Zone inputs'!$A$4:$E$13,MATCH('Baseline Projects'!$I22,'Outage by Zone inputs'!$A$3:$E$3,0),0)*$M22*$N22*('Baseline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Projects'!AH$3,'Baseline scaling factors'!$B$54:$K$54,0))+VLOOKUP($A22,'Outage by Zone inputs'!$A$4:$E$13,MATCH('Baseline Projects'!$I22,'Outage by Zone inputs'!$A$3:$E$3,0),0)*$M22*$N22*('Baseline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Projects'!AH$3,'Baseline scaling factors'!$B$48:$K$48,0))</f>
        <v>45.299756478925481</v>
      </c>
      <c r="AI22" s="34">
        <f>VLOOKUP($A22,'Outage by Zone inputs'!$A$4:$E$13,MATCH('Baseline Projects'!$I22,'Outage by Zone inputs'!$A$3:$E$3,0),0)*$M22*$N22*('Baseline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Projects'!AI$3,'Baseline scaling factors'!$B$54:$K$54,0))+VLOOKUP($A22,'Outage by Zone inputs'!$A$4:$E$13,MATCH('Baseline Projects'!$I22,'Outage by Zone inputs'!$A$3:$E$3,0),0)*$M22*$N22*('Baseline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Projects'!AI$3,'Baseline scaling factors'!$B$48:$K$48,0))</f>
        <v>40.762806110078849</v>
      </c>
      <c r="AJ22" s="34">
        <f>VLOOKUP($A22,'Outage by Zone inputs'!$A$4:$E$13,MATCH('Baseline Projects'!$I22,'Outage by Zone inputs'!$A$3:$E$3,0),0)*$M22*$N22*('Baseline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Projects'!AJ$3,'Baseline scaling factors'!$B$54:$K$54,0))+VLOOKUP($A22,'Outage by Zone inputs'!$A$4:$E$13,MATCH('Baseline Projects'!$I22,'Outage by Zone inputs'!$A$3:$E$3,0),0)*$M22*$N22*('Baseline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Projects'!AJ$3,'Baseline scaling factors'!$B$48:$K$48,0))</f>
        <v>36.425763896957513</v>
      </c>
      <c r="AK22" s="1">
        <f t="shared" si="2"/>
        <v>14858.838166480899</v>
      </c>
      <c r="AL22" s="1">
        <f t="shared" si="3"/>
        <v>13751.887239512396</v>
      </c>
      <c r="AM22" s="1">
        <f t="shared" si="4"/>
        <v>12693.71104012483</v>
      </c>
      <c r="AN22" s="1">
        <f t="shared" si="5"/>
        <v>11682.160444998772</v>
      </c>
      <c r="AO22" s="1">
        <f t="shared" si="6"/>
        <v>10715.181025983218</v>
      </c>
      <c r="AP22" s="1">
        <f t="shared" si="7"/>
        <v>9790.8088776151617</v>
      </c>
      <c r="AQ22" s="1">
        <f t="shared" si="8"/>
        <v>8907.1666284880048</v>
      </c>
      <c r="AR22" s="1">
        <f t="shared" si="9"/>
        <v>8062.4596283679621</v>
      </c>
      <c r="AS22" s="1">
        <f t="shared" si="10"/>
        <v>7254.9723033146247</v>
      </c>
      <c r="AT22" s="1">
        <f t="shared" si="11"/>
        <v>6483.0646714030499</v>
      </c>
      <c r="AU22" s="1">
        <f t="shared" si="12"/>
        <v>324342.74665969115</v>
      </c>
      <c r="AV22" s="1">
        <f t="shared" si="13"/>
        <v>300179.92181108554</v>
      </c>
      <c r="AW22" s="1">
        <f t="shared" si="14"/>
        <v>277081.76493543515</v>
      </c>
      <c r="AX22" s="1">
        <f t="shared" si="15"/>
        <v>255001.36438645111</v>
      </c>
      <c r="AY22" s="1">
        <f t="shared" si="16"/>
        <v>233893.87554964545</v>
      </c>
      <c r="AZ22" s="1">
        <f t="shared" si="17"/>
        <v>213716.42976429834</v>
      </c>
      <c r="BA22" s="1">
        <f t="shared" si="18"/>
        <v>194428.04725852617</v>
      </c>
      <c r="BB22" s="1">
        <f t="shared" si="19"/>
        <v>175989.55392062551</v>
      </c>
      <c r="BC22" s="1">
        <f t="shared" si="20"/>
        <v>158363.50173765633</v>
      </c>
      <c r="BD22" s="1">
        <f t="shared" si="21"/>
        <v>141514.09273967994</v>
      </c>
      <c r="BE22" s="1">
        <f t="shared" si="22"/>
        <v>339201.58482617204</v>
      </c>
      <c r="BF22" s="1">
        <f t="shared" si="23"/>
        <v>313931.80905059795</v>
      </c>
      <c r="BG22" s="1">
        <f t="shared" si="24"/>
        <v>289775.47597555997</v>
      </c>
      <c r="BH22" s="1">
        <f t="shared" si="25"/>
        <v>266683.5248314499</v>
      </c>
      <c r="BI22" s="1">
        <f t="shared" si="26"/>
        <v>244609.05657562867</v>
      </c>
      <c r="BJ22" s="1">
        <f t="shared" si="27"/>
        <v>223507.23864191351</v>
      </c>
      <c r="BK22" s="1">
        <f t="shared" si="28"/>
        <v>203335.21388701419</v>
      </c>
      <c r="BL22" s="1">
        <f t="shared" si="29"/>
        <v>184052.01354899348</v>
      </c>
      <c r="BM22" s="1">
        <f t="shared" si="30"/>
        <v>165618.47404097096</v>
      </c>
      <c r="BN22" s="1">
        <f t="shared" si="31"/>
        <v>147997.157411083</v>
      </c>
      <c r="BO22" s="25">
        <f>VLOOKUP($A22,'Outage by Zone inputs'!$A$59:$E$68,MATCH('Baseline Projects'!$I22,'Outage by Zone inputs'!$A$58:$E$58,0),0)*AVG_INCIDENT_PERCENT_NON_STORM</f>
        <v>56.67561877188642</v>
      </c>
      <c r="BP22" s="25">
        <f>$BO22*$N22*('Baseline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Projects'!Q$3,'Baseline scaling factors'!$B$54:$K$54,0))+$BO22*$N22*('Baseline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Projects'!Q$3,'Baseline scaling factors'!$B$48:$K$48,0))</f>
        <v>23.429547758034285</v>
      </c>
      <c r="BQ22" s="25">
        <f>$BO22*$N22*('Baseline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Projects'!R$3,'Baseline scaling factors'!$B$54:$K$54,0))+$BO22*$N22*('Baseline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Projects'!R$3,'Baseline scaling factors'!$B$48:$K$48,0))</f>
        <v>21.684097722262667</v>
      </c>
      <c r="BR22" s="25">
        <f>$BO22*$N22*('Baseline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Projects'!S$3,'Baseline scaling factors'!$B$54:$K$54,0))+$BO22*$N22*('Baseline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Projects'!S$3,'Baseline scaling factors'!$B$48:$K$48,0))</f>
        <v>20.015556109373023</v>
      </c>
      <c r="BS22" s="25">
        <f>$BO22*$N22*('Baseline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Projects'!T$3,'Baseline scaling factors'!$B$54:$K$54,0))+$BO22*$N22*('Baseline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Projects'!T$3,'Baseline scaling factors'!$B$48:$K$48,0))</f>
        <v>18.420534162661358</v>
      </c>
      <c r="BT22" s="25">
        <f>$BO22*$N22*('Baseline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Projects'!U$3,'Baseline scaling factors'!$B$54:$K$54,0))+$BO22*$N22*('Baseline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Projects'!U$3,'Baseline scaling factors'!$B$48:$K$48,0))</f>
        <v>16.895792441604783</v>
      </c>
      <c r="BU22" s="25">
        <f>$BO22*$N22*('Baseline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Projects'!V$3,'Baseline scaling factors'!$B$54:$K$54,0))+$BO22*$N22*('Baseline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Projects'!V$3,'Baseline scaling factors'!$B$48:$K$48,0))</f>
        <v>15.438234242657428</v>
      </c>
      <c r="BV22" s="25">
        <f>$BO22*$N22*('Baseline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Projects'!W$3,'Baseline scaling factors'!$B$54:$K$54,0))+$BO22*$N22*('Baseline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Projects'!W$3,'Baseline scaling factors'!$B$48:$K$48,0))</f>
        <v>14.044899309940757</v>
      </c>
      <c r="BW22" s="25">
        <f>$BO22*$N22*('Baseline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Projects'!X$3,'Baseline scaling factors'!$B$54:$K$54,0))+$BO22*$N22*('Baseline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Projects'!X$3,'Baseline scaling factors'!$B$48:$K$48,0))</f>
        <v>12.712957823054932</v>
      </c>
      <c r="BX22" s="25">
        <f>$BO22*$N22*('Baseline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Projects'!Y$3,'Baseline scaling factors'!$B$54:$K$54,0))+$BO22*$N22*('Baseline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Projects'!Y$3,'Baseline scaling factors'!$B$48:$K$48,0))</f>
        <v>11.439704649800591</v>
      </c>
      <c r="BY22" s="25">
        <f>$BO22*$N22*('Baseline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Projects'!Z$3,'Baseline scaling factors'!$B$54:$K$54,0))+$BO22*$N22*('Baseline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Projects'!Z$3,'Baseline scaling factors'!$B$48:$K$48,0))</f>
        <v>10.22255385213855</v>
      </c>
      <c r="BZ22" s="12">
        <f t="shared" si="32"/>
        <v>11058.746541792183</v>
      </c>
      <c r="CA22" s="12">
        <f t="shared" si="33"/>
        <v>10234.894124907978</v>
      </c>
      <c r="CB22" s="12">
        <f t="shared" si="34"/>
        <v>9447.3424836240665</v>
      </c>
      <c r="CC22" s="12">
        <f t="shared" si="35"/>
        <v>8694.4921247761613</v>
      </c>
      <c r="CD22" s="12">
        <f t="shared" si="36"/>
        <v>7974.8140324374581</v>
      </c>
      <c r="CE22" s="12">
        <f t="shared" si="37"/>
        <v>7286.846562534306</v>
      </c>
      <c r="CF22" s="12">
        <f t="shared" si="38"/>
        <v>6629.1924742920373</v>
      </c>
      <c r="CG22" s="12">
        <f t="shared" si="39"/>
        <v>6000.5160924819284</v>
      </c>
      <c r="CH22" s="12">
        <f t="shared" si="40"/>
        <v>5399.5405947058789</v>
      </c>
      <c r="CI22" s="12">
        <f t="shared" si="41"/>
        <v>4825.0454182093954</v>
      </c>
      <c r="CJ22" s="12">
        <f>'Mitigation Projects'!$AG22*VLOOKUP('Baseline Projects'!$H22&amp;"-"&amp;'Baseline Projects'!$G22,'Baseline scaling factors'!$A$49:$K$51,MATCH('Baseline Projects'!CJ$2,'Baseline scaling factors'!$A$48:$K$48,0),0)</f>
        <v>0</v>
      </c>
      <c r="CK22" s="12">
        <f>'Mitigation Projects'!$AG22*VLOOKUP('Baseline Projects'!$H22&amp;"-"&amp;'Baseline Projects'!$G22,'Baseline scaling factors'!$A$49:$K$51,MATCH('Baseline Projects'!CK$2,'Baseline scaling factors'!$A$48:$K$48,0),0)</f>
        <v>0</v>
      </c>
      <c r="CL22" s="12">
        <f>'Mitigation Projects'!$AG22*VLOOKUP('Baseline Projects'!$H22&amp;"-"&amp;'Baseline Projects'!$G22,'Baseline scaling factors'!$A$49:$K$51,MATCH('Baseline Projects'!CL$2,'Baseline scaling factors'!$A$48:$K$48,0),0)</f>
        <v>0</v>
      </c>
      <c r="CM22" s="12">
        <f>'Mitigation Projects'!$AG22*VLOOKUP('Baseline Projects'!$H22&amp;"-"&amp;'Baseline Projects'!$G22,'Baseline scaling factors'!$A$49:$K$51,MATCH('Baseline Projects'!CM$2,'Baseline scaling factors'!$A$48:$K$48,0),0)</f>
        <v>0</v>
      </c>
      <c r="CN22" s="12">
        <f>'Mitigation Projects'!$AG22*VLOOKUP('Baseline Projects'!$H22&amp;"-"&amp;'Baseline Projects'!$G22,'Baseline scaling factors'!$A$49:$K$51,MATCH('Baseline Projects'!CN$2,'Baseline scaling factors'!$A$48:$K$48,0),0)</f>
        <v>0</v>
      </c>
      <c r="CO22" s="12">
        <f>'Mitigation Projects'!$AG22*VLOOKUP('Baseline Projects'!$H22&amp;"-"&amp;'Baseline Projects'!$G22,'Baseline scaling factors'!$A$49:$K$51,MATCH('Baseline Projects'!CO$2,'Baseline scaling factors'!$A$48:$K$48,0),0)</f>
        <v>0</v>
      </c>
      <c r="CP22" s="12">
        <f>'Mitigation Projects'!$AG22*VLOOKUP('Baseline Projects'!$H22&amp;"-"&amp;'Baseline Projects'!$G22,'Baseline scaling factors'!$A$49:$K$51,MATCH('Baseline Projects'!CP$2,'Baseline scaling factors'!$A$48:$K$48,0),0)</f>
        <v>0</v>
      </c>
      <c r="CQ22" s="12">
        <f>'Mitigation Projects'!$AG22*VLOOKUP('Baseline Projects'!$H22&amp;"-"&amp;'Baseline Projects'!$G22,'Baseline scaling factors'!$A$49:$K$51,MATCH('Baseline Projects'!CQ$2,'Baseline scaling factors'!$A$48:$K$48,0),0)</f>
        <v>0</v>
      </c>
      <c r="CR22" s="12">
        <f>'Mitigation Projects'!$AG22*VLOOKUP('Baseline Projects'!$H22&amp;"-"&amp;'Baseline Projects'!$G22,'Baseline scaling factors'!$A$49:$K$51,MATCH('Baseline Projects'!CR$2,'Baseline scaling factors'!$A$48:$K$48,0),0)</f>
        <v>0</v>
      </c>
      <c r="CS22" s="12">
        <f>'Mitigation Projects'!$AG22*VLOOKUP('Baseline Projects'!$H22&amp;"-"&amp;'Baseline Projects'!$G22,'Baseline scaling factors'!$A$49:$K$51,MATCH('Baseline Projects'!CS$2,'Baseline scaling factors'!$A$48:$K$48,0),0)</f>
        <v>0</v>
      </c>
      <c r="CT22" s="12">
        <f>'Mitigation Projects'!$AH22*VLOOKUP('Baseline Projects'!$H22&amp;"-"&amp;'Baseline Projects'!$G22,'Baseline scaling factors'!$A$49:$K$51,MATCH('Baseline Projects'!CT$2,'Baseline scaling factors'!$A$48:$K$48,0),0)</f>
        <v>0</v>
      </c>
      <c r="CU22" s="12">
        <f>'Mitigation Projects'!$AH22*VLOOKUP('Baseline Projects'!$H22&amp;"-"&amp;'Baseline Projects'!$G22,'Baseline scaling factors'!$A$49:$K$51,MATCH('Baseline Projects'!CU$2,'Baseline scaling factors'!$A$48:$K$48,0),0)</f>
        <v>0</v>
      </c>
      <c r="CV22" s="12">
        <f>'Mitigation Projects'!$AH22*VLOOKUP('Baseline Projects'!$H22&amp;"-"&amp;'Baseline Projects'!$G22,'Baseline scaling factors'!$A$49:$K$51,MATCH('Baseline Projects'!CV$2,'Baseline scaling factors'!$A$48:$K$48,0),0)</f>
        <v>0</v>
      </c>
      <c r="CW22" s="12">
        <f>'Mitigation Projects'!$AH22*VLOOKUP('Baseline Projects'!$H22&amp;"-"&amp;'Baseline Projects'!$G22,'Baseline scaling factors'!$A$49:$K$51,MATCH('Baseline Projects'!CW$2,'Baseline scaling factors'!$A$48:$K$48,0),0)</f>
        <v>0</v>
      </c>
      <c r="CX22" s="12">
        <f>'Mitigation Projects'!$AH22*VLOOKUP('Baseline Projects'!$H22&amp;"-"&amp;'Baseline Projects'!$G22,'Baseline scaling factors'!$A$49:$K$51,MATCH('Baseline Projects'!CX$2,'Baseline scaling factors'!$A$48:$K$48,0),0)</f>
        <v>0</v>
      </c>
      <c r="CY22" s="12">
        <f>'Mitigation Projects'!$AH22*VLOOKUP('Baseline Projects'!$H22&amp;"-"&amp;'Baseline Projects'!$G22,'Baseline scaling factors'!$A$49:$K$51,MATCH('Baseline Projects'!CY$2,'Baseline scaling factors'!$A$48:$K$48,0),0)</f>
        <v>0</v>
      </c>
      <c r="CZ22" s="12">
        <f>'Mitigation Projects'!$AH22*VLOOKUP('Baseline Projects'!$H22&amp;"-"&amp;'Baseline Projects'!$G22,'Baseline scaling factors'!$A$49:$K$51,MATCH('Baseline Projects'!CZ$2,'Baseline scaling factors'!$A$48:$K$48,0),0)</f>
        <v>0</v>
      </c>
      <c r="DA22" s="12">
        <f>'Mitigation Projects'!$AH22*VLOOKUP('Baseline Projects'!$H22&amp;"-"&amp;'Baseline Projects'!$G22,'Baseline scaling factors'!$A$49:$K$51,MATCH('Baseline Projects'!DA$2,'Baseline scaling factors'!$A$48:$K$48,0),0)</f>
        <v>0</v>
      </c>
      <c r="DB22" s="12">
        <f>'Mitigation Projects'!$AH22*VLOOKUP('Baseline Projects'!$H22&amp;"-"&amp;'Baseline Projects'!$G22,'Baseline scaling factors'!$A$49:$K$51,MATCH('Baseline Projects'!DB$2,'Baseline scaling factors'!$A$48:$K$48,0),0)</f>
        <v>0</v>
      </c>
      <c r="DC22" s="12">
        <f>'Mitigation Projects'!$AH22*VLOOKUP('Baseline Projects'!$H22&amp;"-"&amp;'Baseline Projects'!$G22,'Baseline scaling factors'!$A$49:$K$51,MATCH('Baseline Projects'!DC$2,'Baseline scaling factors'!$A$48:$K$48,0),0)</f>
        <v>0</v>
      </c>
    </row>
    <row r="23" spans="1:107" x14ac:dyDescent="0.4">
      <c r="A23" s="38" t="str">
        <f>'Mitigation Projects'!A23</f>
        <v>DM-G6</v>
      </c>
      <c r="B23" s="38" t="str">
        <f>'Mitigation Projects'!B23</f>
        <v>Brattleboro</v>
      </c>
      <c r="C23" s="39">
        <f>'Mitigation Projects'!C23</f>
        <v>199616</v>
      </c>
      <c r="D23" s="39" t="str">
        <f>'Mitigation Projects'!D23</f>
        <v>199616: Newfane L66 P1-105</v>
      </c>
      <c r="E23" s="39">
        <f>'Mitigation Projects'!E23</f>
        <v>556104</v>
      </c>
      <c r="F23" s="39">
        <f>'Mitigation Projects'!F23</f>
        <v>0</v>
      </c>
      <c r="G23" s="39" t="str">
        <f>'Mitigation Projects'!G23</f>
        <v>1PH</v>
      </c>
      <c r="H23" s="39" t="str">
        <f>'Mitigation Projects'!H23</f>
        <v>OH</v>
      </c>
      <c r="I23" s="39" t="str">
        <f>'Mitigation Projects'!J23</f>
        <v>Zone 3</v>
      </c>
      <c r="J23" s="39">
        <f>'Mitigation Projects'!K23</f>
        <v>363</v>
      </c>
      <c r="K23" s="40">
        <f>'Mitigation Projects'!L23*BASELINE_CAP_SPEND</f>
        <v>125865.3</v>
      </c>
      <c r="L23" s="97">
        <f>'Mitigation Projects'!Q23</f>
        <v>0.89446185997910133</v>
      </c>
      <c r="M23" s="97">
        <f>'Mitigation Projects'!R23</f>
        <v>0.10553814002089867</v>
      </c>
      <c r="N23" s="98">
        <f>'Mitigation Projects'!S23</f>
        <v>0.5</v>
      </c>
      <c r="O23" s="26">
        <f t="shared" si="0"/>
        <v>0.9</v>
      </c>
      <c r="P23" s="26">
        <f t="shared" si="1"/>
        <v>0.80330442615766917</v>
      </c>
      <c r="Q23" s="112">
        <f>VLOOKUP($A23,'Outage by Zone inputs'!$A$4:$E$13,MATCH('Baseline Projects'!$I23,'Outage by Zone inputs'!$A$3:$E$3,0),0)*'Baseline Projects'!$L23*$N23*('Baseline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Projects'!Q$3,'Baseline scaling factors'!$B$54:$K$54,0))+VLOOKUP($A23,'Outage by Zone inputs'!$A$4:$E$13,MATCH('Baseline Projects'!$I23,'Outage by Zone inputs'!$A$3:$E$3,0),0)*'Baseline Projects'!$L23*$N23*('Baseline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Projects'!Q$3,'Baseline scaling factors'!$B$48:$K$48,0))</f>
        <v>508.94164495044788</v>
      </c>
      <c r="R23" s="112">
        <f>VLOOKUP($A23,'Outage by Zone inputs'!$A$4:$E$13,MATCH('Baseline Projects'!$I23,'Outage by Zone inputs'!$A$3:$E$3,0),0)*'Baseline Projects'!$L23*$N23*('Baseline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Projects'!R$3,'Baseline scaling factors'!$B$54:$K$54,0))+VLOOKUP($A23,'Outage by Zone inputs'!$A$4:$E$13,MATCH('Baseline Projects'!$I23,'Outage by Zone inputs'!$A$3:$E$3,0),0)*'Baseline Projects'!$L23*$N23*('Baseline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Projects'!R$3,'Baseline scaling factors'!$B$48:$K$48,0))</f>
        <v>471.02660614737061</v>
      </c>
      <c r="S23" s="112">
        <f>VLOOKUP($A23,'Outage by Zone inputs'!$A$4:$E$13,MATCH('Baseline Projects'!$I23,'Outage by Zone inputs'!$A$3:$E$3,0),0)*'Baseline Projects'!$L23*$N23*('Baseline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Projects'!S$3,'Baseline scaling factors'!$B$54:$K$54,0))+VLOOKUP($A23,'Outage by Zone inputs'!$A$4:$E$13,MATCH('Baseline Projects'!$I23,'Outage by Zone inputs'!$A$3:$E$3,0),0)*'Baseline Projects'!$L23*$N23*('Baseline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Projects'!S$3,'Baseline scaling factors'!$B$48:$K$48,0))</f>
        <v>434.78218854690147</v>
      </c>
      <c r="T23" s="112">
        <f>VLOOKUP($A23,'Outage by Zone inputs'!$A$4:$E$13,MATCH('Baseline Projects'!$I23,'Outage by Zone inputs'!$A$3:$E$3,0),0)*'Baseline Projects'!$L23*$N23*('Baseline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Projects'!T$3,'Baseline scaling factors'!$B$54:$K$54,0))+VLOOKUP($A23,'Outage by Zone inputs'!$A$4:$E$13,MATCH('Baseline Projects'!$I23,'Outage by Zone inputs'!$A$3:$E$3,0),0)*'Baseline Projects'!$L23*$N23*('Baseline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Projects'!T$3,'Baseline scaling factors'!$B$48:$K$48,0))</f>
        <v>400.13478085149967</v>
      </c>
      <c r="U23" s="112">
        <f>VLOOKUP($A23,'Outage by Zone inputs'!$A$4:$E$13,MATCH('Baseline Projects'!$I23,'Outage by Zone inputs'!$A$3:$E$3,0),0)*'Baseline Projects'!$L23*$N23*('Baseline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Projects'!U$3,'Baseline scaling factors'!$B$54:$K$54,0))+VLOOKUP($A23,'Outage by Zone inputs'!$A$4:$E$13,MATCH('Baseline Projects'!$I23,'Outage by Zone inputs'!$A$3:$E$3,0),0)*'Baseline Projects'!$L23*$N23*('Baseline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Projects'!U$3,'Baseline scaling factors'!$B$48:$K$48,0))</f>
        <v>367.01401524162964</v>
      </c>
      <c r="V23" s="112">
        <f>VLOOKUP($A23,'Outage by Zone inputs'!$A$4:$E$13,MATCH('Baseline Projects'!$I23,'Outage by Zone inputs'!$A$3:$E$3,0),0)*'Baseline Projects'!$L23*$N23*('Baseline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Projects'!V$3,'Baseline scaling factors'!$B$54:$K$54,0))+VLOOKUP($A23,'Outage by Zone inputs'!$A$4:$E$13,MATCH('Baseline Projects'!$I23,'Outage by Zone inputs'!$A$3:$E$3,0),0)*'Baseline Projects'!$L23*$N23*('Baseline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Projects'!V$3,'Baseline scaling factors'!$B$48:$K$48,0))</f>
        <v>335.35262446088342</v>
      </c>
      <c r="W23" s="112">
        <f>VLOOKUP($A23,'Outage by Zone inputs'!$A$4:$E$13,MATCH('Baseline Projects'!$I23,'Outage by Zone inputs'!$A$3:$E$3,0),0)*'Baseline Projects'!$L23*$N23*('Baseline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Projects'!W$3,'Baseline scaling factors'!$B$54:$K$54,0))+VLOOKUP($A23,'Outage by Zone inputs'!$A$4:$E$13,MATCH('Baseline Projects'!$I23,'Outage by Zone inputs'!$A$3:$E$3,0),0)*'Baseline Projects'!$L23*$N23*('Baseline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Projects'!W$3,'Baseline scaling factors'!$B$48:$K$48,0))</f>
        <v>305.08630519825169</v>
      </c>
      <c r="X23" s="112">
        <f>VLOOKUP($A23,'Outage by Zone inputs'!$A$4:$E$13,MATCH('Baseline Projects'!$I23,'Outage by Zone inputs'!$A$3:$E$3,0),0)*'Baseline Projects'!$L23*$N23*('Baseline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Projects'!X$3,'Baseline scaling factors'!$B$54:$K$54,0))+VLOOKUP($A23,'Outage by Zone inputs'!$A$4:$E$13,MATCH('Baseline Projects'!$I23,'Outage by Zone inputs'!$A$3:$E$3,0),0)*'Baseline Projects'!$L23*$N23*('Baseline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Projects'!X$3,'Baseline scaling factors'!$B$48:$K$48,0))</f>
        <v>276.15358749007635</v>
      </c>
      <c r="Y23" s="112">
        <f>VLOOKUP($A23,'Outage by Zone inputs'!$A$4:$E$13,MATCH('Baseline Projects'!$I23,'Outage by Zone inputs'!$A$3:$E$3,0),0)*'Baseline Projects'!$L23*$N23*('Baseline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Projects'!Y$3,'Baseline scaling factors'!$B$54:$K$54,0))+VLOOKUP($A23,'Outage by Zone inputs'!$A$4:$E$13,MATCH('Baseline Projects'!$I23,'Outage by Zone inputs'!$A$3:$E$3,0),0)*'Baseline Projects'!$L23*$N23*('Baseline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Projects'!Y$3,'Baseline scaling factors'!$B$48:$K$48,0))</f>
        <v>248.49570987644501</v>
      </c>
      <c r="Z23" s="112">
        <f>VLOOKUP($A23,'Outage by Zone inputs'!$A$4:$E$13,MATCH('Baseline Projects'!$I23,'Outage by Zone inputs'!$A$3:$E$3,0),0)*'Baseline Projects'!$L23*$N23*('Baseline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Projects'!Z$3,'Baseline scaling factors'!$B$54:$K$54,0))+VLOOKUP($A23,'Outage by Zone inputs'!$A$4:$E$13,MATCH('Baseline Projects'!$I23,'Outage by Zone inputs'!$A$3:$E$3,0),0)*'Baseline Projects'!$L23*$N23*('Baseline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Projects'!Z$3,'Baseline scaling factors'!$B$48:$K$48,0))</f>
        <v>222.05650005847275</v>
      </c>
      <c r="AA23" s="34">
        <f>VLOOKUP($A23,'Outage by Zone inputs'!$A$4:$E$13,MATCH('Baseline Projects'!$I23,'Outage by Zone inputs'!$A$3:$E$3,0),0)*$M23*$N23*('Baseline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Projects'!AA$3,'Baseline scaling factors'!$B$54:$K$54,0))+VLOOKUP($A23,'Outage by Zone inputs'!$A$4:$E$13,MATCH('Baseline Projects'!$I23,'Outage by Zone inputs'!$A$3:$E$3,0),0)*$M23*$N23*('Baseline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Projects'!AA$3,'Baseline scaling factors'!$B$48:$K$48,0))</f>
        <v>60.050357640181367</v>
      </c>
      <c r="AB23" s="34">
        <f>VLOOKUP($A23,'Outage by Zone inputs'!$A$4:$E$13,MATCH('Baseline Projects'!$I23,'Outage by Zone inputs'!$A$3:$E$3,0),0)*$M23*$N23*('Baseline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Projects'!AB$3,'Baseline scaling factors'!$B$54:$K$54,0))+VLOOKUP($A23,'Outage by Zone inputs'!$A$4:$E$13,MATCH('Baseline Projects'!$I23,'Outage by Zone inputs'!$A$3:$E$3,0),0)*$M23*$N23*('Baseline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Projects'!AB$3,'Baseline scaling factors'!$B$48:$K$48,0))</f>
        <v>55.576737407575287</v>
      </c>
      <c r="AC23" s="34">
        <f>VLOOKUP($A23,'Outage by Zone inputs'!$A$4:$E$13,MATCH('Baseline Projects'!$I23,'Outage by Zone inputs'!$A$3:$E$3,0),0)*$M23*$N23*('Baseline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Projects'!AC$3,'Baseline scaling factors'!$B$54:$K$54,0))+VLOOKUP($A23,'Outage by Zone inputs'!$A$4:$E$13,MATCH('Baseline Projects'!$I23,'Outage by Zone inputs'!$A$3:$E$3,0),0)*$M23*$N23*('Baseline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Projects'!AC$3,'Baseline scaling factors'!$B$48:$K$48,0))</f>
        <v>51.300234863594696</v>
      </c>
      <c r="AD23" s="34">
        <f>VLOOKUP($A23,'Outage by Zone inputs'!$A$4:$E$13,MATCH('Baseline Projects'!$I23,'Outage by Zone inputs'!$A$3:$E$3,0),0)*$M23*$N23*('Baseline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Projects'!AD$3,'Baseline scaling factors'!$B$54:$K$54,0))+VLOOKUP($A23,'Outage by Zone inputs'!$A$4:$E$13,MATCH('Baseline Projects'!$I23,'Outage by Zone inputs'!$A$3:$E$3,0),0)*$M23*$N23*('Baseline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Projects'!AD$3,'Baseline scaling factors'!$B$48:$K$48,0))</f>
        <v>47.212164563085835</v>
      </c>
      <c r="AE23" s="34">
        <f>VLOOKUP($A23,'Outage by Zone inputs'!$A$4:$E$13,MATCH('Baseline Projects'!$I23,'Outage by Zone inputs'!$A$3:$E$3,0),0)*$M23*$N23*('Baseline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Projects'!AE$3,'Baseline scaling factors'!$B$54:$K$54,0))+VLOOKUP($A23,'Outage by Zone inputs'!$A$4:$E$13,MATCH('Baseline Projects'!$I23,'Outage by Zone inputs'!$A$3:$E$3,0),0)*$M23*$N23*('Baseline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Projects'!AE$3,'Baseline scaling factors'!$B$48:$K$48,0))</f>
        <v>43.30422376098668</v>
      </c>
      <c r="AF23" s="34">
        <f>VLOOKUP($A23,'Outage by Zone inputs'!$A$4:$E$13,MATCH('Baseline Projects'!$I23,'Outage by Zone inputs'!$A$3:$E$3,0),0)*$M23*$N23*('Baseline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Projects'!AF$3,'Baseline scaling factors'!$B$54:$K$54,0))+VLOOKUP($A23,'Outage by Zone inputs'!$A$4:$E$13,MATCH('Baseline Projects'!$I23,'Outage by Zone inputs'!$A$3:$E$3,0),0)*$M23*$N23*('Baseline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Projects'!AF$3,'Baseline scaling factors'!$B$48:$K$48,0))</f>
        <v>39.568475549707053</v>
      </c>
      <c r="AG23" s="34">
        <f>VLOOKUP($A23,'Outage by Zone inputs'!$A$4:$E$13,MATCH('Baseline Projects'!$I23,'Outage by Zone inputs'!$A$3:$E$3,0),0)*$M23*$N23*('Baseline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Projects'!AG$3,'Baseline scaling factors'!$B$54:$K$54,0))+VLOOKUP($A23,'Outage by Zone inputs'!$A$4:$E$13,MATCH('Baseline Projects'!$I23,'Outage by Zone inputs'!$A$3:$E$3,0),0)*$M23*$N23*('Baseline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Projects'!AG$3,'Baseline scaling factors'!$B$48:$K$48,0))</f>
        <v>35.997332739513347</v>
      </c>
      <c r="AH23" s="34">
        <f>VLOOKUP($A23,'Outage by Zone inputs'!$A$4:$E$13,MATCH('Baseline Projects'!$I23,'Outage by Zone inputs'!$A$3:$E$3,0),0)*$M23*$N23*('Baseline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Projects'!AH$3,'Baseline scaling factors'!$B$54:$K$54,0))+VLOOKUP($A23,'Outage by Zone inputs'!$A$4:$E$13,MATCH('Baseline Projects'!$I23,'Outage by Zone inputs'!$A$3:$E$3,0),0)*$M23*$N23*('Baseline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Projects'!AH$3,'Baseline scaling factors'!$B$48:$K$48,0))</f>
        <v>32.583542449179575</v>
      </c>
      <c r="AI23" s="34">
        <f>VLOOKUP($A23,'Outage by Zone inputs'!$A$4:$E$13,MATCH('Baseline Projects'!$I23,'Outage by Zone inputs'!$A$3:$E$3,0),0)*$M23*$N23*('Baseline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Projects'!AI$3,'Baseline scaling factors'!$B$54:$K$54,0))+VLOOKUP($A23,'Outage by Zone inputs'!$A$4:$E$13,MATCH('Baseline Projects'!$I23,'Outage by Zone inputs'!$A$3:$E$3,0),0)*$M23*$N23*('Baseline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Projects'!AI$3,'Baseline scaling factors'!$B$48:$K$48,0))</f>
        <v>29.320171375608592</v>
      </c>
      <c r="AJ23" s="34">
        <f>VLOOKUP($A23,'Outage by Zone inputs'!$A$4:$E$13,MATCH('Baseline Projects'!$I23,'Outage by Zone inputs'!$A$3:$E$3,0),0)*$M23*$N23*('Baseline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Projects'!AJ$3,'Baseline scaling factors'!$B$54:$K$54,0))+VLOOKUP($A23,'Outage by Zone inputs'!$A$4:$E$13,MATCH('Baseline Projects'!$I23,'Outage by Zone inputs'!$A$3:$E$3,0),0)*$M23*$N23*('Baseline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Projects'!AJ$3,'Baseline scaling factors'!$B$48:$K$48,0))</f>
        <v>26.200591712506721</v>
      </c>
      <c r="AK23" s="1">
        <f t="shared" si="2"/>
        <v>10687.774543959405</v>
      </c>
      <c r="AL23" s="1">
        <f t="shared" si="3"/>
        <v>9891.5587290947824</v>
      </c>
      <c r="AM23" s="1">
        <f t="shared" si="4"/>
        <v>9130.42595948493</v>
      </c>
      <c r="AN23" s="1">
        <f t="shared" si="5"/>
        <v>8402.8303978814929</v>
      </c>
      <c r="AO23" s="1">
        <f t="shared" si="6"/>
        <v>7707.294320074222</v>
      </c>
      <c r="AP23" s="1">
        <f t="shared" si="7"/>
        <v>7042.405113678552</v>
      </c>
      <c r="AQ23" s="1">
        <f t="shared" si="8"/>
        <v>6406.8124091632853</v>
      </c>
      <c r="AR23" s="1">
        <f t="shared" si="9"/>
        <v>5799.225337291603</v>
      </c>
      <c r="AS23" s="1">
        <f t="shared" si="10"/>
        <v>5218.4099074053447</v>
      </c>
      <c r="AT23" s="1">
        <f t="shared" si="11"/>
        <v>4663.1865012279277</v>
      </c>
      <c r="AU23" s="1">
        <f t="shared" si="12"/>
        <v>233295.63943210462</v>
      </c>
      <c r="AV23" s="1">
        <f t="shared" si="13"/>
        <v>215915.62482842998</v>
      </c>
      <c r="AW23" s="1">
        <f t="shared" si="14"/>
        <v>199301.41244506539</v>
      </c>
      <c r="AX23" s="1">
        <f t="shared" si="15"/>
        <v>183419.25932758846</v>
      </c>
      <c r="AY23" s="1">
        <f t="shared" si="16"/>
        <v>168236.90931143326</v>
      </c>
      <c r="AZ23" s="1">
        <f t="shared" si="17"/>
        <v>153723.52751061189</v>
      </c>
      <c r="BA23" s="1">
        <f t="shared" si="18"/>
        <v>139849.63769300934</v>
      </c>
      <c r="BB23" s="1">
        <f t="shared" si="19"/>
        <v>126587.06241506265</v>
      </c>
      <c r="BC23" s="1">
        <f t="shared" si="20"/>
        <v>113908.86579423938</v>
      </c>
      <c r="BD23" s="1">
        <f t="shared" si="21"/>
        <v>101789.29880308862</v>
      </c>
      <c r="BE23" s="1">
        <f t="shared" si="22"/>
        <v>243983.41397606404</v>
      </c>
      <c r="BF23" s="1">
        <f t="shared" si="23"/>
        <v>225807.18355752475</v>
      </c>
      <c r="BG23" s="1">
        <f t="shared" si="24"/>
        <v>208431.83840455033</v>
      </c>
      <c r="BH23" s="1">
        <f t="shared" si="25"/>
        <v>191822.08972546994</v>
      </c>
      <c r="BI23" s="1">
        <f t="shared" si="26"/>
        <v>175944.20363150749</v>
      </c>
      <c r="BJ23" s="1">
        <f t="shared" si="27"/>
        <v>160765.93262429044</v>
      </c>
      <c r="BK23" s="1">
        <f t="shared" si="28"/>
        <v>146256.45010217262</v>
      </c>
      <c r="BL23" s="1">
        <f t="shared" si="29"/>
        <v>132386.28775235426</v>
      </c>
      <c r="BM23" s="1">
        <f t="shared" si="30"/>
        <v>119127.27570164471</v>
      </c>
      <c r="BN23" s="1">
        <f t="shared" si="31"/>
        <v>106452.48530431655</v>
      </c>
      <c r="BO23" s="25">
        <f>VLOOKUP($A23,'Outage by Zone inputs'!$A$59:$E$68,MATCH('Baseline Projects'!$I23,'Outage by Zone inputs'!$A$58:$E$58,0),0)*AVG_INCIDENT_PERCENT_NON_STORM</f>
        <v>39.400316239898757</v>
      </c>
      <c r="BP23" s="25">
        <f>$BO23*$N23*('Baseline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Projects'!Q$3,'Baseline scaling factors'!$B$54:$K$54,0))+$BO23*$N23*('Baseline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Projects'!Q$3,'Baseline scaling factors'!$B$48:$K$48,0))</f>
        <v>5.4289257958085457</v>
      </c>
      <c r="BQ23" s="25">
        <f>$BO23*$N23*('Baseline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Projects'!R$3,'Baseline scaling factors'!$B$54:$K$54,0))+$BO23*$N23*('Baseline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Projects'!R$3,'Baseline scaling factors'!$B$48:$K$48,0))</f>
        <v>5.0244827044455871</v>
      </c>
      <c r="BR23" s="25">
        <f>$BO23*$N23*('Baseline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Projects'!S$3,'Baseline scaling factors'!$B$54:$K$54,0))+$BO23*$N23*('Baseline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Projects'!S$3,'Baseline scaling factors'!$B$48:$K$48,0))</f>
        <v>4.6378602780485449</v>
      </c>
      <c r="BS23" s="25">
        <f>$BO23*$N23*('Baseline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Projects'!T$3,'Baseline scaling factors'!$B$54:$K$54,0))+$BO23*$N23*('Baseline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Projects'!T$3,'Baseline scaling factors'!$B$48:$K$48,0))</f>
        <v>4.2682732983590039</v>
      </c>
      <c r="BT23" s="25">
        <f>$BO23*$N23*('Baseline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Projects'!U$3,'Baseline scaling factors'!$B$54:$K$54,0))+$BO23*$N23*('Baseline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Projects'!U$3,'Baseline scaling factors'!$B$48:$K$48,0))</f>
        <v>3.914971145586934</v>
      </c>
      <c r="BU23" s="25">
        <f>$BO23*$N23*('Baseline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Projects'!V$3,'Baseline scaling factors'!$B$54:$K$54,0))+$BO23*$N23*('Baseline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Projects'!V$3,'Baseline scaling factors'!$B$48:$K$48,0))</f>
        <v>3.5772362739249712</v>
      </c>
      <c r="BV23" s="25">
        <f>$BO23*$N23*('Baseline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Projects'!W$3,'Baseline scaling factors'!$B$54:$K$54,0))+$BO23*$N23*('Baseline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Projects'!W$3,'Baseline scaling factors'!$B$48:$K$48,0))</f>
        <v>3.254382754234955</v>
      </c>
      <c r="BW23" s="25">
        <f>$BO23*$N23*('Baseline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Projects'!X$3,'Baseline scaling factors'!$B$54:$K$54,0))+$BO23*$N23*('Baseline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Projects'!X$3,'Baseline scaling factors'!$B$48:$K$48,0))</f>
        <v>2.945754880946942</v>
      </c>
      <c r="BX23" s="25">
        <f>$BO23*$N23*('Baseline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Projects'!Y$3,'Baseline scaling factors'!$B$54:$K$54,0))+$BO23*$N23*('Baseline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Projects'!Y$3,'Baseline scaling factors'!$B$48:$K$48,0))</f>
        <v>2.6507258403413574</v>
      </c>
      <c r="BY23" s="25">
        <f>$BO23*$N23*('Baseline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Projects'!Z$3,'Baseline scaling factors'!$B$54:$K$54,0))+$BO23*$N23*('Baseline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Projects'!Z$3,'Baseline scaling factors'!$B$48:$K$48,0))</f>
        <v>2.3686964375096058</v>
      </c>
      <c r="BZ23" s="12">
        <f t="shared" si="32"/>
        <v>2562.4529756216334</v>
      </c>
      <c r="CA23" s="12">
        <f t="shared" si="33"/>
        <v>2371.5558364983171</v>
      </c>
      <c r="CB23" s="12">
        <f t="shared" si="34"/>
        <v>2189.070051238913</v>
      </c>
      <c r="CC23" s="12">
        <f t="shared" si="35"/>
        <v>2014.6249968254499</v>
      </c>
      <c r="CD23" s="12">
        <f t="shared" si="36"/>
        <v>1847.8663807170328</v>
      </c>
      <c r="CE23" s="12">
        <f t="shared" si="37"/>
        <v>1688.4555212925864</v>
      </c>
      <c r="CF23" s="12">
        <f t="shared" si="38"/>
        <v>1536.0686599988987</v>
      </c>
      <c r="CG23" s="12">
        <f t="shared" si="39"/>
        <v>1390.3963038069567</v>
      </c>
      <c r="CH23" s="12">
        <f t="shared" si="40"/>
        <v>1251.1425966411207</v>
      </c>
      <c r="CI23" s="12">
        <f t="shared" si="41"/>
        <v>1118.0247185045339</v>
      </c>
      <c r="CJ23" s="12">
        <f>'Mitigation Projects'!$AG23*VLOOKUP('Baseline Projects'!$H23&amp;"-"&amp;'Baseline Projects'!$G23,'Baseline scaling factors'!$A$49:$K$51,MATCH('Baseline Projects'!CJ$2,'Baseline scaling factors'!$A$48:$K$48,0),0)</f>
        <v>0</v>
      </c>
      <c r="CK23" s="12">
        <f>'Mitigation Projects'!$AG23*VLOOKUP('Baseline Projects'!$H23&amp;"-"&amp;'Baseline Projects'!$G23,'Baseline scaling factors'!$A$49:$K$51,MATCH('Baseline Projects'!CK$2,'Baseline scaling factors'!$A$48:$K$48,0),0)</f>
        <v>0</v>
      </c>
      <c r="CL23" s="12">
        <f>'Mitigation Projects'!$AG23*VLOOKUP('Baseline Projects'!$H23&amp;"-"&amp;'Baseline Projects'!$G23,'Baseline scaling factors'!$A$49:$K$51,MATCH('Baseline Projects'!CL$2,'Baseline scaling factors'!$A$48:$K$48,0),0)</f>
        <v>0</v>
      </c>
      <c r="CM23" s="12">
        <f>'Mitigation Projects'!$AG23*VLOOKUP('Baseline Projects'!$H23&amp;"-"&amp;'Baseline Projects'!$G23,'Baseline scaling factors'!$A$49:$K$51,MATCH('Baseline Projects'!CM$2,'Baseline scaling factors'!$A$48:$K$48,0),0)</f>
        <v>0</v>
      </c>
      <c r="CN23" s="12">
        <f>'Mitigation Projects'!$AG23*VLOOKUP('Baseline Projects'!$H23&amp;"-"&amp;'Baseline Projects'!$G23,'Baseline scaling factors'!$A$49:$K$51,MATCH('Baseline Projects'!CN$2,'Baseline scaling factors'!$A$48:$K$48,0),0)</f>
        <v>0</v>
      </c>
      <c r="CO23" s="12">
        <f>'Mitigation Projects'!$AG23*VLOOKUP('Baseline Projects'!$H23&amp;"-"&amp;'Baseline Projects'!$G23,'Baseline scaling factors'!$A$49:$K$51,MATCH('Baseline Projects'!CO$2,'Baseline scaling factors'!$A$48:$K$48,0),0)</f>
        <v>0</v>
      </c>
      <c r="CP23" s="12">
        <f>'Mitigation Projects'!$AG23*VLOOKUP('Baseline Projects'!$H23&amp;"-"&amp;'Baseline Projects'!$G23,'Baseline scaling factors'!$A$49:$K$51,MATCH('Baseline Projects'!CP$2,'Baseline scaling factors'!$A$48:$K$48,0),0)</f>
        <v>0</v>
      </c>
      <c r="CQ23" s="12">
        <f>'Mitigation Projects'!$AG23*VLOOKUP('Baseline Projects'!$H23&amp;"-"&amp;'Baseline Projects'!$G23,'Baseline scaling factors'!$A$49:$K$51,MATCH('Baseline Projects'!CQ$2,'Baseline scaling factors'!$A$48:$K$48,0),0)</f>
        <v>0</v>
      </c>
      <c r="CR23" s="12">
        <f>'Mitigation Projects'!$AG23*VLOOKUP('Baseline Projects'!$H23&amp;"-"&amp;'Baseline Projects'!$G23,'Baseline scaling factors'!$A$49:$K$51,MATCH('Baseline Projects'!CR$2,'Baseline scaling factors'!$A$48:$K$48,0),0)</f>
        <v>0</v>
      </c>
      <c r="CS23" s="12">
        <f>'Mitigation Projects'!$AG23*VLOOKUP('Baseline Projects'!$H23&amp;"-"&amp;'Baseline Projects'!$G23,'Baseline scaling factors'!$A$49:$K$51,MATCH('Baseline Projects'!CS$2,'Baseline scaling factors'!$A$48:$K$48,0),0)</f>
        <v>0</v>
      </c>
      <c r="CT23" s="12">
        <f>'Mitigation Projects'!$AH23*VLOOKUP('Baseline Projects'!$H23&amp;"-"&amp;'Baseline Projects'!$G23,'Baseline scaling factors'!$A$49:$K$51,MATCH('Baseline Projects'!CT$2,'Baseline scaling factors'!$A$48:$K$48,0),0)</f>
        <v>0</v>
      </c>
      <c r="CU23" s="12">
        <f>'Mitigation Projects'!$AH23*VLOOKUP('Baseline Projects'!$H23&amp;"-"&amp;'Baseline Projects'!$G23,'Baseline scaling factors'!$A$49:$K$51,MATCH('Baseline Projects'!CU$2,'Baseline scaling factors'!$A$48:$K$48,0),0)</f>
        <v>0</v>
      </c>
      <c r="CV23" s="12">
        <f>'Mitigation Projects'!$AH23*VLOOKUP('Baseline Projects'!$H23&amp;"-"&amp;'Baseline Projects'!$G23,'Baseline scaling factors'!$A$49:$K$51,MATCH('Baseline Projects'!CV$2,'Baseline scaling factors'!$A$48:$K$48,0),0)</f>
        <v>0</v>
      </c>
      <c r="CW23" s="12">
        <f>'Mitigation Projects'!$AH23*VLOOKUP('Baseline Projects'!$H23&amp;"-"&amp;'Baseline Projects'!$G23,'Baseline scaling factors'!$A$49:$K$51,MATCH('Baseline Projects'!CW$2,'Baseline scaling factors'!$A$48:$K$48,0),0)</f>
        <v>0</v>
      </c>
      <c r="CX23" s="12">
        <f>'Mitigation Projects'!$AH23*VLOOKUP('Baseline Projects'!$H23&amp;"-"&amp;'Baseline Projects'!$G23,'Baseline scaling factors'!$A$49:$K$51,MATCH('Baseline Projects'!CX$2,'Baseline scaling factors'!$A$48:$K$48,0),0)</f>
        <v>0</v>
      </c>
      <c r="CY23" s="12">
        <f>'Mitigation Projects'!$AH23*VLOOKUP('Baseline Projects'!$H23&amp;"-"&amp;'Baseline Projects'!$G23,'Baseline scaling factors'!$A$49:$K$51,MATCH('Baseline Projects'!CY$2,'Baseline scaling factors'!$A$48:$K$48,0),0)</f>
        <v>0</v>
      </c>
      <c r="CZ23" s="12">
        <f>'Mitigation Projects'!$AH23*VLOOKUP('Baseline Projects'!$H23&amp;"-"&amp;'Baseline Projects'!$G23,'Baseline scaling factors'!$A$49:$K$51,MATCH('Baseline Projects'!CZ$2,'Baseline scaling factors'!$A$48:$K$48,0),0)</f>
        <v>0</v>
      </c>
      <c r="DA23" s="12">
        <f>'Mitigation Projects'!$AH23*VLOOKUP('Baseline Projects'!$H23&amp;"-"&amp;'Baseline Projects'!$G23,'Baseline scaling factors'!$A$49:$K$51,MATCH('Baseline Projects'!DA$2,'Baseline scaling factors'!$A$48:$K$48,0),0)</f>
        <v>0</v>
      </c>
      <c r="DB23" s="12">
        <f>'Mitigation Projects'!$AH23*VLOOKUP('Baseline Projects'!$H23&amp;"-"&amp;'Baseline Projects'!$G23,'Baseline scaling factors'!$A$49:$K$51,MATCH('Baseline Projects'!DB$2,'Baseline scaling factors'!$A$48:$K$48,0),0)</f>
        <v>0</v>
      </c>
      <c r="DC23" s="12">
        <f>'Mitigation Projects'!$AH23*VLOOKUP('Baseline Projects'!$H23&amp;"-"&amp;'Baseline Projects'!$G23,'Baseline scaling factors'!$A$49:$K$51,MATCH('Baseline Projects'!DC$2,'Baseline scaling factors'!$A$48:$K$48,0),0)</f>
        <v>0</v>
      </c>
    </row>
    <row r="24" spans="1:107" x14ac:dyDescent="0.4">
      <c r="A24" s="38" t="str">
        <f>'Mitigation Projects'!A24</f>
        <v>DM-G6</v>
      </c>
      <c r="B24" s="38" t="str">
        <f>'Mitigation Projects'!B24</f>
        <v>Brattleboro</v>
      </c>
      <c r="C24" s="39">
        <f>'Mitigation Projects'!C24</f>
        <v>199621</v>
      </c>
      <c r="D24" s="39" t="str">
        <f>'Mitigation Projects'!D24</f>
        <v>199621: Brookline L62 P140-195</v>
      </c>
      <c r="E24" s="39">
        <f>'Mitigation Projects'!E24</f>
        <v>472083</v>
      </c>
      <c r="F24" s="39">
        <f>'Mitigation Projects'!F24</f>
        <v>0</v>
      </c>
      <c r="G24" s="39" t="str">
        <f>'Mitigation Projects'!G24</f>
        <v>1PH</v>
      </c>
      <c r="H24" s="39" t="str">
        <f>'Mitigation Projects'!H24</f>
        <v>OH</v>
      </c>
      <c r="I24" s="39" t="str">
        <f>'Mitigation Projects'!J24</f>
        <v>Zone 3</v>
      </c>
      <c r="J24" s="39">
        <f>'Mitigation Projects'!K24</f>
        <v>43</v>
      </c>
      <c r="K24" s="40">
        <f>'Mitigation Projects'!L24*BASELINE_CAP_SPEND</f>
        <v>238522.40000000002</v>
      </c>
      <c r="L24" s="97">
        <f>'Mitigation Projects'!Q24</f>
        <v>0.89446185997910133</v>
      </c>
      <c r="M24" s="97">
        <f>'Mitigation Projects'!R24</f>
        <v>0.10553814002089867</v>
      </c>
      <c r="N24" s="98">
        <f>'Mitigation Projects'!S24</f>
        <v>0.5</v>
      </c>
      <c r="O24" s="26">
        <f t="shared" si="0"/>
        <v>0.9</v>
      </c>
      <c r="P24" s="26">
        <f t="shared" si="1"/>
        <v>0.80330442615766917</v>
      </c>
      <c r="Q24" s="112">
        <f>VLOOKUP($A24,'Outage by Zone inputs'!$A$4:$E$13,MATCH('Baseline Projects'!$I24,'Outage by Zone inputs'!$A$3:$E$3,0),0)*'Baseline Projects'!$L24*$N24*('Baseline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Projects'!Q$3,'Baseline scaling factors'!$B$54:$K$54,0))+VLOOKUP($A24,'Outage by Zone inputs'!$A$4:$E$13,MATCH('Baseline Projects'!$I24,'Outage by Zone inputs'!$A$3:$E$3,0),0)*'Baseline Projects'!$L24*$N24*('Baseline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Projects'!Q$3,'Baseline scaling factors'!$B$48:$K$48,0))</f>
        <v>60.287853258592996</v>
      </c>
      <c r="R24" s="112">
        <f>VLOOKUP($A24,'Outage by Zone inputs'!$A$4:$E$13,MATCH('Baseline Projects'!$I24,'Outage by Zone inputs'!$A$3:$E$3,0),0)*'Baseline Projects'!$L24*$N24*('Baseline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Projects'!R$3,'Baseline scaling factors'!$B$54:$K$54,0))+VLOOKUP($A24,'Outage by Zone inputs'!$A$4:$E$13,MATCH('Baseline Projects'!$I24,'Outage by Zone inputs'!$A$3:$E$3,0),0)*'Baseline Projects'!$L24*$N24*('Baseline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Projects'!R$3,'Baseline scaling factors'!$B$48:$K$48,0))</f>
        <v>55.796540122140314</v>
      </c>
      <c r="S24" s="112">
        <f>VLOOKUP($A24,'Outage by Zone inputs'!$A$4:$E$13,MATCH('Baseline Projects'!$I24,'Outage by Zone inputs'!$A$3:$E$3,0),0)*'Baseline Projects'!$L24*$N24*('Baseline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Projects'!S$3,'Baseline scaling factors'!$B$54:$K$54,0))+VLOOKUP($A24,'Outage by Zone inputs'!$A$4:$E$13,MATCH('Baseline Projects'!$I24,'Outage by Zone inputs'!$A$3:$E$3,0),0)*'Baseline Projects'!$L24*$N24*('Baseline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Projects'!S$3,'Baseline scaling factors'!$B$48:$K$48,0))</f>
        <v>51.503124263131575</v>
      </c>
      <c r="T24" s="112">
        <f>VLOOKUP($A24,'Outage by Zone inputs'!$A$4:$E$13,MATCH('Baseline Projects'!$I24,'Outage by Zone inputs'!$A$3:$E$3,0),0)*'Baseline Projects'!$L24*$N24*('Baseline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Projects'!T$3,'Baseline scaling factors'!$B$54:$K$54,0))+VLOOKUP($A24,'Outage by Zone inputs'!$A$4:$E$13,MATCH('Baseline Projects'!$I24,'Outage by Zone inputs'!$A$3:$E$3,0),0)*'Baseline Projects'!$L24*$N24*('Baseline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Projects'!T$3,'Baseline scaling factors'!$B$48:$K$48,0))</f>
        <v>47.39888588599031</v>
      </c>
      <c r="U24" s="112">
        <f>VLOOKUP($A24,'Outage by Zone inputs'!$A$4:$E$13,MATCH('Baseline Projects'!$I24,'Outage by Zone inputs'!$A$3:$E$3,0),0)*'Baseline Projects'!$L24*$N24*('Baseline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Projects'!U$3,'Baseline scaling factors'!$B$54:$K$54,0))+VLOOKUP($A24,'Outage by Zone inputs'!$A$4:$E$13,MATCH('Baseline Projects'!$I24,'Outage by Zone inputs'!$A$3:$E$3,0),0)*'Baseline Projects'!$L24*$N24*('Baseline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Projects'!U$3,'Baseline scaling factors'!$B$48:$K$48,0))</f>
        <v>43.475489408788079</v>
      </c>
      <c r="V24" s="112">
        <f>VLOOKUP($A24,'Outage by Zone inputs'!$A$4:$E$13,MATCH('Baseline Projects'!$I24,'Outage by Zone inputs'!$A$3:$E$3,0),0)*'Baseline Projects'!$L24*$N24*('Baseline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Projects'!V$3,'Baseline scaling factors'!$B$54:$K$54,0))+VLOOKUP($A24,'Outage by Zone inputs'!$A$4:$E$13,MATCH('Baseline Projects'!$I24,'Outage by Zone inputs'!$A$3:$E$3,0),0)*'Baseline Projects'!$L24*$N24*('Baseline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Projects'!V$3,'Baseline scaling factors'!$B$48:$K$48,0))</f>
        <v>39.724966533933845</v>
      </c>
      <c r="W24" s="112">
        <f>VLOOKUP($A24,'Outage by Zone inputs'!$A$4:$E$13,MATCH('Baseline Projects'!$I24,'Outage by Zone inputs'!$A$3:$E$3,0),0)*'Baseline Projects'!$L24*$N24*('Baseline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Projects'!W$3,'Baseline scaling factors'!$B$54:$K$54,0))+VLOOKUP($A24,'Outage by Zone inputs'!$A$4:$E$13,MATCH('Baseline Projects'!$I24,'Outage by Zone inputs'!$A$3:$E$3,0),0)*'Baseline Projects'!$L24*$N24*('Baseline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Projects'!W$3,'Baseline scaling factors'!$B$48:$K$48,0))</f>
        <v>36.139700064806668</v>
      </c>
      <c r="X24" s="112">
        <f>VLOOKUP($A24,'Outage by Zone inputs'!$A$4:$E$13,MATCH('Baseline Projects'!$I24,'Outage by Zone inputs'!$A$3:$E$3,0),0)*'Baseline Projects'!$L24*$N24*('Baseline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Projects'!X$3,'Baseline scaling factors'!$B$54:$K$54,0))+VLOOKUP($A24,'Outage by Zone inputs'!$A$4:$E$13,MATCH('Baseline Projects'!$I24,'Outage by Zone inputs'!$A$3:$E$3,0),0)*'Baseline Projects'!$L24*$N24*('Baseline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Projects'!X$3,'Baseline scaling factors'!$B$48:$K$48,0))</f>
        <v>32.712408435463587</v>
      </c>
      <c r="Y24" s="112">
        <f>VLOOKUP($A24,'Outage by Zone inputs'!$A$4:$E$13,MATCH('Baseline Projects'!$I24,'Outage by Zone inputs'!$A$3:$E$3,0),0)*'Baseline Projects'!$L24*$N24*('Baseline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Projects'!Y$3,'Baseline scaling factors'!$B$54:$K$54,0))+VLOOKUP($A24,'Outage by Zone inputs'!$A$4:$E$13,MATCH('Baseline Projects'!$I24,'Outage by Zone inputs'!$A$3:$E$3,0),0)*'Baseline Projects'!$L24*$N24*('Baseline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Projects'!Y$3,'Baseline scaling factors'!$B$48:$K$48,0))</f>
        <v>29.436130922003127</v>
      </c>
      <c r="Z24" s="112">
        <f>VLOOKUP($A24,'Outage by Zone inputs'!$A$4:$E$13,MATCH('Baseline Projects'!$I24,'Outage by Zone inputs'!$A$3:$E$3,0),0)*'Baseline Projects'!$L24*$N24*('Baseline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Projects'!Z$3,'Baseline scaling factors'!$B$54:$K$54,0))+VLOOKUP($A24,'Outage by Zone inputs'!$A$4:$E$13,MATCH('Baseline Projects'!$I24,'Outage by Zone inputs'!$A$3:$E$3,0),0)*'Baseline Projects'!$L24*$N24*('Baseline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Projects'!Z$3,'Baseline scaling factors'!$B$48:$K$48,0))</f>
        <v>26.304213505549114</v>
      </c>
      <c r="AA24" s="34">
        <f>VLOOKUP($A24,'Outage by Zone inputs'!$A$4:$E$13,MATCH('Baseline Projects'!$I24,'Outage by Zone inputs'!$A$3:$E$3,0),0)*$M24*$N24*('Baseline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Projects'!AA$3,'Baseline scaling factors'!$B$54:$K$54,0))+VLOOKUP($A24,'Outage by Zone inputs'!$A$4:$E$13,MATCH('Baseline Projects'!$I24,'Outage by Zone inputs'!$A$3:$E$3,0),0)*$M24*$N24*('Baseline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Projects'!AA$3,'Baseline scaling factors'!$B$48:$K$48,0))</f>
        <v>7.1134032466330552</v>
      </c>
      <c r="AB24" s="34">
        <f>VLOOKUP($A24,'Outage by Zone inputs'!$A$4:$E$13,MATCH('Baseline Projects'!$I24,'Outage by Zone inputs'!$A$3:$E$3,0),0)*$M24*$N24*('Baseline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Projects'!AB$3,'Baseline scaling factors'!$B$54:$K$54,0))+VLOOKUP($A24,'Outage by Zone inputs'!$A$4:$E$13,MATCH('Baseline Projects'!$I24,'Outage by Zone inputs'!$A$3:$E$3,0),0)*$M24*$N24*('Baseline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Projects'!AB$3,'Baseline scaling factors'!$B$48:$K$48,0))</f>
        <v>6.5834702714207634</v>
      </c>
      <c r="AC24" s="34">
        <f>VLOOKUP($A24,'Outage by Zone inputs'!$A$4:$E$13,MATCH('Baseline Projects'!$I24,'Outage by Zone inputs'!$A$3:$E$3,0),0)*$M24*$N24*('Baseline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Projects'!AC$3,'Baseline scaling factors'!$B$54:$K$54,0))+VLOOKUP($A24,'Outage by Zone inputs'!$A$4:$E$13,MATCH('Baseline Projects'!$I24,'Outage by Zone inputs'!$A$3:$E$3,0),0)*$M24*$N24*('Baseline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Projects'!AC$3,'Baseline scaling factors'!$B$48:$K$48,0))</f>
        <v>6.0768873254395928</v>
      </c>
      <c r="AD24" s="34">
        <f>VLOOKUP($A24,'Outage by Zone inputs'!$A$4:$E$13,MATCH('Baseline Projects'!$I24,'Outage by Zone inputs'!$A$3:$E$3,0),0)*$M24*$N24*('Baseline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Projects'!AD$3,'Baseline scaling factors'!$B$54:$K$54,0))+VLOOKUP($A24,'Outage by Zone inputs'!$A$4:$E$13,MATCH('Baseline Projects'!$I24,'Outage by Zone inputs'!$A$3:$E$3,0),0)*$M24*$N24*('Baseline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Projects'!AD$3,'Baseline scaling factors'!$B$48:$K$48,0))</f>
        <v>5.5926255543049344</v>
      </c>
      <c r="AE24" s="34">
        <f>VLOOKUP($A24,'Outage by Zone inputs'!$A$4:$E$13,MATCH('Baseline Projects'!$I24,'Outage by Zone inputs'!$A$3:$E$3,0),0)*$M24*$N24*('Baseline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Projects'!AE$3,'Baseline scaling factors'!$B$54:$K$54,0))+VLOOKUP($A24,'Outage by Zone inputs'!$A$4:$E$13,MATCH('Baseline Projects'!$I24,'Outage by Zone inputs'!$A$3:$E$3,0),0)*$M24*$N24*('Baseline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Projects'!AE$3,'Baseline scaling factors'!$B$48:$K$48,0))</f>
        <v>5.1297014372518657</v>
      </c>
      <c r="AF24" s="34">
        <f>VLOOKUP($A24,'Outage by Zone inputs'!$A$4:$E$13,MATCH('Baseline Projects'!$I24,'Outage by Zone inputs'!$A$3:$E$3,0),0)*$M24*$N24*('Baseline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Projects'!AF$3,'Baseline scaling factors'!$B$54:$K$54,0))+VLOOKUP($A24,'Outage by Zone inputs'!$A$4:$E$13,MATCH('Baseline Projects'!$I24,'Outage by Zone inputs'!$A$3:$E$3,0),0)*$M24*$N24*('Baseline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Projects'!AF$3,'Baseline scaling factors'!$B$48:$K$48,0))</f>
        <v>4.68717478963472</v>
      </c>
      <c r="AG24" s="34">
        <f>VLOOKUP($A24,'Outage by Zone inputs'!$A$4:$E$13,MATCH('Baseline Projects'!$I24,'Outage by Zone inputs'!$A$3:$E$3,0),0)*$M24*$N24*('Baseline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Projects'!AG$3,'Baseline scaling factors'!$B$54:$K$54,0))+VLOOKUP($A24,'Outage by Zone inputs'!$A$4:$E$13,MATCH('Baseline Projects'!$I24,'Outage by Zone inputs'!$A$3:$E$3,0),0)*$M24*$N24*('Baseline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Projects'!AG$3,'Baseline scaling factors'!$B$48:$K$48,0))</f>
        <v>4.264146853440975</v>
      </c>
      <c r="AH24" s="34">
        <f>VLOOKUP($A24,'Outage by Zone inputs'!$A$4:$E$13,MATCH('Baseline Projects'!$I24,'Outage by Zone inputs'!$A$3:$E$3,0),0)*$M24*$N24*('Baseline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Projects'!AH$3,'Baseline scaling factors'!$B$54:$K$54,0))+VLOOKUP($A24,'Outage by Zone inputs'!$A$4:$E$13,MATCH('Baseline Projects'!$I24,'Outage by Zone inputs'!$A$3:$E$3,0),0)*$M24*$N24*('Baseline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Projects'!AH$3,'Baseline scaling factors'!$B$48:$K$48,0))</f>
        <v>3.8597584719413827</v>
      </c>
      <c r="AI24" s="34">
        <f>VLOOKUP($A24,'Outage by Zone inputs'!$A$4:$E$13,MATCH('Baseline Projects'!$I24,'Outage by Zone inputs'!$A$3:$E$3,0),0)*$M24*$N24*('Baseline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Projects'!AI$3,'Baseline scaling factors'!$B$54:$K$54,0))+VLOOKUP($A24,'Outage by Zone inputs'!$A$4:$E$13,MATCH('Baseline Projects'!$I24,'Outage by Zone inputs'!$A$3:$E$3,0),0)*$M24*$N24*('Baseline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Projects'!AI$3,'Baseline scaling factors'!$B$48:$K$48,0))</f>
        <v>3.4731883447690617</v>
      </c>
      <c r="AJ24" s="34">
        <f>VLOOKUP($A24,'Outage by Zone inputs'!$A$4:$E$13,MATCH('Baseline Projects'!$I24,'Outage by Zone inputs'!$A$3:$E$3,0),0)*$M24*$N24*('Baseline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Projects'!AJ$3,'Baseline scaling factors'!$B$54:$K$54,0))+VLOOKUP($A24,'Outage by Zone inputs'!$A$4:$E$13,MATCH('Baseline Projects'!$I24,'Outage by Zone inputs'!$A$3:$E$3,0),0)*$M24*$N24*('Baseline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Projects'!AJ$3,'Baseline scaling factors'!$B$48:$K$48,0))</f>
        <v>3.1036513598837168</v>
      </c>
      <c r="AK24" s="1">
        <f t="shared" si="2"/>
        <v>1266.044918430453</v>
      </c>
      <c r="AL24" s="1">
        <f t="shared" si="3"/>
        <v>1171.7273425649466</v>
      </c>
      <c r="AM24" s="1">
        <f t="shared" si="4"/>
        <v>1081.565609525763</v>
      </c>
      <c r="AN24" s="1">
        <f t="shared" si="5"/>
        <v>995.3766036057965</v>
      </c>
      <c r="AO24" s="1">
        <f t="shared" si="6"/>
        <v>912.98527758454964</v>
      </c>
      <c r="AP24" s="1">
        <f t="shared" si="7"/>
        <v>834.22429721261074</v>
      </c>
      <c r="AQ24" s="1">
        <f t="shared" si="8"/>
        <v>758.93370136094006</v>
      </c>
      <c r="AR24" s="1">
        <f t="shared" si="9"/>
        <v>686.96057714473534</v>
      </c>
      <c r="AS24" s="1">
        <f t="shared" si="10"/>
        <v>618.15874936206569</v>
      </c>
      <c r="AT24" s="1">
        <f t="shared" si="11"/>
        <v>552.3884836165314</v>
      </c>
      <c r="AU24" s="1">
        <f t="shared" si="12"/>
        <v>27635.571613169421</v>
      </c>
      <c r="AV24" s="1">
        <f t="shared" si="13"/>
        <v>25576.782004469667</v>
      </c>
      <c r="AW24" s="1">
        <f t="shared" si="14"/>
        <v>23608.707259332819</v>
      </c>
      <c r="AX24" s="1">
        <f t="shared" si="15"/>
        <v>21727.350278474671</v>
      </c>
      <c r="AY24" s="1">
        <f t="shared" si="16"/>
        <v>19928.890083723498</v>
      </c>
      <c r="AZ24" s="1">
        <f t="shared" si="17"/>
        <v>18209.674057730888</v>
      </c>
      <c r="BA24" s="1">
        <f t="shared" si="18"/>
        <v>16566.210525618189</v>
      </c>
      <c r="BB24" s="1">
        <f t="shared" si="19"/>
        <v>14995.161663492272</v>
      </c>
      <c r="BC24" s="1">
        <f t="shared" si="20"/>
        <v>13493.336719427805</v>
      </c>
      <c r="BD24" s="1">
        <f t="shared" si="21"/>
        <v>12057.68553314824</v>
      </c>
      <c r="BE24" s="1">
        <f t="shared" si="22"/>
        <v>28901.616531599873</v>
      </c>
      <c r="BF24" s="1">
        <f t="shared" si="23"/>
        <v>26748.509347034615</v>
      </c>
      <c r="BG24" s="1">
        <f t="shared" si="24"/>
        <v>24690.272868858581</v>
      </c>
      <c r="BH24" s="1">
        <f t="shared" si="25"/>
        <v>22722.726882080467</v>
      </c>
      <c r="BI24" s="1">
        <f t="shared" si="26"/>
        <v>20841.875361308048</v>
      </c>
      <c r="BJ24" s="1">
        <f t="shared" si="27"/>
        <v>19043.8983549435</v>
      </c>
      <c r="BK24" s="1">
        <f t="shared" si="28"/>
        <v>17325.14422697913</v>
      </c>
      <c r="BL24" s="1">
        <f t="shared" si="29"/>
        <v>15682.122240637007</v>
      </c>
      <c r="BM24" s="1">
        <f t="shared" si="30"/>
        <v>14111.495468789872</v>
      </c>
      <c r="BN24" s="1">
        <f t="shared" si="31"/>
        <v>12610.074016764771</v>
      </c>
      <c r="BO24" s="25">
        <f>VLOOKUP($A24,'Outage by Zone inputs'!$A$59:$E$68,MATCH('Baseline Projects'!$I24,'Outage by Zone inputs'!$A$58:$E$58,0),0)*AVG_INCIDENT_PERCENT_NON_STORM</f>
        <v>39.400316239898757</v>
      </c>
      <c r="BP24" s="25">
        <f>$BO24*$N24*('Baseline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Projects'!Q$3,'Baseline scaling factors'!$B$54:$K$54,0))+$BO24*$N24*('Baseline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Projects'!Q$3,'Baseline scaling factors'!$B$48:$K$48,0))</f>
        <v>0.64309589316740345</v>
      </c>
      <c r="BQ24" s="25">
        <f>$BO24*$N24*('Baseline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Projects'!R$3,'Baseline scaling factors'!$B$54:$K$54,0))+$BO24*$N24*('Baseline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Projects'!R$3,'Baseline scaling factors'!$B$48:$K$48,0))</f>
        <v>0.59518665644947732</v>
      </c>
      <c r="BR24" s="25">
        <f>$BO24*$N24*('Baseline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Projects'!S$3,'Baseline scaling factors'!$B$54:$K$54,0))+$BO24*$N24*('Baseline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Projects'!S$3,'Baseline scaling factors'!$B$48:$K$48,0))</f>
        <v>0.54938840759252738</v>
      </c>
      <c r="BS24" s="25">
        <f>$BO24*$N24*('Baseline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Projects'!T$3,'Baseline scaling factors'!$B$54:$K$54,0))+$BO24*$N24*('Baseline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Projects'!T$3,'Baseline scaling factors'!$B$48:$K$48,0))</f>
        <v>0.50560813176153496</v>
      </c>
      <c r="BT24" s="25">
        <f>$BO24*$N24*('Baseline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Projects'!U$3,'Baseline scaling factors'!$B$54:$K$54,0))+$BO24*$N24*('Baseline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Projects'!U$3,'Baseline scaling factors'!$B$48:$K$48,0))</f>
        <v>0.46375691256263962</v>
      </c>
      <c r="BU24" s="25">
        <f>$BO24*$N24*('Baseline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Projects'!V$3,'Baseline scaling factors'!$B$54:$K$54,0))+$BO24*$N24*('Baseline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Projects'!V$3,'Baseline scaling factors'!$B$48:$K$48,0))</f>
        <v>0.42374975145667709</v>
      </c>
      <c r="BV24" s="25">
        <f>$BO24*$N24*('Baseline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Projects'!W$3,'Baseline scaling factors'!$B$54:$K$54,0))+$BO24*$N24*('Baseline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Projects'!W$3,'Baseline scaling factors'!$B$48:$K$48,0))</f>
        <v>0.38550539512976051</v>
      </c>
      <c r="BW24" s="25">
        <f>$BO24*$N24*('Baseline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Projects'!X$3,'Baseline scaling factors'!$B$54:$K$54,0))+$BO24*$N24*('Baseline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Projects'!X$3,'Baseline scaling factors'!$B$48:$K$48,0))</f>
        <v>0.34894617047029897</v>
      </c>
      <c r="BX24" s="25">
        <f>$BO24*$N24*('Baseline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Projects'!Y$3,'Baseline scaling factors'!$B$54:$K$54,0))+$BO24*$N24*('Baseline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Projects'!Y$3,'Baseline scaling factors'!$B$48:$K$48,0))</f>
        <v>0.31399782681729582</v>
      </c>
      <c r="BY24" s="25">
        <f>$BO24*$N24*('Baseline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Projects'!Z$3,'Baseline scaling factors'!$B$54:$K$54,0))+$BO24*$N24*('Baseline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Projects'!Z$3,'Baseline scaling factors'!$B$48:$K$48,0))</f>
        <v>0.28058938515954013</v>
      </c>
      <c r="BZ24" s="12">
        <f t="shared" si="32"/>
        <v>303.5412615750144</v>
      </c>
      <c r="CA24" s="12">
        <f t="shared" si="33"/>
        <v>280.92810184415328</v>
      </c>
      <c r="CB24" s="12">
        <f t="shared" si="34"/>
        <v>259.3113283836729</v>
      </c>
      <c r="CC24" s="12">
        <f t="shared" si="35"/>
        <v>238.64703819144449</v>
      </c>
      <c r="CD24" s="12">
        <f t="shared" si="36"/>
        <v>218.89326272956589</v>
      </c>
      <c r="CE24" s="12">
        <f t="shared" si="37"/>
        <v>200.0098826875516</v>
      </c>
      <c r="CF24" s="12">
        <f t="shared" si="38"/>
        <v>181.95854650124696</v>
      </c>
      <c r="CG24" s="12">
        <f t="shared" si="39"/>
        <v>164.70259246198111</v>
      </c>
      <c r="CH24" s="12">
        <f t="shared" si="40"/>
        <v>148.20697425776362</v>
      </c>
      <c r="CI24" s="12">
        <f t="shared" si="41"/>
        <v>132.43818979530295</v>
      </c>
      <c r="CJ24" s="12">
        <f>'Mitigation Projects'!$AG24*VLOOKUP('Baseline Projects'!$H24&amp;"-"&amp;'Baseline Projects'!$G24,'Baseline scaling factors'!$A$49:$K$51,MATCH('Baseline Projects'!CJ$2,'Baseline scaling factors'!$A$48:$K$48,0),0)</f>
        <v>0</v>
      </c>
      <c r="CK24" s="12">
        <f>'Mitigation Projects'!$AG24*VLOOKUP('Baseline Projects'!$H24&amp;"-"&amp;'Baseline Projects'!$G24,'Baseline scaling factors'!$A$49:$K$51,MATCH('Baseline Projects'!CK$2,'Baseline scaling factors'!$A$48:$K$48,0),0)</f>
        <v>0</v>
      </c>
      <c r="CL24" s="12">
        <f>'Mitigation Projects'!$AG24*VLOOKUP('Baseline Projects'!$H24&amp;"-"&amp;'Baseline Projects'!$G24,'Baseline scaling factors'!$A$49:$K$51,MATCH('Baseline Projects'!CL$2,'Baseline scaling factors'!$A$48:$K$48,0),0)</f>
        <v>0</v>
      </c>
      <c r="CM24" s="12">
        <f>'Mitigation Projects'!$AG24*VLOOKUP('Baseline Projects'!$H24&amp;"-"&amp;'Baseline Projects'!$G24,'Baseline scaling factors'!$A$49:$K$51,MATCH('Baseline Projects'!CM$2,'Baseline scaling factors'!$A$48:$K$48,0),0)</f>
        <v>0</v>
      </c>
      <c r="CN24" s="12">
        <f>'Mitigation Projects'!$AG24*VLOOKUP('Baseline Projects'!$H24&amp;"-"&amp;'Baseline Projects'!$G24,'Baseline scaling factors'!$A$49:$K$51,MATCH('Baseline Projects'!CN$2,'Baseline scaling factors'!$A$48:$K$48,0),0)</f>
        <v>0</v>
      </c>
      <c r="CO24" s="12">
        <f>'Mitigation Projects'!$AG24*VLOOKUP('Baseline Projects'!$H24&amp;"-"&amp;'Baseline Projects'!$G24,'Baseline scaling factors'!$A$49:$K$51,MATCH('Baseline Projects'!CO$2,'Baseline scaling factors'!$A$48:$K$48,0),0)</f>
        <v>0</v>
      </c>
      <c r="CP24" s="12">
        <f>'Mitigation Projects'!$AG24*VLOOKUP('Baseline Projects'!$H24&amp;"-"&amp;'Baseline Projects'!$G24,'Baseline scaling factors'!$A$49:$K$51,MATCH('Baseline Projects'!CP$2,'Baseline scaling factors'!$A$48:$K$48,0),0)</f>
        <v>0</v>
      </c>
      <c r="CQ24" s="12">
        <f>'Mitigation Projects'!$AG24*VLOOKUP('Baseline Projects'!$H24&amp;"-"&amp;'Baseline Projects'!$G24,'Baseline scaling factors'!$A$49:$K$51,MATCH('Baseline Projects'!CQ$2,'Baseline scaling factors'!$A$48:$K$48,0),0)</f>
        <v>0</v>
      </c>
      <c r="CR24" s="12">
        <f>'Mitigation Projects'!$AG24*VLOOKUP('Baseline Projects'!$H24&amp;"-"&amp;'Baseline Projects'!$G24,'Baseline scaling factors'!$A$49:$K$51,MATCH('Baseline Projects'!CR$2,'Baseline scaling factors'!$A$48:$K$48,0),0)</f>
        <v>0</v>
      </c>
      <c r="CS24" s="12">
        <f>'Mitigation Projects'!$AG24*VLOOKUP('Baseline Projects'!$H24&amp;"-"&amp;'Baseline Projects'!$G24,'Baseline scaling factors'!$A$49:$K$51,MATCH('Baseline Projects'!CS$2,'Baseline scaling factors'!$A$48:$K$48,0),0)</f>
        <v>0</v>
      </c>
      <c r="CT24" s="12">
        <f>'Mitigation Projects'!$AH24*VLOOKUP('Baseline Projects'!$H24&amp;"-"&amp;'Baseline Projects'!$G24,'Baseline scaling factors'!$A$49:$K$51,MATCH('Baseline Projects'!CT$2,'Baseline scaling factors'!$A$48:$K$48,0),0)</f>
        <v>0</v>
      </c>
      <c r="CU24" s="12">
        <f>'Mitigation Projects'!$AH24*VLOOKUP('Baseline Projects'!$H24&amp;"-"&amp;'Baseline Projects'!$G24,'Baseline scaling factors'!$A$49:$K$51,MATCH('Baseline Projects'!CU$2,'Baseline scaling factors'!$A$48:$K$48,0),0)</f>
        <v>0</v>
      </c>
      <c r="CV24" s="12">
        <f>'Mitigation Projects'!$AH24*VLOOKUP('Baseline Projects'!$H24&amp;"-"&amp;'Baseline Projects'!$G24,'Baseline scaling factors'!$A$49:$K$51,MATCH('Baseline Projects'!CV$2,'Baseline scaling factors'!$A$48:$K$48,0),0)</f>
        <v>0</v>
      </c>
      <c r="CW24" s="12">
        <f>'Mitigation Projects'!$AH24*VLOOKUP('Baseline Projects'!$H24&amp;"-"&amp;'Baseline Projects'!$G24,'Baseline scaling factors'!$A$49:$K$51,MATCH('Baseline Projects'!CW$2,'Baseline scaling factors'!$A$48:$K$48,0),0)</f>
        <v>0</v>
      </c>
      <c r="CX24" s="12">
        <f>'Mitigation Projects'!$AH24*VLOOKUP('Baseline Projects'!$H24&amp;"-"&amp;'Baseline Projects'!$G24,'Baseline scaling factors'!$A$49:$K$51,MATCH('Baseline Projects'!CX$2,'Baseline scaling factors'!$A$48:$K$48,0),0)</f>
        <v>0</v>
      </c>
      <c r="CY24" s="12">
        <f>'Mitigation Projects'!$AH24*VLOOKUP('Baseline Projects'!$H24&amp;"-"&amp;'Baseline Projects'!$G24,'Baseline scaling factors'!$A$49:$K$51,MATCH('Baseline Projects'!CY$2,'Baseline scaling factors'!$A$48:$K$48,0),0)</f>
        <v>0</v>
      </c>
      <c r="CZ24" s="12">
        <f>'Mitigation Projects'!$AH24*VLOOKUP('Baseline Projects'!$H24&amp;"-"&amp;'Baseline Projects'!$G24,'Baseline scaling factors'!$A$49:$K$51,MATCH('Baseline Projects'!CZ$2,'Baseline scaling factors'!$A$48:$K$48,0),0)</f>
        <v>0</v>
      </c>
      <c r="DA24" s="12">
        <f>'Mitigation Projects'!$AH24*VLOOKUP('Baseline Projects'!$H24&amp;"-"&amp;'Baseline Projects'!$G24,'Baseline scaling factors'!$A$49:$K$51,MATCH('Baseline Projects'!DA$2,'Baseline scaling factors'!$A$48:$K$48,0),0)</f>
        <v>0</v>
      </c>
      <c r="DB24" s="12">
        <f>'Mitigation Projects'!$AH24*VLOOKUP('Baseline Projects'!$H24&amp;"-"&amp;'Baseline Projects'!$G24,'Baseline scaling factors'!$A$49:$K$51,MATCH('Baseline Projects'!DB$2,'Baseline scaling factors'!$A$48:$K$48,0),0)</f>
        <v>0</v>
      </c>
      <c r="DC24" s="12">
        <f>'Mitigation Projects'!$AH24*VLOOKUP('Baseline Projects'!$H24&amp;"-"&amp;'Baseline Projects'!$G24,'Baseline scaling factors'!$A$49:$K$51,MATCH('Baseline Projects'!DC$2,'Baseline scaling factors'!$A$48:$K$48,0),0)</f>
        <v>0</v>
      </c>
    </row>
    <row r="25" spans="1:107" x14ac:dyDescent="0.4">
      <c r="A25" s="38" t="str">
        <f>'Mitigation Projects'!A25</f>
        <v>DM-G6</v>
      </c>
      <c r="B25" s="38" t="str">
        <f>'Mitigation Projects'!B25</f>
        <v>Brattleboro</v>
      </c>
      <c r="C25" s="39">
        <f>'Mitigation Projects'!C25</f>
        <v>201143</v>
      </c>
      <c r="D25" s="39" t="str">
        <f>'Mitigation Projects'!D25</f>
        <v>201143: L61 DOVER RD. - CIC</v>
      </c>
      <c r="E25" s="39">
        <f>'Mitigation Projects'!E25</f>
        <v>498311</v>
      </c>
      <c r="F25" s="39">
        <f>'Mitigation Projects'!F25</f>
        <v>0</v>
      </c>
      <c r="G25" s="39" t="str">
        <f>'Mitigation Projects'!G25</f>
        <v>1PH</v>
      </c>
      <c r="H25" s="39" t="str">
        <f>'Mitigation Projects'!H25</f>
        <v>UG</v>
      </c>
      <c r="I25" s="39" t="str">
        <f>'Mitigation Projects'!J25</f>
        <v>Zone 3</v>
      </c>
      <c r="J25" s="39">
        <f>'Mitigation Projects'!K25</f>
        <v>170</v>
      </c>
      <c r="K25" s="40">
        <f>'Mitigation Projects'!L25*BASELINE_CAP_SPEND</f>
        <v>245801.30000000002</v>
      </c>
      <c r="L25" s="97">
        <f>'Mitigation Projects'!Q25</f>
        <v>0.89446185997910133</v>
      </c>
      <c r="M25" s="97">
        <f>'Mitigation Projects'!R25</f>
        <v>0.10553814002089867</v>
      </c>
      <c r="N25" s="98">
        <f>'Mitigation Projects'!S25</f>
        <v>0.5</v>
      </c>
      <c r="O25" s="26">
        <f t="shared" si="0"/>
        <v>0.98</v>
      </c>
      <c r="P25" s="26">
        <f t="shared" si="1"/>
        <v>0.83359200333362127</v>
      </c>
      <c r="Q25" s="112">
        <f>VLOOKUP($A25,'Outage by Zone inputs'!$A$4:$E$13,MATCH('Baseline Projects'!$I25,'Outage by Zone inputs'!$A$3:$E$3,0),0)*'Baseline Projects'!$L25*$N25*('Baseline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Projects'!Q$3,'Baseline scaling factors'!$B$54:$K$54,0))+VLOOKUP($A25,'Outage by Zone inputs'!$A$4:$E$13,MATCH('Baseline Projects'!$I25,'Outage by Zone inputs'!$A$3:$E$3,0),0)*'Baseline Projects'!$L25*$N25*('Baseline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Projects'!Q$3,'Baseline scaling factors'!$B$48:$K$48,0))</f>
        <v>235.93364159231746</v>
      </c>
      <c r="R25" s="112">
        <f>VLOOKUP($A25,'Outage by Zone inputs'!$A$4:$E$13,MATCH('Baseline Projects'!$I25,'Outage by Zone inputs'!$A$3:$E$3,0),0)*'Baseline Projects'!$L25*$N25*('Baseline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Projects'!R$3,'Baseline scaling factors'!$B$54:$K$54,0))+VLOOKUP($A25,'Outage by Zone inputs'!$A$4:$E$13,MATCH('Baseline Projects'!$I25,'Outage by Zone inputs'!$A$3:$E$3,0),0)*'Baseline Projects'!$L25*$N25*('Baseline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Projects'!R$3,'Baseline scaling factors'!$B$48:$K$48,0))</f>
        <v>215.86995444501034</v>
      </c>
      <c r="S25" s="112">
        <f>VLOOKUP($A25,'Outage by Zone inputs'!$A$4:$E$13,MATCH('Baseline Projects'!$I25,'Outage by Zone inputs'!$A$3:$E$3,0),0)*'Baseline Projects'!$L25*$N25*('Baseline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Projects'!S$3,'Baseline scaling factors'!$B$54:$K$54,0))+VLOOKUP($A25,'Outage by Zone inputs'!$A$4:$E$13,MATCH('Baseline Projects'!$I25,'Outage by Zone inputs'!$A$3:$E$3,0),0)*'Baseline Projects'!$L25*$N25*('Baseline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Projects'!S$3,'Baseline scaling factors'!$B$48:$K$48,0))</f>
        <v>196.6903181178771</v>
      </c>
      <c r="T25" s="112">
        <f>VLOOKUP($A25,'Outage by Zone inputs'!$A$4:$E$13,MATCH('Baseline Projects'!$I25,'Outage by Zone inputs'!$A$3:$E$3,0),0)*'Baseline Projects'!$L25*$N25*('Baseline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Projects'!T$3,'Baseline scaling factors'!$B$54:$K$54,0))+VLOOKUP($A25,'Outage by Zone inputs'!$A$4:$E$13,MATCH('Baseline Projects'!$I25,'Outage by Zone inputs'!$A$3:$E$3,0),0)*'Baseline Projects'!$L25*$N25*('Baseline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Projects'!T$3,'Baseline scaling factors'!$B$48:$K$48,0))</f>
        <v>178.35577935935891</v>
      </c>
      <c r="U25" s="112">
        <f>VLOOKUP($A25,'Outage by Zone inputs'!$A$4:$E$13,MATCH('Baseline Projects'!$I25,'Outage by Zone inputs'!$A$3:$E$3,0),0)*'Baseline Projects'!$L25*$N25*('Baseline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Projects'!U$3,'Baseline scaling factors'!$B$54:$K$54,0))+VLOOKUP($A25,'Outage by Zone inputs'!$A$4:$E$13,MATCH('Baseline Projects'!$I25,'Outage by Zone inputs'!$A$3:$E$3,0),0)*'Baseline Projects'!$L25*$N25*('Baseline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Projects'!U$3,'Baseline scaling factors'!$B$48:$K$48,0))</f>
        <v>160.82910128506958</v>
      </c>
      <c r="V25" s="112">
        <f>VLOOKUP($A25,'Outage by Zone inputs'!$A$4:$E$13,MATCH('Baseline Projects'!$I25,'Outage by Zone inputs'!$A$3:$E$3,0),0)*'Baseline Projects'!$L25*$N25*('Baseline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Projects'!V$3,'Baseline scaling factors'!$B$54:$K$54,0))+VLOOKUP($A25,'Outage by Zone inputs'!$A$4:$E$13,MATCH('Baseline Projects'!$I25,'Outage by Zone inputs'!$A$3:$E$3,0),0)*'Baseline Projects'!$L25*$N25*('Baseline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Projects'!V$3,'Baseline scaling factors'!$B$48:$K$48,0))</f>
        <v>144.07468775082924</v>
      </c>
      <c r="W25" s="112">
        <f>VLOOKUP($A25,'Outage by Zone inputs'!$A$4:$E$13,MATCH('Baseline Projects'!$I25,'Outage by Zone inputs'!$A$3:$E$3,0),0)*'Baseline Projects'!$L25*$N25*('Baseline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Projects'!W$3,'Baseline scaling factors'!$B$54:$K$54,0))+VLOOKUP($A25,'Outage by Zone inputs'!$A$4:$E$13,MATCH('Baseline Projects'!$I25,'Outage by Zone inputs'!$A$3:$E$3,0),0)*'Baseline Projects'!$L25*$N25*('Baseline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Projects'!W$3,'Baseline scaling factors'!$B$48:$K$48,0))</f>
        <v>128.05851105798953</v>
      </c>
      <c r="X25" s="112">
        <f>VLOOKUP($A25,'Outage by Zone inputs'!$A$4:$E$13,MATCH('Baseline Projects'!$I25,'Outage by Zone inputs'!$A$3:$E$3,0),0)*'Baseline Projects'!$L25*$N25*('Baseline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Projects'!X$3,'Baseline scaling factors'!$B$54:$K$54,0))+VLOOKUP($A25,'Outage by Zone inputs'!$A$4:$E$13,MATCH('Baseline Projects'!$I25,'Outage by Zone inputs'!$A$3:$E$3,0),0)*'Baseline Projects'!$L25*$N25*('Baseline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Projects'!X$3,'Baseline scaling factors'!$B$48:$K$48,0))</f>
        <v>112.74804284422453</v>
      </c>
      <c r="Y25" s="112">
        <f>VLOOKUP($A25,'Outage by Zone inputs'!$A$4:$E$13,MATCH('Baseline Projects'!$I25,'Outage by Zone inputs'!$A$3:$E$3,0),0)*'Baseline Projects'!$L25*$N25*('Baseline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Projects'!Y$3,'Baseline scaling factors'!$B$54:$K$54,0))+VLOOKUP($A25,'Outage by Zone inputs'!$A$4:$E$13,MATCH('Baseline Projects'!$I25,'Outage by Zone inputs'!$A$3:$E$3,0),0)*'Baseline Projects'!$L25*$N25*('Baseline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Projects'!Y$3,'Baseline scaling factors'!$B$48:$K$48,0))</f>
        <v>98.112188019426867</v>
      </c>
      <c r="Z25" s="112">
        <f>VLOOKUP($A25,'Outage by Zone inputs'!$A$4:$E$13,MATCH('Baseline Projects'!$I25,'Outage by Zone inputs'!$A$3:$E$3,0),0)*'Baseline Projects'!$L25*$N25*('Baseline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Projects'!Z$3,'Baseline scaling factors'!$B$54:$K$54,0))+VLOOKUP($A25,'Outage by Zone inputs'!$A$4:$E$13,MATCH('Baseline Projects'!$I25,'Outage by Zone inputs'!$A$3:$E$3,0),0)*'Baseline Projects'!$L25*$N25*('Baseline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Projects'!Z$3,'Baseline scaling factors'!$B$48:$K$48,0))</f>
        <v>84.121221612536317</v>
      </c>
      <c r="AA25" s="34">
        <f>VLOOKUP($A25,'Outage by Zone inputs'!$A$4:$E$13,MATCH('Baseline Projects'!$I25,'Outage by Zone inputs'!$A$3:$E$3,0),0)*$M25*$N25*('Baseline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Projects'!AA$3,'Baseline scaling factors'!$B$54:$K$54,0))+VLOOKUP($A25,'Outage by Zone inputs'!$A$4:$E$13,MATCH('Baseline Projects'!$I25,'Outage by Zone inputs'!$A$3:$E$3,0),0)*$M25*$N25*('Baseline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Projects'!AA$3,'Baseline scaling factors'!$B$48:$K$48,0))</f>
        <v>27.837964720588872</v>
      </c>
      <c r="AB25" s="34">
        <f>VLOOKUP($A25,'Outage by Zone inputs'!$A$4:$E$13,MATCH('Baseline Projects'!$I25,'Outage by Zone inputs'!$A$3:$E$3,0),0)*$M25*$N25*('Baseline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Projects'!AB$3,'Baseline scaling factors'!$B$54:$K$54,0))+VLOOKUP($A25,'Outage by Zone inputs'!$A$4:$E$13,MATCH('Baseline Projects'!$I25,'Outage by Zone inputs'!$A$3:$E$3,0),0)*$M25*$N25*('Baseline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Projects'!AB$3,'Baseline scaling factors'!$B$48:$K$48,0))</f>
        <v>25.470637148301464</v>
      </c>
      <c r="AC25" s="34">
        <f>VLOOKUP($A25,'Outage by Zone inputs'!$A$4:$E$13,MATCH('Baseline Projects'!$I25,'Outage by Zone inputs'!$A$3:$E$3,0),0)*$M25*$N25*('Baseline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Projects'!AC$3,'Baseline scaling factors'!$B$54:$K$54,0))+VLOOKUP($A25,'Outage by Zone inputs'!$A$4:$E$13,MATCH('Baseline Projects'!$I25,'Outage by Zone inputs'!$A$3:$E$3,0),0)*$M25*$N25*('Baseline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Projects'!AC$3,'Baseline scaling factors'!$B$48:$K$48,0))</f>
        <v>23.207619310637373</v>
      </c>
      <c r="AD25" s="34">
        <f>VLOOKUP($A25,'Outage by Zone inputs'!$A$4:$E$13,MATCH('Baseline Projects'!$I25,'Outage by Zone inputs'!$A$3:$E$3,0),0)*$M25*$N25*('Baseline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Projects'!AD$3,'Baseline scaling factors'!$B$54:$K$54,0))+VLOOKUP($A25,'Outage by Zone inputs'!$A$4:$E$13,MATCH('Baseline Projects'!$I25,'Outage by Zone inputs'!$A$3:$E$3,0),0)*$M25*$N25*('Baseline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Projects'!AD$3,'Baseline scaling factors'!$B$48:$K$48,0))</f>
        <v>21.044315087961746</v>
      </c>
      <c r="AE25" s="34">
        <f>VLOOKUP($A25,'Outage by Zone inputs'!$A$4:$E$13,MATCH('Baseline Projects'!$I25,'Outage by Zone inputs'!$A$3:$E$3,0),0)*$M25*$N25*('Baseline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Projects'!AE$3,'Baseline scaling factors'!$B$54:$K$54,0))+VLOOKUP($A25,'Outage by Zone inputs'!$A$4:$E$13,MATCH('Baseline Projects'!$I25,'Outage by Zone inputs'!$A$3:$E$3,0),0)*$M25*$N25*('Baseline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Projects'!AE$3,'Baseline scaling factors'!$B$48:$K$48,0))</f>
        <v>18.976330875925274</v>
      </c>
      <c r="AF25" s="34">
        <f>VLOOKUP($A25,'Outage by Zone inputs'!$A$4:$E$13,MATCH('Baseline Projects'!$I25,'Outage by Zone inputs'!$A$3:$E$3,0),0)*$M25*$N25*('Baseline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Projects'!AF$3,'Baseline scaling factors'!$B$54:$K$54,0))+VLOOKUP($A25,'Outage by Zone inputs'!$A$4:$E$13,MATCH('Baseline Projects'!$I25,'Outage by Zone inputs'!$A$3:$E$3,0),0)*$M25*$N25*('Baseline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Projects'!AF$3,'Baseline scaling factors'!$B$48:$K$48,0))</f>
        <v>16.999466662188972</v>
      </c>
      <c r="AG25" s="34">
        <f>VLOOKUP($A25,'Outage by Zone inputs'!$A$4:$E$13,MATCH('Baseline Projects'!$I25,'Outage by Zone inputs'!$A$3:$E$3,0),0)*$M25*$N25*('Baseline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Projects'!AG$3,'Baseline scaling factors'!$B$54:$K$54,0))+VLOOKUP($A25,'Outage by Zone inputs'!$A$4:$E$13,MATCH('Baseline Projects'!$I25,'Outage by Zone inputs'!$A$3:$E$3,0),0)*$M25*$N25*('Baseline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Projects'!AG$3,'Baseline scaling factors'!$B$48:$K$48,0))</f>
        <v>15.109707496328209</v>
      </c>
      <c r="AH25" s="34">
        <f>VLOOKUP($A25,'Outage by Zone inputs'!$A$4:$E$13,MATCH('Baseline Projects'!$I25,'Outage by Zone inputs'!$A$3:$E$3,0),0)*$M25*$N25*('Baseline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Projects'!AH$3,'Baseline scaling factors'!$B$54:$K$54,0))+VLOOKUP($A25,'Outage by Zone inputs'!$A$4:$E$13,MATCH('Baseline Projects'!$I25,'Outage by Zone inputs'!$A$3:$E$3,0),0)*$M25*$N25*('Baseline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Projects'!AH$3,'Baseline scaling factors'!$B$48:$K$48,0))</f>
        <v>13.303215335591917</v>
      </c>
      <c r="AI25" s="34">
        <f>VLOOKUP($A25,'Outage by Zone inputs'!$A$4:$E$13,MATCH('Baseline Projects'!$I25,'Outage by Zone inputs'!$A$3:$E$3,0),0)*$M25*$N25*('Baseline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Projects'!AI$3,'Baseline scaling factors'!$B$54:$K$54,0))+VLOOKUP($A25,'Outage by Zone inputs'!$A$4:$E$13,MATCH('Baseline Projects'!$I25,'Outage by Zone inputs'!$A$3:$E$3,0),0)*$M25*$N25*('Baseline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Projects'!AI$3,'Baseline scaling factors'!$B$48:$K$48,0))</f>
        <v>11.576321249955743</v>
      </c>
      <c r="AJ25" s="34">
        <f>VLOOKUP($A25,'Outage by Zone inputs'!$A$4:$E$13,MATCH('Baseline Projects'!$I25,'Outage by Zone inputs'!$A$3:$E$3,0),0)*$M25*$N25*('Baseline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Projects'!AJ$3,'Baseline scaling factors'!$B$54:$K$54,0))+VLOOKUP($A25,'Outage by Zone inputs'!$A$4:$E$13,MATCH('Baseline Projects'!$I25,'Outage by Zone inputs'!$A$3:$E$3,0),0)*$M25*$N25*('Baseline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Projects'!AJ$3,'Baseline scaling factors'!$B$48:$K$48,0))</f>
        <v>9.9255179706380492</v>
      </c>
      <c r="AK25" s="1">
        <f t="shared" si="2"/>
        <v>4954.6064734386664</v>
      </c>
      <c r="AL25" s="1">
        <f t="shared" si="3"/>
        <v>4533.2690433452171</v>
      </c>
      <c r="AM25" s="1">
        <f t="shared" si="4"/>
        <v>4130.4966804754195</v>
      </c>
      <c r="AN25" s="1">
        <f t="shared" si="5"/>
        <v>3745.471366546537</v>
      </c>
      <c r="AO25" s="1">
        <f t="shared" si="6"/>
        <v>3377.4111269864611</v>
      </c>
      <c r="AP25" s="1">
        <f t="shared" si="7"/>
        <v>3025.5684427674141</v>
      </c>
      <c r="AQ25" s="1">
        <f t="shared" si="8"/>
        <v>2689.2287322177804</v>
      </c>
      <c r="AR25" s="1">
        <f t="shared" si="9"/>
        <v>2367.7088997287151</v>
      </c>
      <c r="AS25" s="1">
        <f t="shared" si="10"/>
        <v>2060.3559484079642</v>
      </c>
      <c r="AT25" s="1">
        <f t="shared" si="11"/>
        <v>1766.5456538632627</v>
      </c>
      <c r="AU25" s="1">
        <f t="shared" si="12"/>
        <v>108150.49293948777</v>
      </c>
      <c r="AV25" s="1">
        <f t="shared" si="13"/>
        <v>98953.425321151182</v>
      </c>
      <c r="AW25" s="1">
        <f t="shared" si="14"/>
        <v>90161.601021826194</v>
      </c>
      <c r="AX25" s="1">
        <f t="shared" si="15"/>
        <v>81757.164116731379</v>
      </c>
      <c r="AY25" s="1">
        <f t="shared" si="16"/>
        <v>73723.045452969687</v>
      </c>
      <c r="AZ25" s="1">
        <f t="shared" si="17"/>
        <v>66042.92798260416</v>
      </c>
      <c r="BA25" s="1">
        <f t="shared" si="18"/>
        <v>58701.213623235089</v>
      </c>
      <c r="BB25" s="1">
        <f t="shared" si="19"/>
        <v>51682.991578774599</v>
      </c>
      <c r="BC25" s="1">
        <f t="shared" si="20"/>
        <v>44974.008056078063</v>
      </c>
      <c r="BD25" s="1">
        <f t="shared" si="21"/>
        <v>38560.63731592882</v>
      </c>
      <c r="BE25" s="1">
        <f t="shared" si="22"/>
        <v>113105.09941292643</v>
      </c>
      <c r="BF25" s="1">
        <f t="shared" si="23"/>
        <v>103486.6943644964</v>
      </c>
      <c r="BG25" s="1">
        <f t="shared" si="24"/>
        <v>94292.097702301617</v>
      </c>
      <c r="BH25" s="1">
        <f t="shared" si="25"/>
        <v>85502.635483277918</v>
      </c>
      <c r="BI25" s="1">
        <f t="shared" si="26"/>
        <v>77100.456579956153</v>
      </c>
      <c r="BJ25" s="1">
        <f t="shared" si="27"/>
        <v>69068.496425371573</v>
      </c>
      <c r="BK25" s="1">
        <f t="shared" si="28"/>
        <v>61390.442355452869</v>
      </c>
      <c r="BL25" s="1">
        <f t="shared" si="29"/>
        <v>54050.700478503313</v>
      </c>
      <c r="BM25" s="1">
        <f t="shared" si="30"/>
        <v>47034.364004486029</v>
      </c>
      <c r="BN25" s="1">
        <f t="shared" si="31"/>
        <v>40327.182969792084</v>
      </c>
      <c r="BO25" s="25">
        <f>VLOOKUP($A25,'Outage by Zone inputs'!$A$59:$E$68,MATCH('Baseline Projects'!$I25,'Outage by Zone inputs'!$A$58:$E$58,0),0)*AVG_INCIDENT_PERCENT_NON_STORM</f>
        <v>39.400316239898757</v>
      </c>
      <c r="BP25" s="25">
        <f>$BO25*$N25*('Baseline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Projects'!Q$3,'Baseline scaling factors'!$B$54:$K$54,0))+$BO25*$N25*('Baseline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Projects'!Q$3,'Baseline scaling factors'!$B$48:$K$48,0))</f>
        <v>2.5167251405891329</v>
      </c>
      <c r="BQ25" s="25">
        <f>$BO25*$N25*('Baseline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Projects'!R$3,'Baseline scaling factors'!$B$54:$K$54,0))+$BO25*$N25*('Baseline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Projects'!R$3,'Baseline scaling factors'!$B$48:$K$48,0))</f>
        <v>2.3027040051726089</v>
      </c>
      <c r="BR25" s="25">
        <f>$BO25*$N25*('Baseline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Projects'!S$3,'Baseline scaling factors'!$B$54:$K$54,0))+$BO25*$N25*('Baseline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Projects'!S$3,'Baseline scaling factors'!$B$48:$K$48,0))</f>
        <v>2.0981131184890516</v>
      </c>
      <c r="BS25" s="25">
        <f>$BO25*$N25*('Baseline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Projects'!T$3,'Baseline scaling factors'!$B$54:$K$54,0))+$BO25*$N25*('Baseline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Projects'!T$3,'Baseline scaling factors'!$B$48:$K$48,0))</f>
        <v>1.9025369627392854</v>
      </c>
      <c r="BT25" s="25">
        <f>$BO25*$N25*('Baseline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Projects'!U$3,'Baseline scaling factors'!$B$54:$K$54,0))+$BO25*$N25*('Baseline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Projects'!U$3,'Baseline scaling factors'!$B$48:$K$48,0))</f>
        <v>1.7155783287654329</v>
      </c>
      <c r="BU25" s="25">
        <f>$BO25*$N25*('Baseline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Projects'!V$3,'Baseline scaling factors'!$B$54:$K$54,0))+$BO25*$N25*('Baseline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Projects'!V$3,'Baseline scaling factors'!$B$48:$K$48,0))</f>
        <v>1.5368575093313361</v>
      </c>
      <c r="BV25" s="25">
        <f>$BO25*$N25*('Baseline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Projects'!W$3,'Baseline scaling factors'!$B$54:$K$54,0))+$BO25*$N25*('Baseline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Projects'!W$3,'Baseline scaling factors'!$B$48:$K$48,0))</f>
        <v>1.3660115279488321</v>
      </c>
      <c r="BW25" s="25">
        <f>$BO25*$N25*('Baseline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Projects'!X$3,'Baseline scaling factors'!$B$54:$K$54,0))+$BO25*$N25*('Baseline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Projects'!X$3,'Baseline scaling factors'!$B$48:$K$48,0))</f>
        <v>1.2026934016836717</v>
      </c>
      <c r="BX25" s="25">
        <f>$BO25*$N25*('Baseline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Projects'!Y$3,'Baseline scaling factors'!$B$54:$K$54,0))+$BO25*$N25*('Baseline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Projects'!Y$3,'Baseline scaling factors'!$B$48:$K$48,0))</f>
        <v>1.0465714364438472</v>
      </c>
      <c r="BY25" s="25">
        <f>$BO25*$N25*('Baseline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Projects'!Z$3,'Baseline scaling factors'!$B$54:$K$54,0))+$BO25*$N25*('Baseline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Projects'!Z$3,'Baseline scaling factors'!$B$48:$K$48,0))</f>
        <v>0.89732855331909467</v>
      </c>
      <c r="BZ25" s="12">
        <f t="shared" si="32"/>
        <v>1187.8942663580708</v>
      </c>
      <c r="CA25" s="12">
        <f t="shared" si="33"/>
        <v>1086.8762904414714</v>
      </c>
      <c r="CB25" s="12">
        <f t="shared" si="34"/>
        <v>990.30939192683229</v>
      </c>
      <c r="CC25" s="12">
        <f t="shared" si="35"/>
        <v>897.99744641294274</v>
      </c>
      <c r="CD25" s="12">
        <f t="shared" si="36"/>
        <v>809.75297117728439</v>
      </c>
      <c r="CE25" s="12">
        <f t="shared" si="37"/>
        <v>725.39674440439069</v>
      </c>
      <c r="CF25" s="12">
        <f t="shared" si="38"/>
        <v>644.75744119184878</v>
      </c>
      <c r="CG25" s="12">
        <f t="shared" si="39"/>
        <v>567.67128559469302</v>
      </c>
      <c r="CH25" s="12">
        <f t="shared" si="40"/>
        <v>493.98171800149589</v>
      </c>
      <c r="CI25" s="12">
        <f t="shared" si="41"/>
        <v>423.53907716661269</v>
      </c>
      <c r="CJ25" s="12">
        <f>'Mitigation Projects'!$AG25*VLOOKUP('Baseline Projects'!$H25&amp;"-"&amp;'Baseline Projects'!$G25,'Baseline scaling factors'!$A$49:$K$51,MATCH('Baseline Projects'!CJ$2,'Baseline scaling factors'!$A$48:$K$48,0),0)</f>
        <v>0</v>
      </c>
      <c r="CK25" s="12">
        <f>'Mitigation Projects'!$AG25*VLOOKUP('Baseline Projects'!$H25&amp;"-"&amp;'Baseline Projects'!$G25,'Baseline scaling factors'!$A$49:$K$51,MATCH('Baseline Projects'!CK$2,'Baseline scaling factors'!$A$48:$K$48,0),0)</f>
        <v>0</v>
      </c>
      <c r="CL25" s="12">
        <f>'Mitigation Projects'!$AG25*VLOOKUP('Baseline Projects'!$H25&amp;"-"&amp;'Baseline Projects'!$G25,'Baseline scaling factors'!$A$49:$K$51,MATCH('Baseline Projects'!CL$2,'Baseline scaling factors'!$A$48:$K$48,0),0)</f>
        <v>0</v>
      </c>
      <c r="CM25" s="12">
        <f>'Mitigation Projects'!$AG25*VLOOKUP('Baseline Projects'!$H25&amp;"-"&amp;'Baseline Projects'!$G25,'Baseline scaling factors'!$A$49:$K$51,MATCH('Baseline Projects'!CM$2,'Baseline scaling factors'!$A$48:$K$48,0),0)</f>
        <v>0</v>
      </c>
      <c r="CN25" s="12">
        <f>'Mitigation Projects'!$AG25*VLOOKUP('Baseline Projects'!$H25&amp;"-"&amp;'Baseline Projects'!$G25,'Baseline scaling factors'!$A$49:$K$51,MATCH('Baseline Projects'!CN$2,'Baseline scaling factors'!$A$48:$K$48,0),0)</f>
        <v>0</v>
      </c>
      <c r="CO25" s="12">
        <f>'Mitigation Projects'!$AG25*VLOOKUP('Baseline Projects'!$H25&amp;"-"&amp;'Baseline Projects'!$G25,'Baseline scaling factors'!$A$49:$K$51,MATCH('Baseline Projects'!CO$2,'Baseline scaling factors'!$A$48:$K$48,0),0)</f>
        <v>0</v>
      </c>
      <c r="CP25" s="12">
        <f>'Mitigation Projects'!$AG25*VLOOKUP('Baseline Projects'!$H25&amp;"-"&amp;'Baseline Projects'!$G25,'Baseline scaling factors'!$A$49:$K$51,MATCH('Baseline Projects'!CP$2,'Baseline scaling factors'!$A$48:$K$48,0),0)</f>
        <v>0</v>
      </c>
      <c r="CQ25" s="12">
        <f>'Mitigation Projects'!$AG25*VLOOKUP('Baseline Projects'!$H25&amp;"-"&amp;'Baseline Projects'!$G25,'Baseline scaling factors'!$A$49:$K$51,MATCH('Baseline Projects'!CQ$2,'Baseline scaling factors'!$A$48:$K$48,0),0)</f>
        <v>0</v>
      </c>
      <c r="CR25" s="12">
        <f>'Mitigation Projects'!$AG25*VLOOKUP('Baseline Projects'!$H25&amp;"-"&amp;'Baseline Projects'!$G25,'Baseline scaling factors'!$A$49:$K$51,MATCH('Baseline Projects'!CR$2,'Baseline scaling factors'!$A$48:$K$48,0),0)</f>
        <v>0</v>
      </c>
      <c r="CS25" s="12">
        <f>'Mitigation Projects'!$AG25*VLOOKUP('Baseline Projects'!$H25&amp;"-"&amp;'Baseline Projects'!$G25,'Baseline scaling factors'!$A$49:$K$51,MATCH('Baseline Projects'!CS$2,'Baseline scaling factors'!$A$48:$K$48,0),0)</f>
        <v>0</v>
      </c>
      <c r="CT25" s="12">
        <f>'Mitigation Projects'!$AH25*VLOOKUP('Baseline Projects'!$H25&amp;"-"&amp;'Baseline Projects'!$G25,'Baseline scaling factors'!$A$49:$K$51,MATCH('Baseline Projects'!CT$2,'Baseline scaling factors'!$A$48:$K$48,0),0)</f>
        <v>0</v>
      </c>
      <c r="CU25" s="12">
        <f>'Mitigation Projects'!$AH25*VLOOKUP('Baseline Projects'!$H25&amp;"-"&amp;'Baseline Projects'!$G25,'Baseline scaling factors'!$A$49:$K$51,MATCH('Baseline Projects'!CU$2,'Baseline scaling factors'!$A$48:$K$48,0),0)</f>
        <v>0</v>
      </c>
      <c r="CV25" s="12">
        <f>'Mitigation Projects'!$AH25*VLOOKUP('Baseline Projects'!$H25&amp;"-"&amp;'Baseline Projects'!$G25,'Baseline scaling factors'!$A$49:$K$51,MATCH('Baseline Projects'!CV$2,'Baseline scaling factors'!$A$48:$K$48,0),0)</f>
        <v>0</v>
      </c>
      <c r="CW25" s="12">
        <f>'Mitigation Projects'!$AH25*VLOOKUP('Baseline Projects'!$H25&amp;"-"&amp;'Baseline Projects'!$G25,'Baseline scaling factors'!$A$49:$K$51,MATCH('Baseline Projects'!CW$2,'Baseline scaling factors'!$A$48:$K$48,0),0)</f>
        <v>0</v>
      </c>
      <c r="CX25" s="12">
        <f>'Mitigation Projects'!$AH25*VLOOKUP('Baseline Projects'!$H25&amp;"-"&amp;'Baseline Projects'!$G25,'Baseline scaling factors'!$A$49:$K$51,MATCH('Baseline Projects'!CX$2,'Baseline scaling factors'!$A$48:$K$48,0),0)</f>
        <v>0</v>
      </c>
      <c r="CY25" s="12">
        <f>'Mitigation Projects'!$AH25*VLOOKUP('Baseline Projects'!$H25&amp;"-"&amp;'Baseline Projects'!$G25,'Baseline scaling factors'!$A$49:$K$51,MATCH('Baseline Projects'!CY$2,'Baseline scaling factors'!$A$48:$K$48,0),0)</f>
        <v>0</v>
      </c>
      <c r="CZ25" s="12">
        <f>'Mitigation Projects'!$AH25*VLOOKUP('Baseline Projects'!$H25&amp;"-"&amp;'Baseline Projects'!$G25,'Baseline scaling factors'!$A$49:$K$51,MATCH('Baseline Projects'!CZ$2,'Baseline scaling factors'!$A$48:$K$48,0),0)</f>
        <v>0</v>
      </c>
      <c r="DA25" s="12">
        <f>'Mitigation Projects'!$AH25*VLOOKUP('Baseline Projects'!$H25&amp;"-"&amp;'Baseline Projects'!$G25,'Baseline scaling factors'!$A$49:$K$51,MATCH('Baseline Projects'!DA$2,'Baseline scaling factors'!$A$48:$K$48,0),0)</f>
        <v>0</v>
      </c>
      <c r="DB25" s="12">
        <f>'Mitigation Projects'!$AH25*VLOOKUP('Baseline Projects'!$H25&amp;"-"&amp;'Baseline Projects'!$G25,'Baseline scaling factors'!$A$49:$K$51,MATCH('Baseline Projects'!DB$2,'Baseline scaling factors'!$A$48:$K$48,0),0)</f>
        <v>0</v>
      </c>
      <c r="DC25" s="12">
        <f>'Mitigation Projects'!$AH25*VLOOKUP('Baseline Projects'!$H25&amp;"-"&amp;'Baseline Projects'!$G25,'Baseline scaling factors'!$A$49:$K$51,MATCH('Baseline Projects'!DC$2,'Baseline scaling factors'!$A$48:$K$48,0),0)</f>
        <v>0</v>
      </c>
    </row>
    <row r="26" spans="1:107" x14ac:dyDescent="0.4">
      <c r="A26" s="38" t="str">
        <f>'Mitigation Projects'!A26</f>
        <v>DM-G6</v>
      </c>
      <c r="B26" s="38" t="str">
        <f>'Mitigation Projects'!B26</f>
        <v>Brattleboro</v>
      </c>
      <c r="C26" s="39">
        <f>'Mitigation Projects'!C26</f>
        <v>201149</v>
      </c>
      <c r="D26" s="39" t="str">
        <f>'Mitigation Projects'!D26</f>
        <v>201149: L6 VT RT 30 - CIC</v>
      </c>
      <c r="E26" s="39">
        <f>'Mitigation Projects'!E26</f>
        <v>476653</v>
      </c>
      <c r="F26" s="39">
        <f>'Mitigation Projects'!F26</f>
        <v>0</v>
      </c>
      <c r="G26" s="39" t="str">
        <f>'Mitigation Projects'!G26</f>
        <v>1PH</v>
      </c>
      <c r="H26" s="39" t="str">
        <f>'Mitigation Projects'!H26</f>
        <v>UG</v>
      </c>
      <c r="I26" s="39" t="str">
        <f>'Mitigation Projects'!J26</f>
        <v>Zone 3</v>
      </c>
      <c r="J26" s="39">
        <f>'Mitigation Projects'!K26</f>
        <v>194</v>
      </c>
      <c r="K26" s="40">
        <f>'Mitigation Projects'!L26*BASELINE_CAP_SPEND</f>
        <v>251576.7</v>
      </c>
      <c r="L26" s="97">
        <f>'Mitigation Projects'!Q26</f>
        <v>0.89446185997910133</v>
      </c>
      <c r="M26" s="97">
        <f>'Mitigation Projects'!R26</f>
        <v>0.10553814002089867</v>
      </c>
      <c r="N26" s="98">
        <f>'Mitigation Projects'!S26</f>
        <v>0.5</v>
      </c>
      <c r="O26" s="26">
        <f t="shared" si="0"/>
        <v>0.98</v>
      </c>
      <c r="P26" s="26">
        <f t="shared" si="1"/>
        <v>0.83359200333362127</v>
      </c>
      <c r="Q26" s="112">
        <f>VLOOKUP($A26,'Outage by Zone inputs'!$A$4:$E$13,MATCH('Baseline Projects'!$I26,'Outage by Zone inputs'!$A$3:$E$3,0),0)*'Baseline Projects'!$L26*$N26*('Baseline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Projects'!Q$3,'Baseline scaling factors'!$B$54:$K$54,0))+VLOOKUP($A26,'Outage by Zone inputs'!$A$4:$E$13,MATCH('Baseline Projects'!$I26,'Outage by Zone inputs'!$A$3:$E$3,0),0)*'Baseline Projects'!$L26*$N26*('Baseline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Projects'!Q$3,'Baseline scaling factors'!$B$48:$K$48,0))</f>
        <v>269.24192040535058</v>
      </c>
      <c r="R26" s="112">
        <f>VLOOKUP($A26,'Outage by Zone inputs'!$A$4:$E$13,MATCH('Baseline Projects'!$I26,'Outage by Zone inputs'!$A$3:$E$3,0),0)*'Baseline Projects'!$L26*$N26*('Baseline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Projects'!R$3,'Baseline scaling factors'!$B$54:$K$54,0))+VLOOKUP($A26,'Outage by Zone inputs'!$A$4:$E$13,MATCH('Baseline Projects'!$I26,'Outage by Zone inputs'!$A$3:$E$3,0),0)*'Baseline Projects'!$L26*$N26*('Baseline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Projects'!R$3,'Baseline scaling factors'!$B$48:$K$48,0))</f>
        <v>246.34571271960007</v>
      </c>
      <c r="S26" s="112">
        <f>VLOOKUP($A26,'Outage by Zone inputs'!$A$4:$E$13,MATCH('Baseline Projects'!$I26,'Outage by Zone inputs'!$A$3:$E$3,0),0)*'Baseline Projects'!$L26*$N26*('Baseline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Projects'!S$3,'Baseline scaling factors'!$B$54:$K$54,0))+VLOOKUP($A26,'Outage by Zone inputs'!$A$4:$E$13,MATCH('Baseline Projects'!$I26,'Outage by Zone inputs'!$A$3:$E$3,0),0)*'Baseline Projects'!$L26*$N26*('Baseline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Projects'!S$3,'Baseline scaling factors'!$B$48:$K$48,0))</f>
        <v>224.45836302863626</v>
      </c>
      <c r="T26" s="112">
        <f>VLOOKUP($A26,'Outage by Zone inputs'!$A$4:$E$13,MATCH('Baseline Projects'!$I26,'Outage by Zone inputs'!$A$3:$E$3,0),0)*'Baseline Projects'!$L26*$N26*('Baseline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Projects'!T$3,'Baseline scaling factors'!$B$54:$K$54,0))+VLOOKUP($A26,'Outage by Zone inputs'!$A$4:$E$13,MATCH('Baseline Projects'!$I26,'Outage by Zone inputs'!$A$3:$E$3,0),0)*'Baseline Projects'!$L26*$N26*('Baseline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Projects'!T$3,'Baseline scaling factors'!$B$48:$K$48,0))</f>
        <v>203.53541879832724</v>
      </c>
      <c r="U26" s="112">
        <f>VLOOKUP($A26,'Outage by Zone inputs'!$A$4:$E$13,MATCH('Baseline Projects'!$I26,'Outage by Zone inputs'!$A$3:$E$3,0),0)*'Baseline Projects'!$L26*$N26*('Baseline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Projects'!U$3,'Baseline scaling factors'!$B$54:$K$54,0))+VLOOKUP($A26,'Outage by Zone inputs'!$A$4:$E$13,MATCH('Baseline Projects'!$I26,'Outage by Zone inputs'!$A$3:$E$3,0),0)*'Baseline Projects'!$L26*$N26*('Baseline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Projects'!U$3,'Baseline scaling factors'!$B$48:$K$48,0))</f>
        <v>183.53438617237356</v>
      </c>
      <c r="V26" s="112">
        <f>VLOOKUP($A26,'Outage by Zone inputs'!$A$4:$E$13,MATCH('Baseline Projects'!$I26,'Outage by Zone inputs'!$A$3:$E$3,0),0)*'Baseline Projects'!$L26*$N26*('Baseline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Projects'!V$3,'Baseline scaling factors'!$B$54:$K$54,0))+VLOOKUP($A26,'Outage by Zone inputs'!$A$4:$E$13,MATCH('Baseline Projects'!$I26,'Outage by Zone inputs'!$A$3:$E$3,0),0)*'Baseline Projects'!$L26*$N26*('Baseline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Projects'!V$3,'Baseline scaling factors'!$B$48:$K$48,0))</f>
        <v>164.41464366859338</v>
      </c>
      <c r="W26" s="112">
        <f>VLOOKUP($A26,'Outage by Zone inputs'!$A$4:$E$13,MATCH('Baseline Projects'!$I26,'Outage by Zone inputs'!$A$3:$E$3,0),0)*'Baseline Projects'!$L26*$N26*('Baseline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Projects'!W$3,'Baseline scaling factors'!$B$54:$K$54,0))+VLOOKUP($A26,'Outage by Zone inputs'!$A$4:$E$13,MATCH('Baseline Projects'!$I26,'Outage by Zone inputs'!$A$3:$E$3,0),0)*'Baseline Projects'!$L26*$N26*('Baseline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Projects'!W$3,'Baseline scaling factors'!$B$48:$K$48,0))</f>
        <v>146.13735967794102</v>
      </c>
      <c r="X26" s="112">
        <f>VLOOKUP($A26,'Outage by Zone inputs'!$A$4:$E$13,MATCH('Baseline Projects'!$I26,'Outage by Zone inputs'!$A$3:$E$3,0),0)*'Baseline Projects'!$L26*$N26*('Baseline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Projects'!X$3,'Baseline scaling factors'!$B$54:$K$54,0))+VLOOKUP($A26,'Outage by Zone inputs'!$A$4:$E$13,MATCH('Baseline Projects'!$I26,'Outage by Zone inputs'!$A$3:$E$3,0),0)*'Baseline Projects'!$L26*$N26*('Baseline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Projects'!X$3,'Baseline scaling factors'!$B$48:$K$48,0))</f>
        <v>128.66541359870331</v>
      </c>
      <c r="Y26" s="112">
        <f>VLOOKUP($A26,'Outage by Zone inputs'!$A$4:$E$13,MATCH('Baseline Projects'!$I26,'Outage by Zone inputs'!$A$3:$E$3,0),0)*'Baseline Projects'!$L26*$N26*('Baseline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Projects'!Y$3,'Baseline scaling factors'!$B$54:$K$54,0))+VLOOKUP($A26,'Outage by Zone inputs'!$A$4:$E$13,MATCH('Baseline Projects'!$I26,'Outage by Zone inputs'!$A$3:$E$3,0),0)*'Baseline Projects'!$L26*$N26*('Baseline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Projects'!Y$3,'Baseline scaling factors'!$B$48:$K$48,0))</f>
        <v>111.96332044569891</v>
      </c>
      <c r="Z26" s="112">
        <f>VLOOKUP($A26,'Outage by Zone inputs'!$A$4:$E$13,MATCH('Baseline Projects'!$I26,'Outage by Zone inputs'!$A$3:$E$3,0),0)*'Baseline Projects'!$L26*$N26*('Baseline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Projects'!Z$3,'Baseline scaling factors'!$B$54:$K$54,0))+VLOOKUP($A26,'Outage by Zone inputs'!$A$4:$E$13,MATCH('Baseline Projects'!$I26,'Outage by Zone inputs'!$A$3:$E$3,0),0)*'Baseline Projects'!$L26*$N26*('Baseline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Projects'!Z$3,'Baseline scaling factors'!$B$48:$K$48,0))</f>
        <v>95.997158781364988</v>
      </c>
      <c r="AA26" s="34">
        <f>VLOOKUP($A26,'Outage by Zone inputs'!$A$4:$E$13,MATCH('Baseline Projects'!$I26,'Outage by Zone inputs'!$A$3:$E$3,0),0)*$M26*$N26*('Baseline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Projects'!AA$3,'Baseline scaling factors'!$B$54:$K$54,0))+VLOOKUP($A26,'Outage by Zone inputs'!$A$4:$E$13,MATCH('Baseline Projects'!$I26,'Outage by Zone inputs'!$A$3:$E$3,0),0)*$M26*$N26*('Baseline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Projects'!AA$3,'Baseline scaling factors'!$B$48:$K$48,0))</f>
        <v>31.768030328201419</v>
      </c>
      <c r="AB26" s="34">
        <f>VLOOKUP($A26,'Outage by Zone inputs'!$A$4:$E$13,MATCH('Baseline Projects'!$I26,'Outage by Zone inputs'!$A$3:$E$3,0),0)*$M26*$N26*('Baseline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Projects'!AB$3,'Baseline scaling factors'!$B$54:$K$54,0))+VLOOKUP($A26,'Outage by Zone inputs'!$A$4:$E$13,MATCH('Baseline Projects'!$I26,'Outage by Zone inputs'!$A$3:$E$3,0),0)*$M26*$N26*('Baseline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Projects'!AB$3,'Baseline scaling factors'!$B$48:$K$48,0))</f>
        <v>29.066491804532259</v>
      </c>
      <c r="AC26" s="34">
        <f>VLOOKUP($A26,'Outage by Zone inputs'!$A$4:$E$13,MATCH('Baseline Projects'!$I26,'Outage by Zone inputs'!$A$3:$E$3,0),0)*$M26*$N26*('Baseline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Projects'!AC$3,'Baseline scaling factors'!$B$54:$K$54,0))+VLOOKUP($A26,'Outage by Zone inputs'!$A$4:$E$13,MATCH('Baseline Projects'!$I26,'Outage by Zone inputs'!$A$3:$E$3,0),0)*$M26*$N26*('Baseline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Projects'!AC$3,'Baseline scaling factors'!$B$48:$K$48,0))</f>
        <v>26.483989095668537</v>
      </c>
      <c r="AD26" s="34">
        <f>VLOOKUP($A26,'Outage by Zone inputs'!$A$4:$E$13,MATCH('Baseline Projects'!$I26,'Outage by Zone inputs'!$A$3:$E$3,0),0)*$M26*$N26*('Baseline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Projects'!AD$3,'Baseline scaling factors'!$B$54:$K$54,0))+VLOOKUP($A26,'Outage by Zone inputs'!$A$4:$E$13,MATCH('Baseline Projects'!$I26,'Outage by Zone inputs'!$A$3:$E$3,0),0)*$M26*$N26*('Baseline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Projects'!AD$3,'Baseline scaling factors'!$B$48:$K$48,0))</f>
        <v>24.015277218026934</v>
      </c>
      <c r="AE26" s="34">
        <f>VLOOKUP($A26,'Outage by Zone inputs'!$A$4:$E$13,MATCH('Baseline Projects'!$I26,'Outage by Zone inputs'!$A$3:$E$3,0),0)*$M26*$N26*('Baseline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Projects'!AE$3,'Baseline scaling factors'!$B$54:$K$54,0))+VLOOKUP($A26,'Outage by Zone inputs'!$A$4:$E$13,MATCH('Baseline Projects'!$I26,'Outage by Zone inputs'!$A$3:$E$3,0),0)*$M26*$N26*('Baseline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Projects'!AE$3,'Baseline scaling factors'!$B$48:$K$48,0))</f>
        <v>21.655342293702962</v>
      </c>
      <c r="AF26" s="34">
        <f>VLOOKUP($A26,'Outage by Zone inputs'!$A$4:$E$13,MATCH('Baseline Projects'!$I26,'Outage by Zone inputs'!$A$3:$E$3,0),0)*$M26*$N26*('Baseline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Projects'!AF$3,'Baseline scaling factors'!$B$54:$K$54,0))+VLOOKUP($A26,'Outage by Zone inputs'!$A$4:$E$13,MATCH('Baseline Projects'!$I26,'Outage by Zone inputs'!$A$3:$E$3,0),0)*$M26*$N26*('Baseline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Projects'!AF$3,'Baseline scaling factors'!$B$48:$K$48,0))</f>
        <v>19.399391367439183</v>
      </c>
      <c r="AG26" s="34">
        <f>VLOOKUP($A26,'Outage by Zone inputs'!$A$4:$E$13,MATCH('Baseline Projects'!$I26,'Outage by Zone inputs'!$A$3:$E$3,0),0)*$M26*$N26*('Baseline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Projects'!AG$3,'Baseline scaling factors'!$B$54:$K$54,0))+VLOOKUP($A26,'Outage by Zone inputs'!$A$4:$E$13,MATCH('Baseline Projects'!$I26,'Outage by Zone inputs'!$A$3:$E$3,0),0)*$M26*$N26*('Baseline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Projects'!AG$3,'Baseline scaling factors'!$B$48:$K$48,0))</f>
        <v>17.242842672280432</v>
      </c>
      <c r="AH26" s="34">
        <f>VLOOKUP($A26,'Outage by Zone inputs'!$A$4:$E$13,MATCH('Baseline Projects'!$I26,'Outage by Zone inputs'!$A$3:$E$3,0),0)*$M26*$N26*('Baseline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Projects'!AH$3,'Baseline scaling factors'!$B$54:$K$54,0))+VLOOKUP($A26,'Outage by Zone inputs'!$A$4:$E$13,MATCH('Baseline Projects'!$I26,'Outage by Zone inputs'!$A$3:$E$3,0),0)*$M26*$N26*('Baseline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Projects'!AH$3,'Baseline scaling factors'!$B$48:$K$48,0))</f>
        <v>15.181316324146071</v>
      </c>
      <c r="AI26" s="34">
        <f>VLOOKUP($A26,'Outage by Zone inputs'!$A$4:$E$13,MATCH('Baseline Projects'!$I26,'Outage by Zone inputs'!$A$3:$E$3,0),0)*$M26*$N26*('Baseline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Projects'!AI$3,'Baseline scaling factors'!$B$54:$K$54,0))+VLOOKUP($A26,'Outage by Zone inputs'!$A$4:$E$13,MATCH('Baseline Projects'!$I26,'Outage by Zone inputs'!$A$3:$E$3,0),0)*$M26*$N26*('Baseline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Projects'!AI$3,'Baseline scaling factors'!$B$48:$K$48,0))</f>
        <v>13.210625426420087</v>
      </c>
      <c r="AJ26" s="34">
        <f>VLOOKUP($A26,'Outage by Zone inputs'!$A$4:$E$13,MATCH('Baseline Projects'!$I26,'Outage by Zone inputs'!$A$3:$E$3,0),0)*$M26*$N26*('Baseline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Projects'!AJ$3,'Baseline scaling factors'!$B$54:$K$54,0))+VLOOKUP($A26,'Outage by Zone inputs'!$A$4:$E$13,MATCH('Baseline Projects'!$I26,'Outage by Zone inputs'!$A$3:$E$3,0),0)*$M26*$N26*('Baseline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Projects'!AJ$3,'Baseline scaling factors'!$B$48:$K$48,0))</f>
        <v>11.326767566492833</v>
      </c>
      <c r="AK26" s="1">
        <f t="shared" si="2"/>
        <v>5654.080328512362</v>
      </c>
      <c r="AL26" s="1">
        <f t="shared" si="3"/>
        <v>5173.2599671116013</v>
      </c>
      <c r="AM26" s="1">
        <f t="shared" si="4"/>
        <v>4713.6256236013614</v>
      </c>
      <c r="AN26" s="1">
        <f t="shared" si="5"/>
        <v>4274.2437947648723</v>
      </c>
      <c r="AO26" s="1">
        <f t="shared" si="6"/>
        <v>3854.2221096198446</v>
      </c>
      <c r="AP26" s="1">
        <f t="shared" si="7"/>
        <v>3452.707517040461</v>
      </c>
      <c r="AQ26" s="1">
        <f t="shared" si="8"/>
        <v>3068.8845532367613</v>
      </c>
      <c r="AR26" s="1">
        <f t="shared" si="9"/>
        <v>2701.9736855727697</v>
      </c>
      <c r="AS26" s="1">
        <f t="shared" si="10"/>
        <v>2351.2297293596771</v>
      </c>
      <c r="AT26" s="1">
        <f t="shared" si="11"/>
        <v>2015.9403344086647</v>
      </c>
      <c r="AU26" s="1">
        <f t="shared" si="12"/>
        <v>123418.79782506252</v>
      </c>
      <c r="AV26" s="1">
        <f t="shared" si="13"/>
        <v>112923.32066060783</v>
      </c>
      <c r="AW26" s="1">
        <f t="shared" si="14"/>
        <v>102890.29763667227</v>
      </c>
      <c r="AX26" s="1">
        <f t="shared" si="15"/>
        <v>93299.351992034644</v>
      </c>
      <c r="AY26" s="1">
        <f t="shared" si="16"/>
        <v>84131.004811036008</v>
      </c>
      <c r="AZ26" s="1">
        <f t="shared" si="17"/>
        <v>75366.635462501232</v>
      </c>
      <c r="BA26" s="1">
        <f t="shared" si="18"/>
        <v>66988.443781809474</v>
      </c>
      <c r="BB26" s="1">
        <f t="shared" si="19"/>
        <v>58979.413919307488</v>
      </c>
      <c r="BC26" s="1">
        <f t="shared" si="20"/>
        <v>51323.279781642035</v>
      </c>
      <c r="BD26" s="1">
        <f t="shared" si="21"/>
        <v>44004.491995824661</v>
      </c>
      <c r="BE26" s="1">
        <f t="shared" si="22"/>
        <v>129072.87815357489</v>
      </c>
      <c r="BF26" s="1">
        <f t="shared" si="23"/>
        <v>118096.58062771944</v>
      </c>
      <c r="BG26" s="1">
        <f t="shared" si="24"/>
        <v>107603.92326027363</v>
      </c>
      <c r="BH26" s="1">
        <f t="shared" si="25"/>
        <v>97573.595786799517</v>
      </c>
      <c r="BI26" s="1">
        <f t="shared" si="26"/>
        <v>87985.226920655856</v>
      </c>
      <c r="BJ26" s="1">
        <f t="shared" si="27"/>
        <v>78819.342979541689</v>
      </c>
      <c r="BK26" s="1">
        <f t="shared" si="28"/>
        <v>70057.32833504623</v>
      </c>
      <c r="BL26" s="1">
        <f t="shared" si="29"/>
        <v>61681.387604880256</v>
      </c>
      <c r="BM26" s="1">
        <f t="shared" si="30"/>
        <v>53674.509511001714</v>
      </c>
      <c r="BN26" s="1">
        <f t="shared" si="31"/>
        <v>46020.432330233329</v>
      </c>
      <c r="BO26" s="25">
        <f>VLOOKUP($A26,'Outage by Zone inputs'!$A$59:$E$68,MATCH('Baseline Projects'!$I26,'Outage by Zone inputs'!$A$58:$E$58,0),0)*AVG_INCIDENT_PERCENT_NON_STORM</f>
        <v>39.400316239898757</v>
      </c>
      <c r="BP26" s="25">
        <f>$BO26*$N26*('Baseline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Projects'!Q$3,'Baseline scaling factors'!$B$54:$K$54,0))+$BO26*$N26*('Baseline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Projects'!Q$3,'Baseline scaling factors'!$B$48:$K$48,0))</f>
        <v>2.8720275133781872</v>
      </c>
      <c r="BQ26" s="25">
        <f>$BO26*$N26*('Baseline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Projects'!R$3,'Baseline scaling factors'!$B$54:$K$54,0))+$BO26*$N26*('Baseline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Projects'!R$3,'Baseline scaling factors'!$B$48:$K$48,0))</f>
        <v>2.6277916294322718</v>
      </c>
      <c r="BR26" s="25">
        <f>$BO26*$N26*('Baseline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Projects'!S$3,'Baseline scaling factors'!$B$54:$K$54,0))+$BO26*$N26*('Baseline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Projects'!S$3,'Baseline scaling factors'!$B$48:$K$48,0))</f>
        <v>2.3943173234522126</v>
      </c>
      <c r="BS26" s="25">
        <f>$BO26*$N26*('Baseline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Projects'!T$3,'Baseline scaling factors'!$B$54:$K$54,0))+$BO26*$N26*('Baseline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Projects'!T$3,'Baseline scaling factors'!$B$48:$K$48,0))</f>
        <v>2.1711304163024789</v>
      </c>
      <c r="BT26" s="25">
        <f>$BO26*$N26*('Baseline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Projects'!U$3,'Baseline scaling factors'!$B$54:$K$54,0))+$BO26*$N26*('Baseline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Projects'!U$3,'Baseline scaling factors'!$B$48:$K$48,0))</f>
        <v>1.9577776222382002</v>
      </c>
      <c r="BU26" s="25">
        <f>$BO26*$N26*('Baseline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Projects'!V$3,'Baseline scaling factors'!$B$54:$K$54,0))+$BO26*$N26*('Baseline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Projects'!V$3,'Baseline scaling factors'!$B$48:$K$48,0))</f>
        <v>1.7538256282957603</v>
      </c>
      <c r="BV26" s="25">
        <f>$BO26*$N26*('Baseline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Projects'!W$3,'Baseline scaling factors'!$B$54:$K$54,0))+$BO26*$N26*('Baseline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Projects'!W$3,'Baseline scaling factors'!$B$48:$K$48,0))</f>
        <v>1.558860214247491</v>
      </c>
      <c r="BW26" s="25">
        <f>$BO26*$N26*('Baseline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Projects'!X$3,'Baseline scaling factors'!$B$54:$K$54,0))+$BO26*$N26*('Baseline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Projects'!X$3,'Baseline scaling factors'!$B$48:$K$48,0))</f>
        <v>1.3724854113331315</v>
      </c>
      <c r="BX26" s="25">
        <f>$BO26*$N26*('Baseline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Projects'!Y$3,'Baseline scaling factors'!$B$54:$K$54,0))+$BO26*$N26*('Baseline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Projects'!Y$3,'Baseline scaling factors'!$B$48:$K$48,0))</f>
        <v>1.1943226980594495</v>
      </c>
      <c r="BY26" s="25">
        <f>$BO26*$N26*('Baseline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Projects'!Z$3,'Baseline scaling factors'!$B$54:$K$54,0))+$BO26*$N26*('Baseline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Projects'!Z$3,'Baseline scaling factors'!$B$48:$K$48,0))</f>
        <v>1.0240102314347317</v>
      </c>
      <c r="BZ26" s="12">
        <f t="shared" si="32"/>
        <v>1355.5969863145044</v>
      </c>
      <c r="CA26" s="12">
        <f t="shared" si="33"/>
        <v>1240.3176490920323</v>
      </c>
      <c r="CB26" s="12">
        <f t="shared" si="34"/>
        <v>1130.1177766694443</v>
      </c>
      <c r="CC26" s="12">
        <f t="shared" si="35"/>
        <v>1024.77355649477</v>
      </c>
      <c r="CD26" s="12">
        <f t="shared" si="36"/>
        <v>924.07103769643049</v>
      </c>
      <c r="CE26" s="12">
        <f t="shared" si="37"/>
        <v>827.80569655559884</v>
      </c>
      <c r="CF26" s="12">
        <f t="shared" si="38"/>
        <v>735.78202112481574</v>
      </c>
      <c r="CG26" s="12">
        <f t="shared" si="39"/>
        <v>647.81311414923812</v>
      </c>
      <c r="CH26" s="12">
        <f t="shared" si="40"/>
        <v>563.72031348406017</v>
      </c>
      <c r="CI26" s="12">
        <f t="shared" si="41"/>
        <v>483.33282923719338</v>
      </c>
      <c r="CJ26" s="12">
        <f>'Mitigation Projects'!$AG26*VLOOKUP('Baseline Projects'!$H26&amp;"-"&amp;'Baseline Projects'!$G26,'Baseline scaling factors'!$A$49:$K$51,MATCH('Baseline Projects'!CJ$2,'Baseline scaling factors'!$A$48:$K$48,0),0)</f>
        <v>0</v>
      </c>
      <c r="CK26" s="12">
        <f>'Mitigation Projects'!$AG26*VLOOKUP('Baseline Projects'!$H26&amp;"-"&amp;'Baseline Projects'!$G26,'Baseline scaling factors'!$A$49:$K$51,MATCH('Baseline Projects'!CK$2,'Baseline scaling factors'!$A$48:$K$48,0),0)</f>
        <v>0</v>
      </c>
      <c r="CL26" s="12">
        <f>'Mitigation Projects'!$AG26*VLOOKUP('Baseline Projects'!$H26&amp;"-"&amp;'Baseline Projects'!$G26,'Baseline scaling factors'!$A$49:$K$51,MATCH('Baseline Projects'!CL$2,'Baseline scaling factors'!$A$48:$K$48,0),0)</f>
        <v>0</v>
      </c>
      <c r="CM26" s="12">
        <f>'Mitigation Projects'!$AG26*VLOOKUP('Baseline Projects'!$H26&amp;"-"&amp;'Baseline Projects'!$G26,'Baseline scaling factors'!$A$49:$K$51,MATCH('Baseline Projects'!CM$2,'Baseline scaling factors'!$A$48:$K$48,0),0)</f>
        <v>0</v>
      </c>
      <c r="CN26" s="12">
        <f>'Mitigation Projects'!$AG26*VLOOKUP('Baseline Projects'!$H26&amp;"-"&amp;'Baseline Projects'!$G26,'Baseline scaling factors'!$A$49:$K$51,MATCH('Baseline Projects'!CN$2,'Baseline scaling factors'!$A$48:$K$48,0),0)</f>
        <v>0</v>
      </c>
      <c r="CO26" s="12">
        <f>'Mitigation Projects'!$AG26*VLOOKUP('Baseline Projects'!$H26&amp;"-"&amp;'Baseline Projects'!$G26,'Baseline scaling factors'!$A$49:$K$51,MATCH('Baseline Projects'!CO$2,'Baseline scaling factors'!$A$48:$K$48,0),0)</f>
        <v>0</v>
      </c>
      <c r="CP26" s="12">
        <f>'Mitigation Projects'!$AG26*VLOOKUP('Baseline Projects'!$H26&amp;"-"&amp;'Baseline Projects'!$G26,'Baseline scaling factors'!$A$49:$K$51,MATCH('Baseline Projects'!CP$2,'Baseline scaling factors'!$A$48:$K$48,0),0)</f>
        <v>0</v>
      </c>
      <c r="CQ26" s="12">
        <f>'Mitigation Projects'!$AG26*VLOOKUP('Baseline Projects'!$H26&amp;"-"&amp;'Baseline Projects'!$G26,'Baseline scaling factors'!$A$49:$K$51,MATCH('Baseline Projects'!CQ$2,'Baseline scaling factors'!$A$48:$K$48,0),0)</f>
        <v>0</v>
      </c>
      <c r="CR26" s="12">
        <f>'Mitigation Projects'!$AG26*VLOOKUP('Baseline Projects'!$H26&amp;"-"&amp;'Baseline Projects'!$G26,'Baseline scaling factors'!$A$49:$K$51,MATCH('Baseline Projects'!CR$2,'Baseline scaling factors'!$A$48:$K$48,0),0)</f>
        <v>0</v>
      </c>
      <c r="CS26" s="12">
        <f>'Mitigation Projects'!$AG26*VLOOKUP('Baseline Projects'!$H26&amp;"-"&amp;'Baseline Projects'!$G26,'Baseline scaling factors'!$A$49:$K$51,MATCH('Baseline Projects'!CS$2,'Baseline scaling factors'!$A$48:$K$48,0),0)</f>
        <v>0</v>
      </c>
      <c r="CT26" s="12">
        <f>'Mitigation Projects'!$AH26*VLOOKUP('Baseline Projects'!$H26&amp;"-"&amp;'Baseline Projects'!$G26,'Baseline scaling factors'!$A$49:$K$51,MATCH('Baseline Projects'!CT$2,'Baseline scaling factors'!$A$48:$K$48,0),0)</f>
        <v>0</v>
      </c>
      <c r="CU26" s="12">
        <f>'Mitigation Projects'!$AH26*VLOOKUP('Baseline Projects'!$H26&amp;"-"&amp;'Baseline Projects'!$G26,'Baseline scaling factors'!$A$49:$K$51,MATCH('Baseline Projects'!CU$2,'Baseline scaling factors'!$A$48:$K$48,0),0)</f>
        <v>0</v>
      </c>
      <c r="CV26" s="12">
        <f>'Mitigation Projects'!$AH26*VLOOKUP('Baseline Projects'!$H26&amp;"-"&amp;'Baseline Projects'!$G26,'Baseline scaling factors'!$A$49:$K$51,MATCH('Baseline Projects'!CV$2,'Baseline scaling factors'!$A$48:$K$48,0),0)</f>
        <v>0</v>
      </c>
      <c r="CW26" s="12">
        <f>'Mitigation Projects'!$AH26*VLOOKUP('Baseline Projects'!$H26&amp;"-"&amp;'Baseline Projects'!$G26,'Baseline scaling factors'!$A$49:$K$51,MATCH('Baseline Projects'!CW$2,'Baseline scaling factors'!$A$48:$K$48,0),0)</f>
        <v>0</v>
      </c>
      <c r="CX26" s="12">
        <f>'Mitigation Projects'!$AH26*VLOOKUP('Baseline Projects'!$H26&amp;"-"&amp;'Baseline Projects'!$G26,'Baseline scaling factors'!$A$49:$K$51,MATCH('Baseline Projects'!CX$2,'Baseline scaling factors'!$A$48:$K$48,0),0)</f>
        <v>0</v>
      </c>
      <c r="CY26" s="12">
        <f>'Mitigation Projects'!$AH26*VLOOKUP('Baseline Projects'!$H26&amp;"-"&amp;'Baseline Projects'!$G26,'Baseline scaling factors'!$A$49:$K$51,MATCH('Baseline Projects'!CY$2,'Baseline scaling factors'!$A$48:$K$48,0),0)</f>
        <v>0</v>
      </c>
      <c r="CZ26" s="12">
        <f>'Mitigation Projects'!$AH26*VLOOKUP('Baseline Projects'!$H26&amp;"-"&amp;'Baseline Projects'!$G26,'Baseline scaling factors'!$A$49:$K$51,MATCH('Baseline Projects'!CZ$2,'Baseline scaling factors'!$A$48:$K$48,0),0)</f>
        <v>0</v>
      </c>
      <c r="DA26" s="12">
        <f>'Mitigation Projects'!$AH26*VLOOKUP('Baseline Projects'!$H26&amp;"-"&amp;'Baseline Projects'!$G26,'Baseline scaling factors'!$A$49:$K$51,MATCH('Baseline Projects'!DA$2,'Baseline scaling factors'!$A$48:$K$48,0),0)</f>
        <v>0</v>
      </c>
      <c r="DB26" s="12">
        <f>'Mitigation Projects'!$AH26*VLOOKUP('Baseline Projects'!$H26&amp;"-"&amp;'Baseline Projects'!$G26,'Baseline scaling factors'!$A$49:$K$51,MATCH('Baseline Projects'!DB$2,'Baseline scaling factors'!$A$48:$K$48,0),0)</f>
        <v>0</v>
      </c>
      <c r="DC26" s="12">
        <f>'Mitigation Projects'!$AH26*VLOOKUP('Baseline Projects'!$H26&amp;"-"&amp;'Baseline Projects'!$G26,'Baseline scaling factors'!$A$49:$K$51,MATCH('Baseline Projects'!DC$2,'Baseline scaling factors'!$A$48:$K$48,0),0)</f>
        <v>0</v>
      </c>
    </row>
    <row r="27" spans="1:107" x14ac:dyDescent="0.4">
      <c r="A27" s="38" t="str">
        <f>'Mitigation Projects'!A27</f>
        <v>DM-G6</v>
      </c>
      <c r="B27" s="38" t="str">
        <f>'Mitigation Projects'!B27</f>
        <v>Brattleboro</v>
      </c>
      <c r="C27" s="39">
        <f>'Mitigation Projects'!C27</f>
        <v>203953</v>
      </c>
      <c r="D27" s="39" t="str">
        <f>'Mitigation Projects'!D27</f>
        <v>203953: L.9-P.61 Quarry Rd</v>
      </c>
      <c r="E27" s="39">
        <f>'Mitigation Projects'!E27</f>
        <v>555745</v>
      </c>
      <c r="F27" s="39">
        <f>'Mitigation Projects'!F27</f>
        <v>555590</v>
      </c>
      <c r="G27" s="39" t="str">
        <f>'Mitigation Projects'!G27</f>
        <v>1PH</v>
      </c>
      <c r="H27" s="39" t="str">
        <f>'Mitigation Projects'!H27</f>
        <v>UG</v>
      </c>
      <c r="I27" s="39" t="str">
        <f>'Mitigation Projects'!J27</f>
        <v>Zone 3</v>
      </c>
      <c r="J27" s="39">
        <f>'Mitigation Projects'!K27</f>
        <v>84</v>
      </c>
      <c r="K27" s="40">
        <f>'Mitigation Projects'!L27*BASELINE_CAP_SPEND</f>
        <v>115667.1</v>
      </c>
      <c r="L27" s="97">
        <f>'Mitigation Projects'!Q27</f>
        <v>0.89446185997910133</v>
      </c>
      <c r="M27" s="97">
        <f>'Mitigation Projects'!R27</f>
        <v>0.10553814002089867</v>
      </c>
      <c r="N27" s="98">
        <f>'Mitigation Projects'!S27</f>
        <v>0.5</v>
      </c>
      <c r="O27" s="26">
        <f t="shared" si="0"/>
        <v>0.98</v>
      </c>
      <c r="P27" s="26">
        <f t="shared" si="1"/>
        <v>0.83359200333362127</v>
      </c>
      <c r="Q27" s="112">
        <f>VLOOKUP($A27,'Outage by Zone inputs'!$A$4:$E$13,MATCH('Baseline Projects'!$I27,'Outage by Zone inputs'!$A$3:$E$3,0),0)*'Baseline Projects'!$L27*$N27*('Baseline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Projects'!Q$3,'Baseline scaling factors'!$B$54:$K$54,0))+VLOOKUP($A27,'Outage by Zone inputs'!$A$4:$E$13,MATCH('Baseline Projects'!$I27,'Outage by Zone inputs'!$A$3:$E$3,0),0)*'Baseline Projects'!$L27*$N27*('Baseline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Projects'!Q$3,'Baseline scaling factors'!$B$48:$K$48,0))</f>
        <v>116.57897584561572</v>
      </c>
      <c r="R27" s="112">
        <f>VLOOKUP($A27,'Outage by Zone inputs'!$A$4:$E$13,MATCH('Baseline Projects'!$I27,'Outage by Zone inputs'!$A$3:$E$3,0),0)*'Baseline Projects'!$L27*$N27*('Baseline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Projects'!R$3,'Baseline scaling factors'!$B$54:$K$54,0))+VLOOKUP($A27,'Outage by Zone inputs'!$A$4:$E$13,MATCH('Baseline Projects'!$I27,'Outage by Zone inputs'!$A$3:$E$3,0),0)*'Baseline Projects'!$L27*$N27*('Baseline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Projects'!R$3,'Baseline scaling factors'!$B$48:$K$48,0))</f>
        <v>106.66515396106394</v>
      </c>
      <c r="S27" s="112">
        <f>VLOOKUP($A27,'Outage by Zone inputs'!$A$4:$E$13,MATCH('Baseline Projects'!$I27,'Outage by Zone inputs'!$A$3:$E$3,0),0)*'Baseline Projects'!$L27*$N27*('Baseline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Projects'!S$3,'Baseline scaling factors'!$B$54:$K$54,0))+VLOOKUP($A27,'Outage by Zone inputs'!$A$4:$E$13,MATCH('Baseline Projects'!$I27,'Outage by Zone inputs'!$A$3:$E$3,0),0)*'Baseline Projects'!$L27*$N27*('Baseline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Projects'!S$3,'Baseline scaling factors'!$B$48:$K$48,0))</f>
        <v>97.188157187656927</v>
      </c>
      <c r="T27" s="112">
        <f>VLOOKUP($A27,'Outage by Zone inputs'!$A$4:$E$13,MATCH('Baseline Projects'!$I27,'Outage by Zone inputs'!$A$3:$E$3,0),0)*'Baseline Projects'!$L27*$N27*('Baseline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Projects'!T$3,'Baseline scaling factors'!$B$54:$K$54,0))+VLOOKUP($A27,'Outage by Zone inputs'!$A$4:$E$13,MATCH('Baseline Projects'!$I27,'Outage by Zone inputs'!$A$3:$E$3,0),0)*'Baseline Projects'!$L27*$N27*('Baseline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Projects'!T$3,'Baseline scaling factors'!$B$48:$K$48,0))</f>
        <v>88.128738036389109</v>
      </c>
      <c r="U27" s="112">
        <f>VLOOKUP($A27,'Outage by Zone inputs'!$A$4:$E$13,MATCH('Baseline Projects'!$I27,'Outage by Zone inputs'!$A$3:$E$3,0),0)*'Baseline Projects'!$L27*$N27*('Baseline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Projects'!U$3,'Baseline scaling factors'!$B$54:$K$54,0))+VLOOKUP($A27,'Outage by Zone inputs'!$A$4:$E$13,MATCH('Baseline Projects'!$I27,'Outage by Zone inputs'!$A$3:$E$3,0),0)*'Baseline Projects'!$L27*$N27*('Baseline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Projects'!U$3,'Baseline scaling factors'!$B$48:$K$48,0))</f>
        <v>79.468497105563799</v>
      </c>
      <c r="V27" s="112">
        <f>VLOOKUP($A27,'Outage by Zone inputs'!$A$4:$E$13,MATCH('Baseline Projects'!$I27,'Outage by Zone inputs'!$A$3:$E$3,0),0)*'Baseline Projects'!$L27*$N27*('Baseline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Projects'!V$3,'Baseline scaling factors'!$B$54:$K$54,0))+VLOOKUP($A27,'Outage by Zone inputs'!$A$4:$E$13,MATCH('Baseline Projects'!$I27,'Outage by Zone inputs'!$A$3:$E$3,0),0)*'Baseline Projects'!$L27*$N27*('Baseline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Projects'!V$3,'Baseline scaling factors'!$B$48:$K$48,0))</f>
        <v>71.18984571217446</v>
      </c>
      <c r="W27" s="112">
        <f>VLOOKUP($A27,'Outage by Zone inputs'!$A$4:$E$13,MATCH('Baseline Projects'!$I27,'Outage by Zone inputs'!$A$3:$E$3,0),0)*'Baseline Projects'!$L27*$N27*('Baseline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Projects'!W$3,'Baseline scaling factors'!$B$54:$K$54,0))+VLOOKUP($A27,'Outage by Zone inputs'!$A$4:$E$13,MATCH('Baseline Projects'!$I27,'Outage by Zone inputs'!$A$3:$E$3,0),0)*'Baseline Projects'!$L27*$N27*('Baseline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Projects'!W$3,'Baseline scaling factors'!$B$48:$K$48,0))</f>
        <v>63.275970169830131</v>
      </c>
      <c r="X27" s="112">
        <f>VLOOKUP($A27,'Outage by Zone inputs'!$A$4:$E$13,MATCH('Baseline Projects'!$I27,'Outage by Zone inputs'!$A$3:$E$3,0),0)*'Baseline Projects'!$L27*$N27*('Baseline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Projects'!X$3,'Baseline scaling factors'!$B$54:$K$54,0))+VLOOKUP($A27,'Outage by Zone inputs'!$A$4:$E$13,MATCH('Baseline Projects'!$I27,'Outage by Zone inputs'!$A$3:$E$3,0),0)*'Baseline Projects'!$L27*$N27*('Baseline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Projects'!X$3,'Baseline scaling factors'!$B$48:$K$48,0))</f>
        <v>55.710797640675658</v>
      </c>
      <c r="Y27" s="112">
        <f>VLOOKUP($A27,'Outage by Zone inputs'!$A$4:$E$13,MATCH('Baseline Projects'!$I27,'Outage by Zone inputs'!$A$3:$E$3,0),0)*'Baseline Projects'!$L27*$N27*('Baseline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Projects'!Y$3,'Baseline scaling factors'!$B$54:$K$54,0))+VLOOKUP($A27,'Outage by Zone inputs'!$A$4:$E$13,MATCH('Baseline Projects'!$I27,'Outage by Zone inputs'!$A$3:$E$3,0),0)*'Baseline Projects'!$L27*$N27*('Baseline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Projects'!Y$3,'Baseline scaling factors'!$B$48:$K$48,0))</f>
        <v>48.478963491952101</v>
      </c>
      <c r="Z27" s="112">
        <f>VLOOKUP($A27,'Outage by Zone inputs'!$A$4:$E$13,MATCH('Baseline Projects'!$I27,'Outage by Zone inputs'!$A$3:$E$3,0),0)*'Baseline Projects'!$L27*$N27*('Baseline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Projects'!Z$3,'Baseline scaling factors'!$B$54:$K$54,0))+VLOOKUP($A27,'Outage by Zone inputs'!$A$4:$E$13,MATCH('Baseline Projects'!$I27,'Outage by Zone inputs'!$A$3:$E$3,0),0)*'Baseline Projects'!$L27*$N27*('Baseline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Projects'!Z$3,'Baseline scaling factors'!$B$48:$K$48,0))</f>
        <v>41.565780090900297</v>
      </c>
      <c r="AA27" s="34">
        <f>VLOOKUP($A27,'Outage by Zone inputs'!$A$4:$E$13,MATCH('Baseline Projects'!$I27,'Outage by Zone inputs'!$A$3:$E$3,0),0)*$M27*$N27*('Baseline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Projects'!AA$3,'Baseline scaling factors'!$B$54:$K$54,0))+VLOOKUP($A27,'Outage by Zone inputs'!$A$4:$E$13,MATCH('Baseline Projects'!$I27,'Outage by Zone inputs'!$A$3:$E$3,0),0)*$M27*$N27*('Baseline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Projects'!AA$3,'Baseline scaling factors'!$B$48:$K$48,0))</f>
        <v>13.755229626643914</v>
      </c>
      <c r="AB27" s="34">
        <f>VLOOKUP($A27,'Outage by Zone inputs'!$A$4:$E$13,MATCH('Baseline Projects'!$I27,'Outage by Zone inputs'!$A$3:$E$3,0),0)*$M27*$N27*('Baseline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Projects'!AB$3,'Baseline scaling factors'!$B$54:$K$54,0))+VLOOKUP($A27,'Outage by Zone inputs'!$A$4:$E$13,MATCH('Baseline Projects'!$I27,'Outage by Zone inputs'!$A$3:$E$3,0),0)*$M27*$N27*('Baseline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Projects'!AB$3,'Baseline scaling factors'!$B$48:$K$48,0))</f>
        <v>12.585491296807783</v>
      </c>
      <c r="AC27" s="34">
        <f>VLOOKUP($A27,'Outage by Zone inputs'!$A$4:$E$13,MATCH('Baseline Projects'!$I27,'Outage by Zone inputs'!$A$3:$E$3,0),0)*$M27*$N27*('Baseline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Projects'!AC$3,'Baseline scaling factors'!$B$54:$K$54,0))+VLOOKUP($A27,'Outage by Zone inputs'!$A$4:$E$13,MATCH('Baseline Projects'!$I27,'Outage by Zone inputs'!$A$3:$E$3,0),0)*$M27*$N27*('Baseline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Projects'!AC$3,'Baseline scaling factors'!$B$48:$K$48,0))</f>
        <v>11.467294247609058</v>
      </c>
      <c r="AD27" s="34">
        <f>VLOOKUP($A27,'Outage by Zone inputs'!$A$4:$E$13,MATCH('Baseline Projects'!$I27,'Outage by Zone inputs'!$A$3:$E$3,0),0)*$M27*$N27*('Baseline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Projects'!AD$3,'Baseline scaling factors'!$B$54:$K$54,0))+VLOOKUP($A27,'Outage by Zone inputs'!$A$4:$E$13,MATCH('Baseline Projects'!$I27,'Outage by Zone inputs'!$A$3:$E$3,0),0)*$M27*$N27*('Baseline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Projects'!AD$3,'Baseline scaling factors'!$B$48:$K$48,0))</f>
        <v>10.398367455228158</v>
      </c>
      <c r="AE27" s="34">
        <f>VLOOKUP($A27,'Outage by Zone inputs'!$A$4:$E$13,MATCH('Baseline Projects'!$I27,'Outage by Zone inputs'!$A$3:$E$3,0),0)*$M27*$N27*('Baseline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Projects'!AE$3,'Baseline scaling factors'!$B$54:$K$54,0))+VLOOKUP($A27,'Outage by Zone inputs'!$A$4:$E$13,MATCH('Baseline Projects'!$I27,'Outage by Zone inputs'!$A$3:$E$3,0),0)*$M27*$N27*('Baseline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Projects'!AE$3,'Baseline scaling factors'!$B$48:$K$48,0))</f>
        <v>9.3765399622218997</v>
      </c>
      <c r="AF27" s="34">
        <f>VLOOKUP($A27,'Outage by Zone inputs'!$A$4:$E$13,MATCH('Baseline Projects'!$I27,'Outage by Zone inputs'!$A$3:$E$3,0),0)*$M27*$N27*('Baseline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Projects'!AF$3,'Baseline scaling factors'!$B$54:$K$54,0))+VLOOKUP($A27,'Outage by Zone inputs'!$A$4:$E$13,MATCH('Baseline Projects'!$I27,'Outage by Zone inputs'!$A$3:$E$3,0),0)*$M27*$N27*('Baseline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Projects'!AF$3,'Baseline scaling factors'!$B$48:$K$48,0))</f>
        <v>8.3997364683757283</v>
      </c>
      <c r="AG27" s="34">
        <f>VLOOKUP($A27,'Outage by Zone inputs'!$A$4:$E$13,MATCH('Baseline Projects'!$I27,'Outage by Zone inputs'!$A$3:$E$3,0),0)*$M27*$N27*('Baseline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Projects'!AG$3,'Baseline scaling factors'!$B$54:$K$54,0))+VLOOKUP($A27,'Outage by Zone inputs'!$A$4:$E$13,MATCH('Baseline Projects'!$I27,'Outage by Zone inputs'!$A$3:$E$3,0),0)*$M27*$N27*('Baseline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Projects'!AG$3,'Baseline scaling factors'!$B$48:$K$48,0))</f>
        <v>7.4659731158327638</v>
      </c>
      <c r="AH27" s="34">
        <f>VLOOKUP($A27,'Outage by Zone inputs'!$A$4:$E$13,MATCH('Baseline Projects'!$I27,'Outage by Zone inputs'!$A$3:$E$3,0),0)*$M27*$N27*('Baseline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Projects'!AH$3,'Baseline scaling factors'!$B$54:$K$54,0))+VLOOKUP($A27,'Outage by Zone inputs'!$A$4:$E$13,MATCH('Baseline Projects'!$I27,'Outage by Zone inputs'!$A$3:$E$3,0),0)*$M27*$N27*('Baseline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Projects'!AH$3,'Baseline scaling factors'!$B$48:$K$48,0))</f>
        <v>6.5733534599395362</v>
      </c>
      <c r="AI27" s="34">
        <f>VLOOKUP($A27,'Outage by Zone inputs'!$A$4:$E$13,MATCH('Baseline Projects'!$I27,'Outage by Zone inputs'!$A$3:$E$3,0),0)*$M27*$N27*('Baseline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Projects'!AI$3,'Baseline scaling factors'!$B$54:$K$54,0))+VLOOKUP($A27,'Outage by Zone inputs'!$A$4:$E$13,MATCH('Baseline Projects'!$I27,'Outage by Zone inputs'!$A$3:$E$3,0),0)*$M27*$N27*('Baseline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Projects'!AI$3,'Baseline scaling factors'!$B$48:$K$48,0))</f>
        <v>5.7200646176251917</v>
      </c>
      <c r="AJ27" s="34">
        <f>VLOOKUP($A27,'Outage by Zone inputs'!$A$4:$E$13,MATCH('Baseline Projects'!$I27,'Outage by Zone inputs'!$A$3:$E$3,0),0)*$M27*$N27*('Baseline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Projects'!AJ$3,'Baseline scaling factors'!$B$54:$K$54,0))+VLOOKUP($A27,'Outage by Zone inputs'!$A$4:$E$13,MATCH('Baseline Projects'!$I27,'Outage by Zone inputs'!$A$3:$E$3,0),0)*$M27*$N27*('Baseline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Projects'!AJ$3,'Baseline scaling factors'!$B$48:$K$48,0))</f>
        <v>4.9043735854917418</v>
      </c>
      <c r="AK27" s="1">
        <f t="shared" si="2"/>
        <v>2448.1584927579302</v>
      </c>
      <c r="AL27" s="1">
        <f t="shared" si="3"/>
        <v>2239.9682331823428</v>
      </c>
      <c r="AM27" s="1">
        <f t="shared" si="4"/>
        <v>2040.9513009407954</v>
      </c>
      <c r="AN27" s="1">
        <f t="shared" si="5"/>
        <v>1850.7034987641714</v>
      </c>
      <c r="AO27" s="1">
        <f t="shared" si="6"/>
        <v>1668.8384392168398</v>
      </c>
      <c r="AP27" s="1">
        <f t="shared" si="7"/>
        <v>1494.9867599556637</v>
      </c>
      <c r="AQ27" s="1">
        <f t="shared" si="8"/>
        <v>1328.7953735664328</v>
      </c>
      <c r="AR27" s="1">
        <f t="shared" si="9"/>
        <v>1169.9267504541888</v>
      </c>
      <c r="AS27" s="1">
        <f t="shared" si="10"/>
        <v>1018.0582333309941</v>
      </c>
      <c r="AT27" s="1">
        <f t="shared" si="11"/>
        <v>872.88138190890629</v>
      </c>
      <c r="AU27" s="1">
        <f t="shared" si="12"/>
        <v>53439.067099511602</v>
      </c>
      <c r="AV27" s="1">
        <f t="shared" si="13"/>
        <v>48894.633688098234</v>
      </c>
      <c r="AW27" s="1">
        <f t="shared" si="14"/>
        <v>44550.438151961185</v>
      </c>
      <c r="AX27" s="1">
        <f t="shared" si="15"/>
        <v>40397.657563561392</v>
      </c>
      <c r="AY27" s="1">
        <f t="shared" si="16"/>
        <v>36427.857753232078</v>
      </c>
      <c r="AZ27" s="1">
        <f t="shared" si="17"/>
        <v>32632.976179639703</v>
      </c>
      <c r="BA27" s="1">
        <f t="shared" si="18"/>
        <v>29005.305555010287</v>
      </c>
      <c r="BB27" s="1">
        <f t="shared" si="19"/>
        <v>25537.478191865099</v>
      </c>
      <c r="BC27" s="1">
        <f t="shared" si="20"/>
        <v>22222.451039473868</v>
      </c>
      <c r="BD27" s="1">
        <f t="shared" si="21"/>
        <v>19053.491379635416</v>
      </c>
      <c r="BE27" s="1">
        <f t="shared" si="22"/>
        <v>55887.225592269533</v>
      </c>
      <c r="BF27" s="1">
        <f t="shared" si="23"/>
        <v>51134.601921280577</v>
      </c>
      <c r="BG27" s="1">
        <f t="shared" si="24"/>
        <v>46591.389452901982</v>
      </c>
      <c r="BH27" s="1">
        <f t="shared" si="25"/>
        <v>42248.361062325566</v>
      </c>
      <c r="BI27" s="1">
        <f t="shared" si="26"/>
        <v>38096.696192448915</v>
      </c>
      <c r="BJ27" s="1">
        <f t="shared" si="27"/>
        <v>34127.962939595367</v>
      </c>
      <c r="BK27" s="1">
        <f t="shared" si="28"/>
        <v>30334.100928576721</v>
      </c>
      <c r="BL27" s="1">
        <f t="shared" si="29"/>
        <v>26707.404942319288</v>
      </c>
      <c r="BM27" s="1">
        <f t="shared" si="30"/>
        <v>23240.509272804862</v>
      </c>
      <c r="BN27" s="1">
        <f t="shared" si="31"/>
        <v>19926.37276154432</v>
      </c>
      <c r="BO27" s="25">
        <f>VLOOKUP($A27,'Outage by Zone inputs'!$A$59:$E$68,MATCH('Baseline Projects'!$I27,'Outage by Zone inputs'!$A$58:$E$58,0),0)*AVG_INCIDENT_PERCENT_NON_STORM</f>
        <v>39.400316239898757</v>
      </c>
      <c r="BP27" s="25">
        <f>$BO27*$N27*('Baseline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Projects'!Q$3,'Baseline scaling factors'!$B$54:$K$54,0))+$BO27*$N27*('Baseline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Projects'!Q$3,'Baseline scaling factors'!$B$48:$K$48,0))</f>
        <v>1.2435583047616892</v>
      </c>
      <c r="BQ27" s="25">
        <f>$BO27*$N27*('Baseline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Projects'!R$3,'Baseline scaling factors'!$B$54:$K$54,0))+$BO27*$N27*('Baseline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Projects'!R$3,'Baseline scaling factors'!$B$48:$K$48,0))</f>
        <v>1.1378066849088186</v>
      </c>
      <c r="BR27" s="25">
        <f>$BO27*$N27*('Baseline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Projects'!S$3,'Baseline scaling factors'!$B$54:$K$54,0))+$BO27*$N27*('Baseline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Projects'!S$3,'Baseline scaling factors'!$B$48:$K$48,0))</f>
        <v>1.0367147173710609</v>
      </c>
      <c r="BS27" s="25">
        <f>$BO27*$N27*('Baseline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Projects'!T$3,'Baseline scaling factors'!$B$54:$K$54,0))+$BO27*$N27*('Baseline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Projects'!T$3,'Baseline scaling factors'!$B$48:$K$48,0))</f>
        <v>0.94007708747117635</v>
      </c>
      <c r="BT27" s="25">
        <f>$BO27*$N27*('Baseline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Projects'!U$3,'Baseline scaling factors'!$B$54:$K$54,0))+$BO27*$N27*('Baseline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Projects'!U$3,'Baseline scaling factors'!$B$48:$K$48,0))</f>
        <v>0.84769752715468449</v>
      </c>
      <c r="BU27" s="25">
        <f>$BO27*$N27*('Baseline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Projects'!V$3,'Baseline scaling factors'!$B$54:$K$54,0))+$BO27*$N27*('Baseline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Projects'!V$3,'Baseline scaling factors'!$B$48:$K$48,0))</f>
        <v>0.75938841637548382</v>
      </c>
      <c r="BV27" s="25">
        <f>$BO27*$N27*('Baseline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Projects'!W$3,'Baseline scaling factors'!$B$54:$K$54,0))+$BO27*$N27*('Baseline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Projects'!W$3,'Baseline scaling factors'!$B$48:$K$48,0))</f>
        <v>0.67497040204530534</v>
      </c>
      <c r="BW27" s="25">
        <f>$BO27*$N27*('Baseline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Projects'!X$3,'Baseline scaling factors'!$B$54:$K$54,0))+$BO27*$N27*('Baseline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Projects'!X$3,'Baseline scaling factors'!$B$48:$K$48,0))</f>
        <v>0.59427203377310844</v>
      </c>
      <c r="BX27" s="25">
        <f>$BO27*$N27*('Baseline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Projects'!Y$3,'Baseline scaling factors'!$B$54:$K$54,0))+$BO27*$N27*('Baseline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Projects'!Y$3,'Baseline scaling factors'!$B$48:$K$48,0))</f>
        <v>0.51712941565460691</v>
      </c>
      <c r="BY27" s="25">
        <f>$BO27*$N27*('Baseline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Projects'!Z$3,'Baseline scaling factors'!$B$54:$K$54,0))+$BO27*$N27*('Baseline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Projects'!Z$3,'Baseline scaling factors'!$B$48:$K$48,0))</f>
        <v>0.44338587340472918</v>
      </c>
      <c r="BZ27" s="12">
        <f t="shared" si="32"/>
        <v>586.9595198475173</v>
      </c>
      <c r="CA27" s="12">
        <f t="shared" si="33"/>
        <v>537.04475527696241</v>
      </c>
      <c r="CB27" s="12">
        <f t="shared" si="34"/>
        <v>489.32934659914076</v>
      </c>
      <c r="CC27" s="12">
        <f t="shared" si="35"/>
        <v>443.71638528639522</v>
      </c>
      <c r="CD27" s="12">
        <f t="shared" si="36"/>
        <v>400.11323281701107</v>
      </c>
      <c r="CE27" s="12">
        <f t="shared" si="37"/>
        <v>358.43133252922837</v>
      </c>
      <c r="CF27" s="12">
        <f t="shared" si="38"/>
        <v>318.58602976538413</v>
      </c>
      <c r="CG27" s="12">
        <f t="shared" si="39"/>
        <v>280.49639994090717</v>
      </c>
      <c r="CH27" s="12">
        <f t="shared" si="40"/>
        <v>244.08508418897446</v>
      </c>
      <c r="CI27" s="12">
        <f t="shared" si="41"/>
        <v>209.27813224703218</v>
      </c>
      <c r="CJ27" s="12">
        <f>'Mitigation Projects'!$AG27*VLOOKUP('Baseline Projects'!$H27&amp;"-"&amp;'Baseline Projects'!$G27,'Baseline scaling factors'!$A$49:$K$51,MATCH('Baseline Projects'!CJ$2,'Baseline scaling factors'!$A$48:$K$48,0),0)</f>
        <v>0</v>
      </c>
      <c r="CK27" s="12">
        <f>'Mitigation Projects'!$AG27*VLOOKUP('Baseline Projects'!$H27&amp;"-"&amp;'Baseline Projects'!$G27,'Baseline scaling factors'!$A$49:$K$51,MATCH('Baseline Projects'!CK$2,'Baseline scaling factors'!$A$48:$K$48,0),0)</f>
        <v>0</v>
      </c>
      <c r="CL27" s="12">
        <f>'Mitigation Projects'!$AG27*VLOOKUP('Baseline Projects'!$H27&amp;"-"&amp;'Baseline Projects'!$G27,'Baseline scaling factors'!$A$49:$K$51,MATCH('Baseline Projects'!CL$2,'Baseline scaling factors'!$A$48:$K$48,0),0)</f>
        <v>0</v>
      </c>
      <c r="CM27" s="12">
        <f>'Mitigation Projects'!$AG27*VLOOKUP('Baseline Projects'!$H27&amp;"-"&amp;'Baseline Projects'!$G27,'Baseline scaling factors'!$A$49:$K$51,MATCH('Baseline Projects'!CM$2,'Baseline scaling factors'!$A$48:$K$48,0),0)</f>
        <v>0</v>
      </c>
      <c r="CN27" s="12">
        <f>'Mitigation Projects'!$AG27*VLOOKUP('Baseline Projects'!$H27&amp;"-"&amp;'Baseline Projects'!$G27,'Baseline scaling factors'!$A$49:$K$51,MATCH('Baseline Projects'!CN$2,'Baseline scaling factors'!$A$48:$K$48,0),0)</f>
        <v>0</v>
      </c>
      <c r="CO27" s="12">
        <f>'Mitigation Projects'!$AG27*VLOOKUP('Baseline Projects'!$H27&amp;"-"&amp;'Baseline Projects'!$G27,'Baseline scaling factors'!$A$49:$K$51,MATCH('Baseline Projects'!CO$2,'Baseline scaling factors'!$A$48:$K$48,0),0)</f>
        <v>0</v>
      </c>
      <c r="CP27" s="12">
        <f>'Mitigation Projects'!$AG27*VLOOKUP('Baseline Projects'!$H27&amp;"-"&amp;'Baseline Projects'!$G27,'Baseline scaling factors'!$A$49:$K$51,MATCH('Baseline Projects'!CP$2,'Baseline scaling factors'!$A$48:$K$48,0),0)</f>
        <v>0</v>
      </c>
      <c r="CQ27" s="12">
        <f>'Mitigation Projects'!$AG27*VLOOKUP('Baseline Projects'!$H27&amp;"-"&amp;'Baseline Projects'!$G27,'Baseline scaling factors'!$A$49:$K$51,MATCH('Baseline Projects'!CQ$2,'Baseline scaling factors'!$A$48:$K$48,0),0)</f>
        <v>0</v>
      </c>
      <c r="CR27" s="12">
        <f>'Mitigation Projects'!$AG27*VLOOKUP('Baseline Projects'!$H27&amp;"-"&amp;'Baseline Projects'!$G27,'Baseline scaling factors'!$A$49:$K$51,MATCH('Baseline Projects'!CR$2,'Baseline scaling factors'!$A$48:$K$48,0),0)</f>
        <v>0</v>
      </c>
      <c r="CS27" s="12">
        <f>'Mitigation Projects'!$AG27*VLOOKUP('Baseline Projects'!$H27&amp;"-"&amp;'Baseline Projects'!$G27,'Baseline scaling factors'!$A$49:$K$51,MATCH('Baseline Projects'!CS$2,'Baseline scaling factors'!$A$48:$K$48,0),0)</f>
        <v>0</v>
      </c>
      <c r="CT27" s="12">
        <f>'Mitigation Projects'!$AH27*VLOOKUP('Baseline Projects'!$H27&amp;"-"&amp;'Baseline Projects'!$G27,'Baseline scaling factors'!$A$49:$K$51,MATCH('Baseline Projects'!CT$2,'Baseline scaling factors'!$A$48:$K$48,0),0)</f>
        <v>0</v>
      </c>
      <c r="CU27" s="12">
        <f>'Mitigation Projects'!$AH27*VLOOKUP('Baseline Projects'!$H27&amp;"-"&amp;'Baseline Projects'!$G27,'Baseline scaling factors'!$A$49:$K$51,MATCH('Baseline Projects'!CU$2,'Baseline scaling factors'!$A$48:$K$48,0),0)</f>
        <v>0</v>
      </c>
      <c r="CV27" s="12">
        <f>'Mitigation Projects'!$AH27*VLOOKUP('Baseline Projects'!$H27&amp;"-"&amp;'Baseline Projects'!$G27,'Baseline scaling factors'!$A$49:$K$51,MATCH('Baseline Projects'!CV$2,'Baseline scaling factors'!$A$48:$K$48,0),0)</f>
        <v>0</v>
      </c>
      <c r="CW27" s="12">
        <f>'Mitigation Projects'!$AH27*VLOOKUP('Baseline Projects'!$H27&amp;"-"&amp;'Baseline Projects'!$G27,'Baseline scaling factors'!$A$49:$K$51,MATCH('Baseline Projects'!CW$2,'Baseline scaling factors'!$A$48:$K$48,0),0)</f>
        <v>0</v>
      </c>
      <c r="CX27" s="12">
        <f>'Mitigation Projects'!$AH27*VLOOKUP('Baseline Projects'!$H27&amp;"-"&amp;'Baseline Projects'!$G27,'Baseline scaling factors'!$A$49:$K$51,MATCH('Baseline Projects'!CX$2,'Baseline scaling factors'!$A$48:$K$48,0),0)</f>
        <v>0</v>
      </c>
      <c r="CY27" s="12">
        <f>'Mitigation Projects'!$AH27*VLOOKUP('Baseline Projects'!$H27&amp;"-"&amp;'Baseline Projects'!$G27,'Baseline scaling factors'!$A$49:$K$51,MATCH('Baseline Projects'!CY$2,'Baseline scaling factors'!$A$48:$K$48,0),0)</f>
        <v>0</v>
      </c>
      <c r="CZ27" s="12">
        <f>'Mitigation Projects'!$AH27*VLOOKUP('Baseline Projects'!$H27&amp;"-"&amp;'Baseline Projects'!$G27,'Baseline scaling factors'!$A$49:$K$51,MATCH('Baseline Projects'!CZ$2,'Baseline scaling factors'!$A$48:$K$48,0),0)</f>
        <v>0</v>
      </c>
      <c r="DA27" s="12">
        <f>'Mitigation Projects'!$AH27*VLOOKUP('Baseline Projects'!$H27&amp;"-"&amp;'Baseline Projects'!$G27,'Baseline scaling factors'!$A$49:$K$51,MATCH('Baseline Projects'!DA$2,'Baseline scaling factors'!$A$48:$K$48,0),0)</f>
        <v>0</v>
      </c>
      <c r="DB27" s="12">
        <f>'Mitigation Projects'!$AH27*VLOOKUP('Baseline Projects'!$H27&amp;"-"&amp;'Baseline Projects'!$G27,'Baseline scaling factors'!$A$49:$K$51,MATCH('Baseline Projects'!DB$2,'Baseline scaling factors'!$A$48:$K$48,0),0)</f>
        <v>0</v>
      </c>
      <c r="DC27" s="12">
        <f>'Mitigation Projects'!$AH27*VLOOKUP('Baseline Projects'!$H27&amp;"-"&amp;'Baseline Projects'!$G27,'Baseline scaling factors'!$A$49:$K$51,MATCH('Baseline Projects'!DC$2,'Baseline scaling factors'!$A$48:$K$48,0),0)</f>
        <v>0</v>
      </c>
    </row>
    <row r="28" spans="1:107" x14ac:dyDescent="0.4">
      <c r="A28" s="38" t="str">
        <f>'Mitigation Projects'!A28</f>
        <v>DM-G6</v>
      </c>
      <c r="B28" s="38" t="str">
        <f>'Mitigation Projects'!B28</f>
        <v>Brattleboro</v>
      </c>
      <c r="C28" s="39">
        <f>'Mitigation Projects'!C28</f>
        <v>203954</v>
      </c>
      <c r="D28" s="39" t="str">
        <f>'Mitigation Projects'!D28</f>
        <v>203954: L633-Timson Hl Rd/Baker B</v>
      </c>
      <c r="E28" s="39">
        <f>'Mitigation Projects'!E28</f>
        <v>489476</v>
      </c>
      <c r="F28" s="39">
        <f>'Mitigation Projects'!F28</f>
        <v>0</v>
      </c>
      <c r="G28" s="39" t="str">
        <f>'Mitigation Projects'!G28</f>
        <v>1PH</v>
      </c>
      <c r="H28" s="39" t="str">
        <f>'Mitigation Projects'!H28</f>
        <v>UG</v>
      </c>
      <c r="I28" s="39" t="str">
        <f>'Mitigation Projects'!J28</f>
        <v>Zone 3</v>
      </c>
      <c r="J28" s="39">
        <f>'Mitigation Projects'!K28</f>
        <v>75</v>
      </c>
      <c r="K28" s="40">
        <f>'Mitigation Projects'!L28*BASELINE_CAP_SPEND</f>
        <v>159042</v>
      </c>
      <c r="L28" s="97">
        <f>'Mitigation Projects'!Q28</f>
        <v>0.89446185997910133</v>
      </c>
      <c r="M28" s="97">
        <f>'Mitigation Projects'!R28</f>
        <v>0.10553814002089867</v>
      </c>
      <c r="N28" s="98">
        <f>'Mitigation Projects'!S28</f>
        <v>0.5</v>
      </c>
      <c r="O28" s="26">
        <f t="shared" si="0"/>
        <v>0.98</v>
      </c>
      <c r="P28" s="26">
        <f t="shared" si="1"/>
        <v>0.83359200333362127</v>
      </c>
      <c r="Q28" s="112">
        <f>VLOOKUP($A28,'Outage by Zone inputs'!$A$4:$E$13,MATCH('Baseline Projects'!$I28,'Outage by Zone inputs'!$A$3:$E$3,0),0)*'Baseline Projects'!$L28*$N28*('Baseline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Projects'!Q$3,'Baseline scaling factors'!$B$54:$K$54,0))+VLOOKUP($A28,'Outage by Zone inputs'!$A$4:$E$13,MATCH('Baseline Projects'!$I28,'Outage by Zone inputs'!$A$3:$E$3,0),0)*'Baseline Projects'!$L28*$N28*('Baseline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Projects'!Q$3,'Baseline scaling factors'!$B$48:$K$48,0))</f>
        <v>104.0883712907283</v>
      </c>
      <c r="R28" s="112">
        <f>VLOOKUP($A28,'Outage by Zone inputs'!$A$4:$E$13,MATCH('Baseline Projects'!$I28,'Outage by Zone inputs'!$A$3:$E$3,0),0)*'Baseline Projects'!$L28*$N28*('Baseline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Projects'!R$3,'Baseline scaling factors'!$B$54:$K$54,0))+VLOOKUP($A28,'Outage by Zone inputs'!$A$4:$E$13,MATCH('Baseline Projects'!$I28,'Outage by Zone inputs'!$A$3:$E$3,0),0)*'Baseline Projects'!$L28*$N28*('Baseline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Projects'!R$3,'Baseline scaling factors'!$B$48:$K$48,0))</f>
        <v>95.236744608092806</v>
      </c>
      <c r="S28" s="112">
        <f>VLOOKUP($A28,'Outage by Zone inputs'!$A$4:$E$13,MATCH('Baseline Projects'!$I28,'Outage by Zone inputs'!$A$3:$E$3,0),0)*'Baseline Projects'!$L28*$N28*('Baseline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Projects'!S$3,'Baseline scaling factors'!$B$54:$K$54,0))+VLOOKUP($A28,'Outage by Zone inputs'!$A$4:$E$13,MATCH('Baseline Projects'!$I28,'Outage by Zone inputs'!$A$3:$E$3,0),0)*'Baseline Projects'!$L28*$N28*('Baseline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Projects'!S$3,'Baseline scaling factors'!$B$48:$K$48,0))</f>
        <v>86.775140346122257</v>
      </c>
      <c r="T28" s="112">
        <f>VLOOKUP($A28,'Outage by Zone inputs'!$A$4:$E$13,MATCH('Baseline Projects'!$I28,'Outage by Zone inputs'!$A$3:$E$3,0),0)*'Baseline Projects'!$L28*$N28*('Baseline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Projects'!T$3,'Baseline scaling factors'!$B$54:$K$54,0))+VLOOKUP($A28,'Outage by Zone inputs'!$A$4:$E$13,MATCH('Baseline Projects'!$I28,'Outage by Zone inputs'!$A$3:$E$3,0),0)*'Baseline Projects'!$L28*$N28*('Baseline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Projects'!T$3,'Baseline scaling factors'!$B$48:$K$48,0))</f>
        <v>78.686373246776</v>
      </c>
      <c r="U28" s="112">
        <f>VLOOKUP($A28,'Outage by Zone inputs'!$A$4:$E$13,MATCH('Baseline Projects'!$I28,'Outage by Zone inputs'!$A$3:$E$3,0),0)*'Baseline Projects'!$L28*$N28*('Baseline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Projects'!U$3,'Baseline scaling factors'!$B$54:$K$54,0))+VLOOKUP($A28,'Outage by Zone inputs'!$A$4:$E$13,MATCH('Baseline Projects'!$I28,'Outage by Zone inputs'!$A$3:$E$3,0),0)*'Baseline Projects'!$L28*$N28*('Baseline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Projects'!U$3,'Baseline scaling factors'!$B$48:$K$48,0))</f>
        <v>70.954015272824833</v>
      </c>
      <c r="V28" s="112">
        <f>VLOOKUP($A28,'Outage by Zone inputs'!$A$4:$E$13,MATCH('Baseline Projects'!$I28,'Outage by Zone inputs'!$A$3:$E$3,0),0)*'Baseline Projects'!$L28*$N28*('Baseline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Projects'!V$3,'Baseline scaling factors'!$B$54:$K$54,0))+VLOOKUP($A28,'Outage by Zone inputs'!$A$4:$E$13,MATCH('Baseline Projects'!$I28,'Outage by Zone inputs'!$A$3:$E$3,0),0)*'Baseline Projects'!$L28*$N28*('Baseline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Projects'!V$3,'Baseline scaling factors'!$B$48:$K$48,0))</f>
        <v>63.562362243012913</v>
      </c>
      <c r="W28" s="112">
        <f>VLOOKUP($A28,'Outage by Zone inputs'!$A$4:$E$13,MATCH('Baseline Projects'!$I28,'Outage by Zone inputs'!$A$3:$E$3,0),0)*'Baseline Projects'!$L28*$N28*('Baseline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Projects'!W$3,'Baseline scaling factors'!$B$54:$K$54,0))+VLOOKUP($A28,'Outage by Zone inputs'!$A$4:$E$13,MATCH('Baseline Projects'!$I28,'Outage by Zone inputs'!$A$3:$E$3,0),0)*'Baseline Projects'!$L28*$N28*('Baseline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Projects'!W$3,'Baseline scaling factors'!$B$48:$K$48,0))</f>
        <v>56.496401937348324</v>
      </c>
      <c r="X28" s="112">
        <f>VLOOKUP($A28,'Outage by Zone inputs'!$A$4:$E$13,MATCH('Baseline Projects'!$I28,'Outage by Zone inputs'!$A$3:$E$3,0),0)*'Baseline Projects'!$L28*$N28*('Baseline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Projects'!X$3,'Baseline scaling factors'!$B$54:$K$54,0))+VLOOKUP($A28,'Outage by Zone inputs'!$A$4:$E$13,MATCH('Baseline Projects'!$I28,'Outage by Zone inputs'!$A$3:$E$3,0),0)*'Baseline Projects'!$L28*$N28*('Baseline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Projects'!X$3,'Baseline scaling factors'!$B$48:$K$48,0))</f>
        <v>49.741783607746122</v>
      </c>
      <c r="Y28" s="112">
        <f>VLOOKUP($A28,'Outage by Zone inputs'!$A$4:$E$13,MATCH('Baseline Projects'!$I28,'Outage by Zone inputs'!$A$3:$E$3,0),0)*'Baseline Projects'!$L28*$N28*('Baseline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Projects'!Y$3,'Baseline scaling factors'!$B$54:$K$54,0))+VLOOKUP($A28,'Outage by Zone inputs'!$A$4:$E$13,MATCH('Baseline Projects'!$I28,'Outage by Zone inputs'!$A$3:$E$3,0),0)*'Baseline Projects'!$L28*$N28*('Baseline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Projects'!Y$3,'Baseline scaling factors'!$B$48:$K$48,0))</f>
        <v>43.284788832100091</v>
      </c>
      <c r="Z28" s="112">
        <f>VLOOKUP($A28,'Outage by Zone inputs'!$A$4:$E$13,MATCH('Baseline Projects'!$I28,'Outage by Zone inputs'!$A$3:$E$3,0),0)*'Baseline Projects'!$L28*$N28*('Baseline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Projects'!Z$3,'Baseline scaling factors'!$B$54:$K$54,0))+VLOOKUP($A28,'Outage by Zone inputs'!$A$4:$E$13,MATCH('Baseline Projects'!$I28,'Outage by Zone inputs'!$A$3:$E$3,0),0)*'Baseline Projects'!$L28*$N28*('Baseline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Projects'!Z$3,'Baseline scaling factors'!$B$48:$K$48,0))</f>
        <v>37.112303652589546</v>
      </c>
      <c r="AA28" s="34">
        <f>VLOOKUP($A28,'Outage by Zone inputs'!$A$4:$E$13,MATCH('Baseline Projects'!$I28,'Outage by Zone inputs'!$A$3:$E$3,0),0)*$M28*$N28*('Baseline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Projects'!AA$3,'Baseline scaling factors'!$B$54:$K$54,0))+VLOOKUP($A28,'Outage by Zone inputs'!$A$4:$E$13,MATCH('Baseline Projects'!$I28,'Outage by Zone inputs'!$A$3:$E$3,0),0)*$M28*$N28*('Baseline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Projects'!AA$3,'Baseline scaling factors'!$B$48:$K$48,0))</f>
        <v>12.281455023789208</v>
      </c>
      <c r="AB28" s="34">
        <f>VLOOKUP($A28,'Outage by Zone inputs'!$A$4:$E$13,MATCH('Baseline Projects'!$I28,'Outage by Zone inputs'!$A$3:$E$3,0),0)*$M28*$N28*('Baseline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Projects'!AB$3,'Baseline scaling factors'!$B$54:$K$54,0))+VLOOKUP($A28,'Outage by Zone inputs'!$A$4:$E$13,MATCH('Baseline Projects'!$I28,'Outage by Zone inputs'!$A$3:$E$3,0),0)*$M28*$N28*('Baseline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Projects'!AB$3,'Baseline scaling factors'!$B$48:$K$48,0))</f>
        <v>11.237045800721235</v>
      </c>
      <c r="AC28" s="34">
        <f>VLOOKUP($A28,'Outage by Zone inputs'!$A$4:$E$13,MATCH('Baseline Projects'!$I28,'Outage by Zone inputs'!$A$3:$E$3,0),0)*$M28*$N28*('Baseline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Projects'!AC$3,'Baseline scaling factors'!$B$54:$K$54,0))+VLOOKUP($A28,'Outage by Zone inputs'!$A$4:$E$13,MATCH('Baseline Projects'!$I28,'Outage by Zone inputs'!$A$3:$E$3,0),0)*$M28*$N28*('Baseline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Projects'!AC$3,'Baseline scaling factors'!$B$48:$K$48,0))</f>
        <v>10.238655578222373</v>
      </c>
      <c r="AD28" s="34">
        <f>VLOOKUP($A28,'Outage by Zone inputs'!$A$4:$E$13,MATCH('Baseline Projects'!$I28,'Outage by Zone inputs'!$A$3:$E$3,0),0)*$M28*$N28*('Baseline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Projects'!AD$3,'Baseline scaling factors'!$B$54:$K$54,0))+VLOOKUP($A28,'Outage by Zone inputs'!$A$4:$E$13,MATCH('Baseline Projects'!$I28,'Outage by Zone inputs'!$A$3:$E$3,0),0)*$M28*$N28*('Baseline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Projects'!AD$3,'Baseline scaling factors'!$B$48:$K$48,0))</f>
        <v>9.2842566564537119</v>
      </c>
      <c r="AE28" s="34">
        <f>VLOOKUP($A28,'Outage by Zone inputs'!$A$4:$E$13,MATCH('Baseline Projects'!$I28,'Outage by Zone inputs'!$A$3:$E$3,0),0)*$M28*$N28*('Baseline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Projects'!AE$3,'Baseline scaling factors'!$B$54:$K$54,0))+VLOOKUP($A28,'Outage by Zone inputs'!$A$4:$E$13,MATCH('Baseline Projects'!$I28,'Outage by Zone inputs'!$A$3:$E$3,0),0)*$M28*$N28*('Baseline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Projects'!AE$3,'Baseline scaling factors'!$B$48:$K$48,0))</f>
        <v>8.3719106805552688</v>
      </c>
      <c r="AF28" s="34">
        <f>VLOOKUP($A28,'Outage by Zone inputs'!$A$4:$E$13,MATCH('Baseline Projects'!$I28,'Outage by Zone inputs'!$A$3:$E$3,0),0)*$M28*$N28*('Baseline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Projects'!AF$3,'Baseline scaling factors'!$B$54:$K$54,0))+VLOOKUP($A28,'Outage by Zone inputs'!$A$4:$E$13,MATCH('Baseline Projects'!$I28,'Outage by Zone inputs'!$A$3:$E$3,0),0)*$M28*$N28*('Baseline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Projects'!AF$3,'Baseline scaling factors'!$B$48:$K$48,0))</f>
        <v>7.4997647039068998</v>
      </c>
      <c r="AG28" s="34">
        <f>VLOOKUP($A28,'Outage by Zone inputs'!$A$4:$E$13,MATCH('Baseline Projects'!$I28,'Outage by Zone inputs'!$A$3:$E$3,0),0)*$M28*$N28*('Baseline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Projects'!AG$3,'Baseline scaling factors'!$B$54:$K$54,0))+VLOOKUP($A28,'Outage by Zone inputs'!$A$4:$E$13,MATCH('Baseline Projects'!$I28,'Outage by Zone inputs'!$A$3:$E$3,0),0)*$M28*$N28*('Baseline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Projects'!AG$3,'Baseline scaling factors'!$B$48:$K$48,0))</f>
        <v>6.6660474248506816</v>
      </c>
      <c r="AH28" s="34">
        <f>VLOOKUP($A28,'Outage by Zone inputs'!$A$4:$E$13,MATCH('Baseline Projects'!$I28,'Outage by Zone inputs'!$A$3:$E$3,0),0)*$M28*$N28*('Baseline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Projects'!AH$3,'Baseline scaling factors'!$B$54:$K$54,0))+VLOOKUP($A28,'Outage by Zone inputs'!$A$4:$E$13,MATCH('Baseline Projects'!$I28,'Outage by Zone inputs'!$A$3:$E$3,0),0)*$M28*$N28*('Baseline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Projects'!AH$3,'Baseline scaling factors'!$B$48:$K$48,0))</f>
        <v>5.8690655892317292</v>
      </c>
      <c r="AI28" s="34">
        <f>VLOOKUP($A28,'Outage by Zone inputs'!$A$4:$E$13,MATCH('Baseline Projects'!$I28,'Outage by Zone inputs'!$A$3:$E$3,0),0)*$M28*$N28*('Baseline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Projects'!AI$3,'Baseline scaling factors'!$B$54:$K$54,0))+VLOOKUP($A28,'Outage by Zone inputs'!$A$4:$E$13,MATCH('Baseline Projects'!$I28,'Outage by Zone inputs'!$A$3:$E$3,0),0)*$M28*$N28*('Baseline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Projects'!AI$3,'Baseline scaling factors'!$B$48:$K$48,0))</f>
        <v>5.1072005514510641</v>
      </c>
      <c r="AJ28" s="34">
        <f>VLOOKUP($A28,'Outage by Zone inputs'!$A$4:$E$13,MATCH('Baseline Projects'!$I28,'Outage by Zone inputs'!$A$3:$E$3,0),0)*$M28*$N28*('Baseline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Projects'!AJ$3,'Baseline scaling factors'!$B$54:$K$54,0))+VLOOKUP($A28,'Outage by Zone inputs'!$A$4:$E$13,MATCH('Baseline Projects'!$I28,'Outage by Zone inputs'!$A$3:$E$3,0),0)*$M28*$N28*('Baseline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Projects'!AJ$3,'Baseline scaling factors'!$B$48:$K$48,0))</f>
        <v>4.3789049870461989</v>
      </c>
      <c r="AK28" s="1">
        <f t="shared" si="2"/>
        <v>2185.8557971052942</v>
      </c>
      <c r="AL28" s="1">
        <f t="shared" si="3"/>
        <v>1999.9716367699489</v>
      </c>
      <c r="AM28" s="1">
        <f t="shared" si="4"/>
        <v>1822.2779472685675</v>
      </c>
      <c r="AN28" s="1">
        <f t="shared" si="5"/>
        <v>1652.4138381822961</v>
      </c>
      <c r="AO28" s="1">
        <f t="shared" si="6"/>
        <v>1490.0343207293215</v>
      </c>
      <c r="AP28" s="1">
        <f t="shared" si="7"/>
        <v>1334.8096071032712</v>
      </c>
      <c r="AQ28" s="1">
        <f t="shared" si="8"/>
        <v>1186.4244406843147</v>
      </c>
      <c r="AR28" s="1">
        <f t="shared" si="9"/>
        <v>1044.5774557626685</v>
      </c>
      <c r="AS28" s="1">
        <f t="shared" si="10"/>
        <v>908.98056547410192</v>
      </c>
      <c r="AT28" s="1">
        <f t="shared" si="11"/>
        <v>779.35837670438048</v>
      </c>
      <c r="AU28" s="1">
        <f t="shared" si="12"/>
        <v>47713.452767421077</v>
      </c>
      <c r="AV28" s="1">
        <f t="shared" si="13"/>
        <v>43655.922935802002</v>
      </c>
      <c r="AW28" s="1">
        <f t="shared" si="14"/>
        <v>39777.176921393919</v>
      </c>
      <c r="AX28" s="1">
        <f t="shared" si="15"/>
        <v>36069.337110322667</v>
      </c>
      <c r="AY28" s="1">
        <f t="shared" si="16"/>
        <v>32524.872993957219</v>
      </c>
      <c r="AZ28" s="1">
        <f t="shared" si="17"/>
        <v>29136.585874678305</v>
      </c>
      <c r="BA28" s="1">
        <f t="shared" si="18"/>
        <v>25897.594245544897</v>
      </c>
      <c r="BB28" s="1">
        <f t="shared" si="19"/>
        <v>22801.319814165268</v>
      </c>
      <c r="BC28" s="1">
        <f t="shared" si="20"/>
        <v>19841.474142387386</v>
      </c>
      <c r="BD28" s="1">
        <f t="shared" si="21"/>
        <v>17012.045874674484</v>
      </c>
      <c r="BE28" s="1">
        <f t="shared" si="22"/>
        <v>49899.308564526371</v>
      </c>
      <c r="BF28" s="1">
        <f t="shared" si="23"/>
        <v>45655.894572571953</v>
      </c>
      <c r="BG28" s="1">
        <f t="shared" si="24"/>
        <v>41599.454868662484</v>
      </c>
      <c r="BH28" s="1">
        <f t="shared" si="25"/>
        <v>37721.750948504967</v>
      </c>
      <c r="BI28" s="1">
        <f t="shared" si="26"/>
        <v>34014.907314686541</v>
      </c>
      <c r="BJ28" s="1">
        <f t="shared" si="27"/>
        <v>30471.395481781576</v>
      </c>
      <c r="BK28" s="1">
        <f t="shared" si="28"/>
        <v>27084.01868622921</v>
      </c>
      <c r="BL28" s="1">
        <f t="shared" si="29"/>
        <v>23845.897269927937</v>
      </c>
      <c r="BM28" s="1">
        <f t="shared" si="30"/>
        <v>20750.454707861489</v>
      </c>
      <c r="BN28" s="1">
        <f t="shared" si="31"/>
        <v>17791.404251378866</v>
      </c>
      <c r="BO28" s="25">
        <f>VLOOKUP($A28,'Outage by Zone inputs'!$A$59:$E$68,MATCH('Baseline Projects'!$I28,'Outage by Zone inputs'!$A$58:$E$58,0),0)*AVG_INCIDENT_PERCENT_NON_STORM</f>
        <v>39.400316239898757</v>
      </c>
      <c r="BP28" s="25">
        <f>$BO28*$N28*('Baseline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Projects'!Q$3,'Baseline scaling factors'!$B$54:$K$54,0))+$BO28*$N28*('Baseline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Projects'!Q$3,'Baseline scaling factors'!$B$48:$K$48,0))</f>
        <v>1.1103199149657939</v>
      </c>
      <c r="BQ28" s="25">
        <f>$BO28*$N28*('Baseline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Projects'!R$3,'Baseline scaling factors'!$B$54:$K$54,0))+$BO28*$N28*('Baseline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Projects'!R$3,'Baseline scaling factors'!$B$48:$K$48,0))</f>
        <v>1.0158988258114452</v>
      </c>
      <c r="BR28" s="25">
        <f>$BO28*$N28*('Baseline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Projects'!S$3,'Baseline scaling factors'!$B$54:$K$54,0))+$BO28*$N28*('Baseline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Projects'!S$3,'Baseline scaling factors'!$B$48:$K$48,0))</f>
        <v>0.92563814050987581</v>
      </c>
      <c r="BS28" s="25">
        <f>$BO28*$N28*('Baseline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Projects'!T$3,'Baseline scaling factors'!$B$54:$K$54,0))+$BO28*$N28*('Baseline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Projects'!T$3,'Baseline scaling factors'!$B$48:$K$48,0))</f>
        <v>0.83935454238497897</v>
      </c>
      <c r="BT28" s="25">
        <f>$BO28*$N28*('Baseline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Projects'!U$3,'Baseline scaling factors'!$B$54:$K$54,0))+$BO28*$N28*('Baseline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Projects'!U$3,'Baseline scaling factors'!$B$48:$K$48,0))</f>
        <v>0.756872792102397</v>
      </c>
      <c r="BU28" s="25">
        <f>$BO28*$N28*('Baseline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Projects'!V$3,'Baseline scaling factors'!$B$54:$K$54,0))+$BO28*$N28*('Baseline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Projects'!V$3,'Baseline scaling factors'!$B$48:$K$48,0))</f>
        <v>0.67802537176382471</v>
      </c>
      <c r="BV28" s="25">
        <f>$BO28*$N28*('Baseline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Projects'!W$3,'Baseline scaling factors'!$B$54:$K$54,0))+$BO28*$N28*('Baseline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Projects'!W$3,'Baseline scaling factors'!$B$48:$K$48,0))</f>
        <v>0.6026521446833083</v>
      </c>
      <c r="BW28" s="25">
        <f>$BO28*$N28*('Baseline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Projects'!X$3,'Baseline scaling factors'!$B$54:$K$54,0))+$BO28*$N28*('Baseline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Projects'!X$3,'Baseline scaling factors'!$B$48:$K$48,0))</f>
        <v>0.53060003015456114</v>
      </c>
      <c r="BX28" s="25">
        <f>$BO28*$N28*('Baseline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Projects'!Y$3,'Baseline scaling factors'!$B$54:$K$54,0))+$BO28*$N28*('Baseline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Projects'!Y$3,'Baseline scaling factors'!$B$48:$K$48,0))</f>
        <v>0.46172269254875609</v>
      </c>
      <c r="BY28" s="25">
        <f>$BO28*$N28*('Baseline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Projects'!Z$3,'Baseline scaling factors'!$B$54:$K$54,0))+$BO28*$N28*('Baseline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Projects'!Z$3,'Baseline scaling factors'!$B$48:$K$48,0))</f>
        <v>0.39588024411136535</v>
      </c>
      <c r="BZ28" s="12">
        <f t="shared" si="32"/>
        <v>524.07099986385469</v>
      </c>
      <c r="CA28" s="12">
        <f t="shared" si="33"/>
        <v>479.50424578300215</v>
      </c>
      <c r="CB28" s="12">
        <f t="shared" si="34"/>
        <v>436.90120232066135</v>
      </c>
      <c r="CC28" s="12">
        <f t="shared" si="35"/>
        <v>396.17534400571009</v>
      </c>
      <c r="CD28" s="12">
        <f t="shared" si="36"/>
        <v>357.24395787233141</v>
      </c>
      <c r="CE28" s="12">
        <f t="shared" si="37"/>
        <v>320.02797547252527</v>
      </c>
      <c r="CF28" s="12">
        <f t="shared" si="38"/>
        <v>284.4518122905215</v>
      </c>
      <c r="CG28" s="12">
        <f t="shared" si="39"/>
        <v>250.44321423295287</v>
      </c>
      <c r="CH28" s="12">
        <f t="shared" si="40"/>
        <v>217.93311088301289</v>
      </c>
      <c r="CI28" s="12">
        <f t="shared" si="41"/>
        <v>186.85547522056444</v>
      </c>
      <c r="CJ28" s="12">
        <f>'Mitigation Projects'!$AG28*VLOOKUP('Baseline Projects'!$H28&amp;"-"&amp;'Baseline Projects'!$G28,'Baseline scaling factors'!$A$49:$K$51,MATCH('Baseline Projects'!CJ$2,'Baseline scaling factors'!$A$48:$K$48,0),0)</f>
        <v>0</v>
      </c>
      <c r="CK28" s="12">
        <f>'Mitigation Projects'!$AG28*VLOOKUP('Baseline Projects'!$H28&amp;"-"&amp;'Baseline Projects'!$G28,'Baseline scaling factors'!$A$49:$K$51,MATCH('Baseline Projects'!CK$2,'Baseline scaling factors'!$A$48:$K$48,0),0)</f>
        <v>0</v>
      </c>
      <c r="CL28" s="12">
        <f>'Mitigation Projects'!$AG28*VLOOKUP('Baseline Projects'!$H28&amp;"-"&amp;'Baseline Projects'!$G28,'Baseline scaling factors'!$A$49:$K$51,MATCH('Baseline Projects'!CL$2,'Baseline scaling factors'!$A$48:$K$48,0),0)</f>
        <v>0</v>
      </c>
      <c r="CM28" s="12">
        <f>'Mitigation Projects'!$AG28*VLOOKUP('Baseline Projects'!$H28&amp;"-"&amp;'Baseline Projects'!$G28,'Baseline scaling factors'!$A$49:$K$51,MATCH('Baseline Projects'!CM$2,'Baseline scaling factors'!$A$48:$K$48,0),0)</f>
        <v>0</v>
      </c>
      <c r="CN28" s="12">
        <f>'Mitigation Projects'!$AG28*VLOOKUP('Baseline Projects'!$H28&amp;"-"&amp;'Baseline Projects'!$G28,'Baseline scaling factors'!$A$49:$K$51,MATCH('Baseline Projects'!CN$2,'Baseline scaling factors'!$A$48:$K$48,0),0)</f>
        <v>0</v>
      </c>
      <c r="CO28" s="12">
        <f>'Mitigation Projects'!$AG28*VLOOKUP('Baseline Projects'!$H28&amp;"-"&amp;'Baseline Projects'!$G28,'Baseline scaling factors'!$A$49:$K$51,MATCH('Baseline Projects'!CO$2,'Baseline scaling factors'!$A$48:$K$48,0),0)</f>
        <v>0</v>
      </c>
      <c r="CP28" s="12">
        <f>'Mitigation Projects'!$AG28*VLOOKUP('Baseline Projects'!$H28&amp;"-"&amp;'Baseline Projects'!$G28,'Baseline scaling factors'!$A$49:$K$51,MATCH('Baseline Projects'!CP$2,'Baseline scaling factors'!$A$48:$K$48,0),0)</f>
        <v>0</v>
      </c>
      <c r="CQ28" s="12">
        <f>'Mitigation Projects'!$AG28*VLOOKUP('Baseline Projects'!$H28&amp;"-"&amp;'Baseline Projects'!$G28,'Baseline scaling factors'!$A$49:$K$51,MATCH('Baseline Projects'!CQ$2,'Baseline scaling factors'!$A$48:$K$48,0),0)</f>
        <v>0</v>
      </c>
      <c r="CR28" s="12">
        <f>'Mitigation Projects'!$AG28*VLOOKUP('Baseline Projects'!$H28&amp;"-"&amp;'Baseline Projects'!$G28,'Baseline scaling factors'!$A$49:$K$51,MATCH('Baseline Projects'!CR$2,'Baseline scaling factors'!$A$48:$K$48,0),0)</f>
        <v>0</v>
      </c>
      <c r="CS28" s="12">
        <f>'Mitigation Projects'!$AG28*VLOOKUP('Baseline Projects'!$H28&amp;"-"&amp;'Baseline Projects'!$G28,'Baseline scaling factors'!$A$49:$K$51,MATCH('Baseline Projects'!CS$2,'Baseline scaling factors'!$A$48:$K$48,0),0)</f>
        <v>0</v>
      </c>
      <c r="CT28" s="12">
        <f>'Mitigation Projects'!$AH28*VLOOKUP('Baseline Projects'!$H28&amp;"-"&amp;'Baseline Projects'!$G28,'Baseline scaling factors'!$A$49:$K$51,MATCH('Baseline Projects'!CT$2,'Baseline scaling factors'!$A$48:$K$48,0),0)</f>
        <v>0</v>
      </c>
      <c r="CU28" s="12">
        <f>'Mitigation Projects'!$AH28*VLOOKUP('Baseline Projects'!$H28&amp;"-"&amp;'Baseline Projects'!$G28,'Baseline scaling factors'!$A$49:$K$51,MATCH('Baseline Projects'!CU$2,'Baseline scaling factors'!$A$48:$K$48,0),0)</f>
        <v>0</v>
      </c>
      <c r="CV28" s="12">
        <f>'Mitigation Projects'!$AH28*VLOOKUP('Baseline Projects'!$H28&amp;"-"&amp;'Baseline Projects'!$G28,'Baseline scaling factors'!$A$49:$K$51,MATCH('Baseline Projects'!CV$2,'Baseline scaling factors'!$A$48:$K$48,0),0)</f>
        <v>0</v>
      </c>
      <c r="CW28" s="12">
        <f>'Mitigation Projects'!$AH28*VLOOKUP('Baseline Projects'!$H28&amp;"-"&amp;'Baseline Projects'!$G28,'Baseline scaling factors'!$A$49:$K$51,MATCH('Baseline Projects'!CW$2,'Baseline scaling factors'!$A$48:$K$48,0),0)</f>
        <v>0</v>
      </c>
      <c r="CX28" s="12">
        <f>'Mitigation Projects'!$AH28*VLOOKUP('Baseline Projects'!$H28&amp;"-"&amp;'Baseline Projects'!$G28,'Baseline scaling factors'!$A$49:$K$51,MATCH('Baseline Projects'!CX$2,'Baseline scaling factors'!$A$48:$K$48,0),0)</f>
        <v>0</v>
      </c>
      <c r="CY28" s="12">
        <f>'Mitigation Projects'!$AH28*VLOOKUP('Baseline Projects'!$H28&amp;"-"&amp;'Baseline Projects'!$G28,'Baseline scaling factors'!$A$49:$K$51,MATCH('Baseline Projects'!CY$2,'Baseline scaling factors'!$A$48:$K$48,0),0)</f>
        <v>0</v>
      </c>
      <c r="CZ28" s="12">
        <f>'Mitigation Projects'!$AH28*VLOOKUP('Baseline Projects'!$H28&amp;"-"&amp;'Baseline Projects'!$G28,'Baseline scaling factors'!$A$49:$K$51,MATCH('Baseline Projects'!CZ$2,'Baseline scaling factors'!$A$48:$K$48,0),0)</f>
        <v>0</v>
      </c>
      <c r="DA28" s="12">
        <f>'Mitigation Projects'!$AH28*VLOOKUP('Baseline Projects'!$H28&amp;"-"&amp;'Baseline Projects'!$G28,'Baseline scaling factors'!$A$49:$K$51,MATCH('Baseline Projects'!DA$2,'Baseline scaling factors'!$A$48:$K$48,0),0)</f>
        <v>0</v>
      </c>
      <c r="DB28" s="12">
        <f>'Mitigation Projects'!$AH28*VLOOKUP('Baseline Projects'!$H28&amp;"-"&amp;'Baseline Projects'!$G28,'Baseline scaling factors'!$A$49:$K$51,MATCH('Baseline Projects'!DB$2,'Baseline scaling factors'!$A$48:$K$48,0),0)</f>
        <v>0</v>
      </c>
      <c r="DC28" s="12">
        <f>'Mitigation Projects'!$AH28*VLOOKUP('Baseline Projects'!$H28&amp;"-"&amp;'Baseline Projects'!$G28,'Baseline scaling factors'!$A$49:$K$51,MATCH('Baseline Projects'!DC$2,'Baseline scaling factors'!$A$48:$K$48,0),0)</f>
        <v>0</v>
      </c>
    </row>
    <row r="29" spans="1:107" x14ac:dyDescent="0.4">
      <c r="A29" s="38" t="str">
        <f>'Mitigation Projects'!A29</f>
        <v>DM-G6</v>
      </c>
      <c r="B29" s="38" t="str">
        <f>'Mitigation Projects'!B29</f>
        <v>Brattleboro</v>
      </c>
      <c r="C29" s="39">
        <f>'Mitigation Projects'!C29</f>
        <v>204888</v>
      </c>
      <c r="D29" s="39" t="str">
        <f>'Mitigation Projects'!D29</f>
        <v>204888: Rt 30-Main Line feeder</v>
      </c>
      <c r="E29" s="39" t="str">
        <f>'Mitigation Projects'!E29</f>
        <v>Sub</v>
      </c>
      <c r="F29" s="39">
        <f>'Mitigation Projects'!F29</f>
        <v>0</v>
      </c>
      <c r="G29" s="39" t="str">
        <f>'Mitigation Projects'!G29</f>
        <v>3PH</v>
      </c>
      <c r="H29" s="39" t="str">
        <f>'Mitigation Projects'!H29</f>
        <v>OH</v>
      </c>
      <c r="I29" s="39" t="str">
        <f>'Mitigation Projects'!J29</f>
        <v>Zone 1</v>
      </c>
      <c r="J29" s="39">
        <f>'Mitigation Projects'!K29</f>
        <v>1511</v>
      </c>
      <c r="K29" s="40">
        <f>'Mitigation Projects'!L29*BASELINE_CAP_SPEND</f>
        <v>376214.4</v>
      </c>
      <c r="L29" s="97">
        <f>'Mitigation Projects'!Q29</f>
        <v>0.89446185997910133</v>
      </c>
      <c r="M29" s="97">
        <f>'Mitigation Projects'!R29</f>
        <v>0.10553814002089867</v>
      </c>
      <c r="N29" s="98">
        <f>'Mitigation Projects'!S29</f>
        <v>1</v>
      </c>
      <c r="O29" s="26">
        <f t="shared" si="0"/>
        <v>0.9</v>
      </c>
      <c r="P29" s="26">
        <f t="shared" si="1"/>
        <v>0.80330442615766917</v>
      </c>
      <c r="Q29" s="112">
        <f>VLOOKUP($A29,'Outage by Zone inputs'!$A$4:$E$13,MATCH('Baseline Projects'!$I29,'Outage by Zone inputs'!$A$3:$E$3,0),0)*'Baseline Projects'!$L29*$N29*('Baseline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Projects'!Q$3,'Baseline scaling factors'!$B$54:$K$54,0))+VLOOKUP($A29,'Outage by Zone inputs'!$A$4:$E$13,MATCH('Baseline Projects'!$I29,'Outage by Zone inputs'!$A$3:$E$3,0),0)*'Baseline Projects'!$L29*$N29*('Baseline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Projects'!Q$3,'Baseline scaling factors'!$B$48:$K$48,0))</f>
        <v>5560.7990651572709</v>
      </c>
      <c r="R29" s="112">
        <f>VLOOKUP($A29,'Outage by Zone inputs'!$A$4:$E$13,MATCH('Baseline Projects'!$I29,'Outage by Zone inputs'!$A$3:$E$3,0),0)*'Baseline Projects'!$L29*$N29*('Baseline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Projects'!R$3,'Baseline scaling factors'!$B$54:$K$54,0))+VLOOKUP($A29,'Outage by Zone inputs'!$A$4:$E$13,MATCH('Baseline Projects'!$I29,'Outage by Zone inputs'!$A$3:$E$3,0),0)*'Baseline Projects'!$L29*$N29*('Baseline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Projects'!R$3,'Baseline scaling factors'!$B$48:$K$48,0))</f>
        <v>5146.5317038135508</v>
      </c>
      <c r="S29" s="112">
        <f>VLOOKUP($A29,'Outage by Zone inputs'!$A$4:$E$13,MATCH('Baseline Projects'!$I29,'Outage by Zone inputs'!$A$3:$E$3,0),0)*'Baseline Projects'!$L29*$N29*('Baseline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Projects'!S$3,'Baseline scaling factors'!$B$54:$K$54,0))+VLOOKUP($A29,'Outage by Zone inputs'!$A$4:$E$13,MATCH('Baseline Projects'!$I29,'Outage by Zone inputs'!$A$3:$E$3,0),0)*'Baseline Projects'!$L29*$N29*('Baseline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Projects'!S$3,'Baseline scaling factors'!$B$48:$K$48,0))</f>
        <v>4750.5178866902097</v>
      </c>
      <c r="T29" s="112">
        <f>VLOOKUP($A29,'Outage by Zone inputs'!$A$4:$E$13,MATCH('Baseline Projects'!$I29,'Outage by Zone inputs'!$A$3:$E$3,0),0)*'Baseline Projects'!$L29*$N29*('Baseline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Projects'!T$3,'Baseline scaling factors'!$B$54:$K$54,0))+VLOOKUP($A29,'Outage by Zone inputs'!$A$4:$E$13,MATCH('Baseline Projects'!$I29,'Outage by Zone inputs'!$A$3:$E$3,0),0)*'Baseline Projects'!$L29*$N29*('Baseline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Projects'!T$3,'Baseline scaling factors'!$B$48:$K$48,0))</f>
        <v>4371.9533219030791</v>
      </c>
      <c r="U29" s="112">
        <f>VLOOKUP($A29,'Outage by Zone inputs'!$A$4:$E$13,MATCH('Baseline Projects'!$I29,'Outage by Zone inputs'!$A$3:$E$3,0),0)*'Baseline Projects'!$L29*$N29*('Baseline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Projects'!U$3,'Baseline scaling factors'!$B$54:$K$54,0))+VLOOKUP($A29,'Outage by Zone inputs'!$A$4:$E$13,MATCH('Baseline Projects'!$I29,'Outage by Zone inputs'!$A$3:$E$3,0),0)*'Baseline Projects'!$L29*$N29*('Baseline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Projects'!U$3,'Baseline scaling factors'!$B$48:$K$48,0))</f>
        <v>4010.0691564628733</v>
      </c>
      <c r="V29" s="112">
        <f>VLOOKUP($A29,'Outage by Zone inputs'!$A$4:$E$13,MATCH('Baseline Projects'!$I29,'Outage by Zone inputs'!$A$3:$E$3,0),0)*'Baseline Projects'!$L29*$N29*('Baseline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Projects'!V$3,'Baseline scaling factors'!$B$54:$K$54,0))+VLOOKUP($A29,'Outage by Zone inputs'!$A$4:$E$13,MATCH('Baseline Projects'!$I29,'Outage by Zone inputs'!$A$3:$E$3,0),0)*'Baseline Projects'!$L29*$N29*('Baseline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Projects'!V$3,'Baseline scaling factors'!$B$48:$K$48,0))</f>
        <v>3664.1304147584206</v>
      </c>
      <c r="W29" s="112">
        <f>VLOOKUP($A29,'Outage by Zone inputs'!$A$4:$E$13,MATCH('Baseline Projects'!$I29,'Outage by Zone inputs'!$A$3:$E$3,0),0)*'Baseline Projects'!$L29*$N29*('Baseline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Projects'!W$3,'Baseline scaling factors'!$B$54:$K$54,0))+VLOOKUP($A29,'Outage by Zone inputs'!$A$4:$E$13,MATCH('Baseline Projects'!$I29,'Outage by Zone inputs'!$A$3:$E$3,0),0)*'Baseline Projects'!$L29*$N29*('Baseline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Projects'!W$3,'Baseline scaling factors'!$B$48:$K$48,0))</f>
        <v>3333.4345058437925</v>
      </c>
      <c r="X29" s="112">
        <f>VLOOKUP($A29,'Outage by Zone inputs'!$A$4:$E$13,MATCH('Baseline Projects'!$I29,'Outage by Zone inputs'!$A$3:$E$3,0),0)*'Baseline Projects'!$L29*$N29*('Baseline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Projects'!X$3,'Baseline scaling factors'!$B$54:$K$54,0))+VLOOKUP($A29,'Outage by Zone inputs'!$A$4:$E$13,MATCH('Baseline Projects'!$I29,'Outage by Zone inputs'!$A$3:$E$3,0),0)*'Baseline Projects'!$L29*$N29*('Baseline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Projects'!X$3,'Baseline scaling factors'!$B$48:$K$48,0))</f>
        <v>3017.3097964977042</v>
      </c>
      <c r="Y29" s="112">
        <f>VLOOKUP($A29,'Outage by Zone inputs'!$A$4:$E$13,MATCH('Baseline Projects'!$I29,'Outage by Zone inputs'!$A$3:$E$3,0),0)*'Baseline Projects'!$L29*$N29*('Baseline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Projects'!Y$3,'Baseline scaling factors'!$B$54:$K$54,0))+VLOOKUP($A29,'Outage by Zone inputs'!$A$4:$E$13,MATCH('Baseline Projects'!$I29,'Outage by Zone inputs'!$A$3:$E$3,0),0)*'Baseline Projects'!$L29*$N29*('Baseline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Projects'!Y$3,'Baseline scaling factors'!$B$48:$K$48,0))</f>
        <v>2715.1142471570924</v>
      </c>
      <c r="Z29" s="112">
        <f>VLOOKUP($A29,'Outage by Zone inputs'!$A$4:$E$13,MATCH('Baseline Projects'!$I29,'Outage by Zone inputs'!$A$3:$E$3,0),0)*'Baseline Projects'!$L29*$N29*('Baseline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Projects'!Z$3,'Baseline scaling factors'!$B$54:$K$54,0))+VLOOKUP($A29,'Outage by Zone inputs'!$A$4:$E$13,MATCH('Baseline Projects'!$I29,'Outage by Zone inputs'!$A$3:$E$3,0),0)*'Baseline Projects'!$L29*$N29*('Baseline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Projects'!Z$3,'Baseline scaling factors'!$B$48:$K$48,0))</f>
        <v>2426.2341079545099</v>
      </c>
      <c r="AA29" s="34">
        <f>VLOOKUP($A29,'Outage by Zone inputs'!$A$4:$E$13,MATCH('Baseline Projects'!$I29,'Outage by Zone inputs'!$A$3:$E$3,0),0)*$M29*$N29*('Baseline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Projects'!AA$3,'Baseline scaling factors'!$B$54:$K$54,0))+VLOOKUP($A29,'Outage by Zone inputs'!$A$4:$E$13,MATCH('Baseline Projects'!$I29,'Outage by Zone inputs'!$A$3:$E$3,0),0)*$M29*$N29*('Baseline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Projects'!AA$3,'Baseline scaling factors'!$B$48:$K$48,0))</f>
        <v>656.12231960383713</v>
      </c>
      <c r="AB29" s="34">
        <f>VLOOKUP($A29,'Outage by Zone inputs'!$A$4:$E$13,MATCH('Baseline Projects'!$I29,'Outage by Zone inputs'!$A$3:$E$3,0),0)*$M29*$N29*('Baseline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Projects'!AB$3,'Baseline scaling factors'!$B$54:$K$54,0))+VLOOKUP($A29,'Outage by Zone inputs'!$A$4:$E$13,MATCH('Baseline Projects'!$I29,'Outage by Zone inputs'!$A$3:$E$3,0),0)*$M29*$N29*('Baseline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Projects'!AB$3,'Baseline scaling factors'!$B$48:$K$48,0))</f>
        <v>607.24264262286067</v>
      </c>
      <c r="AC29" s="34">
        <f>VLOOKUP($A29,'Outage by Zone inputs'!$A$4:$E$13,MATCH('Baseline Projects'!$I29,'Outage by Zone inputs'!$A$3:$E$3,0),0)*$M29*$N29*('Baseline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Projects'!AC$3,'Baseline scaling factors'!$B$54:$K$54,0))+VLOOKUP($A29,'Outage by Zone inputs'!$A$4:$E$13,MATCH('Baseline Projects'!$I29,'Outage by Zone inputs'!$A$3:$E$3,0),0)*$M29*$N29*('Baseline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Projects'!AC$3,'Baseline scaling factors'!$B$48:$K$48,0))</f>
        <v>560.51671326601809</v>
      </c>
      <c r="AD29" s="34">
        <f>VLOOKUP($A29,'Outage by Zone inputs'!$A$4:$E$13,MATCH('Baseline Projects'!$I29,'Outage by Zone inputs'!$A$3:$E$3,0),0)*$M29*$N29*('Baseline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Projects'!AD$3,'Baseline scaling factors'!$B$54:$K$54,0))+VLOOKUP($A29,'Outage by Zone inputs'!$A$4:$E$13,MATCH('Baseline Projects'!$I29,'Outage by Zone inputs'!$A$3:$E$3,0),0)*$M29*$N29*('Baseline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Projects'!AD$3,'Baseline scaling factors'!$B$48:$K$48,0))</f>
        <v>515.84963260772338</v>
      </c>
      <c r="AE29" s="34">
        <f>VLOOKUP($A29,'Outage by Zone inputs'!$A$4:$E$13,MATCH('Baseline Projects'!$I29,'Outage by Zone inputs'!$A$3:$E$3,0),0)*$M29*$N29*('Baseline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Projects'!AE$3,'Baseline scaling factors'!$B$54:$K$54,0))+VLOOKUP($A29,'Outage by Zone inputs'!$A$4:$E$13,MATCH('Baseline Projects'!$I29,'Outage by Zone inputs'!$A$3:$E$3,0),0)*$M29*$N29*('Baseline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Projects'!AE$3,'Baseline scaling factors'!$B$48:$K$48,0))</f>
        <v>473.15068318078318</v>
      </c>
      <c r="AF29" s="34">
        <f>VLOOKUP($A29,'Outage by Zone inputs'!$A$4:$E$13,MATCH('Baseline Projects'!$I29,'Outage by Zone inputs'!$A$3:$E$3,0),0)*$M29*$N29*('Baseline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Projects'!AF$3,'Baseline scaling factors'!$B$54:$K$54,0))+VLOOKUP($A29,'Outage by Zone inputs'!$A$4:$E$13,MATCH('Baseline Projects'!$I29,'Outage by Zone inputs'!$A$3:$E$3,0),0)*$M29*$N29*('Baseline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Projects'!AF$3,'Baseline scaling factors'!$B$48:$K$48,0))</f>
        <v>432.33314473201006</v>
      </c>
      <c r="AG29" s="34">
        <f>VLOOKUP($A29,'Outage by Zone inputs'!$A$4:$E$13,MATCH('Baseline Projects'!$I29,'Outage by Zone inputs'!$A$3:$E$3,0),0)*$M29*$N29*('Baseline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Projects'!AG$3,'Baseline scaling factors'!$B$54:$K$54,0))+VLOOKUP($A29,'Outage by Zone inputs'!$A$4:$E$13,MATCH('Baseline Projects'!$I29,'Outage by Zone inputs'!$A$3:$E$3,0),0)*$M29*$N29*('Baseline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Projects'!AG$3,'Baseline scaling factors'!$B$48:$K$48,0))</f>
        <v>393.31411809605515</v>
      </c>
      <c r="AH29" s="34">
        <f>VLOOKUP($A29,'Outage by Zone inputs'!$A$4:$E$13,MATCH('Baseline Projects'!$I29,'Outage by Zone inputs'!$A$3:$E$3,0),0)*$M29*$N29*('Baseline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Projects'!AH$3,'Baseline scaling factors'!$B$54:$K$54,0))+VLOOKUP($A29,'Outage by Zone inputs'!$A$4:$E$13,MATCH('Baseline Projects'!$I29,'Outage by Zone inputs'!$A$3:$E$3,0),0)*$M29*$N29*('Baseline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Projects'!AH$3,'Baseline scaling factors'!$B$48:$K$48,0))</f>
        <v>356.01435682975267</v>
      </c>
      <c r="AI29" s="34">
        <f>VLOOKUP($A29,'Outage by Zone inputs'!$A$4:$E$13,MATCH('Baseline Projects'!$I29,'Outage by Zone inputs'!$A$3:$E$3,0),0)*$M29*$N29*('Baseline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Projects'!AI$3,'Baseline scaling factors'!$B$54:$K$54,0))+VLOOKUP($A29,'Outage by Zone inputs'!$A$4:$E$13,MATCH('Baseline Projects'!$I29,'Outage by Zone inputs'!$A$3:$E$3,0),0)*$M29*$N29*('Baseline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Projects'!AI$3,'Baseline scaling factors'!$B$48:$K$48,0))</f>
        <v>320.35810626503093</v>
      </c>
      <c r="AJ29" s="34">
        <f>VLOOKUP($A29,'Outage by Zone inputs'!$A$4:$E$13,MATCH('Baseline Projects'!$I29,'Outage by Zone inputs'!$A$3:$E$3,0),0)*$M29*$N29*('Baseline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Projects'!AJ$3,'Baseline scaling factors'!$B$54:$K$54,0))+VLOOKUP($A29,'Outage by Zone inputs'!$A$4:$E$13,MATCH('Baseline Projects'!$I29,'Outage by Zone inputs'!$A$3:$E$3,0),0)*$M29*$N29*('Baseline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Projects'!AJ$3,'Baseline scaling factors'!$B$48:$K$48,0))</f>
        <v>286.2729496535112</v>
      </c>
      <c r="AK29" s="1">
        <f t="shared" si="2"/>
        <v>116776.78036830269</v>
      </c>
      <c r="AL29" s="1">
        <f t="shared" si="3"/>
        <v>108077.16578008457</v>
      </c>
      <c r="AM29" s="1">
        <f t="shared" si="4"/>
        <v>99760.875620494407</v>
      </c>
      <c r="AN29" s="1">
        <f t="shared" si="5"/>
        <v>91811.019759964664</v>
      </c>
      <c r="AO29" s="1">
        <f t="shared" si="6"/>
        <v>84211.452285720341</v>
      </c>
      <c r="AP29" s="1">
        <f t="shared" si="7"/>
        <v>76946.738709926838</v>
      </c>
      <c r="AQ29" s="1">
        <f t="shared" si="8"/>
        <v>70002.124622719639</v>
      </c>
      <c r="AR29" s="1">
        <f t="shared" si="9"/>
        <v>63363.505726451789</v>
      </c>
      <c r="AS29" s="1">
        <f t="shared" si="10"/>
        <v>57017.399190298944</v>
      </c>
      <c r="AT29" s="1">
        <f t="shared" si="11"/>
        <v>50950.916267044711</v>
      </c>
      <c r="AU29" s="1">
        <f t="shared" si="12"/>
        <v>2549035.2116609071</v>
      </c>
      <c r="AV29" s="1">
        <f t="shared" si="13"/>
        <v>2359137.6665898138</v>
      </c>
      <c r="AW29" s="1">
        <f t="shared" si="14"/>
        <v>2177607.4310384803</v>
      </c>
      <c r="AX29" s="1">
        <f t="shared" si="15"/>
        <v>2004075.8226810053</v>
      </c>
      <c r="AY29" s="1">
        <f t="shared" si="16"/>
        <v>1838190.4041573426</v>
      </c>
      <c r="AZ29" s="1">
        <f t="shared" si="17"/>
        <v>1679614.267283859</v>
      </c>
      <c r="BA29" s="1">
        <f t="shared" si="18"/>
        <v>1528025.3488031742</v>
      </c>
      <c r="BB29" s="1">
        <f t="shared" si="19"/>
        <v>1383115.7762835892</v>
      </c>
      <c r="BC29" s="1">
        <f t="shared" si="20"/>
        <v>1244591.2428396451</v>
      </c>
      <c r="BD29" s="1">
        <f t="shared" si="21"/>
        <v>1112170.4094038911</v>
      </c>
      <c r="BE29" s="1">
        <f t="shared" si="22"/>
        <v>2665811.9920292096</v>
      </c>
      <c r="BF29" s="1">
        <f t="shared" si="23"/>
        <v>2467214.8323698984</v>
      </c>
      <c r="BG29" s="1">
        <f t="shared" si="24"/>
        <v>2277368.3066589748</v>
      </c>
      <c r="BH29" s="1">
        <f t="shared" si="25"/>
        <v>2095886.84244097</v>
      </c>
      <c r="BI29" s="1">
        <f t="shared" si="26"/>
        <v>1922401.8564430629</v>
      </c>
      <c r="BJ29" s="1">
        <f t="shared" si="27"/>
        <v>1756561.0059937858</v>
      </c>
      <c r="BK29" s="1">
        <f t="shared" si="28"/>
        <v>1598027.4734258938</v>
      </c>
      <c r="BL29" s="1">
        <f t="shared" si="29"/>
        <v>1446479.2820100409</v>
      </c>
      <c r="BM29" s="1">
        <f t="shared" si="30"/>
        <v>1301608.6420299441</v>
      </c>
      <c r="BN29" s="1">
        <f t="shared" si="31"/>
        <v>1163121.3256709357</v>
      </c>
      <c r="BO29" s="25">
        <f>VLOOKUP($A29,'Outage by Zone inputs'!$A$59:$E$68,MATCH('Baseline Projects'!$I29,'Outage by Zone inputs'!$A$58:$E$58,0),0)*AVG_INCIDENT_PERCENT_NON_STORM</f>
        <v>25.522239697781917</v>
      </c>
      <c r="BP29" s="25">
        <f>$BO29*$N29*('Baseline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Projects'!Q$3,'Baseline scaling factors'!$B$54:$K$54,0))+$BO29*$N29*('Baseline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Projects'!Q$3,'Baseline scaling factors'!$B$48:$K$48,0))</f>
        <v>23.677048167460253</v>
      </c>
      <c r="BQ29" s="25">
        <f>$BO29*$N29*('Baseline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Projects'!R$3,'Baseline scaling factors'!$B$54:$K$54,0))+$BO29*$N29*('Baseline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Projects'!R$3,'Baseline scaling factors'!$B$48:$K$48,0))</f>
        <v>21.913159892805513</v>
      </c>
      <c r="BR29" s="25">
        <f>$BO29*$N29*('Baseline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Projects'!S$3,'Baseline scaling factors'!$B$54:$K$54,0))+$BO29*$N29*('Baseline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Projects'!S$3,'Baseline scaling factors'!$B$48:$K$48,0))</f>
        <v>20.226992470975841</v>
      </c>
      <c r="BS29" s="25">
        <f>$BO29*$N29*('Baseline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Projects'!T$3,'Baseline scaling factors'!$B$54:$K$54,0))+$BO29*$N29*('Baseline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Projects'!T$3,'Baseline scaling factors'!$B$48:$K$48,0))</f>
        <v>18.615121347791309</v>
      </c>
      <c r="BT29" s="25">
        <f>$BO29*$N29*('Baseline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Projects'!U$3,'Baseline scaling factors'!$B$54:$K$54,0))+$BO29*$N29*('Baseline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Projects'!U$3,'Baseline scaling factors'!$B$48:$K$48,0))</f>
        <v>17.074272862569774</v>
      </c>
      <c r="BU29" s="25">
        <f>$BO29*$N29*('Baseline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Projects'!V$3,'Baseline scaling factors'!$B$54:$K$54,0))+$BO29*$N29*('Baseline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Projects'!V$3,'Baseline scaling factors'!$B$48:$K$48,0))</f>
        <v>15.601317599422666</v>
      </c>
      <c r="BV29" s="25">
        <f>$BO29*$N29*('Baseline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Projects'!W$3,'Baseline scaling factors'!$B$54:$K$54,0))+$BO29*$N29*('Baseline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Projects'!W$3,'Baseline scaling factors'!$B$48:$K$48,0))</f>
        <v>14.193264031507557</v>
      </c>
      <c r="BW29" s="25">
        <f>$BO29*$N29*('Baseline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Projects'!X$3,'Baseline scaling factors'!$B$54:$K$54,0))+$BO29*$N29*('Baseline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Projects'!X$3,'Baseline scaling factors'!$B$48:$K$48,0))</f>
        <v>12.847252445329158</v>
      </c>
      <c r="BX29" s="25">
        <f>$BO29*$N29*('Baseline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Projects'!Y$3,'Baseline scaling factors'!$B$54:$K$54,0))+$BO29*$N29*('Baseline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Projects'!Y$3,'Baseline scaling factors'!$B$48:$K$48,0))</f>
        <v>11.560549132749131</v>
      </c>
      <c r="BY29" s="25">
        <f>$BO29*$N29*('Baseline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Projects'!Z$3,'Baseline scaling factors'!$B$54:$K$54,0))+$BO29*$N29*('Baseline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Projects'!Z$3,'Baseline scaling factors'!$B$48:$K$48,0))</f>
        <v>10.330540838908949</v>
      </c>
      <c r="BZ29" s="12">
        <f t="shared" si="32"/>
        <v>11175.566735041239</v>
      </c>
      <c r="CA29" s="12">
        <f t="shared" si="33"/>
        <v>10343.011469404202</v>
      </c>
      <c r="CB29" s="12">
        <f t="shared" si="34"/>
        <v>9547.1404463005965</v>
      </c>
      <c r="CC29" s="12">
        <f t="shared" si="35"/>
        <v>8786.3372761574974</v>
      </c>
      <c r="CD29" s="12">
        <f t="shared" si="36"/>
        <v>8059.0567911329335</v>
      </c>
      <c r="CE29" s="12">
        <f t="shared" si="37"/>
        <v>7363.8219069274983</v>
      </c>
      <c r="CF29" s="12">
        <f t="shared" si="38"/>
        <v>6699.2206228715668</v>
      </c>
      <c r="CG29" s="12">
        <f t="shared" si="39"/>
        <v>6063.9031541953627</v>
      </c>
      <c r="CH29" s="12">
        <f t="shared" si="40"/>
        <v>5456.5791906575896</v>
      </c>
      <c r="CI29" s="12">
        <f t="shared" si="41"/>
        <v>4876.0152759650236</v>
      </c>
      <c r="CJ29" s="12">
        <f>'Mitigation Projects'!$AG29*VLOOKUP('Baseline Projects'!$H29&amp;"-"&amp;'Baseline Projects'!$G29,'Baseline scaling factors'!$A$49:$K$51,MATCH('Baseline Projects'!CJ$2,'Baseline scaling factors'!$A$48:$K$48,0),0)</f>
        <v>1563.6775939816416</v>
      </c>
      <c r="CK29" s="12">
        <f>'Mitigation Projects'!$AG29*VLOOKUP('Baseline Projects'!$H29&amp;"-"&amp;'Baseline Projects'!$G29,'Baseline scaling factors'!$A$49:$K$51,MATCH('Baseline Projects'!CK$2,'Baseline scaling factors'!$A$48:$K$48,0),0)</f>
        <v>3058.4560644224412</v>
      </c>
      <c r="CL29" s="12">
        <f>'Mitigation Projects'!$AG29*VLOOKUP('Baseline Projects'!$H29&amp;"-"&amp;'Baseline Projects'!$G29,'Baseline scaling factors'!$A$49:$K$51,MATCH('Baseline Projects'!CL$2,'Baseline scaling factors'!$A$48:$K$48,0),0)</f>
        <v>4487.3712604277171</v>
      </c>
      <c r="CM29" s="12">
        <f>'Mitigation Projects'!$AG29*VLOOKUP('Baseline Projects'!$H29&amp;"-"&amp;'Baseline Projects'!$G29,'Baseline scaling factors'!$A$49:$K$51,MATCH('Baseline Projects'!CM$2,'Baseline scaling factors'!$A$48:$K$48,0),0)</f>
        <v>5853.3252648178686</v>
      </c>
      <c r="CN29" s="12">
        <f>'Mitigation Projects'!$AG29*VLOOKUP('Baseline Projects'!$H29&amp;"-"&amp;'Baseline Projects'!$G29,'Baseline scaling factors'!$A$49:$K$51,MATCH('Baseline Projects'!CN$2,'Baseline scaling factors'!$A$48:$K$48,0),0)</f>
        <v>7159.0922881693386</v>
      </c>
      <c r="CO29" s="12">
        <f>'Mitigation Projects'!$AG29*VLOOKUP('Baseline Projects'!$H29&amp;"-"&amp;'Baseline Projects'!$G29,'Baseline scaling factors'!$A$49:$K$51,MATCH('Baseline Projects'!CO$2,'Baseline scaling factors'!$A$48:$K$48,0),0)</f>
        <v>8407.3243031509774</v>
      </c>
      <c r="CP29" s="12">
        <f>'Mitigation Projects'!$AG29*VLOOKUP('Baseline Projects'!$H29&amp;"-"&amp;'Baseline Projects'!$G29,'Baseline scaling factors'!$A$49:$K$51,MATCH('Baseline Projects'!CP$2,'Baseline scaling factors'!$A$48:$K$48,0),0)</f>
        <v>9600.556430598981</v>
      </c>
      <c r="CQ29" s="12">
        <f>'Mitigation Projects'!$AG29*VLOOKUP('Baseline Projects'!$H29&amp;"-"&amp;'Baseline Projects'!$G29,'Baseline scaling factors'!$A$49:$K$51,MATCH('Baseline Projects'!CQ$2,'Baseline scaling factors'!$A$48:$K$48,0),0)</f>
        <v>10741.212088269351</v>
      </c>
      <c r="CR29" s="12">
        <f>'Mitigation Projects'!$AG29*VLOOKUP('Baseline Projects'!$H29&amp;"-"&amp;'Baseline Projects'!$G29,'Baseline scaling factors'!$A$49:$K$51,MATCH('Baseline Projects'!CR$2,'Baseline scaling factors'!$A$48:$K$48,0),0)</f>
        <v>11831.607912724819</v>
      </c>
      <c r="CS29" s="12">
        <f>'Mitigation Projects'!$AG29*VLOOKUP('Baseline Projects'!$H29&amp;"-"&amp;'Baseline Projects'!$G29,'Baseline scaling factors'!$A$49:$K$51,MATCH('Baseline Projects'!CS$2,'Baseline scaling factors'!$A$48:$K$48,0),0)</f>
        <v>12873.958464352483</v>
      </c>
      <c r="CT29" s="12">
        <f>'Mitigation Projects'!$AH29*VLOOKUP('Baseline Projects'!$H29&amp;"-"&amp;'Baseline Projects'!$G29,'Baseline scaling factors'!$A$49:$K$51,MATCH('Baseline Projects'!CT$2,'Baseline scaling factors'!$A$48:$K$48,0),0)</f>
        <v>34132.37832190068</v>
      </c>
      <c r="CU29" s="12">
        <f>'Mitigation Projects'!$AH29*VLOOKUP('Baseline Projects'!$H29&amp;"-"&amp;'Baseline Projects'!$G29,'Baseline scaling factors'!$A$49:$K$51,MATCH('Baseline Projects'!CU$2,'Baseline scaling factors'!$A$48:$K$48,0),0)</f>
        <v>66760.807901557637</v>
      </c>
      <c r="CV29" s="12">
        <f>'Mitigation Projects'!$AH29*VLOOKUP('Baseline Projects'!$H29&amp;"-"&amp;'Baseline Projects'!$G29,'Baseline scaling factors'!$A$49:$K$51,MATCH('Baseline Projects'!CV$2,'Baseline scaling factors'!$A$48:$K$48,0),0)</f>
        <v>97951.556076041961</v>
      </c>
      <c r="CW29" s="12">
        <f>'Mitigation Projects'!$AH29*VLOOKUP('Baseline Projects'!$H29&amp;"-"&amp;'Baseline Projects'!$G29,'Baseline scaling factors'!$A$49:$K$51,MATCH('Baseline Projects'!CW$2,'Baseline scaling factors'!$A$48:$K$48,0),0)</f>
        <v>127767.97029570318</v>
      </c>
      <c r="CX29" s="12">
        <f>'Mitigation Projects'!$AH29*VLOOKUP('Baseline Projects'!$H29&amp;"-"&amp;'Baseline Projects'!$G29,'Baseline scaling factors'!$A$49:$K$51,MATCH('Baseline Projects'!CX$2,'Baseline scaling factors'!$A$48:$K$48,0),0)</f>
        <v>156270.60678089267</v>
      </c>
      <c r="CY29" s="12">
        <f>'Mitigation Projects'!$AH29*VLOOKUP('Baseline Projects'!$H29&amp;"-"&amp;'Baseline Projects'!$G29,'Baseline scaling factors'!$A$49:$K$51,MATCH('Baseline Projects'!CY$2,'Baseline scaling factors'!$A$48:$K$48,0),0)</f>
        <v>183517.35350978511</v>
      </c>
      <c r="CZ29" s="12">
        <f>'Mitigation Projects'!$AH29*VLOOKUP('Baseline Projects'!$H29&amp;"-"&amp;'Baseline Projects'!$G29,'Baseline scaling factors'!$A$49:$K$51,MATCH('Baseline Projects'!CZ$2,'Baseline scaling factors'!$A$48:$K$48,0),0)</f>
        <v>209563.54778708183</v>
      </c>
      <c r="DA29" s="12">
        <f>'Mitigation Projects'!$AH29*VLOOKUP('Baseline Projects'!$H29&amp;"-"&amp;'Baseline Projects'!$G29,'Baseline scaling factors'!$A$49:$K$51,MATCH('Baseline Projects'!DA$2,'Baseline scaling factors'!$A$48:$K$48,0),0)</f>
        <v>234462.08863237489</v>
      </c>
      <c r="DB29" s="12">
        <f>'Mitigation Projects'!$AH29*VLOOKUP('Baseline Projects'!$H29&amp;"-"&amp;'Baseline Projects'!$G29,'Baseline scaling factors'!$A$49:$K$51,MATCH('Baseline Projects'!DB$2,'Baseline scaling factors'!$A$48:$K$48,0),0)</f>
        <v>258263.54421642912</v>
      </c>
      <c r="DC29" s="12">
        <f>'Mitigation Projects'!$AH29*VLOOKUP('Baseline Projects'!$H29&amp;"-"&amp;'Baseline Projects'!$G29,'Baseline scaling factors'!$A$49:$K$51,MATCH('Baseline Projects'!DC$2,'Baseline scaling factors'!$A$48:$K$48,0),0)</f>
        <v>281016.25456358207</v>
      </c>
    </row>
    <row r="30" spans="1:107" x14ac:dyDescent="0.4">
      <c r="A30" s="38" t="str">
        <f>'Mitigation Projects'!A30</f>
        <v>DM-G6</v>
      </c>
      <c r="B30" s="38" t="str">
        <f>'Mitigation Projects'!B30</f>
        <v>Brattleboro</v>
      </c>
      <c r="C30" s="39">
        <f>'Mitigation Projects'!C30</f>
        <v>204889</v>
      </c>
      <c r="D30" s="39" t="str">
        <f>'Mitigation Projects'!D30</f>
        <v>204889: L6-Dover Rd-L61 P1-P121</v>
      </c>
      <c r="E30" s="39">
        <f>'Mitigation Projects'!E30</f>
        <v>554415</v>
      </c>
      <c r="F30" s="39">
        <f>'Mitigation Projects'!F30</f>
        <v>0</v>
      </c>
      <c r="G30" s="39" t="str">
        <f>'Mitigation Projects'!G30</f>
        <v>3PH</v>
      </c>
      <c r="H30" s="39" t="str">
        <f>'Mitigation Projects'!H30</f>
        <v>OH</v>
      </c>
      <c r="I30" s="39" t="str">
        <f>'Mitigation Projects'!J30</f>
        <v>Zone 2</v>
      </c>
      <c r="J30" s="39">
        <f>'Mitigation Projects'!K30</f>
        <v>316</v>
      </c>
      <c r="K30" s="40">
        <f>'Mitigation Projects'!L30*BASELINE_CAP_SPEND</f>
        <v>94053.200000000012</v>
      </c>
      <c r="L30" s="97">
        <f>'Mitigation Projects'!Q30</f>
        <v>0.89446185997910133</v>
      </c>
      <c r="M30" s="97">
        <f>'Mitigation Projects'!R30</f>
        <v>0.10553814002089867</v>
      </c>
      <c r="N30" s="98">
        <f>'Mitigation Projects'!S30</f>
        <v>1</v>
      </c>
      <c r="O30" s="26">
        <f t="shared" si="0"/>
        <v>0.9</v>
      </c>
      <c r="P30" s="26">
        <f t="shared" si="1"/>
        <v>0.80330442615766917</v>
      </c>
      <c r="Q30" s="112">
        <f>VLOOKUP($A30,'Outage by Zone inputs'!$A$4:$E$13,MATCH('Baseline Projects'!$I30,'Outage by Zone inputs'!$A$3:$E$3,0),0)*'Baseline Projects'!$L30*$N30*('Baseline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Projects'!Q$3,'Baseline scaling factors'!$B$54:$K$54,0))+VLOOKUP($A30,'Outage by Zone inputs'!$A$4:$E$13,MATCH('Baseline Projects'!$I30,'Outage by Zone inputs'!$A$3:$E$3,0),0)*'Baseline Projects'!$L30*$N30*('Baseline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Projects'!Q$3,'Baseline scaling factors'!$B$48:$K$48,0))</f>
        <v>880.2761268481371</v>
      </c>
      <c r="R30" s="112">
        <f>VLOOKUP($A30,'Outage by Zone inputs'!$A$4:$E$13,MATCH('Baseline Projects'!$I30,'Outage by Zone inputs'!$A$3:$E$3,0),0)*'Baseline Projects'!$L30*$N30*('Baseline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Projects'!R$3,'Baseline scaling factors'!$B$54:$K$54,0))+VLOOKUP($A30,'Outage by Zone inputs'!$A$4:$E$13,MATCH('Baseline Projects'!$I30,'Outage by Zone inputs'!$A$3:$E$3,0),0)*'Baseline Projects'!$L30*$N30*('Baseline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Projects'!R$3,'Baseline scaling factors'!$B$48:$K$48,0))</f>
        <v>814.69748175589007</v>
      </c>
      <c r="S30" s="112">
        <f>VLOOKUP($A30,'Outage by Zone inputs'!$A$4:$E$13,MATCH('Baseline Projects'!$I30,'Outage by Zone inputs'!$A$3:$E$3,0),0)*'Baseline Projects'!$L30*$N30*('Baseline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Projects'!S$3,'Baseline scaling factors'!$B$54:$K$54,0))+VLOOKUP($A30,'Outage by Zone inputs'!$A$4:$E$13,MATCH('Baseline Projects'!$I30,'Outage by Zone inputs'!$A$3:$E$3,0),0)*'Baseline Projects'!$L30*$N30*('Baseline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Projects'!S$3,'Baseline scaling factors'!$B$48:$K$48,0))</f>
        <v>752.00837808013603</v>
      </c>
      <c r="T30" s="112">
        <f>VLOOKUP($A30,'Outage by Zone inputs'!$A$4:$E$13,MATCH('Baseline Projects'!$I30,'Outage by Zone inputs'!$A$3:$E$3,0),0)*'Baseline Projects'!$L30*$N30*('Baseline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Projects'!T$3,'Baseline scaling factors'!$B$54:$K$54,0))+VLOOKUP($A30,'Outage by Zone inputs'!$A$4:$E$13,MATCH('Baseline Projects'!$I30,'Outage by Zone inputs'!$A$3:$E$3,0),0)*'Baseline Projects'!$L30*$N30*('Baseline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Projects'!T$3,'Baseline scaling factors'!$B$48:$K$48,0))</f>
        <v>692.0814961791549</v>
      </c>
      <c r="U30" s="112">
        <f>VLOOKUP($A30,'Outage by Zone inputs'!$A$4:$E$13,MATCH('Baseline Projects'!$I30,'Outage by Zone inputs'!$A$3:$E$3,0),0)*'Baseline Projects'!$L30*$N30*('Baseline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Projects'!U$3,'Baseline scaling factors'!$B$54:$K$54,0))+VLOOKUP($A30,'Outage by Zone inputs'!$A$4:$E$13,MATCH('Baseline Projects'!$I30,'Outage by Zone inputs'!$A$3:$E$3,0),0)*'Baseline Projects'!$L30*$N30*('Baseline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Projects'!U$3,'Baseline scaling factors'!$B$48:$K$48,0))</f>
        <v>634.79512639870586</v>
      </c>
      <c r="V30" s="112">
        <f>VLOOKUP($A30,'Outage by Zone inputs'!$A$4:$E$13,MATCH('Baseline Projects'!$I30,'Outage by Zone inputs'!$A$3:$E$3,0),0)*'Baseline Projects'!$L30*$N30*('Baseline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Projects'!V$3,'Baseline scaling factors'!$B$54:$K$54,0))+VLOOKUP($A30,'Outage by Zone inputs'!$A$4:$E$13,MATCH('Baseline Projects'!$I30,'Outage by Zone inputs'!$A$3:$E$3,0),0)*'Baseline Projects'!$L30*$N30*('Baseline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Projects'!V$3,'Baseline scaling factors'!$B$48:$K$48,0))</f>
        <v>580.0329218834629</v>
      </c>
      <c r="W30" s="112">
        <f>VLOOKUP($A30,'Outage by Zone inputs'!$A$4:$E$13,MATCH('Baseline Projects'!$I30,'Outage by Zone inputs'!$A$3:$E$3,0),0)*'Baseline Projects'!$L30*$N30*('Baseline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Projects'!W$3,'Baseline scaling factors'!$B$54:$K$54,0))+VLOOKUP($A30,'Outage by Zone inputs'!$A$4:$E$13,MATCH('Baseline Projects'!$I30,'Outage by Zone inputs'!$A$3:$E$3,0),0)*'Baseline Projects'!$L30*$N30*('Baseline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Projects'!W$3,'Baseline scaling factors'!$B$48:$K$48,0))</f>
        <v>527.68366228012928</v>
      </c>
      <c r="X30" s="112">
        <f>VLOOKUP($A30,'Outage by Zone inputs'!$A$4:$E$13,MATCH('Baseline Projects'!$I30,'Outage by Zone inputs'!$A$3:$E$3,0),0)*'Baseline Projects'!$L30*$N30*('Baseline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Projects'!X$3,'Baseline scaling factors'!$B$54:$K$54,0))+VLOOKUP($A30,'Outage by Zone inputs'!$A$4:$E$13,MATCH('Baseline Projects'!$I30,'Outage by Zone inputs'!$A$3:$E$3,0),0)*'Baseline Projects'!$L30*$N30*('Baseline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Projects'!X$3,'Baseline scaling factors'!$B$48:$K$48,0))</f>
        <v>477.64102785232024</v>
      </c>
      <c r="Y30" s="112">
        <f>VLOOKUP($A30,'Outage by Zone inputs'!$A$4:$E$13,MATCH('Baseline Projects'!$I30,'Outage by Zone inputs'!$A$3:$E$3,0),0)*'Baseline Projects'!$L30*$N30*('Baseline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Projects'!Y$3,'Baseline scaling factors'!$B$54:$K$54,0))+VLOOKUP($A30,'Outage by Zone inputs'!$A$4:$E$13,MATCH('Baseline Projects'!$I30,'Outage by Zone inputs'!$A$3:$E$3,0),0)*'Baseline Projects'!$L30*$N30*('Baseline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Projects'!Y$3,'Baseline scaling factors'!$B$48:$K$48,0))</f>
        <v>429.80338354844798</v>
      </c>
      <c r="Z30" s="112">
        <f>VLOOKUP($A30,'Outage by Zone inputs'!$A$4:$E$13,MATCH('Baseline Projects'!$I30,'Outage by Zone inputs'!$A$3:$E$3,0),0)*'Baseline Projects'!$L30*$N30*('Baseline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Projects'!Z$3,'Baseline scaling factors'!$B$54:$K$54,0))+VLOOKUP($A30,'Outage by Zone inputs'!$A$4:$E$13,MATCH('Baseline Projects'!$I30,'Outage by Zone inputs'!$A$3:$E$3,0),0)*'Baseline Projects'!$L30*$N30*('Baseline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Projects'!Z$3,'Baseline scaling factors'!$B$48:$K$48,0))</f>
        <v>384.07357258405773</v>
      </c>
      <c r="AA30" s="34">
        <f>VLOOKUP($A30,'Outage by Zone inputs'!$A$4:$E$13,MATCH('Baseline Projects'!$I30,'Outage by Zone inputs'!$A$3:$E$3,0),0)*$M30*$N30*('Baseline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Projects'!AA$3,'Baseline scaling factors'!$B$54:$K$54,0))+VLOOKUP($A30,'Outage by Zone inputs'!$A$4:$E$13,MATCH('Baseline Projects'!$I30,'Outage by Zone inputs'!$A$3:$E$3,0),0)*$M30*$N30*('Baseline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Projects'!AA$3,'Baseline scaling factors'!$B$48:$K$48,0))</f>
        <v>103.86435608839005</v>
      </c>
      <c r="AB30" s="34">
        <f>VLOOKUP($A30,'Outage by Zone inputs'!$A$4:$E$13,MATCH('Baseline Projects'!$I30,'Outage by Zone inputs'!$A$3:$E$3,0),0)*$M30*$N30*('Baseline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Projects'!AB$3,'Baseline scaling factors'!$B$54:$K$54,0))+VLOOKUP($A30,'Outage by Zone inputs'!$A$4:$E$13,MATCH('Baseline Projects'!$I30,'Outage by Zone inputs'!$A$3:$E$3,0),0)*$M30*$N30*('Baseline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Projects'!AB$3,'Baseline scaling factors'!$B$48:$K$48,0))</f>
        <v>96.12668885203847</v>
      </c>
      <c r="AC30" s="34">
        <f>VLOOKUP($A30,'Outage by Zone inputs'!$A$4:$E$13,MATCH('Baseline Projects'!$I30,'Outage by Zone inputs'!$A$3:$E$3,0),0)*$M30*$N30*('Baseline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Projects'!AC$3,'Baseline scaling factors'!$B$54:$K$54,0))+VLOOKUP($A30,'Outage by Zone inputs'!$A$4:$E$13,MATCH('Baseline Projects'!$I30,'Outage by Zone inputs'!$A$3:$E$3,0),0)*$M30*$N30*('Baseline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Projects'!AC$3,'Baseline scaling factors'!$B$48:$K$48,0))</f>
        <v>88.729960497773092</v>
      </c>
      <c r="AD30" s="34">
        <f>VLOOKUP($A30,'Outage by Zone inputs'!$A$4:$E$13,MATCH('Baseline Projects'!$I30,'Outage by Zone inputs'!$A$3:$E$3,0),0)*$M30*$N30*('Baseline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Projects'!AD$3,'Baseline scaling factors'!$B$54:$K$54,0))+VLOOKUP($A30,'Outage by Zone inputs'!$A$4:$E$13,MATCH('Baseline Projects'!$I30,'Outage by Zone inputs'!$A$3:$E$3,0),0)*$M30*$N30*('Baseline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Projects'!AD$3,'Baseline scaling factors'!$B$48:$K$48,0))</f>
        <v>81.65914849777414</v>
      </c>
      <c r="AE30" s="34">
        <f>VLOOKUP($A30,'Outage by Zone inputs'!$A$4:$E$13,MATCH('Baseline Projects'!$I30,'Outage by Zone inputs'!$A$3:$E$3,0),0)*$M30*$N30*('Baseline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Projects'!AE$3,'Baseline scaling factors'!$B$54:$K$54,0))+VLOOKUP($A30,'Outage by Zone inputs'!$A$4:$E$13,MATCH('Baseline Projects'!$I30,'Outage by Zone inputs'!$A$3:$E$3,0),0)*$M30*$N30*('Baseline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Projects'!AE$3,'Baseline scaling factors'!$B$48:$K$48,0))</f>
        <v>74.899892250314622</v>
      </c>
      <c r="AF30" s="34">
        <f>VLOOKUP($A30,'Outage by Zone inputs'!$A$4:$E$13,MATCH('Baseline Projects'!$I30,'Outage by Zone inputs'!$A$3:$E$3,0),0)*$M30*$N30*('Baseline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Projects'!AF$3,'Baseline scaling factors'!$B$54:$K$54,0))+VLOOKUP($A30,'Outage by Zone inputs'!$A$4:$E$13,MATCH('Baseline Projects'!$I30,'Outage by Zone inputs'!$A$3:$E$3,0),0)*$M30*$N30*('Baseline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Projects'!AF$3,'Baseline scaling factors'!$B$48:$K$48,0))</f>
        <v>68.438463913819831</v>
      </c>
      <c r="AG30" s="34">
        <f>VLOOKUP($A30,'Outage by Zone inputs'!$A$4:$E$13,MATCH('Baseline Projects'!$I30,'Outage by Zone inputs'!$A$3:$E$3,0),0)*$M30*$N30*('Baseline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Projects'!AG$3,'Baseline scaling factors'!$B$54:$K$54,0))+VLOOKUP($A30,'Outage by Zone inputs'!$A$4:$E$13,MATCH('Baseline Projects'!$I30,'Outage by Zone inputs'!$A$3:$E$3,0),0)*$M30*$N30*('Baseline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Projects'!AG$3,'Baseline scaling factors'!$B$48:$K$48,0))</f>
        <v>62.261740526043312</v>
      </c>
      <c r="AH30" s="34">
        <f>VLOOKUP($A30,'Outage by Zone inputs'!$A$4:$E$13,MATCH('Baseline Projects'!$I30,'Outage by Zone inputs'!$A$3:$E$3,0),0)*$M30*$N30*('Baseline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Projects'!AH$3,'Baseline scaling factors'!$B$54:$K$54,0))+VLOOKUP($A30,'Outage by Zone inputs'!$A$4:$E$13,MATCH('Baseline Projects'!$I30,'Outage by Zone inputs'!$A$3:$E$3,0),0)*$M30*$N30*('Baseline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Projects'!AH$3,'Baseline scaling factors'!$B$48:$K$48,0))</f>
        <v>56.357177351734059</v>
      </c>
      <c r="AI30" s="34">
        <f>VLOOKUP($A30,'Outage by Zone inputs'!$A$4:$E$13,MATCH('Baseline Projects'!$I30,'Outage by Zone inputs'!$A$3:$E$3,0),0)*$M30*$N30*('Baseline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Projects'!AI$3,'Baseline scaling factors'!$B$54:$K$54,0))+VLOOKUP($A30,'Outage by Zone inputs'!$A$4:$E$13,MATCH('Baseline Projects'!$I30,'Outage by Zone inputs'!$A$3:$E$3,0),0)*$M30*$N30*('Baseline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Projects'!AI$3,'Baseline scaling factors'!$B$48:$K$48,0))</f>
        <v>50.71278240466502</v>
      </c>
      <c r="AJ30" s="34">
        <f>VLOOKUP($A30,'Outage by Zone inputs'!$A$4:$E$13,MATCH('Baseline Projects'!$I30,'Outage by Zone inputs'!$A$3:$E$3,0),0)*$M30*$N30*('Baseline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Projects'!AJ$3,'Baseline scaling factors'!$B$54:$K$54,0))+VLOOKUP($A30,'Outage by Zone inputs'!$A$4:$E$13,MATCH('Baseline Projects'!$I30,'Outage by Zone inputs'!$A$3:$E$3,0),0)*$M30*$N30*('Baseline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Projects'!AJ$3,'Baseline scaling factors'!$B$48:$K$48,0))</f>
        <v>45.317092092277846</v>
      </c>
      <c r="AK30" s="1">
        <f t="shared" ref="AK30:AK35" si="112">Q30*ICE_VALUE_RES_WTD</f>
        <v>18485.798663810878</v>
      </c>
      <c r="AL30" s="1">
        <f t="shared" ref="AL30:AL35" si="113">R30*ICE_VALUE_RES_WTD</f>
        <v>17108.64711687369</v>
      </c>
      <c r="AM30" s="1">
        <f t="shared" ref="AM30:AM35" si="114">S30*ICE_VALUE_RES_WTD</f>
        <v>15792.175939682857</v>
      </c>
      <c r="AN30" s="1">
        <f t="shared" ref="AN30:AN35" si="115">T30*ICE_VALUE_RES_WTD</f>
        <v>14533.711419762252</v>
      </c>
      <c r="AO30" s="1">
        <f t="shared" ref="AO30:AO35" si="116">U30*ICE_VALUE_RES_WTD</f>
        <v>13330.697654372823</v>
      </c>
      <c r="AP30" s="1">
        <f t="shared" ref="AP30:AP35" si="117">V30*ICE_VALUE_RES_WTD</f>
        <v>12180.69135955272</v>
      </c>
      <c r="AQ30" s="1">
        <f t="shared" ref="AQ30:AQ35" si="118">W30*ICE_VALUE_RES_WTD</f>
        <v>11081.356907882715</v>
      </c>
      <c r="AR30" s="1">
        <f t="shared" ref="AR30:AR35" si="119">X30*ICE_VALUE_RES_WTD</f>
        <v>10030.461584898725</v>
      </c>
      <c r="AS30" s="1">
        <f t="shared" ref="AS30:AS35" si="120">Y30*ICE_VALUE_RES_WTD</f>
        <v>9025.8710545174072</v>
      </c>
      <c r="AT30" s="1">
        <f t="shared" ref="AT30:AT35" si="121">Z30*ICE_VALUE_RES_WTD</f>
        <v>8065.5450242652123</v>
      </c>
      <c r="AU30" s="1">
        <f t="shared" ref="AU30:AU35" si="122">AA30*ICE_VALUE_NONRES_WTD</f>
        <v>403513.02340339537</v>
      </c>
      <c r="AV30" s="1">
        <f t="shared" ref="AV30:AV35" si="123">AB30*ICE_VALUE_NONRES_WTD</f>
        <v>373452.18619016948</v>
      </c>
      <c r="AW30" s="1">
        <f t="shared" ref="AW30:AW35" si="124">AC30*ICE_VALUE_NONRES_WTD</f>
        <v>344715.89653384848</v>
      </c>
      <c r="AX30" s="1">
        <f t="shared" ref="AX30:AX35" si="125">AD30*ICE_VALUE_NONRES_WTD</f>
        <v>317245.79191385256</v>
      </c>
      <c r="AY30" s="1">
        <f t="shared" ref="AY30:AY35" si="126">AE30*ICE_VALUE_NONRES_WTD</f>
        <v>290986.08139247232</v>
      </c>
      <c r="AZ30" s="1">
        <f t="shared" ref="AZ30:AZ35" si="127">AF30*ICE_VALUE_NONRES_WTD</f>
        <v>265883.43230519007</v>
      </c>
      <c r="BA30" s="1">
        <f t="shared" ref="BA30:BA35" si="128">AG30*ICE_VALUE_NONRES_WTD</f>
        <v>241886.86194367826</v>
      </c>
      <c r="BB30" s="1">
        <f t="shared" ref="BB30:BB35" si="129">AH30*ICE_VALUE_NONRES_WTD</f>
        <v>218947.63401148681</v>
      </c>
      <c r="BC30" s="1">
        <f t="shared" ref="BC30:BC35" si="130">AI30*ICE_VALUE_NONRES_WTD</f>
        <v>197019.15964212362</v>
      </c>
      <c r="BD30" s="1">
        <f t="shared" ref="BD30:BD35" si="131">AJ30*ICE_VALUE_NONRES_WTD</f>
        <v>176056.90277849944</v>
      </c>
      <c r="BE30" s="1">
        <f t="shared" ref="BE30:BE35" si="132">AK30+AU30</f>
        <v>421998.82206720626</v>
      </c>
      <c r="BF30" s="1">
        <f t="shared" ref="BF30:BF35" si="133">AL30+AV30</f>
        <v>390560.83330704318</v>
      </c>
      <c r="BG30" s="1">
        <f t="shared" ref="BG30:BG35" si="134">AM30+AW30</f>
        <v>360508.07247353136</v>
      </c>
      <c r="BH30" s="1">
        <f t="shared" ref="BH30:BH35" si="135">AN30+AX30</f>
        <v>331779.50333361479</v>
      </c>
      <c r="BI30" s="1">
        <f t="shared" ref="BI30:BI35" si="136">AO30+AY30</f>
        <v>304316.77904684516</v>
      </c>
      <c r="BJ30" s="1">
        <f t="shared" ref="BJ30:BJ35" si="137">AP30+AZ30</f>
        <v>278064.1236647428</v>
      </c>
      <c r="BK30" s="1">
        <f t="shared" ref="BK30:BK35" si="138">AQ30+BA30</f>
        <v>252968.21885156099</v>
      </c>
      <c r="BL30" s="1">
        <f t="shared" ref="BL30:BL35" si="139">AR30+BB30</f>
        <v>228978.09559638554</v>
      </c>
      <c r="BM30" s="1">
        <f t="shared" ref="BM30:BM35" si="140">AS30+BC30</f>
        <v>206045.03069664101</v>
      </c>
      <c r="BN30" s="1">
        <f t="shared" ref="BN30:BN35" si="141">AT30+BD30</f>
        <v>184122.44780276465</v>
      </c>
      <c r="BO30" s="25">
        <f>VLOOKUP($A30,'Outage by Zone inputs'!$A$59:$E$68,MATCH('Baseline Projects'!$I30,'Outage by Zone inputs'!$A$58:$E$58,0),0)*AVG_INCIDENT_PERCENT_NON_STORM</f>
        <v>56.67561877188642</v>
      </c>
      <c r="BP30" s="25">
        <f>$BO30*$N30*('Baseline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Projects'!Q$3,'Baseline scaling factors'!$B$54:$K$54,0))+$BO30*$N30*('Baseline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Projects'!Q$3,'Baseline scaling factors'!$B$48:$K$48,0))</f>
        <v>29.148571226530841</v>
      </c>
      <c r="BQ30" s="25">
        <f>$BO30*$N30*('Baseline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Projects'!R$3,'Baseline scaling factors'!$B$54:$K$54,0))+$BO30*$N30*('Baseline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Projects'!R$3,'Baseline scaling factors'!$B$48:$K$48,0))</f>
        <v>26.977066457618122</v>
      </c>
      <c r="BR30" s="25">
        <f>$BO30*$N30*('Baseline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Projects'!S$3,'Baseline scaling factors'!$B$54:$K$54,0))+$BO30*$N30*('Baseline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Projects'!S$3,'Baseline scaling factors'!$B$48:$K$48,0))</f>
        <v>24.901243033708166</v>
      </c>
      <c r="BS30" s="25">
        <f>$BO30*$N30*('Baseline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Projects'!T$3,'Baseline scaling factors'!$B$54:$K$54,0))+$BO30*$N30*('Baseline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Projects'!T$3,'Baseline scaling factors'!$B$48:$K$48,0))</f>
        <v>22.916885021263731</v>
      </c>
      <c r="BT30" s="25">
        <f>$BO30*$N30*('Baseline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Projects'!U$3,'Baseline scaling factors'!$B$54:$K$54,0))+$BO30*$N30*('Baseline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Projects'!U$3,'Baseline scaling factors'!$B$48:$K$48,0))</f>
        <v>21.019962250185475</v>
      </c>
      <c r="BU30" s="25">
        <f>$BO30*$N30*('Baseline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Projects'!V$3,'Baseline scaling factors'!$B$54:$K$54,0))+$BO30*$N30*('Baseline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Projects'!V$3,'Baseline scaling factors'!$B$48:$K$48,0))</f>
        <v>19.20662212866042</v>
      </c>
      <c r="BV30" s="25">
        <f>$BO30*$N30*('Baseline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Projects'!W$3,'Baseline scaling factors'!$B$54:$K$54,0))+$BO30*$N30*('Baseline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Projects'!W$3,'Baseline scaling factors'!$B$48:$K$48,0))</f>
        <v>17.473181818666454</v>
      </c>
      <c r="BW30" s="25">
        <f>$BO30*$N30*('Baseline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Projects'!X$3,'Baseline scaling factors'!$B$54:$K$54,0))+$BO30*$N30*('Baseline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Projects'!X$3,'Baseline scaling factors'!$B$48:$K$48,0))</f>
        <v>15.816120756241567</v>
      </c>
      <c r="BX30" s="25">
        <f>$BO30*$N30*('Baseline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Projects'!Y$3,'Baseline scaling factors'!$B$54:$K$54,0))+$BO30*$N30*('Baseline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Projects'!Y$3,'Baseline scaling factors'!$B$48:$K$48,0))</f>
        <v>14.232073501326717</v>
      </c>
      <c r="BY30" s="25">
        <f>$BO30*$N30*('Baseline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Projects'!Z$3,'Baseline scaling factors'!$B$54:$K$54,0))+$BO30*$N30*('Baseline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Projects'!Z$3,'Baseline scaling factors'!$B$48:$K$48,0))</f>
        <v>12.717822902660558</v>
      </c>
      <c r="BZ30" s="12">
        <f t="shared" si="32"/>
        <v>13758.125618922557</v>
      </c>
      <c r="CA30" s="12">
        <f t="shared" si="33"/>
        <v>12733.175367995753</v>
      </c>
      <c r="CB30" s="12">
        <f t="shared" si="34"/>
        <v>11753.386711910254</v>
      </c>
      <c r="CC30" s="12">
        <f t="shared" si="35"/>
        <v>10816.769730036482</v>
      </c>
      <c r="CD30" s="12">
        <f t="shared" si="36"/>
        <v>9921.4221820875446</v>
      </c>
      <c r="CE30" s="12">
        <f t="shared" si="37"/>
        <v>9065.5256447277188</v>
      </c>
      <c r="CF30" s="12">
        <f t="shared" si="38"/>
        <v>8247.3418184105667</v>
      </c>
      <c r="CG30" s="12">
        <f t="shared" si="39"/>
        <v>7465.2089969460194</v>
      </c>
      <c r="CH30" s="12">
        <f t="shared" si="40"/>
        <v>6717.5386926262099</v>
      </c>
      <c r="CI30" s="12">
        <f t="shared" si="41"/>
        <v>6002.8124100557834</v>
      </c>
      <c r="CJ30" s="12">
        <f>'Mitigation Projects'!$AG30*VLOOKUP('Baseline Projects'!$H30&amp;"-"&amp;'Baseline Projects'!$G30,'Baseline scaling factors'!$A$49:$K$51,MATCH('Baseline Projects'!CJ$2,'Baseline scaling factors'!$A$48:$K$48,0),0)</f>
        <v>0</v>
      </c>
      <c r="CK30" s="12">
        <f>'Mitigation Projects'!$AG30*VLOOKUP('Baseline Projects'!$H30&amp;"-"&amp;'Baseline Projects'!$G30,'Baseline scaling factors'!$A$49:$K$51,MATCH('Baseline Projects'!CK$2,'Baseline scaling factors'!$A$48:$K$48,0),0)</f>
        <v>0</v>
      </c>
      <c r="CL30" s="12">
        <f>'Mitigation Projects'!$AG30*VLOOKUP('Baseline Projects'!$H30&amp;"-"&amp;'Baseline Projects'!$G30,'Baseline scaling factors'!$A$49:$K$51,MATCH('Baseline Projects'!CL$2,'Baseline scaling factors'!$A$48:$K$48,0),0)</f>
        <v>0</v>
      </c>
      <c r="CM30" s="12">
        <f>'Mitigation Projects'!$AG30*VLOOKUP('Baseline Projects'!$H30&amp;"-"&amp;'Baseline Projects'!$G30,'Baseline scaling factors'!$A$49:$K$51,MATCH('Baseline Projects'!CM$2,'Baseline scaling factors'!$A$48:$K$48,0),0)</f>
        <v>0</v>
      </c>
      <c r="CN30" s="12">
        <f>'Mitigation Projects'!$AG30*VLOOKUP('Baseline Projects'!$H30&amp;"-"&amp;'Baseline Projects'!$G30,'Baseline scaling factors'!$A$49:$K$51,MATCH('Baseline Projects'!CN$2,'Baseline scaling factors'!$A$48:$K$48,0),0)</f>
        <v>0</v>
      </c>
      <c r="CO30" s="12">
        <f>'Mitigation Projects'!$AG30*VLOOKUP('Baseline Projects'!$H30&amp;"-"&amp;'Baseline Projects'!$G30,'Baseline scaling factors'!$A$49:$K$51,MATCH('Baseline Projects'!CO$2,'Baseline scaling factors'!$A$48:$K$48,0),0)</f>
        <v>0</v>
      </c>
      <c r="CP30" s="12">
        <f>'Mitigation Projects'!$AG30*VLOOKUP('Baseline Projects'!$H30&amp;"-"&amp;'Baseline Projects'!$G30,'Baseline scaling factors'!$A$49:$K$51,MATCH('Baseline Projects'!CP$2,'Baseline scaling factors'!$A$48:$K$48,0),0)</f>
        <v>0</v>
      </c>
      <c r="CQ30" s="12">
        <f>'Mitigation Projects'!$AG30*VLOOKUP('Baseline Projects'!$H30&amp;"-"&amp;'Baseline Projects'!$G30,'Baseline scaling factors'!$A$49:$K$51,MATCH('Baseline Projects'!CQ$2,'Baseline scaling factors'!$A$48:$K$48,0),0)</f>
        <v>0</v>
      </c>
      <c r="CR30" s="12">
        <f>'Mitigation Projects'!$AG30*VLOOKUP('Baseline Projects'!$H30&amp;"-"&amp;'Baseline Projects'!$G30,'Baseline scaling factors'!$A$49:$K$51,MATCH('Baseline Projects'!CR$2,'Baseline scaling factors'!$A$48:$K$48,0),0)</f>
        <v>0</v>
      </c>
      <c r="CS30" s="12">
        <f>'Mitigation Projects'!$AG30*VLOOKUP('Baseline Projects'!$H30&amp;"-"&amp;'Baseline Projects'!$G30,'Baseline scaling factors'!$A$49:$K$51,MATCH('Baseline Projects'!CS$2,'Baseline scaling factors'!$A$48:$K$48,0),0)</f>
        <v>0</v>
      </c>
      <c r="CT30" s="12">
        <f>'Mitigation Projects'!$AH30*VLOOKUP('Baseline Projects'!$H30&amp;"-"&amp;'Baseline Projects'!$G30,'Baseline scaling factors'!$A$49:$K$51,MATCH('Baseline Projects'!CT$2,'Baseline scaling factors'!$A$48:$K$48,0),0)</f>
        <v>0</v>
      </c>
      <c r="CU30" s="12">
        <f>'Mitigation Projects'!$AH30*VLOOKUP('Baseline Projects'!$H30&amp;"-"&amp;'Baseline Projects'!$G30,'Baseline scaling factors'!$A$49:$K$51,MATCH('Baseline Projects'!CU$2,'Baseline scaling factors'!$A$48:$K$48,0),0)</f>
        <v>0</v>
      </c>
      <c r="CV30" s="12">
        <f>'Mitigation Projects'!$AH30*VLOOKUP('Baseline Projects'!$H30&amp;"-"&amp;'Baseline Projects'!$G30,'Baseline scaling factors'!$A$49:$K$51,MATCH('Baseline Projects'!CV$2,'Baseline scaling factors'!$A$48:$K$48,0),0)</f>
        <v>0</v>
      </c>
      <c r="CW30" s="12">
        <f>'Mitigation Projects'!$AH30*VLOOKUP('Baseline Projects'!$H30&amp;"-"&amp;'Baseline Projects'!$G30,'Baseline scaling factors'!$A$49:$K$51,MATCH('Baseline Projects'!CW$2,'Baseline scaling factors'!$A$48:$K$48,0),0)</f>
        <v>0</v>
      </c>
      <c r="CX30" s="12">
        <f>'Mitigation Projects'!$AH30*VLOOKUP('Baseline Projects'!$H30&amp;"-"&amp;'Baseline Projects'!$G30,'Baseline scaling factors'!$A$49:$K$51,MATCH('Baseline Projects'!CX$2,'Baseline scaling factors'!$A$48:$K$48,0),0)</f>
        <v>0</v>
      </c>
      <c r="CY30" s="12">
        <f>'Mitigation Projects'!$AH30*VLOOKUP('Baseline Projects'!$H30&amp;"-"&amp;'Baseline Projects'!$G30,'Baseline scaling factors'!$A$49:$K$51,MATCH('Baseline Projects'!CY$2,'Baseline scaling factors'!$A$48:$K$48,0),0)</f>
        <v>0</v>
      </c>
      <c r="CZ30" s="12">
        <f>'Mitigation Projects'!$AH30*VLOOKUP('Baseline Projects'!$H30&amp;"-"&amp;'Baseline Projects'!$G30,'Baseline scaling factors'!$A$49:$K$51,MATCH('Baseline Projects'!CZ$2,'Baseline scaling factors'!$A$48:$K$48,0),0)</f>
        <v>0</v>
      </c>
      <c r="DA30" s="12">
        <f>'Mitigation Projects'!$AH30*VLOOKUP('Baseline Projects'!$H30&amp;"-"&amp;'Baseline Projects'!$G30,'Baseline scaling factors'!$A$49:$K$51,MATCH('Baseline Projects'!DA$2,'Baseline scaling factors'!$A$48:$K$48,0),0)</f>
        <v>0</v>
      </c>
      <c r="DB30" s="12">
        <f>'Mitigation Projects'!$AH30*VLOOKUP('Baseline Projects'!$H30&amp;"-"&amp;'Baseline Projects'!$G30,'Baseline scaling factors'!$A$49:$K$51,MATCH('Baseline Projects'!DB$2,'Baseline scaling factors'!$A$48:$K$48,0),0)</f>
        <v>0</v>
      </c>
      <c r="DC30" s="12">
        <f>'Mitigation Projects'!$AH30*VLOOKUP('Baseline Projects'!$H30&amp;"-"&amp;'Baseline Projects'!$G30,'Baseline scaling factors'!$A$49:$K$51,MATCH('Baseline Projects'!DC$2,'Baseline scaling factors'!$A$48:$K$48,0),0)</f>
        <v>0</v>
      </c>
    </row>
    <row r="31" spans="1:107" x14ac:dyDescent="0.4">
      <c r="A31" s="38" t="str">
        <f>'Mitigation Projects'!A31</f>
        <v>DM-G6</v>
      </c>
      <c r="B31" s="38" t="str">
        <f>'Mitigation Projects'!B31</f>
        <v>Brattleboro</v>
      </c>
      <c r="C31" s="39">
        <f>'Mitigation Projects'!C31</f>
        <v>204895</v>
      </c>
      <c r="D31" s="39" t="str">
        <f>'Mitigation Projects'!D31</f>
        <v>204895: L65-South Wardsboro Rd</v>
      </c>
      <c r="E31" s="39">
        <f>'Mitigation Projects'!E31</f>
        <v>554546</v>
      </c>
      <c r="F31" s="39">
        <f>'Mitigation Projects'!F31</f>
        <v>0</v>
      </c>
      <c r="G31" s="39" t="str">
        <f>'Mitigation Projects'!G31</f>
        <v>1PH</v>
      </c>
      <c r="H31" s="39" t="str">
        <f>'Mitigation Projects'!H31</f>
        <v>UG</v>
      </c>
      <c r="I31" s="39" t="str">
        <f>'Mitigation Projects'!J31</f>
        <v>Zone 3</v>
      </c>
      <c r="J31" s="39">
        <f>'Mitigation Projects'!K31</f>
        <v>137</v>
      </c>
      <c r="K31" s="40">
        <f>'Mitigation Projects'!L31*BASELINE_CAP_SPEND</f>
        <v>195829.1</v>
      </c>
      <c r="L31" s="97">
        <f>'Mitigation Projects'!Q31</f>
        <v>0.89446185997910133</v>
      </c>
      <c r="M31" s="97">
        <f>'Mitigation Projects'!R31</f>
        <v>0.10553814002089867</v>
      </c>
      <c r="N31" s="98">
        <f>'Mitigation Projects'!S31</f>
        <v>0.5</v>
      </c>
      <c r="O31" s="26">
        <f t="shared" si="0"/>
        <v>0.98</v>
      </c>
      <c r="P31" s="26">
        <f t="shared" si="1"/>
        <v>0.83359200333362127</v>
      </c>
      <c r="Q31" s="112">
        <f>VLOOKUP($A31,'Outage by Zone inputs'!$A$4:$E$13,MATCH('Baseline Projects'!$I31,'Outage by Zone inputs'!$A$3:$E$3,0),0)*'Baseline Projects'!$L31*$N31*('Baseline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Projects'!Q$3,'Baseline scaling factors'!$B$54:$K$54,0))+VLOOKUP($A31,'Outage by Zone inputs'!$A$4:$E$13,MATCH('Baseline Projects'!$I31,'Outage by Zone inputs'!$A$3:$E$3,0),0)*'Baseline Projects'!$L31*$N31*('Baseline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Projects'!Q$3,'Baseline scaling factors'!$B$48:$K$48,0))</f>
        <v>190.13475822439705</v>
      </c>
      <c r="R31" s="112">
        <f>VLOOKUP($A31,'Outage by Zone inputs'!$A$4:$E$13,MATCH('Baseline Projects'!$I31,'Outage by Zone inputs'!$A$3:$E$3,0),0)*'Baseline Projects'!$L31*$N31*('Baseline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Projects'!R$3,'Baseline scaling factors'!$B$54:$K$54,0))+VLOOKUP($A31,'Outage by Zone inputs'!$A$4:$E$13,MATCH('Baseline Projects'!$I31,'Outage by Zone inputs'!$A$3:$E$3,0),0)*'Baseline Projects'!$L31*$N31*('Baseline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Projects'!R$3,'Baseline scaling factors'!$B$48:$K$48,0))</f>
        <v>173.96578681744953</v>
      </c>
      <c r="S31" s="112">
        <f>VLOOKUP($A31,'Outage by Zone inputs'!$A$4:$E$13,MATCH('Baseline Projects'!$I31,'Outage by Zone inputs'!$A$3:$E$3,0),0)*'Baseline Projects'!$L31*$N31*('Baseline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Projects'!S$3,'Baseline scaling factors'!$B$54:$K$54,0))+VLOOKUP($A31,'Outage by Zone inputs'!$A$4:$E$13,MATCH('Baseline Projects'!$I31,'Outage by Zone inputs'!$A$3:$E$3,0),0)*'Baseline Projects'!$L31*$N31*('Baseline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Projects'!S$3,'Baseline scaling factors'!$B$48:$K$48,0))</f>
        <v>158.50925636558333</v>
      </c>
      <c r="T31" s="112">
        <f>VLOOKUP($A31,'Outage by Zone inputs'!$A$4:$E$13,MATCH('Baseline Projects'!$I31,'Outage by Zone inputs'!$A$3:$E$3,0),0)*'Baseline Projects'!$L31*$N31*('Baseline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Projects'!T$3,'Baseline scaling factors'!$B$54:$K$54,0))+VLOOKUP($A31,'Outage by Zone inputs'!$A$4:$E$13,MATCH('Baseline Projects'!$I31,'Outage by Zone inputs'!$A$3:$E$3,0),0)*'Baseline Projects'!$L31*$N31*('Baseline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Projects'!T$3,'Baseline scaling factors'!$B$48:$K$48,0))</f>
        <v>143.7337751307775</v>
      </c>
      <c r="U31" s="112">
        <f>VLOOKUP($A31,'Outage by Zone inputs'!$A$4:$E$13,MATCH('Baseline Projects'!$I31,'Outage by Zone inputs'!$A$3:$E$3,0),0)*'Baseline Projects'!$L31*$N31*('Baseline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Projects'!U$3,'Baseline scaling factors'!$B$54:$K$54,0))+VLOOKUP($A31,'Outage by Zone inputs'!$A$4:$E$13,MATCH('Baseline Projects'!$I31,'Outage by Zone inputs'!$A$3:$E$3,0),0)*'Baseline Projects'!$L31*$N31*('Baseline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Projects'!U$3,'Baseline scaling factors'!$B$48:$K$48,0))</f>
        <v>129.6093345650267</v>
      </c>
      <c r="V31" s="112">
        <f>VLOOKUP($A31,'Outage by Zone inputs'!$A$4:$E$13,MATCH('Baseline Projects'!$I31,'Outage by Zone inputs'!$A$3:$E$3,0),0)*'Baseline Projects'!$L31*$N31*('Baseline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Projects'!V$3,'Baseline scaling factors'!$B$54:$K$54,0))+VLOOKUP($A31,'Outage by Zone inputs'!$A$4:$E$13,MATCH('Baseline Projects'!$I31,'Outage by Zone inputs'!$A$3:$E$3,0),0)*'Baseline Projects'!$L31*$N31*('Baseline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Projects'!V$3,'Baseline scaling factors'!$B$48:$K$48,0))</f>
        <v>116.10724836390359</v>
      </c>
      <c r="W31" s="112">
        <f>VLOOKUP($A31,'Outage by Zone inputs'!$A$4:$E$13,MATCH('Baseline Projects'!$I31,'Outage by Zone inputs'!$A$3:$E$3,0),0)*'Baseline Projects'!$L31*$N31*('Baseline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Projects'!W$3,'Baseline scaling factors'!$B$54:$K$54,0))+VLOOKUP($A31,'Outage by Zone inputs'!$A$4:$E$13,MATCH('Baseline Projects'!$I31,'Outage by Zone inputs'!$A$3:$E$3,0),0)*'Baseline Projects'!$L31*$N31*('Baseline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Projects'!W$3,'Baseline scaling factors'!$B$48:$K$48,0))</f>
        <v>103.2000942055563</v>
      </c>
      <c r="X31" s="112">
        <f>VLOOKUP($A31,'Outage by Zone inputs'!$A$4:$E$13,MATCH('Baseline Projects'!$I31,'Outage by Zone inputs'!$A$3:$E$3,0),0)*'Baseline Projects'!$L31*$N31*('Baseline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Projects'!X$3,'Baseline scaling factors'!$B$54:$K$54,0))+VLOOKUP($A31,'Outage by Zone inputs'!$A$4:$E$13,MATCH('Baseline Projects'!$I31,'Outage by Zone inputs'!$A$3:$E$3,0),0)*'Baseline Projects'!$L31*$N31*('Baseline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Projects'!X$3,'Baseline scaling factors'!$B$48:$K$48,0))</f>
        <v>90.861658056816253</v>
      </c>
      <c r="Y31" s="112">
        <f>VLOOKUP($A31,'Outage by Zone inputs'!$A$4:$E$13,MATCH('Baseline Projects'!$I31,'Outage by Zone inputs'!$A$3:$E$3,0),0)*'Baseline Projects'!$L31*$N31*('Baseline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Projects'!Y$3,'Baseline scaling factors'!$B$54:$K$54,0))+VLOOKUP($A31,'Outage by Zone inputs'!$A$4:$E$13,MATCH('Baseline Projects'!$I31,'Outage by Zone inputs'!$A$3:$E$3,0),0)*'Baseline Projects'!$L31*$N31*('Baseline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Projects'!Y$3,'Baseline scaling factors'!$B$48:$K$48,0))</f>
        <v>79.066880933302841</v>
      </c>
      <c r="Z31" s="112">
        <f>VLOOKUP($A31,'Outage by Zone inputs'!$A$4:$E$13,MATCH('Baseline Projects'!$I31,'Outage by Zone inputs'!$A$3:$E$3,0),0)*'Baseline Projects'!$L31*$N31*('Baseline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Projects'!Z$3,'Baseline scaling factors'!$B$54:$K$54,0))+VLOOKUP($A31,'Outage by Zone inputs'!$A$4:$E$13,MATCH('Baseline Projects'!$I31,'Outage by Zone inputs'!$A$3:$E$3,0),0)*'Baseline Projects'!$L31*$N31*('Baseline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Projects'!Z$3,'Baseline scaling factors'!$B$48:$K$48,0))</f>
        <v>67.791808005396916</v>
      </c>
      <c r="AA31" s="34">
        <f>VLOOKUP($A31,'Outage by Zone inputs'!$A$4:$E$13,MATCH('Baseline Projects'!$I31,'Outage by Zone inputs'!$A$3:$E$3,0),0)*$M31*$N31*('Baseline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Projects'!AA$3,'Baseline scaling factors'!$B$54:$K$54,0))+VLOOKUP($A31,'Outage by Zone inputs'!$A$4:$E$13,MATCH('Baseline Projects'!$I31,'Outage by Zone inputs'!$A$3:$E$3,0),0)*$M31*$N31*('Baseline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Projects'!AA$3,'Baseline scaling factors'!$B$48:$K$48,0))</f>
        <v>22.43412451012162</v>
      </c>
      <c r="AB31" s="34">
        <f>VLOOKUP($A31,'Outage by Zone inputs'!$A$4:$E$13,MATCH('Baseline Projects'!$I31,'Outage by Zone inputs'!$A$3:$E$3,0),0)*$M31*$N31*('Baseline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Projects'!AB$3,'Baseline scaling factors'!$B$54:$K$54,0))+VLOOKUP($A31,'Outage by Zone inputs'!$A$4:$E$13,MATCH('Baseline Projects'!$I31,'Outage by Zone inputs'!$A$3:$E$3,0),0)*$M31*$N31*('Baseline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Projects'!AB$3,'Baseline scaling factors'!$B$48:$K$48,0))</f>
        <v>20.526336995984121</v>
      </c>
      <c r="AC31" s="34">
        <f>VLOOKUP($A31,'Outage by Zone inputs'!$A$4:$E$13,MATCH('Baseline Projects'!$I31,'Outage by Zone inputs'!$A$3:$E$3,0),0)*$M31*$N31*('Baseline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Projects'!AC$3,'Baseline scaling factors'!$B$54:$K$54,0))+VLOOKUP($A31,'Outage by Zone inputs'!$A$4:$E$13,MATCH('Baseline Projects'!$I31,'Outage by Zone inputs'!$A$3:$E$3,0),0)*$M31*$N31*('Baseline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Projects'!AC$3,'Baseline scaling factors'!$B$48:$K$48,0))</f>
        <v>18.702610856219536</v>
      </c>
      <c r="AD31" s="34">
        <f>VLOOKUP($A31,'Outage by Zone inputs'!$A$4:$E$13,MATCH('Baseline Projects'!$I31,'Outage by Zone inputs'!$A$3:$E$3,0),0)*$M31*$N31*('Baseline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Projects'!AD$3,'Baseline scaling factors'!$B$54:$K$54,0))+VLOOKUP($A31,'Outage by Zone inputs'!$A$4:$E$13,MATCH('Baseline Projects'!$I31,'Outage by Zone inputs'!$A$3:$E$3,0),0)*$M31*$N31*('Baseline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Projects'!AD$3,'Baseline scaling factors'!$B$48:$K$48,0))</f>
        <v>16.959242159122116</v>
      </c>
      <c r="AE31" s="34">
        <f>VLOOKUP($A31,'Outage by Zone inputs'!$A$4:$E$13,MATCH('Baseline Projects'!$I31,'Outage by Zone inputs'!$A$3:$E$3,0),0)*$M31*$N31*('Baseline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Projects'!AE$3,'Baseline scaling factors'!$B$54:$K$54,0))+VLOOKUP($A31,'Outage by Zone inputs'!$A$4:$E$13,MATCH('Baseline Projects'!$I31,'Outage by Zone inputs'!$A$3:$E$3,0),0)*$M31*$N31*('Baseline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Projects'!AE$3,'Baseline scaling factors'!$B$48:$K$48,0))</f>
        <v>15.292690176480958</v>
      </c>
      <c r="AF31" s="34">
        <f>VLOOKUP($A31,'Outage by Zone inputs'!$A$4:$E$13,MATCH('Baseline Projects'!$I31,'Outage by Zone inputs'!$A$3:$E$3,0),0)*$M31*$N31*('Baseline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Projects'!AF$3,'Baseline scaling factors'!$B$54:$K$54,0))+VLOOKUP($A31,'Outage by Zone inputs'!$A$4:$E$13,MATCH('Baseline Projects'!$I31,'Outage by Zone inputs'!$A$3:$E$3,0),0)*$M31*$N31*('Baseline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Projects'!AF$3,'Baseline scaling factors'!$B$48:$K$48,0))</f>
        <v>13.699570192469938</v>
      </c>
      <c r="AG31" s="34">
        <f>VLOOKUP($A31,'Outage by Zone inputs'!$A$4:$E$13,MATCH('Baseline Projects'!$I31,'Outage by Zone inputs'!$A$3:$E$3,0),0)*$M31*$N31*('Baseline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Projects'!AG$3,'Baseline scaling factors'!$B$54:$K$54,0))+VLOOKUP($A31,'Outage by Zone inputs'!$A$4:$E$13,MATCH('Baseline Projects'!$I31,'Outage by Zone inputs'!$A$3:$E$3,0),0)*$M31*$N31*('Baseline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Projects'!AG$3,'Baseline scaling factors'!$B$48:$K$48,0))</f>
        <v>12.176646629393911</v>
      </c>
      <c r="AH31" s="34">
        <f>VLOOKUP($A31,'Outage by Zone inputs'!$A$4:$E$13,MATCH('Baseline Projects'!$I31,'Outage by Zone inputs'!$A$3:$E$3,0),0)*$M31*$N31*('Baseline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Projects'!AH$3,'Baseline scaling factors'!$B$54:$K$54,0))+VLOOKUP($A31,'Outage by Zone inputs'!$A$4:$E$13,MATCH('Baseline Projects'!$I31,'Outage by Zone inputs'!$A$3:$E$3,0),0)*$M31*$N31*('Baseline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Projects'!AH$3,'Baseline scaling factors'!$B$48:$K$48,0))</f>
        <v>10.720826476329957</v>
      </c>
      <c r="AI31" s="34">
        <f>VLOOKUP($A31,'Outage by Zone inputs'!$A$4:$E$13,MATCH('Baseline Projects'!$I31,'Outage by Zone inputs'!$A$3:$E$3,0),0)*$M31*$N31*('Baseline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Projects'!AI$3,'Baseline scaling factors'!$B$54:$K$54,0))+VLOOKUP($A31,'Outage by Zone inputs'!$A$4:$E$13,MATCH('Baseline Projects'!$I31,'Outage by Zone inputs'!$A$3:$E$3,0),0)*$M31*$N31*('Baseline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Projects'!AI$3,'Baseline scaling factors'!$B$48:$K$48,0))</f>
        <v>9.3291530073172773</v>
      </c>
      <c r="AJ31" s="34">
        <f>VLOOKUP($A31,'Outage by Zone inputs'!$A$4:$E$13,MATCH('Baseline Projects'!$I31,'Outage by Zone inputs'!$A$3:$E$3,0),0)*$M31*$N31*('Baseline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Projects'!AJ$3,'Baseline scaling factors'!$B$54:$K$54,0))+VLOOKUP($A31,'Outage by Zone inputs'!$A$4:$E$13,MATCH('Baseline Projects'!$I31,'Outage by Zone inputs'!$A$3:$E$3,0),0)*$M31*$N31*('Baseline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Projects'!AJ$3,'Baseline scaling factors'!$B$48:$K$48,0))</f>
        <v>7.9987997763377239</v>
      </c>
      <c r="AK31" s="1">
        <f t="shared" si="112"/>
        <v>3992.829922712338</v>
      </c>
      <c r="AL31" s="1">
        <f t="shared" si="113"/>
        <v>3653.2815231664399</v>
      </c>
      <c r="AM31" s="1">
        <f t="shared" si="114"/>
        <v>3328.6943836772498</v>
      </c>
      <c r="AN31" s="1">
        <f t="shared" si="115"/>
        <v>3018.4092777463275</v>
      </c>
      <c r="AO31" s="1">
        <f t="shared" si="116"/>
        <v>2721.7960258655608</v>
      </c>
      <c r="AP31" s="1">
        <f t="shared" si="117"/>
        <v>2438.2522156419755</v>
      </c>
      <c r="AQ31" s="1">
        <f t="shared" si="118"/>
        <v>2167.2019783166825</v>
      </c>
      <c r="AR31" s="1">
        <f t="shared" si="119"/>
        <v>1908.0948191931413</v>
      </c>
      <c r="AS31" s="1">
        <f t="shared" si="120"/>
        <v>1660.4044995993597</v>
      </c>
      <c r="AT31" s="1">
        <f t="shared" si="121"/>
        <v>1423.6279681133353</v>
      </c>
      <c r="AU31" s="1">
        <f t="shared" si="122"/>
        <v>87156.573721822497</v>
      </c>
      <c r="AV31" s="1">
        <f t="shared" si="123"/>
        <v>79744.819229398316</v>
      </c>
      <c r="AW31" s="1">
        <f t="shared" si="124"/>
        <v>72659.643176412894</v>
      </c>
      <c r="AX31" s="1">
        <f t="shared" si="125"/>
        <v>65886.655788189426</v>
      </c>
      <c r="AY31" s="1">
        <f t="shared" si="126"/>
        <v>59412.101335628526</v>
      </c>
      <c r="AZ31" s="1">
        <f t="shared" si="127"/>
        <v>53222.830197745709</v>
      </c>
      <c r="BA31" s="1">
        <f t="shared" si="128"/>
        <v>47306.272155195344</v>
      </c>
      <c r="BB31" s="1">
        <f t="shared" si="129"/>
        <v>41650.410860541888</v>
      </c>
      <c r="BC31" s="1">
        <f t="shared" si="130"/>
        <v>36243.759433427622</v>
      </c>
      <c r="BD31" s="1">
        <f t="shared" si="131"/>
        <v>31075.337131072058</v>
      </c>
      <c r="BE31" s="1">
        <f t="shared" si="132"/>
        <v>91149.403644534832</v>
      </c>
      <c r="BF31" s="1">
        <f t="shared" si="133"/>
        <v>83398.100752564758</v>
      </c>
      <c r="BG31" s="1">
        <f t="shared" si="134"/>
        <v>75988.337560090149</v>
      </c>
      <c r="BH31" s="1">
        <f t="shared" si="135"/>
        <v>68905.065065935749</v>
      </c>
      <c r="BI31" s="1">
        <f t="shared" si="136"/>
        <v>62133.897361494084</v>
      </c>
      <c r="BJ31" s="1">
        <f t="shared" si="137"/>
        <v>55661.082413387681</v>
      </c>
      <c r="BK31" s="1">
        <f t="shared" si="138"/>
        <v>49473.474133512027</v>
      </c>
      <c r="BL31" s="1">
        <f t="shared" si="139"/>
        <v>43558.505679735026</v>
      </c>
      <c r="BM31" s="1">
        <f t="shared" si="140"/>
        <v>37904.163933026983</v>
      </c>
      <c r="BN31" s="1">
        <f t="shared" si="141"/>
        <v>32498.965099185392</v>
      </c>
      <c r="BO31" s="25">
        <f>VLOOKUP($A31,'Outage by Zone inputs'!$A$59:$E$68,MATCH('Baseline Projects'!$I31,'Outage by Zone inputs'!$A$58:$E$58,0),0)*AVG_INCIDENT_PERCENT_NON_STORM</f>
        <v>39.400316239898757</v>
      </c>
      <c r="BP31" s="25">
        <f>$BO31*$N31*('Baseline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Projects'!Q$3,'Baseline scaling factors'!$B$54:$K$54,0))+$BO31*$N31*('Baseline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Projects'!Q$3,'Baseline scaling factors'!$B$48:$K$48,0))</f>
        <v>2.0281843780041835</v>
      </c>
      <c r="BQ31" s="25">
        <f>$BO31*$N31*('Baseline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Projects'!R$3,'Baseline scaling factors'!$B$54:$K$54,0))+$BO31*$N31*('Baseline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Projects'!R$3,'Baseline scaling factors'!$B$48:$K$48,0))</f>
        <v>1.8557085218155733</v>
      </c>
      <c r="BR31" s="25">
        <f>$BO31*$N31*('Baseline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Projects'!S$3,'Baseline scaling factors'!$B$54:$K$54,0))+$BO31*$N31*('Baseline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Projects'!S$3,'Baseline scaling factors'!$B$48:$K$48,0))</f>
        <v>1.6908323366647067</v>
      </c>
      <c r="BS31" s="25">
        <f>$BO31*$N31*('Baseline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Projects'!T$3,'Baseline scaling factors'!$B$54:$K$54,0))+$BO31*$N31*('Baseline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Projects'!T$3,'Baseline scaling factors'!$B$48:$K$48,0))</f>
        <v>1.5332209640898951</v>
      </c>
      <c r="BT31" s="25">
        <f>$BO31*$N31*('Baseline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Projects'!U$3,'Baseline scaling factors'!$B$54:$K$54,0))+$BO31*$N31*('Baseline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Projects'!U$3,'Baseline scaling factors'!$B$48:$K$48,0))</f>
        <v>1.3825543002403784</v>
      </c>
      <c r="BU31" s="25">
        <f>$BO31*$N31*('Baseline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Projects'!V$3,'Baseline scaling factors'!$B$54:$K$54,0))+$BO31*$N31*('Baseline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Projects'!V$3,'Baseline scaling factors'!$B$48:$K$48,0))</f>
        <v>1.2385263457552533</v>
      </c>
      <c r="BV31" s="25">
        <f>$BO31*$N31*('Baseline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Projects'!W$3,'Baseline scaling factors'!$B$54:$K$54,0))+$BO31*$N31*('Baseline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Projects'!W$3,'Baseline scaling factors'!$B$48:$K$48,0))</f>
        <v>1.1008445842881767</v>
      </c>
      <c r="BW31" s="25">
        <f>$BO31*$N31*('Baseline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Projects'!X$3,'Baseline scaling factors'!$B$54:$K$54,0))+$BO31*$N31*('Baseline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Projects'!X$3,'Baseline scaling factors'!$B$48:$K$48,0))</f>
        <v>0.96922938841566497</v>
      </c>
      <c r="BX31" s="25">
        <f>$BO31*$N31*('Baseline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Projects'!Y$3,'Baseline scaling factors'!$B$54:$K$54,0))+$BO31*$N31*('Baseline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Projects'!Y$3,'Baseline scaling factors'!$B$48:$K$48,0))</f>
        <v>0.84341345172239457</v>
      </c>
      <c r="BY31" s="25">
        <f>$BO31*$N31*('Baseline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Projects'!Z$3,'Baseline scaling factors'!$B$54:$K$54,0))+$BO31*$N31*('Baseline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Projects'!Z$3,'Baseline scaling factors'!$B$48:$K$48,0))</f>
        <v>0.7231412459100941</v>
      </c>
      <c r="BZ31" s="12">
        <f t="shared" si="32"/>
        <v>957.30302641797459</v>
      </c>
      <c r="CA31" s="12">
        <f t="shared" si="33"/>
        <v>875.89442229695067</v>
      </c>
      <c r="CB31" s="12">
        <f t="shared" si="34"/>
        <v>798.07286290574154</v>
      </c>
      <c r="CC31" s="12">
        <f t="shared" si="35"/>
        <v>723.68029505043046</v>
      </c>
      <c r="CD31" s="12">
        <f t="shared" si="36"/>
        <v>652.56562971345863</v>
      </c>
      <c r="CE31" s="12">
        <f t="shared" si="37"/>
        <v>584.5844351964796</v>
      </c>
      <c r="CF31" s="12">
        <f t="shared" si="38"/>
        <v>519.59864378401937</v>
      </c>
      <c r="CG31" s="12">
        <f t="shared" si="39"/>
        <v>457.47627133219385</v>
      </c>
      <c r="CH31" s="12">
        <f t="shared" si="40"/>
        <v>398.09114921297021</v>
      </c>
      <c r="CI31" s="12">
        <f t="shared" si="41"/>
        <v>341.32266806956443</v>
      </c>
      <c r="CJ31" s="12">
        <f>'Mitigation Projects'!$AG31*VLOOKUP('Baseline Projects'!$H31&amp;"-"&amp;'Baseline Projects'!$G31,'Baseline scaling factors'!$A$49:$K$51,MATCH('Baseline Projects'!CJ$2,'Baseline scaling factors'!$A$48:$K$48,0),0)</f>
        <v>0</v>
      </c>
      <c r="CK31" s="12">
        <f>'Mitigation Projects'!$AG31*VLOOKUP('Baseline Projects'!$H31&amp;"-"&amp;'Baseline Projects'!$G31,'Baseline scaling factors'!$A$49:$K$51,MATCH('Baseline Projects'!CK$2,'Baseline scaling factors'!$A$48:$K$48,0),0)</f>
        <v>0</v>
      </c>
      <c r="CL31" s="12">
        <f>'Mitigation Projects'!$AG31*VLOOKUP('Baseline Projects'!$H31&amp;"-"&amp;'Baseline Projects'!$G31,'Baseline scaling factors'!$A$49:$K$51,MATCH('Baseline Projects'!CL$2,'Baseline scaling factors'!$A$48:$K$48,0),0)</f>
        <v>0</v>
      </c>
      <c r="CM31" s="12">
        <f>'Mitigation Projects'!$AG31*VLOOKUP('Baseline Projects'!$H31&amp;"-"&amp;'Baseline Projects'!$G31,'Baseline scaling factors'!$A$49:$K$51,MATCH('Baseline Projects'!CM$2,'Baseline scaling factors'!$A$48:$K$48,0),0)</f>
        <v>0</v>
      </c>
      <c r="CN31" s="12">
        <f>'Mitigation Projects'!$AG31*VLOOKUP('Baseline Projects'!$H31&amp;"-"&amp;'Baseline Projects'!$G31,'Baseline scaling factors'!$A$49:$K$51,MATCH('Baseline Projects'!CN$2,'Baseline scaling factors'!$A$48:$K$48,0),0)</f>
        <v>0</v>
      </c>
      <c r="CO31" s="12">
        <f>'Mitigation Projects'!$AG31*VLOOKUP('Baseline Projects'!$H31&amp;"-"&amp;'Baseline Projects'!$G31,'Baseline scaling factors'!$A$49:$K$51,MATCH('Baseline Projects'!CO$2,'Baseline scaling factors'!$A$48:$K$48,0),0)</f>
        <v>0</v>
      </c>
      <c r="CP31" s="12">
        <f>'Mitigation Projects'!$AG31*VLOOKUP('Baseline Projects'!$H31&amp;"-"&amp;'Baseline Projects'!$G31,'Baseline scaling factors'!$A$49:$K$51,MATCH('Baseline Projects'!CP$2,'Baseline scaling factors'!$A$48:$K$48,0),0)</f>
        <v>0</v>
      </c>
      <c r="CQ31" s="12">
        <f>'Mitigation Projects'!$AG31*VLOOKUP('Baseline Projects'!$H31&amp;"-"&amp;'Baseline Projects'!$G31,'Baseline scaling factors'!$A$49:$K$51,MATCH('Baseline Projects'!CQ$2,'Baseline scaling factors'!$A$48:$K$48,0),0)</f>
        <v>0</v>
      </c>
      <c r="CR31" s="12">
        <f>'Mitigation Projects'!$AG31*VLOOKUP('Baseline Projects'!$H31&amp;"-"&amp;'Baseline Projects'!$G31,'Baseline scaling factors'!$A$49:$K$51,MATCH('Baseline Projects'!CR$2,'Baseline scaling factors'!$A$48:$K$48,0),0)</f>
        <v>0</v>
      </c>
      <c r="CS31" s="12">
        <f>'Mitigation Projects'!$AG31*VLOOKUP('Baseline Projects'!$H31&amp;"-"&amp;'Baseline Projects'!$G31,'Baseline scaling factors'!$A$49:$K$51,MATCH('Baseline Projects'!CS$2,'Baseline scaling factors'!$A$48:$K$48,0),0)</f>
        <v>0</v>
      </c>
      <c r="CT31" s="12">
        <f>'Mitigation Projects'!$AH31*VLOOKUP('Baseline Projects'!$H31&amp;"-"&amp;'Baseline Projects'!$G31,'Baseline scaling factors'!$A$49:$K$51,MATCH('Baseline Projects'!CT$2,'Baseline scaling factors'!$A$48:$K$48,0),0)</f>
        <v>0</v>
      </c>
      <c r="CU31" s="12">
        <f>'Mitigation Projects'!$AH31*VLOOKUP('Baseline Projects'!$H31&amp;"-"&amp;'Baseline Projects'!$G31,'Baseline scaling factors'!$A$49:$K$51,MATCH('Baseline Projects'!CU$2,'Baseline scaling factors'!$A$48:$K$48,0),0)</f>
        <v>0</v>
      </c>
      <c r="CV31" s="12">
        <f>'Mitigation Projects'!$AH31*VLOOKUP('Baseline Projects'!$H31&amp;"-"&amp;'Baseline Projects'!$G31,'Baseline scaling factors'!$A$49:$K$51,MATCH('Baseline Projects'!CV$2,'Baseline scaling factors'!$A$48:$K$48,0),0)</f>
        <v>0</v>
      </c>
      <c r="CW31" s="12">
        <f>'Mitigation Projects'!$AH31*VLOOKUP('Baseline Projects'!$H31&amp;"-"&amp;'Baseline Projects'!$G31,'Baseline scaling factors'!$A$49:$K$51,MATCH('Baseline Projects'!CW$2,'Baseline scaling factors'!$A$48:$K$48,0),0)</f>
        <v>0</v>
      </c>
      <c r="CX31" s="12">
        <f>'Mitigation Projects'!$AH31*VLOOKUP('Baseline Projects'!$H31&amp;"-"&amp;'Baseline Projects'!$G31,'Baseline scaling factors'!$A$49:$K$51,MATCH('Baseline Projects'!CX$2,'Baseline scaling factors'!$A$48:$K$48,0),0)</f>
        <v>0</v>
      </c>
      <c r="CY31" s="12">
        <f>'Mitigation Projects'!$AH31*VLOOKUP('Baseline Projects'!$H31&amp;"-"&amp;'Baseline Projects'!$G31,'Baseline scaling factors'!$A$49:$K$51,MATCH('Baseline Projects'!CY$2,'Baseline scaling factors'!$A$48:$K$48,0),0)</f>
        <v>0</v>
      </c>
      <c r="CZ31" s="12">
        <f>'Mitigation Projects'!$AH31*VLOOKUP('Baseline Projects'!$H31&amp;"-"&amp;'Baseline Projects'!$G31,'Baseline scaling factors'!$A$49:$K$51,MATCH('Baseline Projects'!CZ$2,'Baseline scaling factors'!$A$48:$K$48,0),0)</f>
        <v>0</v>
      </c>
      <c r="DA31" s="12">
        <f>'Mitigation Projects'!$AH31*VLOOKUP('Baseline Projects'!$H31&amp;"-"&amp;'Baseline Projects'!$G31,'Baseline scaling factors'!$A$49:$K$51,MATCH('Baseline Projects'!DA$2,'Baseline scaling factors'!$A$48:$K$48,0),0)</f>
        <v>0</v>
      </c>
      <c r="DB31" s="12">
        <f>'Mitigation Projects'!$AH31*VLOOKUP('Baseline Projects'!$H31&amp;"-"&amp;'Baseline Projects'!$G31,'Baseline scaling factors'!$A$49:$K$51,MATCH('Baseline Projects'!DB$2,'Baseline scaling factors'!$A$48:$K$48,0),0)</f>
        <v>0</v>
      </c>
      <c r="DC31" s="12">
        <f>'Mitigation Projects'!$AH31*VLOOKUP('Baseline Projects'!$H31&amp;"-"&amp;'Baseline Projects'!$G31,'Baseline scaling factors'!$A$49:$K$51,MATCH('Baseline Projects'!DC$2,'Baseline scaling factors'!$A$48:$K$48,0),0)</f>
        <v>0</v>
      </c>
    </row>
    <row r="32" spans="1:107" x14ac:dyDescent="0.4">
      <c r="A32" s="38" t="str">
        <f>'Mitigation Projects'!A32</f>
        <v>DM-G6</v>
      </c>
      <c r="B32" s="38" t="str">
        <f>'Mitigation Projects'!B32</f>
        <v>Brattleboro</v>
      </c>
      <c r="C32" s="39">
        <f>'Mitigation Projects'!C32</f>
        <v>204896</v>
      </c>
      <c r="D32" s="39" t="str">
        <f>'Mitigation Projects'!D32</f>
        <v>204896: L94-Leonard Rd-Stickney B</v>
      </c>
      <c r="E32" s="39">
        <f>'Mitigation Projects'!E32</f>
        <v>555912</v>
      </c>
      <c r="F32" s="39">
        <f>'Mitigation Projects'!F32</f>
        <v>0</v>
      </c>
      <c r="G32" s="39" t="str">
        <f>'Mitigation Projects'!G32</f>
        <v>1PH</v>
      </c>
      <c r="H32" s="39" t="str">
        <f>'Mitigation Projects'!H32</f>
        <v>UG</v>
      </c>
      <c r="I32" s="39" t="str">
        <f>'Mitigation Projects'!J32</f>
        <v>Zone 3</v>
      </c>
      <c r="J32" s="39">
        <f>'Mitigation Projects'!K32</f>
        <v>93</v>
      </c>
      <c r="K32" s="40">
        <f>'Mitigation Projects'!L32*BASELINE_CAP_SPEND</f>
        <v>173964.90000000002</v>
      </c>
      <c r="L32" s="97">
        <f>'Mitigation Projects'!Q32</f>
        <v>0.89446185997910133</v>
      </c>
      <c r="M32" s="97">
        <f>'Mitigation Projects'!R32</f>
        <v>0.10553814002089867</v>
      </c>
      <c r="N32" s="98">
        <f>'Mitigation Projects'!S32</f>
        <v>0.5</v>
      </c>
      <c r="O32" s="26">
        <f t="shared" si="0"/>
        <v>0.98</v>
      </c>
      <c r="P32" s="26">
        <f t="shared" si="1"/>
        <v>0.83359200333362127</v>
      </c>
      <c r="Q32" s="112">
        <f>VLOOKUP($A32,'Outage by Zone inputs'!$A$4:$E$13,MATCH('Baseline Projects'!$I32,'Outage by Zone inputs'!$A$3:$E$3,0),0)*'Baseline Projects'!$L32*$N32*('Baseline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Projects'!Q$3,'Baseline scaling factors'!$B$54:$K$54,0))+VLOOKUP($A32,'Outage by Zone inputs'!$A$4:$E$13,MATCH('Baseline Projects'!$I32,'Outage by Zone inputs'!$A$3:$E$3,0),0)*'Baseline Projects'!$L32*$N32*('Baseline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Projects'!Q$3,'Baseline scaling factors'!$B$48:$K$48,0))</f>
        <v>129.06958040050313</v>
      </c>
      <c r="R32" s="112">
        <f>VLOOKUP($A32,'Outage by Zone inputs'!$A$4:$E$13,MATCH('Baseline Projects'!$I32,'Outage by Zone inputs'!$A$3:$E$3,0),0)*'Baseline Projects'!$L32*$N32*('Baseline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Projects'!R$3,'Baseline scaling factors'!$B$54:$K$54,0))+VLOOKUP($A32,'Outage by Zone inputs'!$A$4:$E$13,MATCH('Baseline Projects'!$I32,'Outage by Zone inputs'!$A$3:$E$3,0),0)*'Baseline Projects'!$L32*$N32*('Baseline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Projects'!R$3,'Baseline scaling factors'!$B$48:$K$48,0))</f>
        <v>118.09356331403509</v>
      </c>
      <c r="S32" s="112">
        <f>VLOOKUP($A32,'Outage by Zone inputs'!$A$4:$E$13,MATCH('Baseline Projects'!$I32,'Outage by Zone inputs'!$A$3:$E$3,0),0)*'Baseline Projects'!$L32*$N32*('Baseline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Projects'!S$3,'Baseline scaling factors'!$B$54:$K$54,0))+VLOOKUP($A32,'Outage by Zone inputs'!$A$4:$E$13,MATCH('Baseline Projects'!$I32,'Outage by Zone inputs'!$A$3:$E$3,0),0)*'Baseline Projects'!$L32*$N32*('Baseline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Projects'!S$3,'Baseline scaling factors'!$B$48:$K$48,0))</f>
        <v>107.60117402919163</v>
      </c>
      <c r="T32" s="112">
        <f>VLOOKUP($A32,'Outage by Zone inputs'!$A$4:$E$13,MATCH('Baseline Projects'!$I32,'Outage by Zone inputs'!$A$3:$E$3,0),0)*'Baseline Projects'!$L32*$N32*('Baseline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Projects'!T$3,'Baseline scaling factors'!$B$54:$K$54,0))+VLOOKUP($A32,'Outage by Zone inputs'!$A$4:$E$13,MATCH('Baseline Projects'!$I32,'Outage by Zone inputs'!$A$3:$E$3,0),0)*'Baseline Projects'!$L32*$N32*('Baseline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Projects'!T$3,'Baseline scaling factors'!$B$48:$K$48,0))</f>
        <v>97.571102826002246</v>
      </c>
      <c r="U32" s="112">
        <f>VLOOKUP($A32,'Outage by Zone inputs'!$A$4:$E$13,MATCH('Baseline Projects'!$I32,'Outage by Zone inputs'!$A$3:$E$3,0),0)*'Baseline Projects'!$L32*$N32*('Baseline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Projects'!U$3,'Baseline scaling factors'!$B$54:$K$54,0))+VLOOKUP($A32,'Outage by Zone inputs'!$A$4:$E$13,MATCH('Baseline Projects'!$I32,'Outage by Zone inputs'!$A$3:$E$3,0),0)*'Baseline Projects'!$L32*$N32*('Baseline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Projects'!U$3,'Baseline scaling factors'!$B$48:$K$48,0))</f>
        <v>87.982978938302793</v>
      </c>
      <c r="V32" s="112">
        <f>VLOOKUP($A32,'Outage by Zone inputs'!$A$4:$E$13,MATCH('Baseline Projects'!$I32,'Outage by Zone inputs'!$A$3:$E$3,0),0)*'Baseline Projects'!$L32*$N32*('Baseline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Projects'!V$3,'Baseline scaling factors'!$B$54:$K$54,0))+VLOOKUP($A32,'Outage by Zone inputs'!$A$4:$E$13,MATCH('Baseline Projects'!$I32,'Outage by Zone inputs'!$A$3:$E$3,0),0)*'Baseline Projects'!$L32*$N32*('Baseline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Projects'!V$3,'Baseline scaling factors'!$B$48:$K$48,0))</f>
        <v>78.817329181336021</v>
      </c>
      <c r="W32" s="112">
        <f>VLOOKUP($A32,'Outage by Zone inputs'!$A$4:$E$13,MATCH('Baseline Projects'!$I32,'Outage by Zone inputs'!$A$3:$E$3,0),0)*'Baseline Projects'!$L32*$N32*('Baseline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Projects'!W$3,'Baseline scaling factors'!$B$54:$K$54,0))+VLOOKUP($A32,'Outage by Zone inputs'!$A$4:$E$13,MATCH('Baseline Projects'!$I32,'Outage by Zone inputs'!$A$3:$E$3,0),0)*'Baseline Projects'!$L32*$N32*('Baseline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Projects'!W$3,'Baseline scaling factors'!$B$48:$K$48,0))</f>
        <v>70.055538402311939</v>
      </c>
      <c r="X32" s="112">
        <f>VLOOKUP($A32,'Outage by Zone inputs'!$A$4:$E$13,MATCH('Baseline Projects'!$I32,'Outage by Zone inputs'!$A$3:$E$3,0),0)*'Baseline Projects'!$L32*$N32*('Baseline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Projects'!X$3,'Baseline scaling factors'!$B$54:$K$54,0))+VLOOKUP($A32,'Outage by Zone inputs'!$A$4:$E$13,MATCH('Baseline Projects'!$I32,'Outage by Zone inputs'!$A$3:$E$3,0),0)*'Baseline Projects'!$L32*$N32*('Baseline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Projects'!X$3,'Baseline scaling factors'!$B$48:$K$48,0))</f>
        <v>61.679811673605201</v>
      </c>
      <c r="Y32" s="112">
        <f>VLOOKUP($A32,'Outage by Zone inputs'!$A$4:$E$13,MATCH('Baseline Projects'!$I32,'Outage by Zone inputs'!$A$3:$E$3,0),0)*'Baseline Projects'!$L32*$N32*('Baseline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Projects'!Y$3,'Baseline scaling factors'!$B$54:$K$54,0))+VLOOKUP($A32,'Outage by Zone inputs'!$A$4:$E$13,MATCH('Baseline Projects'!$I32,'Outage by Zone inputs'!$A$3:$E$3,0),0)*'Baseline Projects'!$L32*$N32*('Baseline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Projects'!Y$3,'Baseline scaling factors'!$B$48:$K$48,0))</f>
        <v>53.673138151804125</v>
      </c>
      <c r="Z32" s="112">
        <f>VLOOKUP($A32,'Outage by Zone inputs'!$A$4:$E$13,MATCH('Baseline Projects'!$I32,'Outage by Zone inputs'!$A$3:$E$3,0),0)*'Baseline Projects'!$L32*$N32*('Baseline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Projects'!Z$3,'Baseline scaling factors'!$B$54:$K$54,0))+VLOOKUP($A32,'Outage by Zone inputs'!$A$4:$E$13,MATCH('Baseline Projects'!$I32,'Outage by Zone inputs'!$A$3:$E$3,0),0)*'Baseline Projects'!$L32*$N32*('Baseline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Projects'!Z$3,'Baseline scaling factors'!$B$48:$K$48,0))</f>
        <v>46.019256529211049</v>
      </c>
      <c r="AA32" s="34">
        <f>VLOOKUP($A32,'Outage by Zone inputs'!$A$4:$E$13,MATCH('Baseline Projects'!$I32,'Outage by Zone inputs'!$A$3:$E$3,0),0)*$M32*$N32*('Baseline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Projects'!AA$3,'Baseline scaling factors'!$B$54:$K$54,0))+VLOOKUP($A32,'Outage by Zone inputs'!$A$4:$E$13,MATCH('Baseline Projects'!$I32,'Outage by Zone inputs'!$A$3:$E$3,0),0)*$M32*$N32*('Baseline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Projects'!AA$3,'Baseline scaling factors'!$B$48:$K$48,0))</f>
        <v>15.229004229498621</v>
      </c>
      <c r="AB32" s="34">
        <f>VLOOKUP($A32,'Outage by Zone inputs'!$A$4:$E$13,MATCH('Baseline Projects'!$I32,'Outage by Zone inputs'!$A$3:$E$3,0),0)*$M32*$N32*('Baseline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Projects'!AB$3,'Baseline scaling factors'!$B$54:$K$54,0))+VLOOKUP($A32,'Outage by Zone inputs'!$A$4:$E$13,MATCH('Baseline Projects'!$I32,'Outage by Zone inputs'!$A$3:$E$3,0),0)*$M32*$N32*('Baseline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Projects'!AB$3,'Baseline scaling factors'!$B$48:$K$48,0))</f>
        <v>13.933936792894331</v>
      </c>
      <c r="AC32" s="34">
        <f>VLOOKUP($A32,'Outage by Zone inputs'!$A$4:$E$13,MATCH('Baseline Projects'!$I32,'Outage by Zone inputs'!$A$3:$E$3,0),0)*$M32*$N32*('Baseline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Projects'!AC$3,'Baseline scaling factors'!$B$54:$K$54,0))+VLOOKUP($A32,'Outage by Zone inputs'!$A$4:$E$13,MATCH('Baseline Projects'!$I32,'Outage by Zone inputs'!$A$3:$E$3,0),0)*$M32*$N32*('Baseline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Projects'!AC$3,'Baseline scaling factors'!$B$48:$K$48,0))</f>
        <v>12.695932916995742</v>
      </c>
      <c r="AD32" s="34">
        <f>VLOOKUP($A32,'Outage by Zone inputs'!$A$4:$E$13,MATCH('Baseline Projects'!$I32,'Outage by Zone inputs'!$A$3:$E$3,0),0)*$M32*$N32*('Baseline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Projects'!AD$3,'Baseline scaling factors'!$B$54:$K$54,0))+VLOOKUP($A32,'Outage by Zone inputs'!$A$4:$E$13,MATCH('Baseline Projects'!$I32,'Outage by Zone inputs'!$A$3:$E$3,0),0)*$M32*$N32*('Baseline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Projects'!AD$3,'Baseline scaling factors'!$B$48:$K$48,0))</f>
        <v>11.512478254002604</v>
      </c>
      <c r="AE32" s="34">
        <f>VLOOKUP($A32,'Outage by Zone inputs'!$A$4:$E$13,MATCH('Baseline Projects'!$I32,'Outage by Zone inputs'!$A$3:$E$3,0),0)*$M32*$N32*('Baseline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Projects'!AE$3,'Baseline scaling factors'!$B$54:$K$54,0))+VLOOKUP($A32,'Outage by Zone inputs'!$A$4:$E$13,MATCH('Baseline Projects'!$I32,'Outage by Zone inputs'!$A$3:$E$3,0),0)*$M32*$N32*('Baseline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Projects'!AE$3,'Baseline scaling factors'!$B$48:$K$48,0))</f>
        <v>10.381169243888532</v>
      </c>
      <c r="AF32" s="34">
        <f>VLOOKUP($A32,'Outage by Zone inputs'!$A$4:$E$13,MATCH('Baseline Projects'!$I32,'Outage by Zone inputs'!$A$3:$E$3,0),0)*$M32*$N32*('Baseline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Projects'!AF$3,'Baseline scaling factors'!$B$54:$K$54,0))+VLOOKUP($A32,'Outage by Zone inputs'!$A$4:$E$13,MATCH('Baseline Projects'!$I32,'Outage by Zone inputs'!$A$3:$E$3,0),0)*$M32*$N32*('Baseline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Projects'!AF$3,'Baseline scaling factors'!$B$48:$K$48,0))</f>
        <v>9.2997082328445551</v>
      </c>
      <c r="AG32" s="34">
        <f>VLOOKUP($A32,'Outage by Zone inputs'!$A$4:$E$13,MATCH('Baseline Projects'!$I32,'Outage by Zone inputs'!$A$3:$E$3,0),0)*$M32*$N32*('Baseline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Projects'!AG$3,'Baseline scaling factors'!$B$54:$K$54,0))+VLOOKUP($A32,'Outage by Zone inputs'!$A$4:$E$13,MATCH('Baseline Projects'!$I32,'Outage by Zone inputs'!$A$3:$E$3,0),0)*$M32*$N32*('Baseline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Projects'!AG$3,'Baseline scaling factors'!$B$48:$K$48,0))</f>
        <v>8.265898806814846</v>
      </c>
      <c r="AH32" s="34">
        <f>VLOOKUP($A32,'Outage by Zone inputs'!$A$4:$E$13,MATCH('Baseline Projects'!$I32,'Outage by Zone inputs'!$A$3:$E$3,0),0)*$M32*$N32*('Baseline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Projects'!AH$3,'Baseline scaling factors'!$B$54:$K$54,0))+VLOOKUP($A32,'Outage by Zone inputs'!$A$4:$E$13,MATCH('Baseline Projects'!$I32,'Outage by Zone inputs'!$A$3:$E$3,0),0)*$M32*$N32*('Baseline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Projects'!AH$3,'Baseline scaling factors'!$B$48:$K$48,0))</f>
        <v>7.2776413306473442</v>
      </c>
      <c r="AI32" s="34">
        <f>VLOOKUP($A32,'Outage by Zone inputs'!$A$4:$E$13,MATCH('Baseline Projects'!$I32,'Outage by Zone inputs'!$A$3:$E$3,0),0)*$M32*$N32*('Baseline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Projects'!AI$3,'Baseline scaling factors'!$B$54:$K$54,0))+VLOOKUP($A32,'Outage by Zone inputs'!$A$4:$E$13,MATCH('Baseline Projects'!$I32,'Outage by Zone inputs'!$A$3:$E$3,0),0)*$M32*$N32*('Baseline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Projects'!AI$3,'Baseline scaling factors'!$B$48:$K$48,0))</f>
        <v>6.3329286837993202</v>
      </c>
      <c r="AJ32" s="34">
        <f>VLOOKUP($A32,'Outage by Zone inputs'!$A$4:$E$13,MATCH('Baseline Projects'!$I32,'Outage by Zone inputs'!$A$3:$E$3,0),0)*$M32*$N32*('Baseline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Projects'!AJ$3,'Baseline scaling factors'!$B$54:$K$54,0))+VLOOKUP($A32,'Outage by Zone inputs'!$A$4:$E$13,MATCH('Baseline Projects'!$I32,'Outage by Zone inputs'!$A$3:$E$3,0),0)*$M32*$N32*('Baseline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Projects'!AJ$3,'Baseline scaling factors'!$B$48:$K$48,0))</f>
        <v>5.4298421839372866</v>
      </c>
      <c r="AK32" s="1">
        <f t="shared" si="112"/>
        <v>2710.4611884105657</v>
      </c>
      <c r="AL32" s="1">
        <f t="shared" si="113"/>
        <v>2479.9648295947368</v>
      </c>
      <c r="AM32" s="1">
        <f t="shared" si="114"/>
        <v>2259.6246546130242</v>
      </c>
      <c r="AN32" s="1">
        <f t="shared" si="115"/>
        <v>2048.9931593460474</v>
      </c>
      <c r="AO32" s="1">
        <f t="shared" si="116"/>
        <v>1847.6425577043588</v>
      </c>
      <c r="AP32" s="1">
        <f t="shared" si="117"/>
        <v>1655.1639128080565</v>
      </c>
      <c r="AQ32" s="1">
        <f t="shared" si="118"/>
        <v>1471.1663064485508</v>
      </c>
      <c r="AR32" s="1">
        <f t="shared" si="119"/>
        <v>1295.2760451457093</v>
      </c>
      <c r="AS32" s="1">
        <f t="shared" si="120"/>
        <v>1127.1359011878867</v>
      </c>
      <c r="AT32" s="1">
        <f t="shared" si="121"/>
        <v>966.40438711343199</v>
      </c>
      <c r="AU32" s="1">
        <f t="shared" si="122"/>
        <v>59164.681431602141</v>
      </c>
      <c r="AV32" s="1">
        <f t="shared" si="123"/>
        <v>54133.344440394474</v>
      </c>
      <c r="AW32" s="1">
        <f t="shared" si="124"/>
        <v>49323.699382528459</v>
      </c>
      <c r="AX32" s="1">
        <f t="shared" si="125"/>
        <v>44725.978016800116</v>
      </c>
      <c r="AY32" s="1">
        <f t="shared" si="126"/>
        <v>40330.842512506948</v>
      </c>
      <c r="AZ32" s="1">
        <f t="shared" si="127"/>
        <v>36129.366484601094</v>
      </c>
      <c r="BA32" s="1">
        <f t="shared" si="128"/>
        <v>32113.016864475678</v>
      </c>
      <c r="BB32" s="1">
        <f t="shared" si="129"/>
        <v>28273.636569564933</v>
      </c>
      <c r="BC32" s="1">
        <f t="shared" si="130"/>
        <v>24603.427936560358</v>
      </c>
      <c r="BD32" s="1">
        <f t="shared" si="131"/>
        <v>21094.936884596358</v>
      </c>
      <c r="BE32" s="1">
        <f t="shared" si="132"/>
        <v>61875.14262001271</v>
      </c>
      <c r="BF32" s="1">
        <f t="shared" si="133"/>
        <v>56613.309269989208</v>
      </c>
      <c r="BG32" s="1">
        <f t="shared" si="134"/>
        <v>51583.324037141487</v>
      </c>
      <c r="BH32" s="1">
        <f t="shared" si="135"/>
        <v>46774.971176146166</v>
      </c>
      <c r="BI32" s="1">
        <f t="shared" si="136"/>
        <v>42178.485070211304</v>
      </c>
      <c r="BJ32" s="1">
        <f t="shared" si="137"/>
        <v>37784.530397409151</v>
      </c>
      <c r="BK32" s="1">
        <f t="shared" si="138"/>
        <v>33584.183170924225</v>
      </c>
      <c r="BL32" s="1">
        <f t="shared" si="139"/>
        <v>29568.912614710644</v>
      </c>
      <c r="BM32" s="1">
        <f t="shared" si="140"/>
        <v>25730.563837748246</v>
      </c>
      <c r="BN32" s="1">
        <f t="shared" si="141"/>
        <v>22061.341271709789</v>
      </c>
      <c r="BO32" s="25">
        <f>VLOOKUP($A32,'Outage by Zone inputs'!$A$59:$E$68,MATCH('Baseline Projects'!$I32,'Outage by Zone inputs'!$A$58:$E$58,0),0)*AVG_INCIDENT_PERCENT_NON_STORM</f>
        <v>39.400316239898757</v>
      </c>
      <c r="BP32" s="25">
        <f>$BO32*$N32*('Baseline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Projects'!Q$3,'Baseline scaling factors'!$B$54:$K$54,0))+$BO32*$N32*('Baseline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Projects'!Q$3,'Baseline scaling factors'!$B$48:$K$48,0))</f>
        <v>1.3767966945575847</v>
      </c>
      <c r="BQ32" s="25">
        <f>$BO32*$N32*('Baseline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Projects'!R$3,'Baseline scaling factors'!$B$54:$K$54,0))+$BO32*$N32*('Baseline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Projects'!R$3,'Baseline scaling factors'!$B$48:$K$48,0))</f>
        <v>1.2597145440061923</v>
      </c>
      <c r="BR32" s="25">
        <f>$BO32*$N32*('Baseline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Projects'!S$3,'Baseline scaling factors'!$B$54:$K$54,0))+$BO32*$N32*('Baseline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Projects'!S$3,'Baseline scaling factors'!$B$48:$K$48,0))</f>
        <v>1.1477912942322464</v>
      </c>
      <c r="BS32" s="25">
        <f>$BO32*$N32*('Baseline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Projects'!T$3,'Baseline scaling factors'!$B$54:$K$54,0))+$BO32*$N32*('Baseline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Projects'!T$3,'Baseline scaling factors'!$B$48:$K$48,0))</f>
        <v>1.0407996325573741</v>
      </c>
      <c r="BT32" s="25">
        <f>$BO32*$N32*('Baseline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Projects'!U$3,'Baseline scaling factors'!$B$54:$K$54,0))+$BO32*$N32*('Baseline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Projects'!U$3,'Baseline scaling factors'!$B$48:$K$48,0))</f>
        <v>0.93852226220697232</v>
      </c>
      <c r="BU32" s="25">
        <f>$BO32*$N32*('Baseline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Projects'!V$3,'Baseline scaling factors'!$B$54:$K$54,0))+$BO32*$N32*('Baseline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Projects'!V$3,'Baseline scaling factors'!$B$48:$K$48,0))</f>
        <v>0.84075146098714293</v>
      </c>
      <c r="BV32" s="25">
        <f>$BO32*$N32*('Baseline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Projects'!W$3,'Baseline scaling factors'!$B$54:$K$54,0))+$BO32*$N32*('Baseline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Projects'!W$3,'Baseline scaling factors'!$B$48:$K$48,0))</f>
        <v>0.74728865940730238</v>
      </c>
      <c r="BW32" s="25">
        <f>$BO32*$N32*('Baseline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Projects'!X$3,'Baseline scaling factors'!$B$54:$K$54,0))+$BO32*$N32*('Baseline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Projects'!X$3,'Baseline scaling factors'!$B$48:$K$48,0))</f>
        <v>0.65794403739165586</v>
      </c>
      <c r="BX32" s="25">
        <f>$BO32*$N32*('Baseline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Projects'!Y$3,'Baseline scaling factors'!$B$54:$K$54,0))+$BO32*$N32*('Baseline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Projects'!Y$3,'Baseline scaling factors'!$B$48:$K$48,0))</f>
        <v>0.57253613876045772</v>
      </c>
      <c r="BY32" s="25">
        <f>$BO32*$N32*('Baseline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Projects'!Z$3,'Baseline scaling factors'!$B$54:$K$54,0))+$BO32*$N32*('Baseline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Projects'!Z$3,'Baseline scaling factors'!$B$48:$K$48,0))</f>
        <v>0.49089150269809312</v>
      </c>
      <c r="BZ32" s="12">
        <f t="shared" si="32"/>
        <v>649.84803983118002</v>
      </c>
      <c r="CA32" s="12">
        <f t="shared" si="33"/>
        <v>594.58526477092278</v>
      </c>
      <c r="CB32" s="12">
        <f t="shared" si="34"/>
        <v>541.75749087762028</v>
      </c>
      <c r="CC32" s="12">
        <f t="shared" si="35"/>
        <v>491.25742656708059</v>
      </c>
      <c r="CD32" s="12">
        <f t="shared" si="36"/>
        <v>442.98250776169095</v>
      </c>
      <c r="CE32" s="12">
        <f t="shared" si="37"/>
        <v>396.83468958593147</v>
      </c>
      <c r="CF32" s="12">
        <f t="shared" si="38"/>
        <v>352.72024724024675</v>
      </c>
      <c r="CG32" s="12">
        <f t="shared" si="39"/>
        <v>310.54958564886158</v>
      </c>
      <c r="CH32" s="12">
        <f t="shared" si="40"/>
        <v>270.23705749493604</v>
      </c>
      <c r="CI32" s="12">
        <f t="shared" si="41"/>
        <v>231.70078927349996</v>
      </c>
      <c r="CJ32" s="12">
        <f>'Mitigation Projects'!$AG32*VLOOKUP('Baseline Projects'!$H32&amp;"-"&amp;'Baseline Projects'!$G32,'Baseline scaling factors'!$A$49:$K$51,MATCH('Baseline Projects'!CJ$2,'Baseline scaling factors'!$A$48:$K$48,0),0)</f>
        <v>0</v>
      </c>
      <c r="CK32" s="12">
        <f>'Mitigation Projects'!$AG32*VLOOKUP('Baseline Projects'!$H32&amp;"-"&amp;'Baseline Projects'!$G32,'Baseline scaling factors'!$A$49:$K$51,MATCH('Baseline Projects'!CK$2,'Baseline scaling factors'!$A$48:$K$48,0),0)</f>
        <v>0</v>
      </c>
      <c r="CL32" s="12">
        <f>'Mitigation Projects'!$AG32*VLOOKUP('Baseline Projects'!$H32&amp;"-"&amp;'Baseline Projects'!$G32,'Baseline scaling factors'!$A$49:$K$51,MATCH('Baseline Projects'!CL$2,'Baseline scaling factors'!$A$48:$K$48,0),0)</f>
        <v>0</v>
      </c>
      <c r="CM32" s="12">
        <f>'Mitigation Projects'!$AG32*VLOOKUP('Baseline Projects'!$H32&amp;"-"&amp;'Baseline Projects'!$G32,'Baseline scaling factors'!$A$49:$K$51,MATCH('Baseline Projects'!CM$2,'Baseline scaling factors'!$A$48:$K$48,0),0)</f>
        <v>0</v>
      </c>
      <c r="CN32" s="12">
        <f>'Mitigation Projects'!$AG32*VLOOKUP('Baseline Projects'!$H32&amp;"-"&amp;'Baseline Projects'!$G32,'Baseline scaling factors'!$A$49:$K$51,MATCH('Baseline Projects'!CN$2,'Baseline scaling factors'!$A$48:$K$48,0),0)</f>
        <v>0</v>
      </c>
      <c r="CO32" s="12">
        <f>'Mitigation Projects'!$AG32*VLOOKUP('Baseline Projects'!$H32&amp;"-"&amp;'Baseline Projects'!$G32,'Baseline scaling factors'!$A$49:$K$51,MATCH('Baseline Projects'!CO$2,'Baseline scaling factors'!$A$48:$K$48,0),0)</f>
        <v>0</v>
      </c>
      <c r="CP32" s="12">
        <f>'Mitigation Projects'!$AG32*VLOOKUP('Baseline Projects'!$H32&amp;"-"&amp;'Baseline Projects'!$G32,'Baseline scaling factors'!$A$49:$K$51,MATCH('Baseline Projects'!CP$2,'Baseline scaling factors'!$A$48:$K$48,0),0)</f>
        <v>0</v>
      </c>
      <c r="CQ32" s="12">
        <f>'Mitigation Projects'!$AG32*VLOOKUP('Baseline Projects'!$H32&amp;"-"&amp;'Baseline Projects'!$G32,'Baseline scaling factors'!$A$49:$K$51,MATCH('Baseline Projects'!CQ$2,'Baseline scaling factors'!$A$48:$K$48,0),0)</f>
        <v>0</v>
      </c>
      <c r="CR32" s="12">
        <f>'Mitigation Projects'!$AG32*VLOOKUP('Baseline Projects'!$H32&amp;"-"&amp;'Baseline Projects'!$G32,'Baseline scaling factors'!$A$49:$K$51,MATCH('Baseline Projects'!CR$2,'Baseline scaling factors'!$A$48:$K$48,0),0)</f>
        <v>0</v>
      </c>
      <c r="CS32" s="12">
        <f>'Mitigation Projects'!$AG32*VLOOKUP('Baseline Projects'!$H32&amp;"-"&amp;'Baseline Projects'!$G32,'Baseline scaling factors'!$A$49:$K$51,MATCH('Baseline Projects'!CS$2,'Baseline scaling factors'!$A$48:$K$48,0),0)</f>
        <v>0</v>
      </c>
      <c r="CT32" s="12">
        <f>'Mitigation Projects'!$AH32*VLOOKUP('Baseline Projects'!$H32&amp;"-"&amp;'Baseline Projects'!$G32,'Baseline scaling factors'!$A$49:$K$51,MATCH('Baseline Projects'!CT$2,'Baseline scaling factors'!$A$48:$K$48,0),0)</f>
        <v>0</v>
      </c>
      <c r="CU32" s="12">
        <f>'Mitigation Projects'!$AH32*VLOOKUP('Baseline Projects'!$H32&amp;"-"&amp;'Baseline Projects'!$G32,'Baseline scaling factors'!$A$49:$K$51,MATCH('Baseline Projects'!CU$2,'Baseline scaling factors'!$A$48:$K$48,0),0)</f>
        <v>0</v>
      </c>
      <c r="CV32" s="12">
        <f>'Mitigation Projects'!$AH32*VLOOKUP('Baseline Projects'!$H32&amp;"-"&amp;'Baseline Projects'!$G32,'Baseline scaling factors'!$A$49:$K$51,MATCH('Baseline Projects'!CV$2,'Baseline scaling factors'!$A$48:$K$48,0),0)</f>
        <v>0</v>
      </c>
      <c r="CW32" s="12">
        <f>'Mitigation Projects'!$AH32*VLOOKUP('Baseline Projects'!$H32&amp;"-"&amp;'Baseline Projects'!$G32,'Baseline scaling factors'!$A$49:$K$51,MATCH('Baseline Projects'!CW$2,'Baseline scaling factors'!$A$48:$K$48,0),0)</f>
        <v>0</v>
      </c>
      <c r="CX32" s="12">
        <f>'Mitigation Projects'!$AH32*VLOOKUP('Baseline Projects'!$H32&amp;"-"&amp;'Baseline Projects'!$G32,'Baseline scaling factors'!$A$49:$K$51,MATCH('Baseline Projects'!CX$2,'Baseline scaling factors'!$A$48:$K$48,0),0)</f>
        <v>0</v>
      </c>
      <c r="CY32" s="12">
        <f>'Mitigation Projects'!$AH32*VLOOKUP('Baseline Projects'!$H32&amp;"-"&amp;'Baseline Projects'!$G32,'Baseline scaling factors'!$A$49:$K$51,MATCH('Baseline Projects'!CY$2,'Baseline scaling factors'!$A$48:$K$48,0),0)</f>
        <v>0</v>
      </c>
      <c r="CZ32" s="12">
        <f>'Mitigation Projects'!$AH32*VLOOKUP('Baseline Projects'!$H32&amp;"-"&amp;'Baseline Projects'!$G32,'Baseline scaling factors'!$A$49:$K$51,MATCH('Baseline Projects'!CZ$2,'Baseline scaling factors'!$A$48:$K$48,0),0)</f>
        <v>0</v>
      </c>
      <c r="DA32" s="12">
        <f>'Mitigation Projects'!$AH32*VLOOKUP('Baseline Projects'!$H32&amp;"-"&amp;'Baseline Projects'!$G32,'Baseline scaling factors'!$A$49:$K$51,MATCH('Baseline Projects'!DA$2,'Baseline scaling factors'!$A$48:$K$48,0),0)</f>
        <v>0</v>
      </c>
      <c r="DB32" s="12">
        <f>'Mitigation Projects'!$AH32*VLOOKUP('Baseline Projects'!$H32&amp;"-"&amp;'Baseline Projects'!$G32,'Baseline scaling factors'!$A$49:$K$51,MATCH('Baseline Projects'!DB$2,'Baseline scaling factors'!$A$48:$K$48,0),0)</f>
        <v>0</v>
      </c>
      <c r="DC32" s="12">
        <f>'Mitigation Projects'!$AH32*VLOOKUP('Baseline Projects'!$H32&amp;"-"&amp;'Baseline Projects'!$G32,'Baseline scaling factors'!$A$49:$K$51,MATCH('Baseline Projects'!DC$2,'Baseline scaling factors'!$A$48:$K$48,0),0)</f>
        <v>0</v>
      </c>
    </row>
    <row r="33" spans="1:107" x14ac:dyDescent="0.4">
      <c r="A33" s="38" t="str">
        <f>'Mitigation Projects'!A33</f>
        <v>DM-G6</v>
      </c>
      <c r="B33" s="38" t="str">
        <f>'Mitigation Projects'!B33</f>
        <v>Brattleboro</v>
      </c>
      <c r="C33" s="39">
        <f>'Mitigation Projects'!C33</f>
        <v>204897</v>
      </c>
      <c r="D33" s="39" t="str">
        <f>'Mitigation Projects'!D33</f>
        <v>204897: L911-P16 to End Hague Rd</v>
      </c>
      <c r="E33" s="39">
        <f>'Mitigation Projects'!E33</f>
        <v>555716</v>
      </c>
      <c r="F33" s="39">
        <f>'Mitigation Projects'!F33</f>
        <v>556008</v>
      </c>
      <c r="G33" s="39" t="str">
        <f>'Mitigation Projects'!G33</f>
        <v>1PH</v>
      </c>
      <c r="H33" s="39" t="str">
        <f>'Mitigation Projects'!H33</f>
        <v>UG</v>
      </c>
      <c r="I33" s="39" t="str">
        <f>'Mitigation Projects'!J33</f>
        <v>Zone 3</v>
      </c>
      <c r="J33" s="39">
        <f>'Mitigation Projects'!K33</f>
        <v>63</v>
      </c>
      <c r="K33" s="40">
        <f>'Mitigation Projects'!L33*BASELINE_CAP_SPEND</f>
        <v>57525.8</v>
      </c>
      <c r="L33" s="97">
        <f>'Mitigation Projects'!Q33</f>
        <v>0.89446185997910133</v>
      </c>
      <c r="M33" s="97">
        <f>'Mitigation Projects'!R33</f>
        <v>0.10553814002089867</v>
      </c>
      <c r="N33" s="98">
        <f>'Mitigation Projects'!S33</f>
        <v>0.5</v>
      </c>
      <c r="O33" s="26">
        <f t="shared" si="0"/>
        <v>0.98</v>
      </c>
      <c r="P33" s="26">
        <f t="shared" si="1"/>
        <v>0.83359200333362127</v>
      </c>
      <c r="Q33" s="112">
        <f>VLOOKUP($A33,'Outage by Zone inputs'!$A$4:$E$13,MATCH('Baseline Projects'!$I33,'Outage by Zone inputs'!$A$3:$E$3,0),0)*'Baseline Projects'!$L33*$N33*('Baseline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Projects'!Q$3,'Baseline scaling factors'!$B$54:$K$54,0))+VLOOKUP($A33,'Outage by Zone inputs'!$A$4:$E$13,MATCH('Baseline Projects'!$I33,'Outage by Zone inputs'!$A$3:$E$3,0),0)*'Baseline Projects'!$L33*$N33*('Baseline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Projects'!Q$3,'Baseline scaling factors'!$B$48:$K$48,0))</f>
        <v>87.434231884211769</v>
      </c>
      <c r="R33" s="112">
        <f>VLOOKUP($A33,'Outage by Zone inputs'!$A$4:$E$13,MATCH('Baseline Projects'!$I33,'Outage by Zone inputs'!$A$3:$E$3,0),0)*'Baseline Projects'!$L33*$N33*('Baseline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Projects'!R$3,'Baseline scaling factors'!$B$54:$K$54,0))+VLOOKUP($A33,'Outage by Zone inputs'!$A$4:$E$13,MATCH('Baseline Projects'!$I33,'Outage by Zone inputs'!$A$3:$E$3,0),0)*'Baseline Projects'!$L33*$N33*('Baseline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Projects'!R$3,'Baseline scaling factors'!$B$48:$K$48,0))</f>
        <v>79.998865470797938</v>
      </c>
      <c r="S33" s="112">
        <f>VLOOKUP($A33,'Outage by Zone inputs'!$A$4:$E$13,MATCH('Baseline Projects'!$I33,'Outage by Zone inputs'!$A$3:$E$3,0),0)*'Baseline Projects'!$L33*$N33*('Baseline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Projects'!S$3,'Baseline scaling factors'!$B$54:$K$54,0))+VLOOKUP($A33,'Outage by Zone inputs'!$A$4:$E$13,MATCH('Baseline Projects'!$I33,'Outage by Zone inputs'!$A$3:$E$3,0),0)*'Baseline Projects'!$L33*$N33*('Baseline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Projects'!S$3,'Baseline scaling factors'!$B$48:$K$48,0))</f>
        <v>72.891117890742692</v>
      </c>
      <c r="T33" s="112">
        <f>VLOOKUP($A33,'Outage by Zone inputs'!$A$4:$E$13,MATCH('Baseline Projects'!$I33,'Outage by Zone inputs'!$A$3:$E$3,0),0)*'Baseline Projects'!$L33*$N33*('Baseline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Projects'!T$3,'Baseline scaling factors'!$B$54:$K$54,0))+VLOOKUP($A33,'Outage by Zone inputs'!$A$4:$E$13,MATCH('Baseline Projects'!$I33,'Outage by Zone inputs'!$A$3:$E$3,0),0)*'Baseline Projects'!$L33*$N33*('Baseline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Projects'!T$3,'Baseline scaling factors'!$B$48:$K$48,0))</f>
        <v>66.096553527291817</v>
      </c>
      <c r="U33" s="112">
        <f>VLOOKUP($A33,'Outage by Zone inputs'!$A$4:$E$13,MATCH('Baseline Projects'!$I33,'Outage by Zone inputs'!$A$3:$E$3,0),0)*'Baseline Projects'!$L33*$N33*('Baseline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Projects'!U$3,'Baseline scaling factors'!$B$54:$K$54,0))+VLOOKUP($A33,'Outage by Zone inputs'!$A$4:$E$13,MATCH('Baseline Projects'!$I33,'Outage by Zone inputs'!$A$3:$E$3,0),0)*'Baseline Projects'!$L33*$N33*('Baseline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Projects'!U$3,'Baseline scaling factors'!$B$48:$K$48,0))</f>
        <v>59.601372829172853</v>
      </c>
      <c r="V33" s="112">
        <f>VLOOKUP($A33,'Outage by Zone inputs'!$A$4:$E$13,MATCH('Baseline Projects'!$I33,'Outage by Zone inputs'!$A$3:$E$3,0),0)*'Baseline Projects'!$L33*$N33*('Baseline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Projects'!V$3,'Baseline scaling factors'!$B$54:$K$54,0))+VLOOKUP($A33,'Outage by Zone inputs'!$A$4:$E$13,MATCH('Baseline Projects'!$I33,'Outage by Zone inputs'!$A$3:$E$3,0),0)*'Baseline Projects'!$L33*$N33*('Baseline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Projects'!V$3,'Baseline scaling factors'!$B$48:$K$48,0))</f>
        <v>53.392384284130841</v>
      </c>
      <c r="W33" s="112">
        <f>VLOOKUP($A33,'Outage by Zone inputs'!$A$4:$E$13,MATCH('Baseline Projects'!$I33,'Outage by Zone inputs'!$A$3:$E$3,0),0)*'Baseline Projects'!$L33*$N33*('Baseline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Projects'!W$3,'Baseline scaling factors'!$B$54:$K$54,0))+VLOOKUP($A33,'Outage by Zone inputs'!$A$4:$E$13,MATCH('Baseline Projects'!$I33,'Outage by Zone inputs'!$A$3:$E$3,0),0)*'Baseline Projects'!$L33*$N33*('Baseline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Projects'!W$3,'Baseline scaling factors'!$B$48:$K$48,0))</f>
        <v>47.456977627372595</v>
      </c>
      <c r="X33" s="112">
        <f>VLOOKUP($A33,'Outage by Zone inputs'!$A$4:$E$13,MATCH('Baseline Projects'!$I33,'Outage by Zone inputs'!$A$3:$E$3,0),0)*'Baseline Projects'!$L33*$N33*('Baseline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Projects'!X$3,'Baseline scaling factors'!$B$54:$K$54,0))+VLOOKUP($A33,'Outage by Zone inputs'!$A$4:$E$13,MATCH('Baseline Projects'!$I33,'Outage by Zone inputs'!$A$3:$E$3,0),0)*'Baseline Projects'!$L33*$N33*('Baseline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Projects'!X$3,'Baseline scaling factors'!$B$48:$K$48,0))</f>
        <v>41.783098230506738</v>
      </c>
      <c r="Y33" s="112">
        <f>VLOOKUP($A33,'Outage by Zone inputs'!$A$4:$E$13,MATCH('Baseline Projects'!$I33,'Outage by Zone inputs'!$A$3:$E$3,0),0)*'Baseline Projects'!$L33*$N33*('Baseline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Projects'!Y$3,'Baseline scaling factors'!$B$54:$K$54,0))+VLOOKUP($A33,'Outage by Zone inputs'!$A$4:$E$13,MATCH('Baseline Projects'!$I33,'Outage by Zone inputs'!$A$3:$E$3,0),0)*'Baseline Projects'!$L33*$N33*('Baseline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Projects'!Y$3,'Baseline scaling factors'!$B$48:$K$48,0))</f>
        <v>36.359222618964075</v>
      </c>
      <c r="Z33" s="112">
        <f>VLOOKUP($A33,'Outage by Zone inputs'!$A$4:$E$13,MATCH('Baseline Projects'!$I33,'Outage by Zone inputs'!$A$3:$E$3,0),0)*'Baseline Projects'!$L33*$N33*('Baseline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Projects'!Z$3,'Baseline scaling factors'!$B$54:$K$54,0))+VLOOKUP($A33,'Outage by Zone inputs'!$A$4:$E$13,MATCH('Baseline Projects'!$I33,'Outage by Zone inputs'!$A$3:$E$3,0),0)*'Baseline Projects'!$L33*$N33*('Baseline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Projects'!Z$3,'Baseline scaling factors'!$B$48:$K$48,0))</f>
        <v>31.174335068175221</v>
      </c>
      <c r="AA33" s="34">
        <f>VLOOKUP($A33,'Outage by Zone inputs'!$A$4:$E$13,MATCH('Baseline Projects'!$I33,'Outage by Zone inputs'!$A$3:$E$3,0),0)*$M33*$N33*('Baseline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Projects'!AA$3,'Baseline scaling factors'!$B$54:$K$54,0))+VLOOKUP($A33,'Outage by Zone inputs'!$A$4:$E$13,MATCH('Baseline Projects'!$I33,'Outage by Zone inputs'!$A$3:$E$3,0),0)*$M33*$N33*('Baseline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Projects'!AA$3,'Baseline scaling factors'!$B$48:$K$48,0))</f>
        <v>10.316422219982936</v>
      </c>
      <c r="AB33" s="34">
        <f>VLOOKUP($A33,'Outage by Zone inputs'!$A$4:$E$13,MATCH('Baseline Projects'!$I33,'Outage by Zone inputs'!$A$3:$E$3,0),0)*$M33*$N33*('Baseline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Projects'!AB$3,'Baseline scaling factors'!$B$54:$K$54,0))+VLOOKUP($A33,'Outage by Zone inputs'!$A$4:$E$13,MATCH('Baseline Projects'!$I33,'Outage by Zone inputs'!$A$3:$E$3,0),0)*$M33*$N33*('Baseline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Projects'!AB$3,'Baseline scaling factors'!$B$48:$K$48,0))</f>
        <v>9.4391184726058359</v>
      </c>
      <c r="AC33" s="34">
        <f>VLOOKUP($A33,'Outage by Zone inputs'!$A$4:$E$13,MATCH('Baseline Projects'!$I33,'Outage by Zone inputs'!$A$3:$E$3,0),0)*$M33*$N33*('Baseline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Projects'!AC$3,'Baseline scaling factors'!$B$54:$K$54,0))+VLOOKUP($A33,'Outage by Zone inputs'!$A$4:$E$13,MATCH('Baseline Projects'!$I33,'Outage by Zone inputs'!$A$3:$E$3,0),0)*$M33*$N33*('Baseline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Projects'!AC$3,'Baseline scaling factors'!$B$48:$K$48,0))</f>
        <v>8.6004706857067923</v>
      </c>
      <c r="AD33" s="34">
        <f>VLOOKUP($A33,'Outage by Zone inputs'!$A$4:$E$13,MATCH('Baseline Projects'!$I33,'Outage by Zone inputs'!$A$3:$E$3,0),0)*$M33*$N33*('Baseline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Projects'!AD$3,'Baseline scaling factors'!$B$54:$K$54,0))+VLOOKUP($A33,'Outage by Zone inputs'!$A$4:$E$13,MATCH('Baseline Projects'!$I33,'Outage by Zone inputs'!$A$3:$E$3,0),0)*$M33*$N33*('Baseline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Projects'!AD$3,'Baseline scaling factors'!$B$48:$K$48,0))</f>
        <v>7.7987755914211183</v>
      </c>
      <c r="AE33" s="34">
        <f>VLOOKUP($A33,'Outage by Zone inputs'!$A$4:$E$13,MATCH('Baseline Projects'!$I33,'Outage by Zone inputs'!$A$3:$E$3,0),0)*$M33*$N33*('Baseline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Projects'!AE$3,'Baseline scaling factors'!$B$54:$K$54,0))+VLOOKUP($A33,'Outage by Zone inputs'!$A$4:$E$13,MATCH('Baseline Projects'!$I33,'Outage by Zone inputs'!$A$3:$E$3,0),0)*$M33*$N33*('Baseline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Projects'!AE$3,'Baseline scaling factors'!$B$48:$K$48,0))</f>
        <v>7.0324049716664252</v>
      </c>
      <c r="AF33" s="34">
        <f>VLOOKUP($A33,'Outage by Zone inputs'!$A$4:$E$13,MATCH('Baseline Projects'!$I33,'Outage by Zone inputs'!$A$3:$E$3,0),0)*$M33*$N33*('Baseline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Projects'!AF$3,'Baseline scaling factors'!$B$54:$K$54,0))+VLOOKUP($A33,'Outage by Zone inputs'!$A$4:$E$13,MATCH('Baseline Projects'!$I33,'Outage by Zone inputs'!$A$3:$E$3,0),0)*$M33*$N33*('Baseline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Projects'!AF$3,'Baseline scaling factors'!$B$48:$K$48,0))</f>
        <v>6.2998023512817953</v>
      </c>
      <c r="AG33" s="34">
        <f>VLOOKUP($A33,'Outage by Zone inputs'!$A$4:$E$13,MATCH('Baseline Projects'!$I33,'Outage by Zone inputs'!$A$3:$E$3,0),0)*$M33*$N33*('Baseline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Projects'!AG$3,'Baseline scaling factors'!$B$54:$K$54,0))+VLOOKUP($A33,'Outage by Zone inputs'!$A$4:$E$13,MATCH('Baseline Projects'!$I33,'Outage by Zone inputs'!$A$3:$E$3,0),0)*$M33*$N33*('Baseline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Projects'!AG$3,'Baseline scaling factors'!$B$48:$K$48,0))</f>
        <v>5.5994798368745728</v>
      </c>
      <c r="AH33" s="34">
        <f>VLOOKUP($A33,'Outage by Zone inputs'!$A$4:$E$13,MATCH('Baseline Projects'!$I33,'Outage by Zone inputs'!$A$3:$E$3,0),0)*$M33*$N33*('Baseline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Projects'!AH$3,'Baseline scaling factors'!$B$54:$K$54,0))+VLOOKUP($A33,'Outage by Zone inputs'!$A$4:$E$13,MATCH('Baseline Projects'!$I33,'Outage by Zone inputs'!$A$3:$E$3,0),0)*$M33*$N33*('Baseline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Projects'!AH$3,'Baseline scaling factors'!$B$48:$K$48,0))</f>
        <v>4.9300150949546522</v>
      </c>
      <c r="AI33" s="34">
        <f>VLOOKUP($A33,'Outage by Zone inputs'!$A$4:$E$13,MATCH('Baseline Projects'!$I33,'Outage by Zone inputs'!$A$3:$E$3,0),0)*$M33*$N33*('Baseline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Projects'!AI$3,'Baseline scaling factors'!$B$54:$K$54,0))+VLOOKUP($A33,'Outage by Zone inputs'!$A$4:$E$13,MATCH('Baseline Projects'!$I33,'Outage by Zone inputs'!$A$3:$E$3,0),0)*$M33*$N33*('Baseline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Projects'!AI$3,'Baseline scaling factors'!$B$48:$K$48,0))</f>
        <v>4.290048463218894</v>
      </c>
      <c r="AJ33" s="34">
        <f>VLOOKUP($A33,'Outage by Zone inputs'!$A$4:$E$13,MATCH('Baseline Projects'!$I33,'Outage by Zone inputs'!$A$3:$E$3,0),0)*$M33*$N33*('Baseline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Projects'!AJ$3,'Baseline scaling factors'!$B$54:$K$54,0))+VLOOKUP($A33,'Outage by Zone inputs'!$A$4:$E$13,MATCH('Baseline Projects'!$I33,'Outage by Zone inputs'!$A$3:$E$3,0),0)*$M33*$N33*('Baseline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Projects'!AJ$3,'Baseline scaling factors'!$B$48:$K$48,0))</f>
        <v>3.6782801891188068</v>
      </c>
      <c r="AK33" s="1">
        <f t="shared" si="112"/>
        <v>1836.1188695684471</v>
      </c>
      <c r="AL33" s="1">
        <f t="shared" si="113"/>
        <v>1679.9761748867568</v>
      </c>
      <c r="AM33" s="1">
        <f t="shared" si="114"/>
        <v>1530.7134757055965</v>
      </c>
      <c r="AN33" s="1">
        <f t="shared" si="115"/>
        <v>1388.0276240731282</v>
      </c>
      <c r="AO33" s="1">
        <f t="shared" si="116"/>
        <v>1251.62882941263</v>
      </c>
      <c r="AP33" s="1">
        <f t="shared" si="117"/>
        <v>1121.2400699667476</v>
      </c>
      <c r="AQ33" s="1">
        <f t="shared" si="118"/>
        <v>996.59653017482447</v>
      </c>
      <c r="AR33" s="1">
        <f t="shared" si="119"/>
        <v>877.44506284064153</v>
      </c>
      <c r="AS33" s="1">
        <f t="shared" si="120"/>
        <v>763.54367499824559</v>
      </c>
      <c r="AT33" s="1">
        <f t="shared" si="121"/>
        <v>654.66103643167969</v>
      </c>
      <c r="AU33" s="1">
        <f t="shared" si="122"/>
        <v>40079.30032463371</v>
      </c>
      <c r="AV33" s="1">
        <f t="shared" si="123"/>
        <v>36670.97526607367</v>
      </c>
      <c r="AW33" s="1">
        <f t="shared" si="124"/>
        <v>33412.828613970887</v>
      </c>
      <c r="AX33" s="1">
        <f t="shared" si="125"/>
        <v>30298.243172671046</v>
      </c>
      <c r="AY33" s="1">
        <f t="shared" si="126"/>
        <v>27320.893314924062</v>
      </c>
      <c r="AZ33" s="1">
        <f t="shared" si="127"/>
        <v>24474.732134729777</v>
      </c>
      <c r="BA33" s="1">
        <f t="shared" si="128"/>
        <v>21753.979166257715</v>
      </c>
      <c r="BB33" s="1">
        <f t="shared" si="129"/>
        <v>19153.108643898824</v>
      </c>
      <c r="BC33" s="1">
        <f t="shared" si="130"/>
        <v>16666.838279605403</v>
      </c>
      <c r="BD33" s="1">
        <f t="shared" si="131"/>
        <v>14290.118534726564</v>
      </c>
      <c r="BE33" s="1">
        <f t="shared" si="132"/>
        <v>41915.419194202157</v>
      </c>
      <c r="BF33" s="1">
        <f t="shared" si="133"/>
        <v>38350.951440960431</v>
      </c>
      <c r="BG33" s="1">
        <f t="shared" si="134"/>
        <v>34943.542089676484</v>
      </c>
      <c r="BH33" s="1">
        <f t="shared" si="135"/>
        <v>31686.270796744175</v>
      </c>
      <c r="BI33" s="1">
        <f t="shared" si="136"/>
        <v>28572.522144336694</v>
      </c>
      <c r="BJ33" s="1">
        <f t="shared" si="137"/>
        <v>25595.972204696525</v>
      </c>
      <c r="BK33" s="1">
        <f t="shared" si="138"/>
        <v>22750.575696432541</v>
      </c>
      <c r="BL33" s="1">
        <f t="shared" si="139"/>
        <v>20030.553706739465</v>
      </c>
      <c r="BM33" s="1">
        <f t="shared" si="140"/>
        <v>17430.38195460365</v>
      </c>
      <c r="BN33" s="1">
        <f t="shared" si="141"/>
        <v>14944.779571158244</v>
      </c>
      <c r="BO33" s="25">
        <f>VLOOKUP($A33,'Outage by Zone inputs'!$A$59:$E$68,MATCH('Baseline Projects'!$I33,'Outage by Zone inputs'!$A$58:$E$58,0),0)*AVG_INCIDENT_PERCENT_NON_STORM</f>
        <v>39.400316239898757</v>
      </c>
      <c r="BP33" s="25">
        <f>$BO33*$N33*('Baseline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Projects'!Q$3,'Baseline scaling factors'!$B$54:$K$54,0))+$BO33*$N33*('Baseline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Projects'!Q$3,'Baseline scaling factors'!$B$48:$K$48,0))</f>
        <v>0.93266872857126693</v>
      </c>
      <c r="BQ33" s="25">
        <f>$BO33*$N33*('Baseline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Projects'!R$3,'Baseline scaling factors'!$B$54:$K$54,0))+$BO33*$N33*('Baseline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Projects'!R$3,'Baseline scaling factors'!$B$48:$K$48,0))</f>
        <v>0.85335501368161393</v>
      </c>
      <c r="BR33" s="25">
        <f>$BO33*$N33*('Baseline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Projects'!S$3,'Baseline scaling factors'!$B$54:$K$54,0))+$BO33*$N33*('Baseline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Projects'!S$3,'Baseline scaling factors'!$B$48:$K$48,0))</f>
        <v>0.77753603802829574</v>
      </c>
      <c r="BS33" s="25">
        <f>$BO33*$N33*('Baseline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Projects'!T$3,'Baseline scaling factors'!$B$54:$K$54,0))+$BO33*$N33*('Baseline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Projects'!T$3,'Baseline scaling factors'!$B$48:$K$48,0))</f>
        <v>0.70505781560338221</v>
      </c>
      <c r="BT33" s="25">
        <f>$BO33*$N33*('Baseline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Projects'!U$3,'Baseline scaling factors'!$B$54:$K$54,0))+$BO33*$N33*('Baseline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Projects'!U$3,'Baseline scaling factors'!$B$48:$K$48,0))</f>
        <v>0.63577314536601337</v>
      </c>
      <c r="BU33" s="25">
        <f>$BO33*$N33*('Baseline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Projects'!V$3,'Baseline scaling factors'!$B$54:$K$54,0))+$BO33*$N33*('Baseline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Projects'!V$3,'Baseline scaling factors'!$B$48:$K$48,0))</f>
        <v>0.56954131228161275</v>
      </c>
      <c r="BV33" s="25">
        <f>$BO33*$N33*('Baseline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Projects'!W$3,'Baseline scaling factors'!$B$54:$K$54,0))+$BO33*$N33*('Baseline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Projects'!W$3,'Baseline scaling factors'!$B$48:$K$48,0))</f>
        <v>0.50622780153397895</v>
      </c>
      <c r="BW33" s="25">
        <f>$BO33*$N33*('Baseline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Projects'!X$3,'Baseline scaling factors'!$B$54:$K$54,0))+$BO33*$N33*('Baseline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Projects'!X$3,'Baseline scaling factors'!$B$48:$K$48,0))</f>
        <v>0.44570402532983133</v>
      </c>
      <c r="BX33" s="25">
        <f>$BO33*$N33*('Baseline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Projects'!Y$3,'Baseline scaling factors'!$B$54:$K$54,0))+$BO33*$N33*('Baseline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Projects'!Y$3,'Baseline scaling factors'!$B$48:$K$48,0))</f>
        <v>0.38784706174095518</v>
      </c>
      <c r="BY33" s="25">
        <f>$BO33*$N33*('Baseline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Projects'!Z$3,'Baseline scaling factors'!$B$54:$K$54,0))+$BO33*$N33*('Baseline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Projects'!Z$3,'Baseline scaling factors'!$B$48:$K$48,0))</f>
        <v>0.33253940505354684</v>
      </c>
      <c r="BZ33" s="12">
        <f t="shared" si="32"/>
        <v>440.219639885638</v>
      </c>
      <c r="CA33" s="12">
        <f t="shared" si="33"/>
        <v>402.78356645772175</v>
      </c>
      <c r="CB33" s="12">
        <f t="shared" si="34"/>
        <v>366.99700994935557</v>
      </c>
      <c r="CC33" s="12">
        <f t="shared" si="35"/>
        <v>332.7872889647964</v>
      </c>
      <c r="CD33" s="12">
        <f t="shared" si="36"/>
        <v>300.0849246127583</v>
      </c>
      <c r="CE33" s="12">
        <f t="shared" si="37"/>
        <v>268.82349939692119</v>
      </c>
      <c r="CF33" s="12">
        <f t="shared" si="38"/>
        <v>238.93952232403805</v>
      </c>
      <c r="CG33" s="12">
        <f t="shared" si="39"/>
        <v>210.37229995568038</v>
      </c>
      <c r="CH33" s="12">
        <f t="shared" si="40"/>
        <v>183.06381314173083</v>
      </c>
      <c r="CI33" s="12">
        <f t="shared" si="41"/>
        <v>156.95859918527412</v>
      </c>
      <c r="CJ33" s="12">
        <f>'Mitigation Projects'!$AG33*VLOOKUP('Baseline Projects'!$H33&amp;"-"&amp;'Baseline Projects'!$G33,'Baseline scaling factors'!$A$49:$K$51,MATCH('Baseline Projects'!CJ$2,'Baseline scaling factors'!$A$48:$K$48,0),0)</f>
        <v>0</v>
      </c>
      <c r="CK33" s="12">
        <f>'Mitigation Projects'!$AG33*VLOOKUP('Baseline Projects'!$H33&amp;"-"&amp;'Baseline Projects'!$G33,'Baseline scaling factors'!$A$49:$K$51,MATCH('Baseline Projects'!CK$2,'Baseline scaling factors'!$A$48:$K$48,0),0)</f>
        <v>0</v>
      </c>
      <c r="CL33" s="12">
        <f>'Mitigation Projects'!$AG33*VLOOKUP('Baseline Projects'!$H33&amp;"-"&amp;'Baseline Projects'!$G33,'Baseline scaling factors'!$A$49:$K$51,MATCH('Baseline Projects'!CL$2,'Baseline scaling factors'!$A$48:$K$48,0),0)</f>
        <v>0</v>
      </c>
      <c r="CM33" s="12">
        <f>'Mitigation Projects'!$AG33*VLOOKUP('Baseline Projects'!$H33&amp;"-"&amp;'Baseline Projects'!$G33,'Baseline scaling factors'!$A$49:$K$51,MATCH('Baseline Projects'!CM$2,'Baseline scaling factors'!$A$48:$K$48,0),0)</f>
        <v>0</v>
      </c>
      <c r="CN33" s="12">
        <f>'Mitigation Projects'!$AG33*VLOOKUP('Baseline Projects'!$H33&amp;"-"&amp;'Baseline Projects'!$G33,'Baseline scaling factors'!$A$49:$K$51,MATCH('Baseline Projects'!CN$2,'Baseline scaling factors'!$A$48:$K$48,0),0)</f>
        <v>0</v>
      </c>
      <c r="CO33" s="12">
        <f>'Mitigation Projects'!$AG33*VLOOKUP('Baseline Projects'!$H33&amp;"-"&amp;'Baseline Projects'!$G33,'Baseline scaling factors'!$A$49:$K$51,MATCH('Baseline Projects'!CO$2,'Baseline scaling factors'!$A$48:$K$48,0),0)</f>
        <v>0</v>
      </c>
      <c r="CP33" s="12">
        <f>'Mitigation Projects'!$AG33*VLOOKUP('Baseline Projects'!$H33&amp;"-"&amp;'Baseline Projects'!$G33,'Baseline scaling factors'!$A$49:$K$51,MATCH('Baseline Projects'!CP$2,'Baseline scaling factors'!$A$48:$K$48,0),0)</f>
        <v>0</v>
      </c>
      <c r="CQ33" s="12">
        <f>'Mitigation Projects'!$AG33*VLOOKUP('Baseline Projects'!$H33&amp;"-"&amp;'Baseline Projects'!$G33,'Baseline scaling factors'!$A$49:$K$51,MATCH('Baseline Projects'!CQ$2,'Baseline scaling factors'!$A$48:$K$48,0),0)</f>
        <v>0</v>
      </c>
      <c r="CR33" s="12">
        <f>'Mitigation Projects'!$AG33*VLOOKUP('Baseline Projects'!$H33&amp;"-"&amp;'Baseline Projects'!$G33,'Baseline scaling factors'!$A$49:$K$51,MATCH('Baseline Projects'!CR$2,'Baseline scaling factors'!$A$48:$K$48,0),0)</f>
        <v>0</v>
      </c>
      <c r="CS33" s="12">
        <f>'Mitigation Projects'!$AG33*VLOOKUP('Baseline Projects'!$H33&amp;"-"&amp;'Baseline Projects'!$G33,'Baseline scaling factors'!$A$49:$K$51,MATCH('Baseline Projects'!CS$2,'Baseline scaling factors'!$A$48:$K$48,0),0)</f>
        <v>0</v>
      </c>
      <c r="CT33" s="12">
        <f>'Mitigation Projects'!$AH33*VLOOKUP('Baseline Projects'!$H33&amp;"-"&amp;'Baseline Projects'!$G33,'Baseline scaling factors'!$A$49:$K$51,MATCH('Baseline Projects'!CT$2,'Baseline scaling factors'!$A$48:$K$48,0),0)</f>
        <v>0</v>
      </c>
      <c r="CU33" s="12">
        <f>'Mitigation Projects'!$AH33*VLOOKUP('Baseline Projects'!$H33&amp;"-"&amp;'Baseline Projects'!$G33,'Baseline scaling factors'!$A$49:$K$51,MATCH('Baseline Projects'!CU$2,'Baseline scaling factors'!$A$48:$K$48,0),0)</f>
        <v>0</v>
      </c>
      <c r="CV33" s="12">
        <f>'Mitigation Projects'!$AH33*VLOOKUP('Baseline Projects'!$H33&amp;"-"&amp;'Baseline Projects'!$G33,'Baseline scaling factors'!$A$49:$K$51,MATCH('Baseline Projects'!CV$2,'Baseline scaling factors'!$A$48:$K$48,0),0)</f>
        <v>0</v>
      </c>
      <c r="CW33" s="12">
        <f>'Mitigation Projects'!$AH33*VLOOKUP('Baseline Projects'!$H33&amp;"-"&amp;'Baseline Projects'!$G33,'Baseline scaling factors'!$A$49:$K$51,MATCH('Baseline Projects'!CW$2,'Baseline scaling factors'!$A$48:$K$48,0),0)</f>
        <v>0</v>
      </c>
      <c r="CX33" s="12">
        <f>'Mitigation Projects'!$AH33*VLOOKUP('Baseline Projects'!$H33&amp;"-"&amp;'Baseline Projects'!$G33,'Baseline scaling factors'!$A$49:$K$51,MATCH('Baseline Projects'!CX$2,'Baseline scaling factors'!$A$48:$K$48,0),0)</f>
        <v>0</v>
      </c>
      <c r="CY33" s="12">
        <f>'Mitigation Projects'!$AH33*VLOOKUP('Baseline Projects'!$H33&amp;"-"&amp;'Baseline Projects'!$G33,'Baseline scaling factors'!$A$49:$K$51,MATCH('Baseline Projects'!CY$2,'Baseline scaling factors'!$A$48:$K$48,0),0)</f>
        <v>0</v>
      </c>
      <c r="CZ33" s="12">
        <f>'Mitigation Projects'!$AH33*VLOOKUP('Baseline Projects'!$H33&amp;"-"&amp;'Baseline Projects'!$G33,'Baseline scaling factors'!$A$49:$K$51,MATCH('Baseline Projects'!CZ$2,'Baseline scaling factors'!$A$48:$K$48,0),0)</f>
        <v>0</v>
      </c>
      <c r="DA33" s="12">
        <f>'Mitigation Projects'!$AH33*VLOOKUP('Baseline Projects'!$H33&amp;"-"&amp;'Baseline Projects'!$G33,'Baseline scaling factors'!$A$49:$K$51,MATCH('Baseline Projects'!DA$2,'Baseline scaling factors'!$A$48:$K$48,0),0)</f>
        <v>0</v>
      </c>
      <c r="DB33" s="12">
        <f>'Mitigation Projects'!$AH33*VLOOKUP('Baseline Projects'!$H33&amp;"-"&amp;'Baseline Projects'!$G33,'Baseline scaling factors'!$A$49:$K$51,MATCH('Baseline Projects'!DB$2,'Baseline scaling factors'!$A$48:$K$48,0),0)</f>
        <v>0</v>
      </c>
      <c r="DC33" s="12">
        <f>'Mitigation Projects'!$AH33*VLOOKUP('Baseline Projects'!$H33&amp;"-"&amp;'Baseline Projects'!$G33,'Baseline scaling factors'!$A$49:$K$51,MATCH('Baseline Projects'!DC$2,'Baseline scaling factors'!$A$48:$K$48,0),0)</f>
        <v>0</v>
      </c>
    </row>
    <row r="34" spans="1:107" x14ac:dyDescent="0.4">
      <c r="A34" s="38" t="str">
        <f>'Mitigation Projects'!A34</f>
        <v>EL-G40</v>
      </c>
      <c r="B34" s="38" t="str">
        <f>'Mitigation Projects'!B34</f>
        <v>White River Jct</v>
      </c>
      <c r="C34" s="39">
        <f>'Mitigation Projects'!C34</f>
        <v>197817</v>
      </c>
      <c r="D34" s="39" t="str">
        <f>'Mitigation Projects'!D34</f>
        <v>197817: ELY-129 G40 Zone 1 LC</v>
      </c>
      <c r="E34" s="39">
        <f>'Mitigation Projects'!E34</f>
        <v>620436</v>
      </c>
      <c r="F34" s="39">
        <f>'Mitigation Projects'!F34</f>
        <v>0</v>
      </c>
      <c r="G34" s="39" t="str">
        <f>'Mitigation Projects'!G34</f>
        <v>3PH</v>
      </c>
      <c r="H34" s="39" t="str">
        <f>'Mitigation Projects'!H34</f>
        <v>OH</v>
      </c>
      <c r="I34" s="39" t="str">
        <f>'Mitigation Projects'!J34</f>
        <v>Zone 2</v>
      </c>
      <c r="J34" s="39">
        <f>'Mitigation Projects'!K34</f>
        <v>1015</v>
      </c>
      <c r="K34" s="40">
        <f>'Mitigation Projects'!L34*BASELINE_CAP_SPEND</f>
        <v>178201.2</v>
      </c>
      <c r="L34" s="97">
        <f>'Mitigation Projects'!Q34</f>
        <v>0.85291214215202371</v>
      </c>
      <c r="M34" s="97">
        <f>'Mitigation Projects'!R34</f>
        <v>0.14708785784797629</v>
      </c>
      <c r="N34" s="98">
        <f>'Mitigation Projects'!S34</f>
        <v>1</v>
      </c>
      <c r="O34" s="26">
        <f t="shared" si="0"/>
        <v>0.9</v>
      </c>
      <c r="P34" s="26">
        <f t="shared" si="1"/>
        <v>0.80330442615766917</v>
      </c>
      <c r="Q34" s="112">
        <f>VLOOKUP($A34,'Outage by Zone inputs'!$A$4:$E$13,MATCH('Baseline Projects'!$I34,'Outage by Zone inputs'!$A$3:$E$3,0),0)*'Baseline Projects'!$L34*$N34*('Baseline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Projects'!Q$3,'Baseline scaling factors'!$B$54:$K$54,0))+VLOOKUP($A34,'Outage by Zone inputs'!$A$4:$E$13,MATCH('Baseline Projects'!$I34,'Outage by Zone inputs'!$A$3:$E$3,0),0)*'Baseline Projects'!$L34*$N34*('Baseline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Projects'!Q$3,'Baseline scaling factors'!$B$48:$K$48,0))</f>
        <v>1029.8107259735823</v>
      </c>
      <c r="R34" s="112">
        <f>VLOOKUP($A34,'Outage by Zone inputs'!$A$4:$E$13,MATCH('Baseline Projects'!$I34,'Outage by Zone inputs'!$A$3:$E$3,0),0)*'Baseline Projects'!$L34*$N34*('Baseline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Projects'!R$3,'Baseline scaling factors'!$B$54:$K$54,0))+VLOOKUP($A34,'Outage by Zone inputs'!$A$4:$E$13,MATCH('Baseline Projects'!$I34,'Outage by Zone inputs'!$A$3:$E$3,0),0)*'Baseline Projects'!$L34*$N34*('Baseline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Projects'!R$3,'Baseline scaling factors'!$B$48:$K$48,0))</f>
        <v>953.09208048149401</v>
      </c>
      <c r="S34" s="112">
        <f>VLOOKUP($A34,'Outage by Zone inputs'!$A$4:$E$13,MATCH('Baseline Projects'!$I34,'Outage by Zone inputs'!$A$3:$E$3,0),0)*'Baseline Projects'!$L34*$N34*('Baseline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Projects'!S$3,'Baseline scaling factors'!$B$54:$K$54,0))+VLOOKUP($A34,'Outage by Zone inputs'!$A$4:$E$13,MATCH('Baseline Projects'!$I34,'Outage by Zone inputs'!$A$3:$E$3,0),0)*'Baseline Projects'!$L34*$N34*('Baseline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Projects'!S$3,'Baseline scaling factors'!$B$48:$K$48,0))</f>
        <v>879.75382967817677</v>
      </c>
      <c r="T34" s="112">
        <f>VLOOKUP($A34,'Outage by Zone inputs'!$A$4:$E$13,MATCH('Baseline Projects'!$I34,'Outage by Zone inputs'!$A$3:$E$3,0),0)*'Baseline Projects'!$L34*$N34*('Baseline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Projects'!T$3,'Baseline scaling factors'!$B$54:$K$54,0))+VLOOKUP($A34,'Outage by Zone inputs'!$A$4:$E$13,MATCH('Baseline Projects'!$I34,'Outage by Zone inputs'!$A$3:$E$3,0),0)*'Baseline Projects'!$L34*$N34*('Baseline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Projects'!T$3,'Baseline scaling factors'!$B$48:$K$48,0))</f>
        <v>809.64702583158191</v>
      </c>
      <c r="U34" s="112">
        <f>VLOOKUP($A34,'Outage by Zone inputs'!$A$4:$E$13,MATCH('Baseline Projects'!$I34,'Outage by Zone inputs'!$A$3:$E$3,0),0)*'Baseline Projects'!$L34*$N34*('Baseline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Projects'!U$3,'Baseline scaling factors'!$B$54:$K$54,0))+VLOOKUP($A34,'Outage by Zone inputs'!$A$4:$E$13,MATCH('Baseline Projects'!$I34,'Outage by Zone inputs'!$A$3:$E$3,0),0)*'Baseline Projects'!$L34*$N34*('Baseline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Projects'!U$3,'Baseline scaling factors'!$B$48:$K$48,0))</f>
        <v>742.62928417905516</v>
      </c>
      <c r="V34" s="112">
        <f>VLOOKUP($A34,'Outage by Zone inputs'!$A$4:$E$13,MATCH('Baseline Projects'!$I34,'Outage by Zone inputs'!$A$3:$E$3,0),0)*'Baseline Projects'!$L34*$N34*('Baseline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Projects'!V$3,'Baseline scaling factors'!$B$54:$K$54,0))+VLOOKUP($A34,'Outage by Zone inputs'!$A$4:$E$13,MATCH('Baseline Projects'!$I34,'Outage by Zone inputs'!$A$3:$E$3,0),0)*'Baseline Projects'!$L34*$N34*('Baseline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Projects'!V$3,'Baseline scaling factors'!$B$48:$K$48,0))</f>
        <v>678.56449374826207</v>
      </c>
      <c r="W34" s="112">
        <f>VLOOKUP($A34,'Outage by Zone inputs'!$A$4:$E$13,MATCH('Baseline Projects'!$I34,'Outage by Zone inputs'!$A$3:$E$3,0),0)*'Baseline Projects'!$L34*$N34*('Baseline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Projects'!W$3,'Baseline scaling factors'!$B$54:$K$54,0))+VLOOKUP($A34,'Outage by Zone inputs'!$A$4:$E$13,MATCH('Baseline Projects'!$I34,'Outage by Zone inputs'!$A$3:$E$3,0),0)*'Baseline Projects'!$L34*$N34*('Baseline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Projects'!W$3,'Baseline scaling factors'!$B$48:$K$48,0))</f>
        <v>617.32254091998902</v>
      </c>
      <c r="X34" s="112">
        <f>VLOOKUP($A34,'Outage by Zone inputs'!$A$4:$E$13,MATCH('Baseline Projects'!$I34,'Outage by Zone inputs'!$A$3:$E$3,0),0)*'Baseline Projects'!$L34*$N34*('Baseline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Projects'!X$3,'Baseline scaling factors'!$B$54:$K$54,0))+VLOOKUP($A34,'Outage by Zone inputs'!$A$4:$E$13,MATCH('Baseline Projects'!$I34,'Outage by Zone inputs'!$A$3:$E$3,0),0)*'Baseline Projects'!$L34*$N34*('Baseline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Projects'!X$3,'Baseline scaling factors'!$B$48:$K$48,0))</f>
        <v>558.77904517138381</v>
      </c>
      <c r="Y34" s="112">
        <f>VLOOKUP($A34,'Outage by Zone inputs'!$A$4:$E$13,MATCH('Baseline Projects'!$I34,'Outage by Zone inputs'!$A$3:$E$3,0),0)*'Baseline Projects'!$L34*$N34*('Baseline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Projects'!Y$3,'Baseline scaling factors'!$B$54:$K$54,0))+VLOOKUP($A34,'Outage by Zone inputs'!$A$4:$E$13,MATCH('Baseline Projects'!$I34,'Outage by Zone inputs'!$A$3:$E$3,0),0)*'Baseline Projects'!$L34*$N34*('Baseline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Projects'!Y$3,'Baseline scaling factors'!$B$48:$K$48,0))</f>
        <v>502.8151064629385</v>
      </c>
      <c r="Z34" s="112">
        <f>VLOOKUP($A34,'Outage by Zone inputs'!$A$4:$E$13,MATCH('Baseline Projects'!$I34,'Outage by Zone inputs'!$A$3:$E$3,0),0)*'Baseline Projects'!$L34*$N34*('Baseline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Projects'!Z$3,'Baseline scaling factors'!$B$54:$K$54,0))+VLOOKUP($A34,'Outage by Zone inputs'!$A$4:$E$13,MATCH('Baseline Projects'!$I34,'Outage by Zone inputs'!$A$3:$E$3,0),0)*'Baseline Projects'!$L34*$N34*('Baseline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Projects'!Z$3,'Baseline scaling factors'!$B$48:$K$48,0))</f>
        <v>449.31706375616659</v>
      </c>
      <c r="AA34" s="34">
        <f>VLOOKUP($A34,'Outage by Zone inputs'!$A$4:$E$13,MATCH('Baseline Projects'!$I34,'Outage by Zone inputs'!$A$3:$E$3,0),0)*$M34*$N34*('Baseline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Projects'!AA$3,'Baseline scaling factors'!$B$54:$K$54,0))+VLOOKUP($A34,'Outage by Zone inputs'!$A$4:$E$13,MATCH('Baseline Projects'!$I34,'Outage by Zone inputs'!$A$3:$E$3,0),0)*$M34*$N34*('Baseline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Projects'!AA$3,'Baseline scaling factors'!$B$48:$K$48,0))</f>
        <v>177.59467380794416</v>
      </c>
      <c r="AB34" s="34">
        <f>VLOOKUP($A34,'Outage by Zone inputs'!$A$4:$E$13,MATCH('Baseline Projects'!$I34,'Outage by Zone inputs'!$A$3:$E$3,0),0)*$M34*$N34*('Baseline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Projects'!AB$3,'Baseline scaling factors'!$B$54:$K$54,0))+VLOOKUP($A34,'Outage by Zone inputs'!$A$4:$E$13,MATCH('Baseline Projects'!$I34,'Outage by Zone inputs'!$A$3:$E$3,0),0)*$M34*$N34*('Baseline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Projects'!AB$3,'Baseline scaling factors'!$B$48:$K$48,0))</f>
        <v>164.36425924970212</v>
      </c>
      <c r="AC34" s="34">
        <f>VLOOKUP($A34,'Outage by Zone inputs'!$A$4:$E$13,MATCH('Baseline Projects'!$I34,'Outage by Zone inputs'!$A$3:$E$3,0),0)*$M34*$N34*('Baseline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Projects'!AC$3,'Baseline scaling factors'!$B$54:$K$54,0))+VLOOKUP($A34,'Outage by Zone inputs'!$A$4:$E$13,MATCH('Baseline Projects'!$I34,'Outage by Zone inputs'!$A$3:$E$3,0),0)*$M34*$N34*('Baseline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Projects'!AC$3,'Baseline scaling factors'!$B$48:$K$48,0))</f>
        <v>151.71680627551891</v>
      </c>
      <c r="AD34" s="34">
        <f>VLOOKUP($A34,'Outage by Zone inputs'!$A$4:$E$13,MATCH('Baseline Projects'!$I34,'Outage by Zone inputs'!$A$3:$E$3,0),0)*$M34*$N34*('Baseline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Projects'!AD$3,'Baseline scaling factors'!$B$54:$K$54,0))+VLOOKUP($A34,'Outage by Zone inputs'!$A$4:$E$13,MATCH('Baseline Projects'!$I34,'Outage by Zone inputs'!$A$3:$E$3,0),0)*$M34*$N34*('Baseline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Projects'!AD$3,'Baseline scaling factors'!$B$48:$K$48,0))</f>
        <v>139.62662829734455</v>
      </c>
      <c r="AE34" s="34">
        <f>VLOOKUP($A34,'Outage by Zone inputs'!$A$4:$E$13,MATCH('Baseline Projects'!$I34,'Outage by Zone inputs'!$A$3:$E$3,0),0)*$M34*$N34*('Baseline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Projects'!AE$3,'Baseline scaling factors'!$B$54:$K$54,0))+VLOOKUP($A34,'Outage by Zone inputs'!$A$4:$E$13,MATCH('Baseline Projects'!$I34,'Outage by Zone inputs'!$A$3:$E$3,0),0)*$M34*$N34*('Baseline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Projects'!AE$3,'Baseline scaling factors'!$B$48:$K$48,0))</f>
        <v>128.06917053550836</v>
      </c>
      <c r="AF34" s="34">
        <f>VLOOKUP($A34,'Outage by Zone inputs'!$A$4:$E$13,MATCH('Baseline Projects'!$I34,'Outage by Zone inputs'!$A$3:$E$3,0),0)*$M34*$N34*('Baseline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Projects'!AF$3,'Baseline scaling factors'!$B$54:$K$54,0))+VLOOKUP($A34,'Outage by Zone inputs'!$A$4:$E$13,MATCH('Baseline Projects'!$I34,'Outage by Zone inputs'!$A$3:$E$3,0),0)*$M34*$N34*('Baseline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Projects'!AF$3,'Baseline scaling factors'!$B$48:$K$48,0))</f>
        <v>117.0209601487165</v>
      </c>
      <c r="AG34" s="34">
        <f>VLOOKUP($A34,'Outage by Zone inputs'!$A$4:$E$13,MATCH('Baseline Projects'!$I34,'Outage by Zone inputs'!$A$3:$E$3,0),0)*$M34*$N34*('Baseline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Projects'!AG$3,'Baseline scaling factors'!$B$54:$K$54,0))+VLOOKUP($A34,'Outage by Zone inputs'!$A$4:$E$13,MATCH('Baseline Projects'!$I34,'Outage by Zone inputs'!$A$3:$E$3,0),0)*$M34*$N34*('Baseline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Projects'!AG$3,'Baseline scaling factors'!$B$48:$K$48,0))</f>
        <v>106.45955856143328</v>
      </c>
      <c r="AH34" s="34">
        <f>VLOOKUP($A34,'Outage by Zone inputs'!$A$4:$E$13,MATCH('Baseline Projects'!$I34,'Outage by Zone inputs'!$A$3:$E$3,0),0)*$M34*$N34*('Baseline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Projects'!AH$3,'Baseline scaling factors'!$B$54:$K$54,0))+VLOOKUP($A34,'Outage by Zone inputs'!$A$4:$E$13,MATCH('Baseline Projects'!$I34,'Outage by Zone inputs'!$A$3:$E$3,0),0)*$M34*$N34*('Baseline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Projects'!AH$3,'Baseline scaling factors'!$B$48:$K$48,0))</f>
        <v>96.363515891824278</v>
      </c>
      <c r="AI34" s="34">
        <f>VLOOKUP($A34,'Outage by Zone inputs'!$A$4:$E$13,MATCH('Baseline Projects'!$I34,'Outage by Zone inputs'!$A$3:$E$3,0),0)*$M34*$N34*('Baseline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Projects'!AI$3,'Baseline scaling factors'!$B$54:$K$54,0))+VLOOKUP($A34,'Outage by Zone inputs'!$A$4:$E$13,MATCH('Baseline Projects'!$I34,'Outage by Zone inputs'!$A$3:$E$3,0),0)*$M34*$N34*('Baseline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Projects'!AI$3,'Baseline scaling factors'!$B$48:$K$48,0))</f>
        <v>86.712327387705841</v>
      </c>
      <c r="AJ34" s="34">
        <f>VLOOKUP($A34,'Outage by Zone inputs'!$A$4:$E$13,MATCH('Baseline Projects'!$I34,'Outage by Zone inputs'!$A$3:$E$3,0),0)*$M34*$N34*('Baseline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Projects'!AJ$3,'Baseline scaling factors'!$B$54:$K$54,0))+VLOOKUP($A34,'Outage by Zone inputs'!$A$4:$E$13,MATCH('Baseline Projects'!$I34,'Outage by Zone inputs'!$A$3:$E$3,0),0)*$M34*$N34*('Baseline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Projects'!AJ$3,'Baseline scaling factors'!$B$48:$K$48,0))</f>
        <v>77.4863917820241</v>
      </c>
      <c r="AK34" s="1">
        <f t="shared" si="112"/>
        <v>21626.025245445227</v>
      </c>
      <c r="AL34" s="1">
        <f t="shared" si="113"/>
        <v>20014.933690111375</v>
      </c>
      <c r="AM34" s="1">
        <f t="shared" si="114"/>
        <v>18474.830423241714</v>
      </c>
      <c r="AN34" s="1">
        <f t="shared" si="115"/>
        <v>17002.587542463221</v>
      </c>
      <c r="AO34" s="1">
        <f t="shared" si="116"/>
        <v>15595.214967760159</v>
      </c>
      <c r="AP34" s="1">
        <f t="shared" si="117"/>
        <v>14249.854368713502</v>
      </c>
      <c r="AQ34" s="1">
        <f t="shared" si="118"/>
        <v>12963.77335931977</v>
      </c>
      <c r="AR34" s="1">
        <f t="shared" si="119"/>
        <v>11734.35994859906</v>
      </c>
      <c r="AS34" s="1">
        <f t="shared" si="120"/>
        <v>10559.117235721709</v>
      </c>
      <c r="AT34" s="1">
        <f t="shared" si="121"/>
        <v>9435.6583388794988</v>
      </c>
      <c r="AU34" s="1">
        <f t="shared" si="122"/>
        <v>689955.30774386309</v>
      </c>
      <c r="AV34" s="1">
        <f t="shared" si="123"/>
        <v>638555.14718509268</v>
      </c>
      <c r="AW34" s="1">
        <f t="shared" si="124"/>
        <v>589419.79238039092</v>
      </c>
      <c r="AX34" s="1">
        <f t="shared" si="125"/>
        <v>542449.45093518356</v>
      </c>
      <c r="AY34" s="1">
        <f t="shared" si="126"/>
        <v>497548.72753044998</v>
      </c>
      <c r="AZ34" s="1">
        <f t="shared" si="127"/>
        <v>454626.43017776357</v>
      </c>
      <c r="BA34" s="1">
        <f t="shared" si="128"/>
        <v>413595.38501116831</v>
      </c>
      <c r="BB34" s="1">
        <f t="shared" si="129"/>
        <v>374372.25923973729</v>
      </c>
      <c r="BC34" s="1">
        <f t="shared" si="130"/>
        <v>336877.39190123719</v>
      </c>
      <c r="BD34" s="1">
        <f t="shared" si="131"/>
        <v>301034.63207316364</v>
      </c>
      <c r="BE34" s="1">
        <f t="shared" si="132"/>
        <v>711581.33298930828</v>
      </c>
      <c r="BF34" s="1">
        <f t="shared" si="133"/>
        <v>658570.08087520406</v>
      </c>
      <c r="BG34" s="1">
        <f t="shared" si="134"/>
        <v>607894.62280363264</v>
      </c>
      <c r="BH34" s="1">
        <f t="shared" si="135"/>
        <v>559452.03847764677</v>
      </c>
      <c r="BI34" s="1">
        <f t="shared" si="136"/>
        <v>513143.94249821012</v>
      </c>
      <c r="BJ34" s="1">
        <f t="shared" si="137"/>
        <v>468876.28454647708</v>
      </c>
      <c r="BK34" s="1">
        <f t="shared" si="138"/>
        <v>426559.15837048809</v>
      </c>
      <c r="BL34" s="1">
        <f t="shared" si="139"/>
        <v>386106.61918833636</v>
      </c>
      <c r="BM34" s="1">
        <f t="shared" si="140"/>
        <v>347436.50913695892</v>
      </c>
      <c r="BN34" s="1">
        <f t="shared" si="141"/>
        <v>310470.29041204316</v>
      </c>
      <c r="BO34" s="25">
        <f>VLOOKUP($A34,'Outage by Zone inputs'!$A$59:$E$68,MATCH('Baseline Projects'!$I34,'Outage by Zone inputs'!$A$58:$E$58,0),0)*AVG_INCIDENT_PERCENT_NON_STORM</f>
        <v>11.022115443775037</v>
      </c>
      <c r="BP34" s="25">
        <f>$BO34*$N34*('Baseline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Projects'!Q$3,'Baseline scaling factors'!$B$54:$K$54,0))+$BO34*$N34*('Baseline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Projects'!Q$3,'Baseline scaling factors'!$B$48:$K$48,0))</f>
        <v>4.5720809913757803</v>
      </c>
      <c r="BQ34" s="25">
        <f>$BO34*$N34*('Baseline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Projects'!R$3,'Baseline scaling factors'!$B$54:$K$54,0))+$BO34*$N34*('Baseline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Projects'!R$3,'Baseline scaling factors'!$B$48:$K$48,0))</f>
        <v>4.2314709628612075</v>
      </c>
      <c r="BR34" s="25">
        <f>$BO34*$N34*('Baseline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Projects'!S$3,'Baseline scaling factors'!$B$54:$K$54,0))+$BO34*$N34*('Baseline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Projects'!S$3,'Baseline scaling factors'!$B$48:$K$48,0))</f>
        <v>3.9058689721443254</v>
      </c>
      <c r="BS34" s="25">
        <f>$BO34*$N34*('Baseline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Projects'!T$3,'Baseline scaling factors'!$B$54:$K$54,0))+$BO34*$N34*('Baseline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Projects'!T$3,'Baseline scaling factors'!$B$48:$K$48,0))</f>
        <v>3.5946137315950542</v>
      </c>
      <c r="BT34" s="25">
        <f>$BO34*$N34*('Baseline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Projects'!U$3,'Baseline scaling factors'!$B$54:$K$54,0))+$BO34*$N34*('Baseline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Projects'!U$3,'Baseline scaling factors'!$B$48:$K$48,0))</f>
        <v>3.2970730913917103</v>
      </c>
      <c r="BU34" s="25">
        <f>$BO34*$N34*('Baseline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Projects'!V$3,'Baseline scaling factors'!$B$54:$K$54,0))+$BO34*$N34*('Baseline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Projects'!V$3,'Baseline scaling factors'!$B$48:$K$48,0))</f>
        <v>3.0126427556441526</v>
      </c>
      <c r="BV34" s="25">
        <f>$BO34*$N34*('Baseline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Projects'!W$3,'Baseline scaling factors'!$B$54:$K$54,0))+$BO34*$N34*('Baseline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Projects'!W$3,'Baseline scaling factors'!$B$48:$K$48,0))</f>
        <v>2.7407450550874168</v>
      </c>
      <c r="BW34" s="25">
        <f>$BO34*$N34*('Baseline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Projects'!X$3,'Baseline scaling factors'!$B$54:$K$54,0))+$BO34*$N34*('Baseline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Projects'!X$3,'Baseline scaling factors'!$B$48:$K$48,0))</f>
        <v>2.4808277738532016</v>
      </c>
      <c r="BX34" s="25">
        <f>$BO34*$N34*('Baseline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Projects'!Y$3,'Baseline scaling factors'!$B$54:$K$54,0))+$BO34*$N34*('Baseline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Projects'!Y$3,'Baseline scaling factors'!$B$48:$K$48,0))</f>
        <v>2.2323630279364211</v>
      </c>
      <c r="BY34" s="25">
        <f>$BO34*$N34*('Baseline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Projects'!Z$3,'Baseline scaling factors'!$B$54:$K$54,0))+$BO34*$N34*('Baseline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Projects'!Z$3,'Baseline scaling factors'!$B$48:$K$48,0))</f>
        <v>1.994846193079026</v>
      </c>
      <c r="BZ34" s="12">
        <f t="shared" si="32"/>
        <v>2158.0222279293685</v>
      </c>
      <c r="CA34" s="12">
        <f t="shared" si="33"/>
        <v>1997.2542944704899</v>
      </c>
      <c r="CB34" s="12">
        <f t="shared" si="34"/>
        <v>1843.5701548521215</v>
      </c>
      <c r="CC34" s="12">
        <f t="shared" si="35"/>
        <v>1696.6576813128656</v>
      </c>
      <c r="CD34" s="12">
        <f t="shared" si="36"/>
        <v>1556.2184991368872</v>
      </c>
      <c r="CE34" s="12">
        <f t="shared" si="37"/>
        <v>1421.9673806640401</v>
      </c>
      <c r="CF34" s="12">
        <f t="shared" si="38"/>
        <v>1293.6316660012608</v>
      </c>
      <c r="CG34" s="12">
        <f t="shared" si="39"/>
        <v>1170.9507092587112</v>
      </c>
      <c r="CH34" s="12">
        <f t="shared" si="40"/>
        <v>1053.6753491859906</v>
      </c>
      <c r="CI34" s="12">
        <f t="shared" si="41"/>
        <v>941.56740313330022</v>
      </c>
      <c r="CJ34" s="12">
        <f>'Mitigation Projects'!$AG34*VLOOKUP('Baseline Projects'!$H34&amp;"-"&amp;'Baseline Projects'!$G34,'Baseline scaling factors'!$A$49:$K$51,MATCH('Baseline Projects'!CJ$2,'Baseline scaling factors'!$A$48:$K$48,0),0)</f>
        <v>0</v>
      </c>
      <c r="CK34" s="12">
        <f>'Mitigation Projects'!$AG34*VLOOKUP('Baseline Projects'!$H34&amp;"-"&amp;'Baseline Projects'!$G34,'Baseline scaling factors'!$A$49:$K$51,MATCH('Baseline Projects'!CK$2,'Baseline scaling factors'!$A$48:$K$48,0),0)</f>
        <v>0</v>
      </c>
      <c r="CL34" s="12">
        <f>'Mitigation Projects'!$AG34*VLOOKUP('Baseline Projects'!$H34&amp;"-"&amp;'Baseline Projects'!$G34,'Baseline scaling factors'!$A$49:$K$51,MATCH('Baseline Projects'!CL$2,'Baseline scaling factors'!$A$48:$K$48,0),0)</f>
        <v>0</v>
      </c>
      <c r="CM34" s="12">
        <f>'Mitigation Projects'!$AG34*VLOOKUP('Baseline Projects'!$H34&amp;"-"&amp;'Baseline Projects'!$G34,'Baseline scaling factors'!$A$49:$K$51,MATCH('Baseline Projects'!CM$2,'Baseline scaling factors'!$A$48:$K$48,0),0)</f>
        <v>0</v>
      </c>
      <c r="CN34" s="12">
        <f>'Mitigation Projects'!$AG34*VLOOKUP('Baseline Projects'!$H34&amp;"-"&amp;'Baseline Projects'!$G34,'Baseline scaling factors'!$A$49:$K$51,MATCH('Baseline Projects'!CN$2,'Baseline scaling factors'!$A$48:$K$48,0),0)</f>
        <v>0</v>
      </c>
      <c r="CO34" s="12">
        <f>'Mitigation Projects'!$AG34*VLOOKUP('Baseline Projects'!$H34&amp;"-"&amp;'Baseline Projects'!$G34,'Baseline scaling factors'!$A$49:$K$51,MATCH('Baseline Projects'!CO$2,'Baseline scaling factors'!$A$48:$K$48,0),0)</f>
        <v>0</v>
      </c>
      <c r="CP34" s="12">
        <f>'Mitigation Projects'!$AG34*VLOOKUP('Baseline Projects'!$H34&amp;"-"&amp;'Baseline Projects'!$G34,'Baseline scaling factors'!$A$49:$K$51,MATCH('Baseline Projects'!CP$2,'Baseline scaling factors'!$A$48:$K$48,0),0)</f>
        <v>0</v>
      </c>
      <c r="CQ34" s="12">
        <f>'Mitigation Projects'!$AG34*VLOOKUP('Baseline Projects'!$H34&amp;"-"&amp;'Baseline Projects'!$G34,'Baseline scaling factors'!$A$49:$K$51,MATCH('Baseline Projects'!CQ$2,'Baseline scaling factors'!$A$48:$K$48,0),0)</f>
        <v>0</v>
      </c>
      <c r="CR34" s="12">
        <f>'Mitigation Projects'!$AG34*VLOOKUP('Baseline Projects'!$H34&amp;"-"&amp;'Baseline Projects'!$G34,'Baseline scaling factors'!$A$49:$K$51,MATCH('Baseline Projects'!CR$2,'Baseline scaling factors'!$A$48:$K$48,0),0)</f>
        <v>0</v>
      </c>
      <c r="CS34" s="12">
        <f>'Mitigation Projects'!$AG34*VLOOKUP('Baseline Projects'!$H34&amp;"-"&amp;'Baseline Projects'!$G34,'Baseline scaling factors'!$A$49:$K$51,MATCH('Baseline Projects'!CS$2,'Baseline scaling factors'!$A$48:$K$48,0),0)</f>
        <v>0</v>
      </c>
      <c r="CT34" s="12">
        <f>'Mitigation Projects'!$AH34*VLOOKUP('Baseline Projects'!$H34&amp;"-"&amp;'Baseline Projects'!$G34,'Baseline scaling factors'!$A$49:$K$51,MATCH('Baseline Projects'!CT$2,'Baseline scaling factors'!$A$48:$K$48,0),0)</f>
        <v>0</v>
      </c>
      <c r="CU34" s="12">
        <f>'Mitigation Projects'!$AH34*VLOOKUP('Baseline Projects'!$H34&amp;"-"&amp;'Baseline Projects'!$G34,'Baseline scaling factors'!$A$49:$K$51,MATCH('Baseline Projects'!CU$2,'Baseline scaling factors'!$A$48:$K$48,0),0)</f>
        <v>0</v>
      </c>
      <c r="CV34" s="12">
        <f>'Mitigation Projects'!$AH34*VLOOKUP('Baseline Projects'!$H34&amp;"-"&amp;'Baseline Projects'!$G34,'Baseline scaling factors'!$A$49:$K$51,MATCH('Baseline Projects'!CV$2,'Baseline scaling factors'!$A$48:$K$48,0),0)</f>
        <v>0</v>
      </c>
      <c r="CW34" s="12">
        <f>'Mitigation Projects'!$AH34*VLOOKUP('Baseline Projects'!$H34&amp;"-"&amp;'Baseline Projects'!$G34,'Baseline scaling factors'!$A$49:$K$51,MATCH('Baseline Projects'!CW$2,'Baseline scaling factors'!$A$48:$K$48,0),0)</f>
        <v>0</v>
      </c>
      <c r="CX34" s="12">
        <f>'Mitigation Projects'!$AH34*VLOOKUP('Baseline Projects'!$H34&amp;"-"&amp;'Baseline Projects'!$G34,'Baseline scaling factors'!$A$49:$K$51,MATCH('Baseline Projects'!CX$2,'Baseline scaling factors'!$A$48:$K$48,0),0)</f>
        <v>0</v>
      </c>
      <c r="CY34" s="12">
        <f>'Mitigation Projects'!$AH34*VLOOKUP('Baseline Projects'!$H34&amp;"-"&amp;'Baseline Projects'!$G34,'Baseline scaling factors'!$A$49:$K$51,MATCH('Baseline Projects'!CY$2,'Baseline scaling factors'!$A$48:$K$48,0),0)</f>
        <v>0</v>
      </c>
      <c r="CZ34" s="12">
        <f>'Mitigation Projects'!$AH34*VLOOKUP('Baseline Projects'!$H34&amp;"-"&amp;'Baseline Projects'!$G34,'Baseline scaling factors'!$A$49:$K$51,MATCH('Baseline Projects'!CZ$2,'Baseline scaling factors'!$A$48:$K$48,0),0)</f>
        <v>0</v>
      </c>
      <c r="DA34" s="12">
        <f>'Mitigation Projects'!$AH34*VLOOKUP('Baseline Projects'!$H34&amp;"-"&amp;'Baseline Projects'!$G34,'Baseline scaling factors'!$A$49:$K$51,MATCH('Baseline Projects'!DA$2,'Baseline scaling factors'!$A$48:$K$48,0),0)</f>
        <v>0</v>
      </c>
      <c r="DB34" s="12">
        <f>'Mitigation Projects'!$AH34*VLOOKUP('Baseline Projects'!$H34&amp;"-"&amp;'Baseline Projects'!$G34,'Baseline scaling factors'!$A$49:$K$51,MATCH('Baseline Projects'!DB$2,'Baseline scaling factors'!$A$48:$K$48,0),0)</f>
        <v>0</v>
      </c>
      <c r="DC34" s="12">
        <f>'Mitigation Projects'!$AH34*VLOOKUP('Baseline Projects'!$H34&amp;"-"&amp;'Baseline Projects'!$G34,'Baseline scaling factors'!$A$49:$K$51,MATCH('Baseline Projects'!DC$2,'Baseline scaling factors'!$A$48:$K$48,0),0)</f>
        <v>0</v>
      </c>
    </row>
    <row r="35" spans="1:107" x14ac:dyDescent="0.4">
      <c r="A35" s="38" t="str">
        <f>'Mitigation Projects'!A35</f>
        <v>EL-G40</v>
      </c>
      <c r="B35" s="38" t="str">
        <f>'Mitigation Projects'!B35</f>
        <v>White River Jct</v>
      </c>
      <c r="C35" s="39">
        <f>'Mitigation Projects'!C35</f>
        <v>199494</v>
      </c>
      <c r="D35" s="39" t="str">
        <f>'Mitigation Projects'!D35</f>
        <v>199494: L3P52</v>
      </c>
      <c r="E35" s="39">
        <f>'Mitigation Projects'!E35</f>
        <v>619216</v>
      </c>
      <c r="F35" s="39">
        <f>'Mitigation Projects'!F35</f>
        <v>620436</v>
      </c>
      <c r="G35" s="39" t="str">
        <f>'Mitigation Projects'!G35</f>
        <v>3PH</v>
      </c>
      <c r="H35" s="39" t="str">
        <f>'Mitigation Projects'!H35</f>
        <v>OH</v>
      </c>
      <c r="I35" s="39" t="str">
        <f>'Mitigation Projects'!J35</f>
        <v>Zone 2</v>
      </c>
      <c r="J35" s="39">
        <f>'Mitigation Projects'!K35</f>
        <v>840</v>
      </c>
      <c r="K35" s="40">
        <f>'Mitigation Projects'!L35*BASELINE_CAP_SPEND</f>
        <v>222700.5</v>
      </c>
      <c r="L35" s="97">
        <f>'Mitigation Projects'!Q35</f>
        <v>0.85291214215202371</v>
      </c>
      <c r="M35" s="97">
        <f>'Mitigation Projects'!R35</f>
        <v>0.14708785784797629</v>
      </c>
      <c r="N35" s="98">
        <f>'Mitigation Projects'!S35</f>
        <v>1</v>
      </c>
      <c r="O35" s="26">
        <f t="shared" si="0"/>
        <v>0.9</v>
      </c>
      <c r="P35" s="26">
        <f t="shared" si="1"/>
        <v>0.80330442615766917</v>
      </c>
      <c r="Q35" s="112">
        <f>VLOOKUP($A35,'Outage by Zone inputs'!$A$4:$E$13,MATCH('Baseline Projects'!$I35,'Outage by Zone inputs'!$A$3:$E$3,0),0)*'Baseline Projects'!$L35*$N35*('Baseline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Projects'!Q$3,'Baseline scaling factors'!$B$54:$K$54,0))+VLOOKUP($A35,'Outage by Zone inputs'!$A$4:$E$13,MATCH('Baseline Projects'!$I35,'Outage by Zone inputs'!$A$3:$E$3,0),0)*'Baseline Projects'!$L35*$N35*('Baseline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Projects'!Q$3,'Baseline scaling factors'!$B$48:$K$48,0))</f>
        <v>852.25715252986129</v>
      </c>
      <c r="R35" s="112">
        <f>VLOOKUP($A35,'Outage by Zone inputs'!$A$4:$E$13,MATCH('Baseline Projects'!$I35,'Outage by Zone inputs'!$A$3:$E$3,0),0)*'Baseline Projects'!$L35*$N35*('Baseline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Projects'!R$3,'Baseline scaling factors'!$B$54:$K$54,0))+VLOOKUP($A35,'Outage by Zone inputs'!$A$4:$E$13,MATCH('Baseline Projects'!$I35,'Outage by Zone inputs'!$A$3:$E$3,0),0)*'Baseline Projects'!$L35*$N35*('Baseline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Projects'!R$3,'Baseline scaling factors'!$B$48:$K$48,0))</f>
        <v>788.76585970882263</v>
      </c>
      <c r="S35" s="112">
        <f>VLOOKUP($A35,'Outage by Zone inputs'!$A$4:$E$13,MATCH('Baseline Projects'!$I35,'Outage by Zone inputs'!$A$3:$E$3,0),0)*'Baseline Projects'!$L35*$N35*('Baseline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Projects'!S$3,'Baseline scaling factors'!$B$54:$K$54,0))+VLOOKUP($A35,'Outage by Zone inputs'!$A$4:$E$13,MATCH('Baseline Projects'!$I35,'Outage by Zone inputs'!$A$3:$E$3,0),0)*'Baseline Projects'!$L35*$N35*('Baseline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Projects'!S$3,'Baseline scaling factors'!$B$48:$K$48,0))</f>
        <v>728.07213490607728</v>
      </c>
      <c r="T35" s="112">
        <f>VLOOKUP($A35,'Outage by Zone inputs'!$A$4:$E$13,MATCH('Baseline Projects'!$I35,'Outage by Zone inputs'!$A$3:$E$3,0),0)*'Baseline Projects'!$L35*$N35*('Baseline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Projects'!T$3,'Baseline scaling factors'!$B$54:$K$54,0))+VLOOKUP($A35,'Outage by Zone inputs'!$A$4:$E$13,MATCH('Baseline Projects'!$I35,'Outage by Zone inputs'!$A$3:$E$3,0),0)*'Baseline Projects'!$L35*$N35*('Baseline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Projects'!T$3,'Baseline scaling factors'!$B$48:$K$48,0))</f>
        <v>670.05271103303335</v>
      </c>
      <c r="U35" s="112">
        <f>VLOOKUP($A35,'Outage by Zone inputs'!$A$4:$E$13,MATCH('Baseline Projects'!$I35,'Outage by Zone inputs'!$A$3:$E$3,0),0)*'Baseline Projects'!$L35*$N35*('Baseline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Projects'!U$3,'Baseline scaling factors'!$B$54:$K$54,0))+VLOOKUP($A35,'Outage by Zone inputs'!$A$4:$E$13,MATCH('Baseline Projects'!$I35,'Outage by Zone inputs'!$A$3:$E$3,0),0)*'Baseline Projects'!$L35*$N35*('Baseline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Projects'!U$3,'Baseline scaling factors'!$B$48:$K$48,0))</f>
        <v>614.58975242404563</v>
      </c>
      <c r="V35" s="112">
        <f>VLOOKUP($A35,'Outage by Zone inputs'!$A$4:$E$13,MATCH('Baseline Projects'!$I35,'Outage by Zone inputs'!$A$3:$E$3,0),0)*'Baseline Projects'!$L35*$N35*('Baseline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Projects'!V$3,'Baseline scaling factors'!$B$54:$K$54,0))+VLOOKUP($A35,'Outage by Zone inputs'!$A$4:$E$13,MATCH('Baseline Projects'!$I35,'Outage by Zone inputs'!$A$3:$E$3,0),0)*'Baseline Projects'!$L35*$N35*('Baseline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Projects'!V$3,'Baseline scaling factors'!$B$48:$K$48,0))</f>
        <v>561.57061551580318</v>
      </c>
      <c r="W35" s="112">
        <f>VLOOKUP($A35,'Outage by Zone inputs'!$A$4:$E$13,MATCH('Baseline Projects'!$I35,'Outage by Zone inputs'!$A$3:$E$3,0),0)*'Baseline Projects'!$L35*$N35*('Baseline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Projects'!W$3,'Baseline scaling factors'!$B$54:$K$54,0))+VLOOKUP($A35,'Outage by Zone inputs'!$A$4:$E$13,MATCH('Baseline Projects'!$I35,'Outage by Zone inputs'!$A$3:$E$3,0),0)*'Baseline Projects'!$L35*$N35*('Baseline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Projects'!W$3,'Baseline scaling factors'!$B$48:$K$48,0))</f>
        <v>510.88762007171511</v>
      </c>
      <c r="X35" s="112">
        <f>VLOOKUP($A35,'Outage by Zone inputs'!$A$4:$E$13,MATCH('Baseline Projects'!$I35,'Outage by Zone inputs'!$A$3:$E$3,0),0)*'Baseline Projects'!$L35*$N35*('Baseline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Projects'!X$3,'Baseline scaling factors'!$B$54:$K$54,0))+VLOOKUP($A35,'Outage by Zone inputs'!$A$4:$E$13,MATCH('Baseline Projects'!$I35,'Outage by Zone inputs'!$A$3:$E$3,0),0)*'Baseline Projects'!$L35*$N35*('Baseline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Projects'!X$3,'Baseline scaling factors'!$B$48:$K$48,0))</f>
        <v>462.43783048666245</v>
      </c>
      <c r="Y35" s="112">
        <f>VLOOKUP($A35,'Outage by Zone inputs'!$A$4:$E$13,MATCH('Baseline Projects'!$I35,'Outage by Zone inputs'!$A$3:$E$3,0),0)*'Baseline Projects'!$L35*$N35*('Baseline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Projects'!Y$3,'Baseline scaling factors'!$B$54:$K$54,0))+VLOOKUP($A35,'Outage by Zone inputs'!$A$4:$E$13,MATCH('Baseline Projects'!$I35,'Outage by Zone inputs'!$A$3:$E$3,0),0)*'Baseline Projects'!$L35*$N35*('Baseline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Projects'!Y$3,'Baseline scaling factors'!$B$48:$K$48,0))</f>
        <v>416.12284672794908</v>
      </c>
      <c r="Z35" s="112">
        <f>VLOOKUP($A35,'Outage by Zone inputs'!$A$4:$E$13,MATCH('Baseline Projects'!$I35,'Outage by Zone inputs'!$A$3:$E$3,0),0)*'Baseline Projects'!$L35*$N35*('Baseline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Projects'!Z$3,'Baseline scaling factors'!$B$54:$K$54,0))+VLOOKUP($A35,'Outage by Zone inputs'!$A$4:$E$13,MATCH('Baseline Projects'!$I35,'Outage by Zone inputs'!$A$3:$E$3,0),0)*'Baseline Projects'!$L35*$N35*('Baseline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Projects'!Z$3,'Baseline scaling factors'!$B$48:$K$48,0))</f>
        <v>371.84860448786202</v>
      </c>
      <c r="AA35" s="34">
        <f>VLOOKUP($A35,'Outage by Zone inputs'!$A$4:$E$13,MATCH('Baseline Projects'!$I35,'Outage by Zone inputs'!$A$3:$E$3,0),0)*$M35*$N35*('Baseline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Projects'!AA$3,'Baseline scaling factors'!$B$54:$K$54,0))+VLOOKUP($A35,'Outage by Zone inputs'!$A$4:$E$13,MATCH('Baseline Projects'!$I35,'Outage by Zone inputs'!$A$3:$E$3,0),0)*$M35*$N35*('Baseline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Projects'!AA$3,'Baseline scaling factors'!$B$48:$K$48,0))</f>
        <v>146.97490246174692</v>
      </c>
      <c r="AB35" s="34">
        <f>VLOOKUP($A35,'Outage by Zone inputs'!$A$4:$E$13,MATCH('Baseline Projects'!$I35,'Outage by Zone inputs'!$A$3:$E$3,0),0)*$M35*$N35*('Baseline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Projects'!AB$3,'Baseline scaling factors'!$B$54:$K$54,0))+VLOOKUP($A35,'Outage by Zone inputs'!$A$4:$E$13,MATCH('Baseline Projects'!$I35,'Outage by Zone inputs'!$A$3:$E$3,0),0)*$M35*$N35*('Baseline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Projects'!AB$3,'Baseline scaling factors'!$B$48:$K$48,0))</f>
        <v>136.02559386182244</v>
      </c>
      <c r="AC35" s="34">
        <f>VLOOKUP($A35,'Outage by Zone inputs'!$A$4:$E$13,MATCH('Baseline Projects'!$I35,'Outage by Zone inputs'!$A$3:$E$3,0),0)*$M35*$N35*('Baseline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Projects'!AC$3,'Baseline scaling factors'!$B$54:$K$54,0))+VLOOKUP($A35,'Outage by Zone inputs'!$A$4:$E$13,MATCH('Baseline Projects'!$I35,'Outage by Zone inputs'!$A$3:$E$3,0),0)*$M35*$N35*('Baseline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Projects'!AC$3,'Baseline scaling factors'!$B$48:$K$48,0))</f>
        <v>125.55873622801566</v>
      </c>
      <c r="AD35" s="34">
        <f>VLOOKUP($A35,'Outage by Zone inputs'!$A$4:$E$13,MATCH('Baseline Projects'!$I35,'Outage by Zone inputs'!$A$3:$E$3,0),0)*$M35*$N35*('Baseline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Projects'!AD$3,'Baseline scaling factors'!$B$54:$K$54,0))+VLOOKUP($A35,'Outage by Zone inputs'!$A$4:$E$13,MATCH('Baseline Projects'!$I35,'Outage by Zone inputs'!$A$3:$E$3,0),0)*$M35*$N35*('Baseline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Projects'!AD$3,'Baseline scaling factors'!$B$48:$K$48,0))</f>
        <v>115.55307169435412</v>
      </c>
      <c r="AE35" s="34">
        <f>VLOOKUP($A35,'Outage by Zone inputs'!$A$4:$E$13,MATCH('Baseline Projects'!$I35,'Outage by Zone inputs'!$A$3:$E$3,0),0)*$M35*$N35*('Baseline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Projects'!AE$3,'Baseline scaling factors'!$B$54:$K$54,0))+VLOOKUP($A35,'Outage by Zone inputs'!$A$4:$E$13,MATCH('Baseline Projects'!$I35,'Outage by Zone inputs'!$A$3:$E$3,0),0)*$M35*$N35*('Baseline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Projects'!AE$3,'Baseline scaling factors'!$B$48:$K$48,0))</f>
        <v>105.98827906386899</v>
      </c>
      <c r="AF35" s="34">
        <f>VLOOKUP($A35,'Outage by Zone inputs'!$A$4:$E$13,MATCH('Baseline Projects'!$I35,'Outage by Zone inputs'!$A$3:$E$3,0),0)*$M35*$N35*('Baseline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Projects'!AF$3,'Baseline scaling factors'!$B$54:$K$54,0))+VLOOKUP($A35,'Outage by Zone inputs'!$A$4:$E$13,MATCH('Baseline Projects'!$I35,'Outage by Zone inputs'!$A$3:$E$3,0),0)*$M35*$N35*('Baseline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Projects'!AF$3,'Baseline scaling factors'!$B$48:$K$48,0))</f>
        <v>96.844932536868825</v>
      </c>
      <c r="AG35" s="34">
        <f>VLOOKUP($A35,'Outage by Zone inputs'!$A$4:$E$13,MATCH('Baseline Projects'!$I35,'Outage by Zone inputs'!$A$3:$E$3,0),0)*$M35*$N35*('Baseline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Projects'!AG$3,'Baseline scaling factors'!$B$54:$K$54,0))+VLOOKUP($A35,'Outage by Zone inputs'!$A$4:$E$13,MATCH('Baseline Projects'!$I35,'Outage by Zone inputs'!$A$3:$E$3,0),0)*$M35*$N35*('Baseline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Projects'!AG$3,'Baseline scaling factors'!$B$48:$K$48,0))</f>
        <v>88.104462257737907</v>
      </c>
      <c r="AH35" s="34">
        <f>VLOOKUP($A35,'Outage by Zone inputs'!$A$4:$E$13,MATCH('Baseline Projects'!$I35,'Outage by Zone inputs'!$A$3:$E$3,0),0)*$M35*$N35*('Baseline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Projects'!AH$3,'Baseline scaling factors'!$B$54:$K$54,0))+VLOOKUP($A35,'Outage by Zone inputs'!$A$4:$E$13,MATCH('Baseline Projects'!$I35,'Outage by Zone inputs'!$A$3:$E$3,0),0)*$M35*$N35*('Baseline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Projects'!AH$3,'Baseline scaling factors'!$B$48:$K$48,0))</f>
        <v>79.749116600130449</v>
      </c>
      <c r="AI35" s="34">
        <f>VLOOKUP($A35,'Outage by Zone inputs'!$A$4:$E$13,MATCH('Baseline Projects'!$I35,'Outage by Zone inputs'!$A$3:$E$3,0),0)*$M35*$N35*('Baseline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Projects'!AI$3,'Baseline scaling factors'!$B$54:$K$54,0))+VLOOKUP($A35,'Outage by Zone inputs'!$A$4:$E$13,MATCH('Baseline Projects'!$I35,'Outage by Zone inputs'!$A$3:$E$3,0),0)*$M35*$N35*('Baseline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Projects'!AI$3,'Baseline scaling factors'!$B$48:$K$48,0))</f>
        <v>71.761926113963455</v>
      </c>
      <c r="AJ35" s="34">
        <f>VLOOKUP($A35,'Outage by Zone inputs'!$A$4:$E$13,MATCH('Baseline Projects'!$I35,'Outage by Zone inputs'!$A$3:$E$3,0),0)*$M35*$N35*('Baseline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Projects'!AJ$3,'Baseline scaling factors'!$B$54:$K$54,0))+VLOOKUP($A35,'Outage by Zone inputs'!$A$4:$E$13,MATCH('Baseline Projects'!$I35,'Outage by Zone inputs'!$A$3:$E$3,0),0)*$M35*$N35*('Baseline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Projects'!AJ$3,'Baseline scaling factors'!$B$48:$K$48,0))</f>
        <v>64.126669060985463</v>
      </c>
      <c r="AK35" s="1">
        <f t="shared" si="112"/>
        <v>17897.400203127087</v>
      </c>
      <c r="AL35" s="1">
        <f t="shared" si="113"/>
        <v>16564.083053885275</v>
      </c>
      <c r="AM35" s="1">
        <f t="shared" si="114"/>
        <v>15289.514833027622</v>
      </c>
      <c r="AN35" s="1">
        <f t="shared" si="115"/>
        <v>14071.106931693701</v>
      </c>
      <c r="AO35" s="1">
        <f t="shared" si="116"/>
        <v>12906.384800904958</v>
      </c>
      <c r="AP35" s="1">
        <f t="shared" si="117"/>
        <v>11792.982925831868</v>
      </c>
      <c r="AQ35" s="1">
        <f t="shared" si="118"/>
        <v>10728.640021506017</v>
      </c>
      <c r="AR35" s="1">
        <f t="shared" si="119"/>
        <v>9711.1944402199115</v>
      </c>
      <c r="AS35" s="1">
        <f t="shared" si="120"/>
        <v>8738.5797812869314</v>
      </c>
      <c r="AT35" s="1">
        <f t="shared" si="121"/>
        <v>7808.8206942451025</v>
      </c>
      <c r="AU35" s="1">
        <f t="shared" si="122"/>
        <v>570997.49606388679</v>
      </c>
      <c r="AV35" s="1">
        <f t="shared" si="123"/>
        <v>528459.43215318024</v>
      </c>
      <c r="AW35" s="1">
        <f t="shared" si="124"/>
        <v>487795.69024584081</v>
      </c>
      <c r="AX35" s="1">
        <f t="shared" si="125"/>
        <v>448923.68353256572</v>
      </c>
      <c r="AY35" s="1">
        <f t="shared" si="126"/>
        <v>411764.46416313102</v>
      </c>
      <c r="AZ35" s="1">
        <f t="shared" si="127"/>
        <v>376242.56290573539</v>
      </c>
      <c r="BA35" s="1">
        <f t="shared" si="128"/>
        <v>342285.83587131178</v>
      </c>
      <c r="BB35" s="1">
        <f t="shared" si="129"/>
        <v>309825.31799150677</v>
      </c>
      <c r="BC35" s="1">
        <f t="shared" si="130"/>
        <v>278795.08295274799</v>
      </c>
      <c r="BD35" s="1">
        <f t="shared" si="131"/>
        <v>249132.10930192852</v>
      </c>
      <c r="BE35" s="1">
        <f t="shared" si="132"/>
        <v>588894.89626701386</v>
      </c>
      <c r="BF35" s="1">
        <f t="shared" si="133"/>
        <v>545023.5152070655</v>
      </c>
      <c r="BG35" s="1">
        <f t="shared" si="134"/>
        <v>503085.20507886843</v>
      </c>
      <c r="BH35" s="1">
        <f t="shared" si="135"/>
        <v>462994.79046425939</v>
      </c>
      <c r="BI35" s="1">
        <f t="shared" si="136"/>
        <v>424670.84896403598</v>
      </c>
      <c r="BJ35" s="1">
        <f t="shared" si="137"/>
        <v>388035.54583156726</v>
      </c>
      <c r="BK35" s="1">
        <f t="shared" si="138"/>
        <v>353014.47589281778</v>
      </c>
      <c r="BL35" s="1">
        <f t="shared" si="139"/>
        <v>319536.51243172667</v>
      </c>
      <c r="BM35" s="1">
        <f t="shared" si="140"/>
        <v>287533.66273403494</v>
      </c>
      <c r="BN35" s="1">
        <f t="shared" si="141"/>
        <v>256940.92999617363</v>
      </c>
      <c r="BO35" s="25">
        <f>VLOOKUP($A35,'Outage by Zone inputs'!$A$59:$E$68,MATCH('Baseline Projects'!$I35,'Outage by Zone inputs'!$A$58:$E$58,0),0)*AVG_INCIDENT_PERCENT_NON_STORM</f>
        <v>11.022115443775037</v>
      </c>
      <c r="BP35" s="25">
        <f>$BO35*$N35*('Baseline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Projects'!Q$3,'Baseline scaling factors'!$B$54:$K$54,0))+$BO35*$N35*('Baseline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Projects'!Q$3,'Baseline scaling factors'!$B$48:$K$48,0))</f>
        <v>3.7837911652765071</v>
      </c>
      <c r="BQ35" s="25">
        <f>$BO35*$N35*('Baseline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Projects'!R$3,'Baseline scaling factors'!$B$54:$K$54,0))+$BO35*$N35*('Baseline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Projects'!R$3,'Baseline scaling factors'!$B$48:$K$48,0))</f>
        <v>3.5019070037472062</v>
      </c>
      <c r="BR35" s="25">
        <f>$BO35*$N35*('Baseline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Projects'!S$3,'Baseline scaling factors'!$B$54:$K$54,0))+$BO35*$N35*('Baseline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Projects'!S$3,'Baseline scaling factors'!$B$48:$K$48,0))</f>
        <v>3.2324432872918551</v>
      </c>
      <c r="BS35" s="25">
        <f>$BO35*$N35*('Baseline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Projects'!T$3,'Baseline scaling factors'!$B$54:$K$54,0))+$BO35*$N35*('Baseline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Projects'!T$3,'Baseline scaling factors'!$B$48:$K$48,0))</f>
        <v>2.9748527433890102</v>
      </c>
      <c r="BT35" s="25">
        <f>$BO35*$N35*('Baseline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Projects'!U$3,'Baseline scaling factors'!$B$54:$K$54,0))+$BO35*$N35*('Baseline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Projects'!U$3,'Baseline scaling factors'!$B$48:$K$48,0))</f>
        <v>2.7286122135655528</v>
      </c>
      <c r="BU35" s="25">
        <f>$BO35*$N35*('Baseline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Projects'!V$3,'Baseline scaling factors'!$B$54:$K$54,0))+$BO35*$N35*('Baseline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Projects'!V$3,'Baseline scaling factors'!$B$48:$K$48,0))</f>
        <v>2.4932215908779192</v>
      </c>
      <c r="BV35" s="25">
        <f>$BO35*$N35*('Baseline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Projects'!W$3,'Baseline scaling factors'!$B$54:$K$54,0))+$BO35*$N35*('Baseline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Projects'!W$3,'Baseline scaling factors'!$B$48:$K$48,0))</f>
        <v>2.2682028042102758</v>
      </c>
      <c r="BW35" s="25">
        <f>$BO35*$N35*('Baseline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Projects'!X$3,'Baseline scaling factors'!$B$54:$K$54,0))+$BO35*$N35*('Baseline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Projects'!X$3,'Baseline scaling factors'!$B$48:$K$48,0))</f>
        <v>2.0530988473267877</v>
      </c>
      <c r="BX35" s="25">
        <f>$BO35*$N35*('Baseline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Projects'!Y$3,'Baseline scaling factors'!$B$54:$K$54,0))+$BO35*$N35*('Baseline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Projects'!Y$3,'Baseline scaling factors'!$B$48:$K$48,0))</f>
        <v>1.8474728507060036</v>
      </c>
      <c r="BY35" s="25">
        <f>$BO35*$N35*('Baseline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Projects'!Z$3,'Baseline scaling factors'!$B$54:$K$54,0))+$BO35*$N35*('Baseline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Projects'!Z$3,'Baseline scaling factors'!$B$48:$K$48,0))</f>
        <v>1.650907194272297</v>
      </c>
      <c r="BZ35" s="12">
        <f t="shared" si="32"/>
        <v>1785.9494300105114</v>
      </c>
      <c r="CA35" s="12">
        <f t="shared" si="33"/>
        <v>1652.9001057686814</v>
      </c>
      <c r="CB35" s="12">
        <f t="shared" si="34"/>
        <v>1525.7132316017555</v>
      </c>
      <c r="CC35" s="12">
        <f t="shared" si="35"/>
        <v>1404.1304948796128</v>
      </c>
      <c r="CD35" s="12">
        <f t="shared" si="36"/>
        <v>1287.9049648029409</v>
      </c>
      <c r="CE35" s="12">
        <f t="shared" si="37"/>
        <v>1176.8005908943778</v>
      </c>
      <c r="CF35" s="12">
        <f t="shared" si="38"/>
        <v>1070.5917235872503</v>
      </c>
      <c r="CG35" s="12">
        <f t="shared" si="39"/>
        <v>969.06265593824378</v>
      </c>
      <c r="CH35" s="12">
        <f t="shared" si="40"/>
        <v>872.00718553323372</v>
      </c>
      <c r="CI35" s="12">
        <f t="shared" si="41"/>
        <v>779.22819569652415</v>
      </c>
      <c r="CJ35" s="12">
        <f>'Mitigation Projects'!$AG35*VLOOKUP('Baseline Projects'!$H35&amp;"-"&amp;'Baseline Projects'!$G35,'Baseline scaling factors'!$A$49:$K$51,MATCH('Baseline Projects'!CJ$2,'Baseline scaling factors'!$A$48:$K$48,0),0)</f>
        <v>0</v>
      </c>
      <c r="CK35" s="12">
        <f>'Mitigation Projects'!$AG35*VLOOKUP('Baseline Projects'!$H35&amp;"-"&amp;'Baseline Projects'!$G35,'Baseline scaling factors'!$A$49:$K$51,MATCH('Baseline Projects'!CK$2,'Baseline scaling factors'!$A$48:$K$48,0),0)</f>
        <v>0</v>
      </c>
      <c r="CL35" s="12">
        <f>'Mitigation Projects'!$AG35*VLOOKUP('Baseline Projects'!$H35&amp;"-"&amp;'Baseline Projects'!$G35,'Baseline scaling factors'!$A$49:$K$51,MATCH('Baseline Projects'!CL$2,'Baseline scaling factors'!$A$48:$K$48,0),0)</f>
        <v>0</v>
      </c>
      <c r="CM35" s="12">
        <f>'Mitigation Projects'!$AG35*VLOOKUP('Baseline Projects'!$H35&amp;"-"&amp;'Baseline Projects'!$G35,'Baseline scaling factors'!$A$49:$K$51,MATCH('Baseline Projects'!CM$2,'Baseline scaling factors'!$A$48:$K$48,0),0)</f>
        <v>0</v>
      </c>
      <c r="CN35" s="12">
        <f>'Mitigation Projects'!$AG35*VLOOKUP('Baseline Projects'!$H35&amp;"-"&amp;'Baseline Projects'!$G35,'Baseline scaling factors'!$A$49:$K$51,MATCH('Baseline Projects'!CN$2,'Baseline scaling factors'!$A$48:$K$48,0),0)</f>
        <v>0</v>
      </c>
      <c r="CO35" s="12">
        <f>'Mitigation Projects'!$AG35*VLOOKUP('Baseline Projects'!$H35&amp;"-"&amp;'Baseline Projects'!$G35,'Baseline scaling factors'!$A$49:$K$51,MATCH('Baseline Projects'!CO$2,'Baseline scaling factors'!$A$48:$K$48,0),0)</f>
        <v>0</v>
      </c>
      <c r="CP35" s="12">
        <f>'Mitigation Projects'!$AG35*VLOOKUP('Baseline Projects'!$H35&amp;"-"&amp;'Baseline Projects'!$G35,'Baseline scaling factors'!$A$49:$K$51,MATCH('Baseline Projects'!CP$2,'Baseline scaling factors'!$A$48:$K$48,0),0)</f>
        <v>0</v>
      </c>
      <c r="CQ35" s="12">
        <f>'Mitigation Projects'!$AG35*VLOOKUP('Baseline Projects'!$H35&amp;"-"&amp;'Baseline Projects'!$G35,'Baseline scaling factors'!$A$49:$K$51,MATCH('Baseline Projects'!CQ$2,'Baseline scaling factors'!$A$48:$K$48,0),0)</f>
        <v>0</v>
      </c>
      <c r="CR35" s="12">
        <f>'Mitigation Projects'!$AG35*VLOOKUP('Baseline Projects'!$H35&amp;"-"&amp;'Baseline Projects'!$G35,'Baseline scaling factors'!$A$49:$K$51,MATCH('Baseline Projects'!CR$2,'Baseline scaling factors'!$A$48:$K$48,0),0)</f>
        <v>0</v>
      </c>
      <c r="CS35" s="12">
        <f>'Mitigation Projects'!$AG35*VLOOKUP('Baseline Projects'!$H35&amp;"-"&amp;'Baseline Projects'!$G35,'Baseline scaling factors'!$A$49:$K$51,MATCH('Baseline Projects'!CS$2,'Baseline scaling factors'!$A$48:$K$48,0),0)</f>
        <v>0</v>
      </c>
      <c r="CT35" s="12">
        <f>'Mitigation Projects'!$AH35*VLOOKUP('Baseline Projects'!$H35&amp;"-"&amp;'Baseline Projects'!$G35,'Baseline scaling factors'!$A$49:$K$51,MATCH('Baseline Projects'!CT$2,'Baseline scaling factors'!$A$48:$K$48,0),0)</f>
        <v>0</v>
      </c>
      <c r="CU35" s="12">
        <f>'Mitigation Projects'!$AH35*VLOOKUP('Baseline Projects'!$H35&amp;"-"&amp;'Baseline Projects'!$G35,'Baseline scaling factors'!$A$49:$K$51,MATCH('Baseline Projects'!CU$2,'Baseline scaling factors'!$A$48:$K$48,0),0)</f>
        <v>0</v>
      </c>
      <c r="CV35" s="12">
        <f>'Mitigation Projects'!$AH35*VLOOKUP('Baseline Projects'!$H35&amp;"-"&amp;'Baseline Projects'!$G35,'Baseline scaling factors'!$A$49:$K$51,MATCH('Baseline Projects'!CV$2,'Baseline scaling factors'!$A$48:$K$48,0),0)</f>
        <v>0</v>
      </c>
      <c r="CW35" s="12">
        <f>'Mitigation Projects'!$AH35*VLOOKUP('Baseline Projects'!$H35&amp;"-"&amp;'Baseline Projects'!$G35,'Baseline scaling factors'!$A$49:$K$51,MATCH('Baseline Projects'!CW$2,'Baseline scaling factors'!$A$48:$K$48,0),0)</f>
        <v>0</v>
      </c>
      <c r="CX35" s="12">
        <f>'Mitigation Projects'!$AH35*VLOOKUP('Baseline Projects'!$H35&amp;"-"&amp;'Baseline Projects'!$G35,'Baseline scaling factors'!$A$49:$K$51,MATCH('Baseline Projects'!CX$2,'Baseline scaling factors'!$A$48:$K$48,0),0)</f>
        <v>0</v>
      </c>
      <c r="CY35" s="12">
        <f>'Mitigation Projects'!$AH35*VLOOKUP('Baseline Projects'!$H35&amp;"-"&amp;'Baseline Projects'!$G35,'Baseline scaling factors'!$A$49:$K$51,MATCH('Baseline Projects'!CY$2,'Baseline scaling factors'!$A$48:$K$48,0),0)</f>
        <v>0</v>
      </c>
      <c r="CZ35" s="12">
        <f>'Mitigation Projects'!$AH35*VLOOKUP('Baseline Projects'!$H35&amp;"-"&amp;'Baseline Projects'!$G35,'Baseline scaling factors'!$A$49:$K$51,MATCH('Baseline Projects'!CZ$2,'Baseline scaling factors'!$A$48:$K$48,0),0)</f>
        <v>0</v>
      </c>
      <c r="DA35" s="12">
        <f>'Mitigation Projects'!$AH35*VLOOKUP('Baseline Projects'!$H35&amp;"-"&amp;'Baseline Projects'!$G35,'Baseline scaling factors'!$A$49:$K$51,MATCH('Baseline Projects'!DA$2,'Baseline scaling factors'!$A$48:$K$48,0),0)</f>
        <v>0</v>
      </c>
      <c r="DB35" s="12">
        <f>'Mitigation Projects'!$AH35*VLOOKUP('Baseline Projects'!$H35&amp;"-"&amp;'Baseline Projects'!$G35,'Baseline scaling factors'!$A$49:$K$51,MATCH('Baseline Projects'!DB$2,'Baseline scaling factors'!$A$48:$K$48,0),0)</f>
        <v>0</v>
      </c>
      <c r="DC35" s="12">
        <f>'Mitigation Projects'!$AH35*VLOOKUP('Baseline Projects'!$H35&amp;"-"&amp;'Baseline Projects'!$G35,'Baseline scaling factors'!$A$49:$K$51,MATCH('Baseline Projects'!DC$2,'Baseline scaling factors'!$A$48:$K$48,0),0)</f>
        <v>0</v>
      </c>
    </row>
    <row r="36" spans="1:107" x14ac:dyDescent="0.4">
      <c r="A36" s="38" t="str">
        <f>'Mitigation Projects'!A36</f>
        <v>EL-G40</v>
      </c>
      <c r="B36" s="38" t="str">
        <f>'Mitigation Projects'!B36</f>
        <v>White River Jct</v>
      </c>
      <c r="C36" s="39">
        <f>'Mitigation Projects'!C36</f>
        <v>204106</v>
      </c>
      <c r="D36" s="39" t="str">
        <f>'Mitigation Projects'!D36</f>
        <v>204106: RTE 113 L3 P.141 to P192</v>
      </c>
      <c r="E36" s="39">
        <f>'Mitigation Projects'!E36</f>
        <v>621447</v>
      </c>
      <c r="F36" s="39">
        <f>'Mitigation Projects'!F36</f>
        <v>618847</v>
      </c>
      <c r="G36" s="39" t="str">
        <f>'Mitigation Projects'!G36</f>
        <v>3PH</v>
      </c>
      <c r="H36" s="39" t="str">
        <f>'Mitigation Projects'!H36</f>
        <v>OH</v>
      </c>
      <c r="I36" s="39" t="str">
        <f>'Mitigation Projects'!J36</f>
        <v>Zone 2</v>
      </c>
      <c r="J36" s="39">
        <f>'Mitigation Projects'!K36</f>
        <v>415</v>
      </c>
      <c r="K36" s="40">
        <f>'Mitigation Projects'!L36*BASELINE_CAP_SPEND</f>
        <v>125173.70000000001</v>
      </c>
      <c r="L36" s="97">
        <f>'Mitigation Projects'!Q36</f>
        <v>0.85291214215202371</v>
      </c>
      <c r="M36" s="97">
        <f>'Mitigation Projects'!R36</f>
        <v>0.14708785784797629</v>
      </c>
      <c r="N36" s="98">
        <f>'Mitigation Projects'!S36</f>
        <v>1</v>
      </c>
      <c r="O36" s="26">
        <f t="shared" si="0"/>
        <v>0.9</v>
      </c>
      <c r="P36" s="26">
        <f t="shared" si="1"/>
        <v>0.80330442615766917</v>
      </c>
      <c r="Q36" s="112">
        <f>VLOOKUP($A36,'Outage by Zone inputs'!$A$4:$E$13,MATCH('Baseline Projects'!$I36,'Outage by Zone inputs'!$A$3:$E$3,0),0)*'Baseline Projects'!$L36*$N36*('Baseline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Projects'!Q$3,'Baseline scaling factors'!$B$54:$K$54,0))+VLOOKUP($A36,'Outage by Zone inputs'!$A$4:$E$13,MATCH('Baseline Projects'!$I36,'Outage by Zone inputs'!$A$3:$E$3,0),0)*'Baseline Projects'!$L36*$N36*('Baseline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Projects'!Q$3,'Baseline scaling factors'!$B$48:$K$48,0))</f>
        <v>421.05561702368152</v>
      </c>
      <c r="R36" s="112">
        <f>VLOOKUP($A36,'Outage by Zone inputs'!$A$4:$E$13,MATCH('Baseline Projects'!$I36,'Outage by Zone inputs'!$A$3:$E$3,0),0)*'Baseline Projects'!$L36*$N36*('Baseline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Projects'!R$3,'Baseline scaling factors'!$B$54:$K$54,0))+VLOOKUP($A36,'Outage by Zone inputs'!$A$4:$E$13,MATCH('Baseline Projects'!$I36,'Outage by Zone inputs'!$A$3:$E$3,0),0)*'Baseline Projects'!$L36*$N36*('Baseline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Projects'!R$3,'Baseline scaling factors'!$B$48:$K$48,0))</f>
        <v>389.68789497519214</v>
      </c>
      <c r="S36" s="112">
        <f>VLOOKUP($A36,'Outage by Zone inputs'!$A$4:$E$13,MATCH('Baseline Projects'!$I36,'Outage by Zone inputs'!$A$3:$E$3,0),0)*'Baseline Projects'!$L36*$N36*('Baseline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Projects'!S$3,'Baseline scaling factors'!$B$54:$K$54,0))+VLOOKUP($A36,'Outage by Zone inputs'!$A$4:$E$13,MATCH('Baseline Projects'!$I36,'Outage by Zone inputs'!$A$3:$E$3,0),0)*'Baseline Projects'!$L36*$N36*('Baseline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Projects'!S$3,'Baseline scaling factors'!$B$48:$K$48,0))</f>
        <v>359.70230474526443</v>
      </c>
      <c r="T36" s="112">
        <f>VLOOKUP($A36,'Outage by Zone inputs'!$A$4:$E$13,MATCH('Baseline Projects'!$I36,'Outage by Zone inputs'!$A$3:$E$3,0),0)*'Baseline Projects'!$L36*$N36*('Baseline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Projects'!T$3,'Baseline scaling factors'!$B$54:$K$54,0))+VLOOKUP($A36,'Outage by Zone inputs'!$A$4:$E$13,MATCH('Baseline Projects'!$I36,'Outage by Zone inputs'!$A$3:$E$3,0),0)*'Baseline Projects'!$L36*$N36*('Baseline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Projects'!T$3,'Baseline scaling factors'!$B$48:$K$48,0))</f>
        <v>331.03794652227242</v>
      </c>
      <c r="U36" s="112">
        <f>VLOOKUP($A36,'Outage by Zone inputs'!$A$4:$E$13,MATCH('Baseline Projects'!$I36,'Outage by Zone inputs'!$A$3:$E$3,0),0)*'Baseline Projects'!$L36*$N36*('Baseline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Projects'!U$3,'Baseline scaling factors'!$B$54:$K$54,0))+VLOOKUP($A36,'Outage by Zone inputs'!$A$4:$E$13,MATCH('Baseline Projects'!$I36,'Outage by Zone inputs'!$A$3:$E$3,0),0)*'Baseline Projects'!$L36*$N36*('Baseline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Projects'!U$3,'Baseline scaling factors'!$B$48:$K$48,0))</f>
        <v>303.63660387616545</v>
      </c>
      <c r="V36" s="112">
        <f>VLOOKUP($A36,'Outage by Zone inputs'!$A$4:$E$13,MATCH('Baseline Projects'!$I36,'Outage by Zone inputs'!$A$3:$E$3,0),0)*'Baseline Projects'!$L36*$N36*('Baseline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Projects'!V$3,'Baseline scaling factors'!$B$54:$K$54,0))+VLOOKUP($A36,'Outage by Zone inputs'!$A$4:$E$13,MATCH('Baseline Projects'!$I36,'Outage by Zone inputs'!$A$3:$E$3,0),0)*'Baseline Projects'!$L36*$N36*('Baseline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Projects'!V$3,'Baseline scaling factors'!$B$48:$K$48,0))</f>
        <v>277.44262552268845</v>
      </c>
      <c r="W36" s="112">
        <f>VLOOKUP($A36,'Outage by Zone inputs'!$A$4:$E$13,MATCH('Baseline Projects'!$I36,'Outage by Zone inputs'!$A$3:$E$3,0),0)*'Baseline Projects'!$L36*$N36*('Baseline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Projects'!W$3,'Baseline scaling factors'!$B$54:$K$54,0))+VLOOKUP($A36,'Outage by Zone inputs'!$A$4:$E$13,MATCH('Baseline Projects'!$I36,'Outage by Zone inputs'!$A$3:$E$3,0),0)*'Baseline Projects'!$L36*$N36*('Baseline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Projects'!W$3,'Baseline scaling factors'!$B$48:$K$48,0))</f>
        <v>252.40281229733543</v>
      </c>
      <c r="X36" s="112">
        <f>VLOOKUP($A36,'Outage by Zone inputs'!$A$4:$E$13,MATCH('Baseline Projects'!$I36,'Outage by Zone inputs'!$A$3:$E$3,0),0)*'Baseline Projects'!$L36*$N36*('Baseline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Projects'!X$3,'Baseline scaling factors'!$B$54:$K$54,0))+VLOOKUP($A36,'Outage by Zone inputs'!$A$4:$E$13,MATCH('Baseline Projects'!$I36,'Outage by Zone inputs'!$A$3:$E$3,0),0)*'Baseline Projects'!$L36*$N36*('Baseline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Projects'!X$3,'Baseline scaling factors'!$B$48:$K$48,0))</f>
        <v>228.46630910948204</v>
      </c>
      <c r="Y36" s="112">
        <f>VLOOKUP($A36,'Outage by Zone inputs'!$A$4:$E$13,MATCH('Baseline Projects'!$I36,'Outage by Zone inputs'!$A$3:$E$3,0),0)*'Baseline Projects'!$L36*$N36*('Baseline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Projects'!Y$3,'Baseline scaling factors'!$B$54:$K$54,0))+VLOOKUP($A36,'Outage by Zone inputs'!$A$4:$E$13,MATCH('Baseline Projects'!$I36,'Outage by Zone inputs'!$A$3:$E$3,0),0)*'Baseline Projects'!$L36*$N36*('Baseline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Projects'!Y$3,'Baseline scaling factors'!$B$48:$K$48,0))</f>
        <v>205.5845016572606</v>
      </c>
      <c r="Z36" s="112">
        <f>VLOOKUP($A36,'Outage by Zone inputs'!$A$4:$E$13,MATCH('Baseline Projects'!$I36,'Outage by Zone inputs'!$A$3:$E$3,0),0)*'Baseline Projects'!$L36*$N36*('Baseline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Projects'!Z$3,'Baseline scaling factors'!$B$54:$K$54,0))+VLOOKUP($A36,'Outage by Zone inputs'!$A$4:$E$13,MATCH('Baseline Projects'!$I36,'Outage by Zone inputs'!$A$3:$E$3,0),0)*'Baseline Projects'!$L36*$N36*('Baseline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Projects'!Z$3,'Baseline scaling factors'!$B$48:$K$48,0))</f>
        <v>183.71091769340802</v>
      </c>
      <c r="AA36" s="34">
        <f>VLOOKUP($A36,'Outage by Zone inputs'!$A$4:$E$13,MATCH('Baseline Projects'!$I36,'Outage by Zone inputs'!$A$3:$E$3,0),0)*$M36*$N36*('Baseline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Projects'!AA$3,'Baseline scaling factors'!$B$54:$K$54,0))+VLOOKUP($A36,'Outage by Zone inputs'!$A$4:$E$13,MATCH('Baseline Projects'!$I36,'Outage by Zone inputs'!$A$3:$E$3,0),0)*$M36*$N36*('Baseline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Projects'!AA$3,'Baseline scaling factors'!$B$48:$K$48,0))</f>
        <v>72.612600620982093</v>
      </c>
      <c r="AB36" s="34">
        <f>VLOOKUP($A36,'Outage by Zone inputs'!$A$4:$E$13,MATCH('Baseline Projects'!$I36,'Outage by Zone inputs'!$A$3:$E$3,0),0)*$M36*$N36*('Baseline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Projects'!AB$3,'Baseline scaling factors'!$B$54:$K$54,0))+VLOOKUP($A36,'Outage by Zone inputs'!$A$4:$E$13,MATCH('Baseline Projects'!$I36,'Outage by Zone inputs'!$A$3:$E$3,0),0)*$M36*$N36*('Baseline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Projects'!AB$3,'Baseline scaling factors'!$B$48:$K$48,0))</f>
        <v>67.203120776971787</v>
      </c>
      <c r="AC36" s="34">
        <f>VLOOKUP($A36,'Outage by Zone inputs'!$A$4:$E$13,MATCH('Baseline Projects'!$I36,'Outage by Zone inputs'!$A$3:$E$3,0),0)*$M36*$N36*('Baseline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Projects'!AC$3,'Baseline scaling factors'!$B$54:$K$54,0))+VLOOKUP($A36,'Outage by Zone inputs'!$A$4:$E$13,MATCH('Baseline Projects'!$I36,'Outage by Zone inputs'!$A$3:$E$3,0),0)*$M36*$N36*('Baseline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Projects'!AC$3,'Baseline scaling factors'!$B$48:$K$48,0))</f>
        <v>62.031994684079159</v>
      </c>
      <c r="AD36" s="34">
        <f>VLOOKUP($A36,'Outage by Zone inputs'!$A$4:$E$13,MATCH('Baseline Projects'!$I36,'Outage by Zone inputs'!$A$3:$E$3,0),0)*$M36*$N36*('Baseline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Projects'!AD$3,'Baseline scaling factors'!$B$54:$K$54,0))+VLOOKUP($A36,'Outage by Zone inputs'!$A$4:$E$13,MATCH('Baseline Projects'!$I36,'Outage by Zone inputs'!$A$3:$E$3,0),0)*$M36*$N36*('Baseline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Projects'!AD$3,'Baseline scaling factors'!$B$48:$K$48,0))</f>
        <v>57.088719944234469</v>
      </c>
      <c r="AE36" s="34">
        <f>VLOOKUP($A36,'Outage by Zone inputs'!$A$4:$E$13,MATCH('Baseline Projects'!$I36,'Outage by Zone inputs'!$A$3:$E$3,0),0)*$M36*$N36*('Baseline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Projects'!AE$3,'Baseline scaling factors'!$B$54:$K$54,0))+VLOOKUP($A36,'Outage by Zone inputs'!$A$4:$E$13,MATCH('Baseline Projects'!$I36,'Outage by Zone inputs'!$A$3:$E$3,0),0)*$M36*$N36*('Baseline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Projects'!AE$3,'Baseline scaling factors'!$B$48:$K$48,0))</f>
        <v>52.363256918459079</v>
      </c>
      <c r="AF36" s="34">
        <f>VLOOKUP($A36,'Outage by Zone inputs'!$A$4:$E$13,MATCH('Baseline Projects'!$I36,'Outage by Zone inputs'!$A$3:$E$3,0),0)*$M36*$N36*('Baseline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Projects'!AF$3,'Baseline scaling factors'!$B$54:$K$54,0))+VLOOKUP($A36,'Outage by Zone inputs'!$A$4:$E$13,MATCH('Baseline Projects'!$I36,'Outage by Zone inputs'!$A$3:$E$3,0),0)*$M36*$N36*('Baseline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Projects'!AF$3,'Baseline scaling factors'!$B$48:$K$48,0))</f>
        <v>47.846008336667339</v>
      </c>
      <c r="AG36" s="34">
        <f>VLOOKUP($A36,'Outage by Zone inputs'!$A$4:$E$13,MATCH('Baseline Projects'!$I36,'Outage by Zone inputs'!$A$3:$E$3,0),0)*$M36*$N36*('Baseline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Projects'!AG$3,'Baseline scaling factors'!$B$54:$K$54,0))+VLOOKUP($A36,'Outage by Zone inputs'!$A$4:$E$13,MATCH('Baseline Projects'!$I36,'Outage by Zone inputs'!$A$3:$E$3,0),0)*$M36*$N36*('Baseline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Projects'!AG$3,'Baseline scaling factors'!$B$48:$K$48,0))</f>
        <v>43.52779980590622</v>
      </c>
      <c r="AH36" s="34">
        <f>VLOOKUP($A36,'Outage by Zone inputs'!$A$4:$E$13,MATCH('Baseline Projects'!$I36,'Outage by Zone inputs'!$A$3:$E$3,0),0)*$M36*$N36*('Baseline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Projects'!AH$3,'Baseline scaling factors'!$B$54:$K$54,0))+VLOOKUP($A36,'Outage by Zone inputs'!$A$4:$E$13,MATCH('Baseline Projects'!$I36,'Outage by Zone inputs'!$A$3:$E$3,0),0)*$M36*$N36*('Baseline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Projects'!AH$3,'Baseline scaling factors'!$B$48:$K$48,0))</f>
        <v>39.399861177445395</v>
      </c>
      <c r="AI36" s="34">
        <f>VLOOKUP($A36,'Outage by Zone inputs'!$A$4:$E$13,MATCH('Baseline Projects'!$I36,'Outage by Zone inputs'!$A$3:$E$3,0),0)*$M36*$N36*('Baseline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Projects'!AI$3,'Baseline scaling factors'!$B$54:$K$54,0))+VLOOKUP($A36,'Outage by Zone inputs'!$A$4:$E$13,MATCH('Baseline Projects'!$I36,'Outage by Zone inputs'!$A$3:$E$3,0),0)*$M36*$N36*('Baseline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Projects'!AI$3,'Baseline scaling factors'!$B$48:$K$48,0))</f>
        <v>35.453808734874798</v>
      </c>
      <c r="AJ36" s="34">
        <f>VLOOKUP($A36,'Outage by Zone inputs'!$A$4:$E$13,MATCH('Baseline Projects'!$I36,'Outage by Zone inputs'!$A$3:$E$3,0),0)*$M36*$N36*('Baseline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Projects'!AJ$3,'Baseline scaling factors'!$B$54:$K$54,0))+VLOOKUP($A36,'Outage by Zone inputs'!$A$4:$E$13,MATCH('Baseline Projects'!$I36,'Outage by Zone inputs'!$A$3:$E$3,0),0)*$M36*$N36*('Baseline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Projects'!AJ$3,'Baseline scaling factors'!$B$48:$K$48,0))</f>
        <v>31.681628167034482</v>
      </c>
      <c r="AK36" s="1">
        <f t="shared" si="2"/>
        <v>8842.1679574973114</v>
      </c>
      <c r="AL36" s="1">
        <f t="shared" si="3"/>
        <v>8183.4457944790347</v>
      </c>
      <c r="AM36" s="1">
        <f t="shared" si="4"/>
        <v>7553.7483996505525</v>
      </c>
      <c r="AN36" s="1">
        <f t="shared" si="5"/>
        <v>6951.7968769677209</v>
      </c>
      <c r="AO36" s="1">
        <f t="shared" si="6"/>
        <v>6376.3686813994746</v>
      </c>
      <c r="AP36" s="1">
        <f t="shared" si="7"/>
        <v>5826.2951359764575</v>
      </c>
      <c r="AQ36" s="1">
        <f t="shared" si="8"/>
        <v>5300.4590582440442</v>
      </c>
      <c r="AR36" s="1">
        <f t="shared" si="9"/>
        <v>4797.792491299123</v>
      </c>
      <c r="AS36" s="1">
        <f t="shared" si="10"/>
        <v>4317.2745348024728</v>
      </c>
      <c r="AT36" s="1">
        <f t="shared" si="11"/>
        <v>3857.9292715615684</v>
      </c>
      <c r="AU36" s="1">
        <f t="shared" si="12"/>
        <v>282099.9534125154</v>
      </c>
      <c r="AV36" s="1">
        <f t="shared" si="13"/>
        <v>261084.12421853538</v>
      </c>
      <c r="AW36" s="1">
        <f t="shared" si="14"/>
        <v>240994.29934764752</v>
      </c>
      <c r="AX36" s="1">
        <f t="shared" si="15"/>
        <v>221789.67698335092</v>
      </c>
      <c r="AY36" s="1">
        <f t="shared" si="16"/>
        <v>203431.25312821352</v>
      </c>
      <c r="AZ36" s="1">
        <f t="shared" si="17"/>
        <v>185881.7423879526</v>
      </c>
      <c r="BA36" s="1">
        <f t="shared" si="18"/>
        <v>169105.50224594565</v>
      </c>
      <c r="BB36" s="1">
        <f t="shared" si="19"/>
        <v>153068.46067437535</v>
      </c>
      <c r="BC36" s="1">
        <f t="shared" si="20"/>
        <v>137738.04693498858</v>
      </c>
      <c r="BD36" s="1">
        <f t="shared" si="21"/>
        <v>123083.12542892896</v>
      </c>
      <c r="BE36" s="1">
        <f t="shared" si="22"/>
        <v>290942.1213700127</v>
      </c>
      <c r="BF36" s="1">
        <f t="shared" si="23"/>
        <v>269267.57001301443</v>
      </c>
      <c r="BG36" s="1">
        <f t="shared" si="24"/>
        <v>248548.04774729809</v>
      </c>
      <c r="BH36" s="1">
        <f t="shared" si="25"/>
        <v>228741.47386031863</v>
      </c>
      <c r="BI36" s="1">
        <f t="shared" si="26"/>
        <v>209807.62180961299</v>
      </c>
      <c r="BJ36" s="1">
        <f t="shared" si="27"/>
        <v>191708.03752392906</v>
      </c>
      <c r="BK36" s="1">
        <f t="shared" si="28"/>
        <v>174405.9613041897</v>
      </c>
      <c r="BL36" s="1">
        <f t="shared" si="29"/>
        <v>157866.25316567448</v>
      </c>
      <c r="BM36" s="1">
        <f t="shared" si="30"/>
        <v>142055.32146979106</v>
      </c>
      <c r="BN36" s="1">
        <f t="shared" si="31"/>
        <v>126941.05470049054</v>
      </c>
      <c r="BO36" s="25">
        <f>VLOOKUP($A36,'Outage by Zone inputs'!$A$59:$E$68,MATCH('Baseline Projects'!$I36,'Outage by Zone inputs'!$A$58:$E$58,0),0)*AVG_INCIDENT_PERCENT_NON_STORM</f>
        <v>11.022115443775037</v>
      </c>
      <c r="BP36" s="25">
        <f>$BO36*$N36*('Baseline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Projects'!Q$3,'Baseline scaling factors'!$B$54:$K$54,0))+$BO36*$N36*('Baseline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Projects'!Q$3,'Baseline scaling factors'!$B$48:$K$48,0))</f>
        <v>1.8693730161782747</v>
      </c>
      <c r="BQ36" s="25">
        <f>$BO36*$N36*('Baseline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Projects'!R$3,'Baseline scaling factors'!$B$54:$K$54,0))+$BO36*$N36*('Baseline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Projects'!R$3,'Baseline scaling factors'!$B$48:$K$48,0))</f>
        <v>1.730108817327489</v>
      </c>
      <c r="BR36" s="25">
        <f>$BO36*$N36*('Baseline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Projects'!S$3,'Baseline scaling factors'!$B$54:$K$54,0))+$BO36*$N36*('Baseline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Projects'!S$3,'Baseline scaling factors'!$B$48:$K$48,0))</f>
        <v>1.5969809097930001</v>
      </c>
      <c r="BS36" s="25">
        <f>$BO36*$N36*('Baseline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Projects'!T$3,'Baseline scaling factors'!$B$54:$K$54,0))+$BO36*$N36*('Baseline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Projects'!T$3,'Baseline scaling factors'!$B$48:$K$48,0))</f>
        <v>1.4697189148886183</v>
      </c>
      <c r="BT36" s="25">
        <f>$BO36*$N36*('Baseline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Projects'!U$3,'Baseline scaling factors'!$B$54:$K$54,0))+$BO36*$N36*('Baseline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Projects'!U$3,'Baseline scaling factors'!$B$48:$K$48,0))</f>
        <v>1.3480643674163149</v>
      </c>
      <c r="BU36" s="25">
        <f>$BO36*$N36*('Baseline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Projects'!V$3,'Baseline scaling factors'!$B$54:$K$54,0))+$BO36*$N36*('Baseline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Projects'!V$3,'Baseline scaling factors'!$B$48:$K$48,0))</f>
        <v>1.2317701907313532</v>
      </c>
      <c r="BV36" s="25">
        <f>$BO36*$N36*('Baseline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Projects'!W$3,'Baseline scaling factors'!$B$54:$K$54,0))+$BO36*$N36*('Baseline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Projects'!W$3,'Baseline scaling factors'!$B$48:$K$48,0))</f>
        <v>1.1206001949372197</v>
      </c>
      <c r="BW36" s="25">
        <f>$BO36*$N36*('Baseline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Projects'!X$3,'Baseline scaling factors'!$B$54:$K$54,0))+$BO36*$N36*('Baseline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Projects'!X$3,'Baseline scaling factors'!$B$48:$K$48,0))</f>
        <v>1.0143285971912106</v>
      </c>
      <c r="BX36" s="25">
        <f>$BO36*$N36*('Baseline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Projects'!Y$3,'Baseline scaling factors'!$B$54:$K$54,0))+$BO36*$N36*('Baseline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Projects'!Y$3,'Baseline scaling factors'!$B$48:$K$48,0))</f>
        <v>0.91273956314641858</v>
      </c>
      <c r="BY36" s="25">
        <f>$BO36*$N36*('Baseline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Projects'!Z$3,'Baseline scaling factors'!$B$54:$K$54,0))+$BO36*$N36*('Baseline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Projects'!Z$3,'Baseline scaling factors'!$B$48:$K$48,0))</f>
        <v>0.81562676859881356</v>
      </c>
      <c r="BZ36" s="12">
        <f t="shared" si="32"/>
        <v>882.34406363614562</v>
      </c>
      <c r="CA36" s="12">
        <f t="shared" si="33"/>
        <v>816.61136177857486</v>
      </c>
      <c r="CB36" s="12">
        <f t="shared" si="34"/>
        <v>753.77498942229602</v>
      </c>
      <c r="CC36" s="12">
        <f t="shared" si="35"/>
        <v>693.70732782742778</v>
      </c>
      <c r="CD36" s="12">
        <f t="shared" si="36"/>
        <v>636.28638142050056</v>
      </c>
      <c r="CE36" s="12">
        <f t="shared" si="37"/>
        <v>581.3955300251987</v>
      </c>
      <c r="CF36" s="12">
        <f t="shared" si="38"/>
        <v>528.92329201036773</v>
      </c>
      <c r="CG36" s="12">
        <f t="shared" si="39"/>
        <v>478.7630978742514</v>
      </c>
      <c r="CH36" s="12">
        <f t="shared" si="40"/>
        <v>430.81307380510958</v>
      </c>
      <c r="CI36" s="12">
        <f t="shared" si="41"/>
        <v>384.97583477863998</v>
      </c>
      <c r="CJ36" s="12">
        <f>'Mitigation Projects'!$AG36*VLOOKUP('Baseline Projects'!$H36&amp;"-"&amp;'Baseline Projects'!$G36,'Baseline scaling factors'!$A$49:$K$51,MATCH('Baseline Projects'!CJ$2,'Baseline scaling factors'!$A$48:$K$48,0),0)</f>
        <v>0</v>
      </c>
      <c r="CK36" s="12">
        <f>'Mitigation Projects'!$AG36*VLOOKUP('Baseline Projects'!$H36&amp;"-"&amp;'Baseline Projects'!$G36,'Baseline scaling factors'!$A$49:$K$51,MATCH('Baseline Projects'!CK$2,'Baseline scaling factors'!$A$48:$K$48,0),0)</f>
        <v>0</v>
      </c>
      <c r="CL36" s="12">
        <f>'Mitigation Projects'!$AG36*VLOOKUP('Baseline Projects'!$H36&amp;"-"&amp;'Baseline Projects'!$G36,'Baseline scaling factors'!$A$49:$K$51,MATCH('Baseline Projects'!CL$2,'Baseline scaling factors'!$A$48:$K$48,0),0)</f>
        <v>0</v>
      </c>
      <c r="CM36" s="12">
        <f>'Mitigation Projects'!$AG36*VLOOKUP('Baseline Projects'!$H36&amp;"-"&amp;'Baseline Projects'!$G36,'Baseline scaling factors'!$A$49:$K$51,MATCH('Baseline Projects'!CM$2,'Baseline scaling factors'!$A$48:$K$48,0),0)</f>
        <v>0</v>
      </c>
      <c r="CN36" s="12">
        <f>'Mitigation Projects'!$AG36*VLOOKUP('Baseline Projects'!$H36&amp;"-"&amp;'Baseline Projects'!$G36,'Baseline scaling factors'!$A$49:$K$51,MATCH('Baseline Projects'!CN$2,'Baseline scaling factors'!$A$48:$K$48,0),0)</f>
        <v>0</v>
      </c>
      <c r="CO36" s="12">
        <f>'Mitigation Projects'!$AG36*VLOOKUP('Baseline Projects'!$H36&amp;"-"&amp;'Baseline Projects'!$G36,'Baseline scaling factors'!$A$49:$K$51,MATCH('Baseline Projects'!CO$2,'Baseline scaling factors'!$A$48:$K$48,0),0)</f>
        <v>0</v>
      </c>
      <c r="CP36" s="12">
        <f>'Mitigation Projects'!$AG36*VLOOKUP('Baseline Projects'!$H36&amp;"-"&amp;'Baseline Projects'!$G36,'Baseline scaling factors'!$A$49:$K$51,MATCH('Baseline Projects'!CP$2,'Baseline scaling factors'!$A$48:$K$48,0),0)</f>
        <v>0</v>
      </c>
      <c r="CQ36" s="12">
        <f>'Mitigation Projects'!$AG36*VLOOKUP('Baseline Projects'!$H36&amp;"-"&amp;'Baseline Projects'!$G36,'Baseline scaling factors'!$A$49:$K$51,MATCH('Baseline Projects'!CQ$2,'Baseline scaling factors'!$A$48:$K$48,0),0)</f>
        <v>0</v>
      </c>
      <c r="CR36" s="12">
        <f>'Mitigation Projects'!$AG36*VLOOKUP('Baseline Projects'!$H36&amp;"-"&amp;'Baseline Projects'!$G36,'Baseline scaling factors'!$A$49:$K$51,MATCH('Baseline Projects'!CR$2,'Baseline scaling factors'!$A$48:$K$48,0),0)</f>
        <v>0</v>
      </c>
      <c r="CS36" s="12">
        <f>'Mitigation Projects'!$AG36*VLOOKUP('Baseline Projects'!$H36&amp;"-"&amp;'Baseline Projects'!$G36,'Baseline scaling factors'!$A$49:$K$51,MATCH('Baseline Projects'!CS$2,'Baseline scaling factors'!$A$48:$K$48,0),0)</f>
        <v>0</v>
      </c>
      <c r="CT36" s="12">
        <f>'Mitigation Projects'!$AH36*VLOOKUP('Baseline Projects'!$H36&amp;"-"&amp;'Baseline Projects'!$G36,'Baseline scaling factors'!$A$49:$K$51,MATCH('Baseline Projects'!CT$2,'Baseline scaling factors'!$A$48:$K$48,0),0)</f>
        <v>0</v>
      </c>
      <c r="CU36" s="12">
        <f>'Mitigation Projects'!$AH36*VLOOKUP('Baseline Projects'!$H36&amp;"-"&amp;'Baseline Projects'!$G36,'Baseline scaling factors'!$A$49:$K$51,MATCH('Baseline Projects'!CU$2,'Baseline scaling factors'!$A$48:$K$48,0),0)</f>
        <v>0</v>
      </c>
      <c r="CV36" s="12">
        <f>'Mitigation Projects'!$AH36*VLOOKUP('Baseline Projects'!$H36&amp;"-"&amp;'Baseline Projects'!$G36,'Baseline scaling factors'!$A$49:$K$51,MATCH('Baseline Projects'!CV$2,'Baseline scaling factors'!$A$48:$K$48,0),0)</f>
        <v>0</v>
      </c>
      <c r="CW36" s="12">
        <f>'Mitigation Projects'!$AH36*VLOOKUP('Baseline Projects'!$H36&amp;"-"&amp;'Baseline Projects'!$G36,'Baseline scaling factors'!$A$49:$K$51,MATCH('Baseline Projects'!CW$2,'Baseline scaling factors'!$A$48:$K$48,0),0)</f>
        <v>0</v>
      </c>
      <c r="CX36" s="12">
        <f>'Mitigation Projects'!$AH36*VLOOKUP('Baseline Projects'!$H36&amp;"-"&amp;'Baseline Projects'!$G36,'Baseline scaling factors'!$A$49:$K$51,MATCH('Baseline Projects'!CX$2,'Baseline scaling factors'!$A$48:$K$48,0),0)</f>
        <v>0</v>
      </c>
      <c r="CY36" s="12">
        <f>'Mitigation Projects'!$AH36*VLOOKUP('Baseline Projects'!$H36&amp;"-"&amp;'Baseline Projects'!$G36,'Baseline scaling factors'!$A$49:$K$51,MATCH('Baseline Projects'!CY$2,'Baseline scaling factors'!$A$48:$K$48,0),0)</f>
        <v>0</v>
      </c>
      <c r="CZ36" s="12">
        <f>'Mitigation Projects'!$AH36*VLOOKUP('Baseline Projects'!$H36&amp;"-"&amp;'Baseline Projects'!$G36,'Baseline scaling factors'!$A$49:$K$51,MATCH('Baseline Projects'!CZ$2,'Baseline scaling factors'!$A$48:$K$48,0),0)</f>
        <v>0</v>
      </c>
      <c r="DA36" s="12">
        <f>'Mitigation Projects'!$AH36*VLOOKUP('Baseline Projects'!$H36&amp;"-"&amp;'Baseline Projects'!$G36,'Baseline scaling factors'!$A$49:$K$51,MATCH('Baseline Projects'!DA$2,'Baseline scaling factors'!$A$48:$K$48,0),0)</f>
        <v>0</v>
      </c>
      <c r="DB36" s="12">
        <f>'Mitigation Projects'!$AH36*VLOOKUP('Baseline Projects'!$H36&amp;"-"&amp;'Baseline Projects'!$G36,'Baseline scaling factors'!$A$49:$K$51,MATCH('Baseline Projects'!DB$2,'Baseline scaling factors'!$A$48:$K$48,0),0)</f>
        <v>0</v>
      </c>
      <c r="DC36" s="12">
        <f>'Mitigation Projects'!$AH36*VLOOKUP('Baseline Projects'!$H36&amp;"-"&amp;'Baseline Projects'!$G36,'Baseline scaling factors'!$A$49:$K$51,MATCH('Baseline Projects'!DC$2,'Baseline scaling factors'!$A$48:$K$48,0),0)</f>
        <v>0</v>
      </c>
    </row>
    <row r="37" spans="1:107" x14ac:dyDescent="0.4">
      <c r="A37" s="38" t="str">
        <f>'Mitigation Projects'!A37</f>
        <v>EL-G40</v>
      </c>
      <c r="B37" s="38" t="str">
        <f>'Mitigation Projects'!B37</f>
        <v>White River Jct</v>
      </c>
      <c r="C37" s="39">
        <f>'Mitigation Projects'!C37</f>
        <v>204107</v>
      </c>
      <c r="D37" s="39" t="str">
        <f>'Mitigation Projects'!D37</f>
        <v>204107: Beanville Rd L37 P.X2 P21</v>
      </c>
      <c r="E37" s="39">
        <f>'Mitigation Projects'!E37</f>
        <v>467089</v>
      </c>
      <c r="F37" s="39">
        <f>'Mitigation Projects'!F37</f>
        <v>620483</v>
      </c>
      <c r="G37" s="39" t="str">
        <f>'Mitigation Projects'!G37</f>
        <v>3PH</v>
      </c>
      <c r="H37" s="39" t="str">
        <f>'Mitigation Projects'!H37</f>
        <v>OH</v>
      </c>
      <c r="I37" s="39" t="str">
        <f>'Mitigation Projects'!J37</f>
        <v>Zone 3</v>
      </c>
      <c r="J37" s="39">
        <f>'Mitigation Projects'!K37</f>
        <v>279</v>
      </c>
      <c r="K37" s="40">
        <f>'Mitigation Projects'!L37*BASELINE_CAP_SPEND</f>
        <v>82250.200000000012</v>
      </c>
      <c r="L37" s="97">
        <f>'Mitigation Projects'!Q37</f>
        <v>0.85291214215202371</v>
      </c>
      <c r="M37" s="97">
        <f>'Mitigation Projects'!R37</f>
        <v>0.14708785784797629</v>
      </c>
      <c r="N37" s="98">
        <f>'Mitigation Projects'!S37</f>
        <v>0.5</v>
      </c>
      <c r="O37" s="26">
        <f t="shared" si="0"/>
        <v>0.9</v>
      </c>
      <c r="P37" s="26">
        <f t="shared" si="1"/>
        <v>0.80330442615766917</v>
      </c>
      <c r="Q37" s="112">
        <f>VLOOKUP($A37,'Outage by Zone inputs'!$A$4:$E$13,MATCH('Baseline Projects'!$I37,'Outage by Zone inputs'!$A$3:$E$3,0),0)*'Baseline Projects'!$L37*$N37*('Baseline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Projects'!Q$3,'Baseline scaling factors'!$B$54:$K$54,0))+VLOOKUP($A37,'Outage by Zone inputs'!$A$4:$E$13,MATCH('Baseline Projects'!$I37,'Outage by Zone inputs'!$A$3:$E$3,0),0)*'Baseline Projects'!$L37*$N37*('Baseline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Projects'!Q$3,'Baseline scaling factors'!$B$48:$K$48,0))</f>
        <v>302.60589355520705</v>
      </c>
      <c r="R37" s="112">
        <f>VLOOKUP($A37,'Outage by Zone inputs'!$A$4:$E$13,MATCH('Baseline Projects'!$I37,'Outage by Zone inputs'!$A$3:$E$3,0),0)*'Baseline Projects'!$L37*$N37*('Baseline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Projects'!R$3,'Baseline scaling factors'!$B$54:$K$54,0))+VLOOKUP($A37,'Outage by Zone inputs'!$A$4:$E$13,MATCH('Baseline Projects'!$I37,'Outage by Zone inputs'!$A$3:$E$3,0),0)*'Baseline Projects'!$L37*$N37*('Baseline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Projects'!R$3,'Baseline scaling factors'!$B$48:$K$48,0))</f>
        <v>280.06241669490282</v>
      </c>
      <c r="S37" s="112">
        <f>VLOOKUP($A37,'Outage by Zone inputs'!$A$4:$E$13,MATCH('Baseline Projects'!$I37,'Outage by Zone inputs'!$A$3:$E$3,0),0)*'Baseline Projects'!$L37*$N37*('Baseline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Projects'!S$3,'Baseline scaling factors'!$B$54:$K$54,0))+VLOOKUP($A37,'Outage by Zone inputs'!$A$4:$E$13,MATCH('Baseline Projects'!$I37,'Outage by Zone inputs'!$A$3:$E$3,0),0)*'Baseline Projects'!$L37*$N37*('Baseline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Projects'!S$3,'Baseline scaling factors'!$B$48:$K$48,0))</f>
        <v>258.512255722232</v>
      </c>
      <c r="T37" s="112">
        <f>VLOOKUP($A37,'Outage by Zone inputs'!$A$4:$E$13,MATCH('Baseline Projects'!$I37,'Outage by Zone inputs'!$A$3:$E$3,0),0)*'Baseline Projects'!$L37*$N37*('Baseline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Projects'!T$3,'Baseline scaling factors'!$B$54:$K$54,0))+VLOOKUP($A37,'Outage by Zone inputs'!$A$4:$E$13,MATCH('Baseline Projects'!$I37,'Outage by Zone inputs'!$A$3:$E$3,0),0)*'Baseline Projects'!$L37*$N37*('Baseline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Projects'!T$3,'Baseline scaling factors'!$B$48:$K$48,0))</f>
        <v>237.91164292297992</v>
      </c>
      <c r="U37" s="112">
        <f>VLOOKUP($A37,'Outage by Zone inputs'!$A$4:$E$13,MATCH('Baseline Projects'!$I37,'Outage by Zone inputs'!$A$3:$E$3,0),0)*'Baseline Projects'!$L37*$N37*('Baseline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Projects'!U$3,'Baseline scaling factors'!$B$54:$K$54,0))+VLOOKUP($A37,'Outage by Zone inputs'!$A$4:$E$13,MATCH('Baseline Projects'!$I37,'Outage by Zone inputs'!$A$3:$E$3,0),0)*'Baseline Projects'!$L37*$N37*('Baseline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Projects'!U$3,'Baseline scaling factors'!$B$48:$K$48,0))</f>
        <v>218.21873908607122</v>
      </c>
      <c r="V37" s="112">
        <f>VLOOKUP($A37,'Outage by Zone inputs'!$A$4:$E$13,MATCH('Baseline Projects'!$I37,'Outage by Zone inputs'!$A$3:$E$3,0),0)*'Baseline Projects'!$L37*$N37*('Baseline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Projects'!V$3,'Baseline scaling factors'!$B$54:$K$54,0))+VLOOKUP($A37,'Outage by Zone inputs'!$A$4:$E$13,MATCH('Baseline Projects'!$I37,'Outage by Zone inputs'!$A$3:$E$3,0),0)*'Baseline Projects'!$L37*$N37*('Baseline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Projects'!V$3,'Baseline scaling factors'!$B$48:$K$48,0))</f>
        <v>199.39354852941887</v>
      </c>
      <c r="W37" s="112">
        <f>VLOOKUP($A37,'Outage by Zone inputs'!$A$4:$E$13,MATCH('Baseline Projects'!$I37,'Outage by Zone inputs'!$A$3:$E$3,0),0)*'Baseline Projects'!$L37*$N37*('Baseline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Projects'!W$3,'Baseline scaling factors'!$B$54:$K$54,0))+VLOOKUP($A37,'Outage by Zone inputs'!$A$4:$E$13,MATCH('Baseline Projects'!$I37,'Outage by Zone inputs'!$A$3:$E$3,0),0)*'Baseline Projects'!$L37*$N37*('Baseline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Projects'!W$3,'Baseline scaling factors'!$B$48:$K$48,0))</f>
        <v>181.39783786992353</v>
      </c>
      <c r="X37" s="112">
        <f>VLOOKUP($A37,'Outage by Zone inputs'!$A$4:$E$13,MATCH('Baseline Projects'!$I37,'Outage by Zone inputs'!$A$3:$E$3,0),0)*'Baseline Projects'!$L37*$N37*('Baseline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Projects'!X$3,'Baseline scaling factors'!$B$54:$K$54,0))+VLOOKUP($A37,'Outage by Zone inputs'!$A$4:$E$13,MATCH('Baseline Projects'!$I37,'Outage by Zone inputs'!$A$3:$E$3,0),0)*'Baseline Projects'!$L37*$N37*('Baseline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Projects'!X$3,'Baseline scaling factors'!$B$48:$K$48,0))</f>
        <v>164.19505837264859</v>
      </c>
      <c r="Y37" s="112">
        <f>VLOOKUP($A37,'Outage by Zone inputs'!$A$4:$E$13,MATCH('Baseline Projects'!$I37,'Outage by Zone inputs'!$A$3:$E$3,0),0)*'Baseline Projects'!$L37*$N37*('Baseline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Projects'!Y$3,'Baseline scaling factors'!$B$54:$K$54,0))+VLOOKUP($A37,'Outage by Zone inputs'!$A$4:$E$13,MATCH('Baseline Projects'!$I37,'Outage by Zone inputs'!$A$3:$E$3,0),0)*'Baseline Projects'!$L37*$N37*('Baseline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Projects'!Y$3,'Baseline scaling factors'!$B$48:$K$48,0))</f>
        <v>147.75027172146321</v>
      </c>
      <c r="Z37" s="112">
        <f>VLOOKUP($A37,'Outage by Zone inputs'!$A$4:$E$13,MATCH('Baseline Projects'!$I37,'Outage by Zone inputs'!$A$3:$E$3,0),0)*'Baseline Projects'!$L37*$N37*('Baseline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Projects'!Z$3,'Baseline scaling factors'!$B$54:$K$54,0))+VLOOKUP($A37,'Outage by Zone inputs'!$A$4:$E$13,MATCH('Baseline Projects'!$I37,'Outage by Zone inputs'!$A$3:$E$3,0),0)*'Baseline Projects'!$L37*$N37*('Baseline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Projects'!Z$3,'Baseline scaling factors'!$B$48:$K$48,0))</f>
        <v>132.03007906039682</v>
      </c>
      <c r="AA37" s="34">
        <f>VLOOKUP($A37,'Outage by Zone inputs'!$A$4:$E$13,MATCH('Baseline Projects'!$I37,'Outage by Zone inputs'!$A$3:$E$3,0),0)*$M37*$N37*('Baseline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Projects'!AA$3,'Baseline scaling factors'!$B$54:$K$54,0))+VLOOKUP($A37,'Outage by Zone inputs'!$A$4:$E$13,MATCH('Baseline Projects'!$I37,'Outage by Zone inputs'!$A$3:$E$3,0),0)*$M37*$N37*('Baseline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Projects'!AA$3,'Baseline scaling factors'!$B$48:$K$48,0))</f>
        <v>52.18550710616416</v>
      </c>
      <c r="AB37" s="34">
        <f>VLOOKUP($A37,'Outage by Zone inputs'!$A$4:$E$13,MATCH('Baseline Projects'!$I37,'Outage by Zone inputs'!$A$3:$E$3,0),0)*$M37*$N37*('Baseline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Projects'!AB$3,'Baseline scaling factors'!$B$54:$K$54,0))+VLOOKUP($A37,'Outage by Zone inputs'!$A$4:$E$13,MATCH('Baseline Projects'!$I37,'Outage by Zone inputs'!$A$3:$E$3,0),0)*$M37*$N37*('Baseline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Projects'!AB$3,'Baseline scaling factors'!$B$48:$K$48,0))</f>
        <v>48.29780102724596</v>
      </c>
      <c r="AC37" s="34">
        <f>VLOOKUP($A37,'Outage by Zone inputs'!$A$4:$E$13,MATCH('Baseline Projects'!$I37,'Outage by Zone inputs'!$A$3:$E$3,0),0)*$M37*$N37*('Baseline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Projects'!AC$3,'Baseline scaling factors'!$B$54:$K$54,0))+VLOOKUP($A37,'Outage by Zone inputs'!$A$4:$E$13,MATCH('Baseline Projects'!$I37,'Outage by Zone inputs'!$A$3:$E$3,0),0)*$M37*$N37*('Baseline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Projects'!AC$3,'Baseline scaling factors'!$B$48:$K$48,0))</f>
        <v>44.581395952097864</v>
      </c>
      <c r="AD37" s="34">
        <f>VLOOKUP($A37,'Outage by Zone inputs'!$A$4:$E$13,MATCH('Baseline Projects'!$I37,'Outage by Zone inputs'!$A$3:$E$3,0),0)*$M37*$N37*('Baseline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Projects'!AD$3,'Baseline scaling factors'!$B$54:$K$54,0))+VLOOKUP($A37,'Outage by Zone inputs'!$A$4:$E$13,MATCH('Baseline Projects'!$I37,'Outage by Zone inputs'!$A$3:$E$3,0),0)*$M37*$N37*('Baseline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Projects'!AD$3,'Baseline scaling factors'!$B$48:$K$48,0))</f>
        <v>41.028743976300923</v>
      </c>
      <c r="AE37" s="34">
        <f>VLOOKUP($A37,'Outage by Zone inputs'!$A$4:$E$13,MATCH('Baseline Projects'!$I37,'Outage by Zone inputs'!$A$3:$E$3,0),0)*$M37*$N37*('Baseline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Projects'!AE$3,'Baseline scaling factors'!$B$54:$K$54,0))+VLOOKUP($A37,'Outage by Zone inputs'!$A$4:$E$13,MATCH('Baseline Projects'!$I37,'Outage by Zone inputs'!$A$3:$E$3,0),0)*$M37*$N37*('Baseline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Projects'!AE$3,'Baseline scaling factors'!$B$48:$K$48,0))</f>
        <v>37.632629772945144</v>
      </c>
      <c r="AF37" s="34">
        <f>VLOOKUP($A37,'Outage by Zone inputs'!$A$4:$E$13,MATCH('Baseline Projects'!$I37,'Outage by Zone inputs'!$A$3:$E$3,0),0)*$M37*$N37*('Baseline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Projects'!AF$3,'Baseline scaling factors'!$B$54:$K$54,0))+VLOOKUP($A37,'Outage by Zone inputs'!$A$4:$E$13,MATCH('Baseline Projects'!$I37,'Outage by Zone inputs'!$A$3:$E$3,0),0)*$M37*$N37*('Baseline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Projects'!AF$3,'Baseline scaling factors'!$B$48:$K$48,0))</f>
        <v>34.386155938522457</v>
      </c>
      <c r="AG37" s="34">
        <f>VLOOKUP($A37,'Outage by Zone inputs'!$A$4:$E$13,MATCH('Baseline Projects'!$I37,'Outage by Zone inputs'!$A$3:$E$3,0),0)*$M37*$N37*('Baseline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Projects'!AG$3,'Baseline scaling factors'!$B$54:$K$54,0))+VLOOKUP($A37,'Outage by Zone inputs'!$A$4:$E$13,MATCH('Baseline Projects'!$I37,'Outage by Zone inputs'!$A$3:$E$3,0),0)*$M37*$N37*('Baseline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Projects'!AG$3,'Baseline scaling factors'!$B$48:$K$48,0))</f>
        <v>31.282728984512268</v>
      </c>
      <c r="AH37" s="34">
        <f>VLOOKUP($A37,'Outage by Zone inputs'!$A$4:$E$13,MATCH('Baseline Projects'!$I37,'Outage by Zone inputs'!$A$3:$E$3,0),0)*$M37*$N37*('Baseline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Projects'!AH$3,'Baseline scaling factors'!$B$54:$K$54,0))+VLOOKUP($A37,'Outage by Zone inputs'!$A$4:$E$13,MATCH('Baseline Projects'!$I37,'Outage by Zone inputs'!$A$3:$E$3,0),0)*$M37*$N37*('Baseline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Projects'!AH$3,'Baseline scaling factors'!$B$48:$K$48,0))</f>
        <v>28.316045946209066</v>
      </c>
      <c r="AI37" s="34">
        <f>VLOOKUP($A37,'Outage by Zone inputs'!$A$4:$E$13,MATCH('Baseline Projects'!$I37,'Outage by Zone inputs'!$A$3:$E$3,0),0)*$M37*$N37*('Baseline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Projects'!AI$3,'Baseline scaling factors'!$B$54:$K$54,0))+VLOOKUP($A37,'Outage by Zone inputs'!$A$4:$E$13,MATCH('Baseline Projects'!$I37,'Outage by Zone inputs'!$A$3:$E$3,0),0)*$M37*$N37*('Baseline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Projects'!AI$3,'Baseline scaling factors'!$B$48:$K$48,0))</f>
        <v>25.48008158159492</v>
      </c>
      <c r="AJ37" s="34">
        <f>VLOOKUP($A37,'Outage by Zone inputs'!$A$4:$E$13,MATCH('Baseline Projects'!$I37,'Outage by Zone inputs'!$A$3:$E$3,0),0)*$M37*$N37*('Baseline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Projects'!AJ$3,'Baseline scaling factors'!$B$54:$K$54,0))+VLOOKUP($A37,'Outage by Zone inputs'!$A$4:$E$13,MATCH('Baseline Projects'!$I37,'Outage by Zone inputs'!$A$3:$E$3,0),0)*$M37*$N37*('Baseline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Projects'!AJ$3,'Baseline scaling factors'!$B$48:$K$48,0))</f>
        <v>22.769076134258242</v>
      </c>
      <c r="AK37" s="1">
        <f t="shared" si="2"/>
        <v>6354.7237646593476</v>
      </c>
      <c r="AL37" s="1">
        <f t="shared" si="3"/>
        <v>5881.3107505929593</v>
      </c>
      <c r="AM37" s="1">
        <f t="shared" si="4"/>
        <v>5428.7573701668716</v>
      </c>
      <c r="AN37" s="1">
        <f t="shared" si="5"/>
        <v>4996.1445013825787</v>
      </c>
      <c r="AO37" s="1">
        <f t="shared" si="6"/>
        <v>4582.5935208074961</v>
      </c>
      <c r="AP37" s="1">
        <f t="shared" si="7"/>
        <v>4187.2645191177962</v>
      </c>
      <c r="AQ37" s="1">
        <f t="shared" si="8"/>
        <v>3809.3545952683944</v>
      </c>
      <c r="AR37" s="1">
        <f t="shared" si="9"/>
        <v>3448.0962258256204</v>
      </c>
      <c r="AS37" s="1">
        <f t="shared" si="10"/>
        <v>3102.7557061507273</v>
      </c>
      <c r="AT37" s="1">
        <f t="shared" si="11"/>
        <v>2772.6316602683332</v>
      </c>
      <c r="AU37" s="1">
        <f t="shared" si="12"/>
        <v>202740.69510744777</v>
      </c>
      <c r="AV37" s="1">
        <f t="shared" si="13"/>
        <v>187636.95699085057</v>
      </c>
      <c r="AW37" s="1">
        <f t="shared" si="14"/>
        <v>173198.72327390019</v>
      </c>
      <c r="AX37" s="1">
        <f t="shared" si="15"/>
        <v>159396.67034792909</v>
      </c>
      <c r="AY37" s="1">
        <f t="shared" si="16"/>
        <v>146202.76666789188</v>
      </c>
      <c r="AZ37" s="1">
        <f t="shared" si="17"/>
        <v>133590.21582115974</v>
      </c>
      <c r="BA37" s="1">
        <f t="shared" si="18"/>
        <v>121533.40210483017</v>
      </c>
      <c r="BB37" s="1">
        <f t="shared" si="19"/>
        <v>110007.83850102223</v>
      </c>
      <c r="BC37" s="1">
        <f t="shared" si="20"/>
        <v>98990.116944496258</v>
      </c>
      <c r="BD37" s="1">
        <f t="shared" si="21"/>
        <v>88457.860781593263</v>
      </c>
      <c r="BE37" s="1">
        <f t="shared" si="22"/>
        <v>209095.41887210711</v>
      </c>
      <c r="BF37" s="1">
        <f t="shared" si="23"/>
        <v>193518.26774144353</v>
      </c>
      <c r="BG37" s="1">
        <f t="shared" si="24"/>
        <v>178627.48064406705</v>
      </c>
      <c r="BH37" s="1">
        <f t="shared" si="25"/>
        <v>164392.81484931166</v>
      </c>
      <c r="BI37" s="1">
        <f t="shared" si="26"/>
        <v>150785.36018869939</v>
      </c>
      <c r="BJ37" s="1">
        <f t="shared" si="27"/>
        <v>137777.48034027754</v>
      </c>
      <c r="BK37" s="1">
        <f t="shared" si="28"/>
        <v>125342.75670009856</v>
      </c>
      <c r="BL37" s="1">
        <f t="shared" si="29"/>
        <v>113455.93472684785</v>
      </c>
      <c r="BM37" s="1">
        <f t="shared" si="30"/>
        <v>102092.87265064698</v>
      </c>
      <c r="BN37" s="1">
        <f t="shared" si="31"/>
        <v>91230.492441861599</v>
      </c>
      <c r="BO37" s="25">
        <f>VLOOKUP($A37,'Outage by Zone inputs'!$A$59:$E$68,MATCH('Baseline Projects'!$I37,'Outage by Zone inputs'!$A$58:$E$58,0),0)*AVG_INCIDENT_PERCENT_NON_STORM</f>
        <v>13.007765575535226</v>
      </c>
      <c r="BP37" s="25">
        <f>$BO37*$N37*('Baseline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Projects'!Q$3,'Baseline scaling factors'!$B$54:$K$54,0))+$BO37*$N37*('Baseline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Projects'!Q$3,'Baseline scaling factors'!$B$48:$K$48,0))</f>
        <v>3.9609262264945539</v>
      </c>
      <c r="BQ37" s="25">
        <f>$BO37*$N37*('Baseline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Projects'!R$3,'Baseline scaling factors'!$B$54:$K$54,0))+$BO37*$N37*('Baseline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Projects'!R$3,'Baseline scaling factors'!$B$48:$K$48,0))</f>
        <v>3.665845890539162</v>
      </c>
      <c r="BR37" s="25">
        <f>$BO37*$N37*('Baseline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Projects'!S$3,'Baseline scaling factors'!$B$54:$K$54,0))+$BO37*$N37*('Baseline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Projects'!S$3,'Baseline scaling factors'!$B$48:$K$48,0))</f>
        <v>3.3837674525451629</v>
      </c>
      <c r="BS37" s="25">
        <f>$BO37*$N37*('Baseline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Projects'!T$3,'Baseline scaling factors'!$B$54:$K$54,0))+$BO37*$N37*('Baseline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Projects'!T$3,'Baseline scaling factors'!$B$48:$K$48,0))</f>
        <v>3.1141180198796006</v>
      </c>
      <c r="BT37" s="25">
        <f>$BO37*$N37*('Baseline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Projects'!U$3,'Baseline scaling factors'!$B$54:$K$54,0))+$BO37*$N37*('Baseline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Projects'!U$3,'Baseline scaling factors'!$B$48:$K$48,0))</f>
        <v>2.856349942837122</v>
      </c>
      <c r="BU37" s="25">
        <f>$BO37*$N37*('Baseline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Projects'!V$3,'Baseline scaling factors'!$B$54:$K$54,0))+$BO37*$N37*('Baseline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Projects'!V$3,'Baseline scaling factors'!$B$48:$K$48,0))</f>
        <v>2.6099397023802604</v>
      </c>
      <c r="BV37" s="25">
        <f>$BO37*$N37*('Baseline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Projects'!W$3,'Baseline scaling factors'!$B$54:$K$54,0))+$BO37*$N37*('Baseline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Projects'!W$3,'Baseline scaling factors'!$B$48:$K$48,0))</f>
        <v>2.3743868468883744</v>
      </c>
      <c r="BW37" s="25">
        <f>$BO37*$N37*('Baseline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Projects'!X$3,'Baseline scaling factors'!$B$54:$K$54,0))+$BO37*$N37*('Baseline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Projects'!X$3,'Baseline scaling factors'!$B$48:$K$48,0))</f>
        <v>2.1492129757557956</v>
      </c>
      <c r="BX37" s="25">
        <f>$BO37*$N37*('Baseline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Projects'!Y$3,'Baseline scaling factors'!$B$54:$K$54,0))+$BO37*$N37*('Baseline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Projects'!Y$3,'Baseline scaling factors'!$B$48:$K$48,0))</f>
        <v>1.9339607677749076</v>
      </c>
      <c r="BY37" s="25">
        <f>$BO37*$N37*('Baseline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Projects'!Z$3,'Baseline scaling factors'!$B$54:$K$54,0))+$BO37*$N37*('Baseline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Projects'!Z$3,'Baseline scaling factors'!$B$48:$K$48,0))</f>
        <v>1.7281930523308422</v>
      </c>
      <c r="BZ37" s="12">
        <f t="shared" si="32"/>
        <v>1869.5571789054295</v>
      </c>
      <c r="CA37" s="12">
        <f t="shared" si="33"/>
        <v>1730.2792603344844</v>
      </c>
      <c r="CB37" s="12">
        <f t="shared" si="34"/>
        <v>1597.1382376013169</v>
      </c>
      <c r="CC37" s="12">
        <f t="shared" si="35"/>
        <v>1469.8637053831715</v>
      </c>
      <c r="CD37" s="12">
        <f t="shared" si="36"/>
        <v>1348.1971730191215</v>
      </c>
      <c r="CE37" s="12">
        <f t="shared" si="37"/>
        <v>1231.8915395234828</v>
      </c>
      <c r="CF37" s="12">
        <f t="shared" si="38"/>
        <v>1120.7105917313127</v>
      </c>
      <c r="CG37" s="12">
        <f t="shared" si="39"/>
        <v>1014.4285245567355</v>
      </c>
      <c r="CH37" s="12">
        <f t="shared" si="40"/>
        <v>912.82948238975632</v>
      </c>
      <c r="CI37" s="12">
        <f t="shared" si="41"/>
        <v>815.70712070015747</v>
      </c>
      <c r="CJ37" s="12">
        <f>'Mitigation Projects'!$AG37*VLOOKUP('Baseline Projects'!$H37&amp;"-"&amp;'Baseline Projects'!$G37,'Baseline scaling factors'!$A$49:$K$51,MATCH('Baseline Projects'!CJ$2,'Baseline scaling factors'!$A$48:$K$48,0),0)</f>
        <v>0</v>
      </c>
      <c r="CK37" s="12">
        <f>'Mitigation Projects'!$AG37*VLOOKUP('Baseline Projects'!$H37&amp;"-"&amp;'Baseline Projects'!$G37,'Baseline scaling factors'!$A$49:$K$51,MATCH('Baseline Projects'!CK$2,'Baseline scaling factors'!$A$48:$K$48,0),0)</f>
        <v>0</v>
      </c>
      <c r="CL37" s="12">
        <f>'Mitigation Projects'!$AG37*VLOOKUP('Baseline Projects'!$H37&amp;"-"&amp;'Baseline Projects'!$G37,'Baseline scaling factors'!$A$49:$K$51,MATCH('Baseline Projects'!CL$2,'Baseline scaling factors'!$A$48:$K$48,0),0)</f>
        <v>0</v>
      </c>
      <c r="CM37" s="12">
        <f>'Mitigation Projects'!$AG37*VLOOKUP('Baseline Projects'!$H37&amp;"-"&amp;'Baseline Projects'!$G37,'Baseline scaling factors'!$A$49:$K$51,MATCH('Baseline Projects'!CM$2,'Baseline scaling factors'!$A$48:$K$48,0),0)</f>
        <v>0</v>
      </c>
      <c r="CN37" s="12">
        <f>'Mitigation Projects'!$AG37*VLOOKUP('Baseline Projects'!$H37&amp;"-"&amp;'Baseline Projects'!$G37,'Baseline scaling factors'!$A$49:$K$51,MATCH('Baseline Projects'!CN$2,'Baseline scaling factors'!$A$48:$K$48,0),0)</f>
        <v>0</v>
      </c>
      <c r="CO37" s="12">
        <f>'Mitigation Projects'!$AG37*VLOOKUP('Baseline Projects'!$H37&amp;"-"&amp;'Baseline Projects'!$G37,'Baseline scaling factors'!$A$49:$K$51,MATCH('Baseline Projects'!CO$2,'Baseline scaling factors'!$A$48:$K$48,0),0)</f>
        <v>0</v>
      </c>
      <c r="CP37" s="12">
        <f>'Mitigation Projects'!$AG37*VLOOKUP('Baseline Projects'!$H37&amp;"-"&amp;'Baseline Projects'!$G37,'Baseline scaling factors'!$A$49:$K$51,MATCH('Baseline Projects'!CP$2,'Baseline scaling factors'!$A$48:$K$48,0),0)</f>
        <v>0</v>
      </c>
      <c r="CQ37" s="12">
        <f>'Mitigation Projects'!$AG37*VLOOKUP('Baseline Projects'!$H37&amp;"-"&amp;'Baseline Projects'!$G37,'Baseline scaling factors'!$A$49:$K$51,MATCH('Baseline Projects'!CQ$2,'Baseline scaling factors'!$A$48:$K$48,0),0)</f>
        <v>0</v>
      </c>
      <c r="CR37" s="12">
        <f>'Mitigation Projects'!$AG37*VLOOKUP('Baseline Projects'!$H37&amp;"-"&amp;'Baseline Projects'!$G37,'Baseline scaling factors'!$A$49:$K$51,MATCH('Baseline Projects'!CR$2,'Baseline scaling factors'!$A$48:$K$48,0),0)</f>
        <v>0</v>
      </c>
      <c r="CS37" s="12">
        <f>'Mitigation Projects'!$AG37*VLOOKUP('Baseline Projects'!$H37&amp;"-"&amp;'Baseline Projects'!$G37,'Baseline scaling factors'!$A$49:$K$51,MATCH('Baseline Projects'!CS$2,'Baseline scaling factors'!$A$48:$K$48,0),0)</f>
        <v>0</v>
      </c>
      <c r="CT37" s="12">
        <f>'Mitigation Projects'!$AH37*VLOOKUP('Baseline Projects'!$H37&amp;"-"&amp;'Baseline Projects'!$G37,'Baseline scaling factors'!$A$49:$K$51,MATCH('Baseline Projects'!CT$2,'Baseline scaling factors'!$A$48:$K$48,0),0)</f>
        <v>0</v>
      </c>
      <c r="CU37" s="12">
        <f>'Mitigation Projects'!$AH37*VLOOKUP('Baseline Projects'!$H37&amp;"-"&amp;'Baseline Projects'!$G37,'Baseline scaling factors'!$A$49:$K$51,MATCH('Baseline Projects'!CU$2,'Baseline scaling factors'!$A$48:$K$48,0),0)</f>
        <v>0</v>
      </c>
      <c r="CV37" s="12">
        <f>'Mitigation Projects'!$AH37*VLOOKUP('Baseline Projects'!$H37&amp;"-"&amp;'Baseline Projects'!$G37,'Baseline scaling factors'!$A$49:$K$51,MATCH('Baseline Projects'!CV$2,'Baseline scaling factors'!$A$48:$K$48,0),0)</f>
        <v>0</v>
      </c>
      <c r="CW37" s="12">
        <f>'Mitigation Projects'!$AH37*VLOOKUP('Baseline Projects'!$H37&amp;"-"&amp;'Baseline Projects'!$G37,'Baseline scaling factors'!$A$49:$K$51,MATCH('Baseline Projects'!CW$2,'Baseline scaling factors'!$A$48:$K$48,0),0)</f>
        <v>0</v>
      </c>
      <c r="CX37" s="12">
        <f>'Mitigation Projects'!$AH37*VLOOKUP('Baseline Projects'!$H37&amp;"-"&amp;'Baseline Projects'!$G37,'Baseline scaling factors'!$A$49:$K$51,MATCH('Baseline Projects'!CX$2,'Baseline scaling factors'!$A$48:$K$48,0),0)</f>
        <v>0</v>
      </c>
      <c r="CY37" s="12">
        <f>'Mitigation Projects'!$AH37*VLOOKUP('Baseline Projects'!$H37&amp;"-"&amp;'Baseline Projects'!$G37,'Baseline scaling factors'!$A$49:$K$51,MATCH('Baseline Projects'!CY$2,'Baseline scaling factors'!$A$48:$K$48,0),0)</f>
        <v>0</v>
      </c>
      <c r="CZ37" s="12">
        <f>'Mitigation Projects'!$AH37*VLOOKUP('Baseline Projects'!$H37&amp;"-"&amp;'Baseline Projects'!$G37,'Baseline scaling factors'!$A$49:$K$51,MATCH('Baseline Projects'!CZ$2,'Baseline scaling factors'!$A$48:$K$48,0),0)</f>
        <v>0</v>
      </c>
      <c r="DA37" s="12">
        <f>'Mitigation Projects'!$AH37*VLOOKUP('Baseline Projects'!$H37&amp;"-"&amp;'Baseline Projects'!$G37,'Baseline scaling factors'!$A$49:$K$51,MATCH('Baseline Projects'!DA$2,'Baseline scaling factors'!$A$48:$K$48,0),0)</f>
        <v>0</v>
      </c>
      <c r="DB37" s="12">
        <f>'Mitigation Projects'!$AH37*VLOOKUP('Baseline Projects'!$H37&amp;"-"&amp;'Baseline Projects'!$G37,'Baseline scaling factors'!$A$49:$K$51,MATCH('Baseline Projects'!DB$2,'Baseline scaling factors'!$A$48:$K$48,0),0)</f>
        <v>0</v>
      </c>
      <c r="DC37" s="12">
        <f>'Mitigation Projects'!$AH37*VLOOKUP('Baseline Projects'!$H37&amp;"-"&amp;'Baseline Projects'!$G37,'Baseline scaling factors'!$A$49:$K$51,MATCH('Baseline Projects'!DC$2,'Baseline scaling factors'!$A$48:$K$48,0),0)</f>
        <v>0</v>
      </c>
    </row>
    <row r="38" spans="1:107" x14ac:dyDescent="0.4">
      <c r="A38" s="38" t="str">
        <f>'Mitigation Projects'!A38</f>
        <v>EL-G40</v>
      </c>
      <c r="B38" s="38" t="str">
        <f>'Mitigation Projects'!B38</f>
        <v>White River Jct</v>
      </c>
      <c r="C38" s="39">
        <f>'Mitigation Projects'!C38</f>
        <v>204108</v>
      </c>
      <c r="D38" s="39" t="str">
        <f>'Mitigation Projects'!D38</f>
        <v>204108: S.Vershire Rd L37 21 - 53</v>
      </c>
      <c r="E38" s="39">
        <f>'Mitigation Projects'!E38</f>
        <v>620828</v>
      </c>
      <c r="F38" s="39">
        <f>'Mitigation Projects'!F38</f>
        <v>620116</v>
      </c>
      <c r="G38" s="39" t="str">
        <f>'Mitigation Projects'!G38</f>
        <v>1PH</v>
      </c>
      <c r="H38" s="39" t="str">
        <f>'Mitigation Projects'!H38</f>
        <v>UG</v>
      </c>
      <c r="I38" s="39" t="str">
        <f>'Mitigation Projects'!J38</f>
        <v>Zone 3</v>
      </c>
      <c r="J38" s="39">
        <f>'Mitigation Projects'!K38</f>
        <v>146</v>
      </c>
      <c r="K38" s="40">
        <f>'Mitigation Projects'!L38*BASELINE_CAP_SPEND</f>
        <v>115976.6</v>
      </c>
      <c r="L38" s="97">
        <f>'Mitigation Projects'!Q38</f>
        <v>0.85291214215202371</v>
      </c>
      <c r="M38" s="97">
        <f>'Mitigation Projects'!R38</f>
        <v>0.14708785784797629</v>
      </c>
      <c r="N38" s="98">
        <f>'Mitigation Projects'!S38</f>
        <v>0.5</v>
      </c>
      <c r="O38" s="26">
        <f t="shared" si="0"/>
        <v>0.98</v>
      </c>
      <c r="P38" s="26">
        <f t="shared" si="1"/>
        <v>0.83359200333362127</v>
      </c>
      <c r="Q38" s="112">
        <f>VLOOKUP($A38,'Outage by Zone inputs'!$A$4:$E$13,MATCH('Baseline Projects'!$I38,'Outage by Zone inputs'!$A$3:$E$3,0),0)*'Baseline Projects'!$L38*$N38*('Baseline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Projects'!Q$3,'Baseline scaling factors'!$B$54:$K$54,0))+VLOOKUP($A38,'Outage by Zone inputs'!$A$4:$E$13,MATCH('Baseline Projects'!$I38,'Outage by Zone inputs'!$A$3:$E$3,0),0)*'Baseline Projects'!$L38*$N38*('Baseline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Projects'!Q$3,'Baseline scaling factors'!$B$48:$K$48,0))</f>
        <v>156.74930362714059</v>
      </c>
      <c r="R38" s="112">
        <f>VLOOKUP($A38,'Outage by Zone inputs'!$A$4:$E$13,MATCH('Baseline Projects'!$I38,'Outage by Zone inputs'!$A$3:$E$3,0),0)*'Baseline Projects'!$L38*$N38*('Baseline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Projects'!R$3,'Baseline scaling factors'!$B$54:$K$54,0))+VLOOKUP($A38,'Outage by Zone inputs'!$A$4:$E$13,MATCH('Baseline Projects'!$I38,'Outage by Zone inputs'!$A$3:$E$3,0),0)*'Baseline Projects'!$L38*$N38*('Baseline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Projects'!R$3,'Baseline scaling factors'!$B$48:$K$48,0))</f>
        <v>143.41941575143201</v>
      </c>
      <c r="S38" s="112">
        <f>VLOOKUP($A38,'Outage by Zone inputs'!$A$4:$E$13,MATCH('Baseline Projects'!$I38,'Outage by Zone inputs'!$A$3:$E$3,0),0)*'Baseline Projects'!$L38*$N38*('Baseline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Projects'!S$3,'Baseline scaling factors'!$B$54:$K$54,0))+VLOOKUP($A38,'Outage by Zone inputs'!$A$4:$E$13,MATCH('Baseline Projects'!$I38,'Outage by Zone inputs'!$A$3:$E$3,0),0)*'Baseline Projects'!$L38*$N38*('Baseline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Projects'!S$3,'Baseline scaling factors'!$B$48:$K$48,0))</f>
        <v>130.6768724760866</v>
      </c>
      <c r="T38" s="112">
        <f>VLOOKUP($A38,'Outage by Zone inputs'!$A$4:$E$13,MATCH('Baseline Projects'!$I38,'Outage by Zone inputs'!$A$3:$E$3,0),0)*'Baseline Projects'!$L38*$N38*('Baseline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Projects'!T$3,'Baseline scaling factors'!$B$54:$K$54,0))+VLOOKUP($A38,'Outage by Zone inputs'!$A$4:$E$13,MATCH('Baseline Projects'!$I38,'Outage by Zone inputs'!$A$3:$E$3,0),0)*'Baseline Projects'!$L38*$N38*('Baseline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Projects'!T$3,'Baseline scaling factors'!$B$48:$K$48,0))</f>
        <v>118.49579408757698</v>
      </c>
      <c r="U38" s="112">
        <f>VLOOKUP($A38,'Outage by Zone inputs'!$A$4:$E$13,MATCH('Baseline Projects'!$I38,'Outage by Zone inputs'!$A$3:$E$3,0),0)*'Baseline Projects'!$L38*$N38*('Baseline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Projects'!U$3,'Baseline scaling factors'!$B$54:$K$54,0))+VLOOKUP($A38,'Outage by Zone inputs'!$A$4:$E$13,MATCH('Baseline Projects'!$I38,'Outage by Zone inputs'!$A$3:$E$3,0),0)*'Baseline Projects'!$L38*$N38*('Baseline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Projects'!U$3,'Baseline scaling factors'!$B$48:$K$48,0))</f>
        <v>106.85144119029445</v>
      </c>
      <c r="V38" s="112">
        <f>VLOOKUP($A38,'Outage by Zone inputs'!$A$4:$E$13,MATCH('Baseline Projects'!$I38,'Outage by Zone inputs'!$A$3:$E$3,0),0)*'Baseline Projects'!$L38*$N38*('Baseline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Projects'!V$3,'Baseline scaling factors'!$B$54:$K$54,0))+VLOOKUP($A38,'Outage by Zone inputs'!$A$4:$E$13,MATCH('Baseline Projects'!$I38,'Outage by Zone inputs'!$A$3:$E$3,0),0)*'Baseline Projects'!$L38*$N38*('Baseline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Projects'!V$3,'Baseline scaling factors'!$B$48:$K$48,0))</f>
        <v>95.72016446159742</v>
      </c>
      <c r="W38" s="112">
        <f>VLOOKUP($A38,'Outage by Zone inputs'!$A$4:$E$13,MATCH('Baseline Projects'!$I38,'Outage by Zone inputs'!$A$3:$E$3,0),0)*'Baseline Projects'!$L38*$N38*('Baseline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Projects'!W$3,'Baseline scaling factors'!$B$54:$K$54,0))+VLOOKUP($A38,'Outage by Zone inputs'!$A$4:$E$13,MATCH('Baseline Projects'!$I38,'Outage by Zone inputs'!$A$3:$E$3,0),0)*'Baseline Projects'!$L38*$N38*('Baseline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Projects'!W$3,'Baseline scaling factors'!$B$48:$K$48,0))</f>
        <v>85.079356620764187</v>
      </c>
      <c r="X38" s="112">
        <f>VLOOKUP($A38,'Outage by Zone inputs'!$A$4:$E$13,MATCH('Baseline Projects'!$I38,'Outage by Zone inputs'!$A$3:$E$3,0),0)*'Baseline Projects'!$L38*$N38*('Baseline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Projects'!X$3,'Baseline scaling factors'!$B$54:$K$54,0))+VLOOKUP($A38,'Outage by Zone inputs'!$A$4:$E$13,MATCH('Baseline Projects'!$I38,'Outage by Zone inputs'!$A$3:$E$3,0),0)*'Baseline Projects'!$L38*$N38*('Baseline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Projects'!X$3,'Baseline scaling factors'!$B$48:$K$48,0))</f>
        <v>74.907406514301371</v>
      </c>
      <c r="Y38" s="112">
        <f>VLOOKUP($A38,'Outage by Zone inputs'!$A$4:$E$13,MATCH('Baseline Projects'!$I38,'Outage by Zone inputs'!$A$3:$E$3,0),0)*'Baseline Projects'!$L38*$N38*('Baseline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Projects'!Y$3,'Baseline scaling factors'!$B$54:$K$54,0))+VLOOKUP($A38,'Outage by Zone inputs'!$A$4:$E$13,MATCH('Baseline Projects'!$I38,'Outage by Zone inputs'!$A$3:$E$3,0),0)*'Baseline Projects'!$L38*$N38*('Baseline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Projects'!Y$3,'Baseline scaling factors'!$B$48:$K$48,0))</f>
        <v>65.183655224355348</v>
      </c>
      <c r="Z38" s="112">
        <f>VLOOKUP($A38,'Outage by Zone inputs'!$A$4:$E$13,MATCH('Baseline Projects'!$I38,'Outage by Zone inputs'!$A$3:$E$3,0),0)*'Baseline Projects'!$L38*$N38*('Baseline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Projects'!Z$3,'Baseline scaling factors'!$B$54:$K$54,0))+VLOOKUP($A38,'Outage by Zone inputs'!$A$4:$E$13,MATCH('Baseline Projects'!$I38,'Outage by Zone inputs'!$A$3:$E$3,0),0)*'Baseline Projects'!$L38*$N38*('Baseline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Projects'!Z$3,'Baseline scaling factors'!$B$48:$K$48,0))</f>
        <v>55.888354111085775</v>
      </c>
      <c r="AA38" s="34">
        <f>VLOOKUP($A38,'Outage by Zone inputs'!$A$4:$E$13,MATCH('Baseline Projects'!$I38,'Outage by Zone inputs'!$A$3:$E$3,0),0)*$M38*$N38*('Baseline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Projects'!AA$3,'Baseline scaling factors'!$B$54:$K$54,0))+VLOOKUP($A38,'Outage by Zone inputs'!$A$4:$E$13,MATCH('Baseline Projects'!$I38,'Outage by Zone inputs'!$A$3:$E$3,0),0)*$M38*$N38*('Baseline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Projects'!AA$3,'Baseline scaling factors'!$B$48:$K$48,0))</f>
        <v>27.031997963476783</v>
      </c>
      <c r="AB38" s="34">
        <f>VLOOKUP($A38,'Outage by Zone inputs'!$A$4:$E$13,MATCH('Baseline Projects'!$I38,'Outage by Zone inputs'!$A$3:$E$3,0),0)*$M38*$N38*('Baseline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Projects'!AB$3,'Baseline scaling factors'!$B$54:$K$54,0))+VLOOKUP($A38,'Outage by Zone inputs'!$A$4:$E$13,MATCH('Baseline Projects'!$I38,'Outage by Zone inputs'!$A$3:$E$3,0),0)*$M38*$N38*('Baseline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Projects'!AB$3,'Baseline scaling factors'!$B$48:$K$48,0))</f>
        <v>24.733209429355746</v>
      </c>
      <c r="AC38" s="34">
        <f>VLOOKUP($A38,'Outage by Zone inputs'!$A$4:$E$13,MATCH('Baseline Projects'!$I38,'Outage by Zone inputs'!$A$3:$E$3,0),0)*$M38*$N38*('Baseline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Projects'!AC$3,'Baseline scaling factors'!$B$54:$K$54,0))+VLOOKUP($A38,'Outage by Zone inputs'!$A$4:$E$13,MATCH('Baseline Projects'!$I38,'Outage by Zone inputs'!$A$3:$E$3,0),0)*$M38*$N38*('Baseline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Projects'!AC$3,'Baseline scaling factors'!$B$48:$K$48,0))</f>
        <v>22.535710646917707</v>
      </c>
      <c r="AD38" s="34">
        <f>VLOOKUP($A38,'Outage by Zone inputs'!$A$4:$E$13,MATCH('Baseline Projects'!$I38,'Outage by Zone inputs'!$A$3:$E$3,0),0)*$M38*$N38*('Baseline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Projects'!AD$3,'Baseline scaling factors'!$B$54:$K$54,0))+VLOOKUP($A38,'Outage by Zone inputs'!$A$4:$E$13,MATCH('Baseline Projects'!$I38,'Outage by Zone inputs'!$A$3:$E$3,0),0)*$M38*$N38*('Baseline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Projects'!AD$3,'Baseline scaling factors'!$B$48:$K$48,0))</f>
        <v>20.43503856371408</v>
      </c>
      <c r="AE38" s="34">
        <f>VLOOKUP($A38,'Outage by Zone inputs'!$A$4:$E$13,MATCH('Baseline Projects'!$I38,'Outage by Zone inputs'!$A$3:$E$3,0),0)*$M38*$N38*('Baseline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Projects'!AE$3,'Baseline scaling factors'!$B$54:$K$54,0))+VLOOKUP($A38,'Outage by Zone inputs'!$A$4:$E$13,MATCH('Baseline Projects'!$I38,'Outage by Zone inputs'!$A$3:$E$3,0),0)*$M38*$N38*('Baseline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Projects'!AE$3,'Baseline scaling factors'!$B$48:$K$48,0))</f>
        <v>18.426926779344758</v>
      </c>
      <c r="AF38" s="34">
        <f>VLOOKUP($A38,'Outage by Zone inputs'!$A$4:$E$13,MATCH('Baseline Projects'!$I38,'Outage by Zone inputs'!$A$3:$E$3,0),0)*$M38*$N38*('Baseline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Projects'!AF$3,'Baseline scaling factors'!$B$54:$K$54,0))+VLOOKUP($A38,'Outage by Zone inputs'!$A$4:$E$13,MATCH('Baseline Projects'!$I38,'Outage by Zone inputs'!$A$3:$E$3,0),0)*$M38*$N38*('Baseline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Projects'!AF$3,'Baseline scaling factors'!$B$48:$K$48,0))</f>
        <v>16.507296880530106</v>
      </c>
      <c r="AG38" s="34">
        <f>VLOOKUP($A38,'Outage by Zone inputs'!$A$4:$E$13,MATCH('Baseline Projects'!$I38,'Outage by Zone inputs'!$A$3:$E$3,0),0)*$M38*$N38*('Baseline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Projects'!AG$3,'Baseline scaling factors'!$B$54:$K$54,0))+VLOOKUP($A38,'Outage by Zone inputs'!$A$4:$E$13,MATCH('Baseline Projects'!$I38,'Outage by Zone inputs'!$A$3:$E$3,0),0)*$M38*$N38*('Baseline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Projects'!AG$3,'Baseline scaling factors'!$B$48:$K$48,0))</f>
        <v>14.672250157979008</v>
      </c>
      <c r="AH38" s="34">
        <f>VLOOKUP($A38,'Outage by Zone inputs'!$A$4:$E$13,MATCH('Baseline Projects'!$I38,'Outage by Zone inputs'!$A$3:$E$3,0),0)*$M38*$N38*('Baseline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Projects'!AH$3,'Baseline scaling factors'!$B$54:$K$54,0))+VLOOKUP($A38,'Outage by Zone inputs'!$A$4:$E$13,MATCH('Baseline Projects'!$I38,'Outage by Zone inputs'!$A$3:$E$3,0),0)*$M38*$N38*('Baseline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Projects'!AH$3,'Baseline scaling factors'!$B$48:$K$48,0))</f>
        <v>12.918059688230208</v>
      </c>
      <c r="AI38" s="34">
        <f>VLOOKUP($A38,'Outage by Zone inputs'!$A$4:$E$13,MATCH('Baseline Projects'!$I38,'Outage by Zone inputs'!$A$3:$E$3,0),0)*$M38*$N38*('Baseline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Projects'!AI$3,'Baseline scaling factors'!$B$54:$K$54,0))+VLOOKUP($A38,'Outage by Zone inputs'!$A$4:$E$13,MATCH('Baseline Projects'!$I38,'Outage by Zone inputs'!$A$3:$E$3,0),0)*$M38*$N38*('Baseline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Projects'!AI$3,'Baseline scaling factors'!$B$48:$K$48,0))</f>
        <v>11.241162764385352</v>
      </c>
      <c r="AJ38" s="34">
        <f>VLOOKUP($A38,'Outage by Zone inputs'!$A$4:$E$13,MATCH('Baseline Projects'!$I38,'Outage by Zone inputs'!$A$3:$E$3,0),0)*$M38*$N38*('Baseline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Projects'!AJ$3,'Baseline scaling factors'!$B$54:$K$54,0))+VLOOKUP($A38,'Outage by Zone inputs'!$A$4:$E$13,MATCH('Baseline Projects'!$I38,'Outage by Zone inputs'!$A$3:$E$3,0),0)*$M38*$N38*('Baseline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Projects'!AJ$3,'Baseline scaling factors'!$B$48:$K$48,0))</f>
        <v>9.6381536603608549</v>
      </c>
      <c r="AK38" s="1">
        <f t="shared" si="2"/>
        <v>3291.7353761699524</v>
      </c>
      <c r="AL38" s="1">
        <f t="shared" si="3"/>
        <v>3011.8077307800722</v>
      </c>
      <c r="AM38" s="1">
        <f t="shared" si="4"/>
        <v>2744.2143219978188</v>
      </c>
      <c r="AN38" s="1">
        <f t="shared" si="5"/>
        <v>2488.4116758391165</v>
      </c>
      <c r="AO38" s="1">
        <f t="shared" si="6"/>
        <v>2243.8802649961835</v>
      </c>
      <c r="AP38" s="1">
        <f t="shared" si="7"/>
        <v>2010.1234536935458</v>
      </c>
      <c r="AQ38" s="1">
        <f t="shared" si="8"/>
        <v>1786.666489036048</v>
      </c>
      <c r="AR38" s="1">
        <f t="shared" si="9"/>
        <v>1573.0555368003288</v>
      </c>
      <c r="AS38" s="1">
        <f t="shared" si="10"/>
        <v>1368.8567597114622</v>
      </c>
      <c r="AT38" s="1">
        <f t="shared" si="11"/>
        <v>1173.6554363328012</v>
      </c>
      <c r="AU38" s="1">
        <f t="shared" si="12"/>
        <v>105019.3120881073</v>
      </c>
      <c r="AV38" s="1">
        <f t="shared" si="13"/>
        <v>96088.518633047075</v>
      </c>
      <c r="AW38" s="1">
        <f t="shared" si="14"/>
        <v>87551.235863275288</v>
      </c>
      <c r="AX38" s="1">
        <f t="shared" si="15"/>
        <v>79390.124820029203</v>
      </c>
      <c r="AY38" s="1">
        <f t="shared" si="16"/>
        <v>71588.610537754386</v>
      </c>
      <c r="AZ38" s="1">
        <f t="shared" si="17"/>
        <v>64130.848380859461</v>
      </c>
      <c r="BA38" s="1">
        <f t="shared" si="18"/>
        <v>57001.691863748441</v>
      </c>
      <c r="BB38" s="1">
        <f t="shared" si="19"/>
        <v>50186.661888774361</v>
      </c>
      <c r="BC38" s="1">
        <f t="shared" si="20"/>
        <v>43671.917339637097</v>
      </c>
      <c r="BD38" s="1">
        <f t="shared" si="21"/>
        <v>37444.226970501921</v>
      </c>
      <c r="BE38" s="1">
        <f t="shared" si="22"/>
        <v>108311.04746427725</v>
      </c>
      <c r="BF38" s="1">
        <f t="shared" si="23"/>
        <v>99100.326363827146</v>
      </c>
      <c r="BG38" s="1">
        <f t="shared" si="24"/>
        <v>90295.450185273105</v>
      </c>
      <c r="BH38" s="1">
        <f t="shared" si="25"/>
        <v>81878.53649586832</v>
      </c>
      <c r="BI38" s="1">
        <f t="shared" si="26"/>
        <v>73832.490802750573</v>
      </c>
      <c r="BJ38" s="1">
        <f t="shared" si="27"/>
        <v>66140.971834553013</v>
      </c>
      <c r="BK38" s="1">
        <f t="shared" si="28"/>
        <v>58788.358352784489</v>
      </c>
      <c r="BL38" s="1">
        <f t="shared" si="29"/>
        <v>51759.717425574687</v>
      </c>
      <c r="BM38" s="1">
        <f t="shared" si="30"/>
        <v>45040.774099348557</v>
      </c>
      <c r="BN38" s="1">
        <f t="shared" si="31"/>
        <v>38617.882406834724</v>
      </c>
      <c r="BO38" s="25">
        <f>VLOOKUP($A38,'Outage by Zone inputs'!$A$59:$E$68,MATCH('Baseline Projects'!$I38,'Outage by Zone inputs'!$A$58:$E$58,0),0)*AVG_INCIDENT_PERCENT_NON_STORM</f>
        <v>13.007765575535226</v>
      </c>
      <c r="BP38" s="25">
        <f>$BO38*$N38*('Baseline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Projects'!Q$3,'Baseline scaling factors'!$B$54:$K$54,0))+$BO38*$N38*('Baseline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Projects'!Q$3,'Baseline scaling factors'!$B$48:$K$48,0))</f>
        <v>2.0517525961807745</v>
      </c>
      <c r="BQ38" s="25">
        <f>$BO38*$N38*('Baseline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Projects'!R$3,'Baseline scaling factors'!$B$54:$K$54,0))+$BO38*$N38*('Baseline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Projects'!R$3,'Baseline scaling factors'!$B$48:$K$48,0))</f>
        <v>1.8772725096801017</v>
      </c>
      <c r="BR38" s="25">
        <f>$BO38*$N38*('Baseline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Projects'!S$3,'Baseline scaling factors'!$B$54:$K$54,0))+$BO38*$N38*('Baseline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Projects'!S$3,'Baseline scaling factors'!$B$48:$K$48,0))</f>
        <v>1.7104804050763973</v>
      </c>
      <c r="BS38" s="25">
        <f>$BO38*$N38*('Baseline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Projects'!T$3,'Baseline scaling factors'!$B$54:$K$54,0))+$BO38*$N38*('Baseline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Projects'!T$3,'Baseline scaling factors'!$B$48:$K$48,0))</f>
        <v>1.5510375327344834</v>
      </c>
      <c r="BT38" s="25">
        <f>$BO38*$N38*('Baseline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Projects'!U$3,'Baseline scaling factors'!$B$54:$K$54,0))+$BO38*$N38*('Baseline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Projects'!U$3,'Baseline scaling factors'!$B$48:$K$48,0))</f>
        <v>1.3986200690838961</v>
      </c>
      <c r="BU38" s="25">
        <f>$BO38*$N38*('Baseline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Projects'!V$3,'Baseline scaling factors'!$B$54:$K$54,0))+$BO38*$N38*('Baseline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Projects'!V$3,'Baseline scaling factors'!$B$48:$K$48,0))</f>
        <v>1.2529184589431772</v>
      </c>
      <c r="BV38" s="25">
        <f>$BO38*$N38*('Baseline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Projects'!W$3,'Baseline scaling factors'!$B$54:$K$54,0))+$BO38*$N38*('Baseline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Projects'!W$3,'Baseline scaling factors'!$B$48:$K$48,0))</f>
        <v>1.1136367868228163</v>
      </c>
      <c r="BW38" s="25">
        <f>$BO38*$N38*('Baseline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Projects'!X$3,'Baseline scaling factors'!$B$54:$K$54,0))+$BO38*$N38*('Baseline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Projects'!X$3,'Baseline scaling factors'!$B$48:$K$48,0))</f>
        <v>0.98049217592999471</v>
      </c>
      <c r="BX38" s="25">
        <f>$BO38*$N38*('Baseline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Projects'!Y$3,'Baseline scaling factors'!$B$54:$K$54,0))+$BO38*$N38*('Baseline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Projects'!Y$3,'Baseline scaling factors'!$B$48:$K$48,0))</f>
        <v>0.85321421365451511</v>
      </c>
      <c r="BY38" s="25">
        <f>$BO38*$N38*('Baseline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Projects'!Z$3,'Baseline scaling factors'!$B$54:$K$54,0))+$BO38*$N38*('Baseline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Projects'!Z$3,'Baseline scaling factors'!$B$48:$K$48,0))</f>
        <v>0.73154440236910978</v>
      </c>
      <c r="BZ38" s="12">
        <f t="shared" si="32"/>
        <v>968.42722539732563</v>
      </c>
      <c r="CA38" s="12">
        <f t="shared" si="33"/>
        <v>886.07262456900798</v>
      </c>
      <c r="CB38" s="12">
        <f t="shared" si="34"/>
        <v>807.34675119605959</v>
      </c>
      <c r="CC38" s="12">
        <f t="shared" si="35"/>
        <v>732.08971545067618</v>
      </c>
      <c r="CD38" s="12">
        <f t="shared" si="36"/>
        <v>660.148672607599</v>
      </c>
      <c r="CE38" s="12">
        <f t="shared" si="37"/>
        <v>591.37751262117968</v>
      </c>
      <c r="CF38" s="12">
        <f t="shared" si="38"/>
        <v>525.63656338036935</v>
      </c>
      <c r="CG38" s="12">
        <f t="shared" si="39"/>
        <v>462.79230703895752</v>
      </c>
      <c r="CH38" s="12">
        <f t="shared" si="40"/>
        <v>402.71710884493115</v>
      </c>
      <c r="CI38" s="12">
        <f t="shared" si="41"/>
        <v>345.28895791821981</v>
      </c>
      <c r="CJ38" s="12">
        <f>'Mitigation Projects'!$AG38*VLOOKUP('Baseline Projects'!$H38&amp;"-"&amp;'Baseline Projects'!$G38,'Baseline scaling factors'!$A$49:$K$51,MATCH('Baseline Projects'!CJ$2,'Baseline scaling factors'!$A$48:$K$48,0),0)</f>
        <v>0</v>
      </c>
      <c r="CK38" s="12">
        <f>'Mitigation Projects'!$AG38*VLOOKUP('Baseline Projects'!$H38&amp;"-"&amp;'Baseline Projects'!$G38,'Baseline scaling factors'!$A$49:$K$51,MATCH('Baseline Projects'!CK$2,'Baseline scaling factors'!$A$48:$K$48,0),0)</f>
        <v>0</v>
      </c>
      <c r="CL38" s="12">
        <f>'Mitigation Projects'!$AG38*VLOOKUP('Baseline Projects'!$H38&amp;"-"&amp;'Baseline Projects'!$G38,'Baseline scaling factors'!$A$49:$K$51,MATCH('Baseline Projects'!CL$2,'Baseline scaling factors'!$A$48:$K$48,0),0)</f>
        <v>0</v>
      </c>
      <c r="CM38" s="12">
        <f>'Mitigation Projects'!$AG38*VLOOKUP('Baseline Projects'!$H38&amp;"-"&amp;'Baseline Projects'!$G38,'Baseline scaling factors'!$A$49:$K$51,MATCH('Baseline Projects'!CM$2,'Baseline scaling factors'!$A$48:$K$48,0),0)</f>
        <v>0</v>
      </c>
      <c r="CN38" s="12">
        <f>'Mitigation Projects'!$AG38*VLOOKUP('Baseline Projects'!$H38&amp;"-"&amp;'Baseline Projects'!$G38,'Baseline scaling factors'!$A$49:$K$51,MATCH('Baseline Projects'!CN$2,'Baseline scaling factors'!$A$48:$K$48,0),0)</f>
        <v>0</v>
      </c>
      <c r="CO38" s="12">
        <f>'Mitigation Projects'!$AG38*VLOOKUP('Baseline Projects'!$H38&amp;"-"&amp;'Baseline Projects'!$G38,'Baseline scaling factors'!$A$49:$K$51,MATCH('Baseline Projects'!CO$2,'Baseline scaling factors'!$A$48:$K$48,0),0)</f>
        <v>0</v>
      </c>
      <c r="CP38" s="12">
        <f>'Mitigation Projects'!$AG38*VLOOKUP('Baseline Projects'!$H38&amp;"-"&amp;'Baseline Projects'!$G38,'Baseline scaling factors'!$A$49:$K$51,MATCH('Baseline Projects'!CP$2,'Baseline scaling factors'!$A$48:$K$48,0),0)</f>
        <v>0</v>
      </c>
      <c r="CQ38" s="12">
        <f>'Mitigation Projects'!$AG38*VLOOKUP('Baseline Projects'!$H38&amp;"-"&amp;'Baseline Projects'!$G38,'Baseline scaling factors'!$A$49:$K$51,MATCH('Baseline Projects'!CQ$2,'Baseline scaling factors'!$A$48:$K$48,0),0)</f>
        <v>0</v>
      </c>
      <c r="CR38" s="12">
        <f>'Mitigation Projects'!$AG38*VLOOKUP('Baseline Projects'!$H38&amp;"-"&amp;'Baseline Projects'!$G38,'Baseline scaling factors'!$A$49:$K$51,MATCH('Baseline Projects'!CR$2,'Baseline scaling factors'!$A$48:$K$48,0),0)</f>
        <v>0</v>
      </c>
      <c r="CS38" s="12">
        <f>'Mitigation Projects'!$AG38*VLOOKUP('Baseline Projects'!$H38&amp;"-"&amp;'Baseline Projects'!$G38,'Baseline scaling factors'!$A$49:$K$51,MATCH('Baseline Projects'!CS$2,'Baseline scaling factors'!$A$48:$K$48,0),0)</f>
        <v>0</v>
      </c>
      <c r="CT38" s="12">
        <f>'Mitigation Projects'!$AH38*VLOOKUP('Baseline Projects'!$H38&amp;"-"&amp;'Baseline Projects'!$G38,'Baseline scaling factors'!$A$49:$K$51,MATCH('Baseline Projects'!CT$2,'Baseline scaling factors'!$A$48:$K$48,0),0)</f>
        <v>0</v>
      </c>
      <c r="CU38" s="12">
        <f>'Mitigation Projects'!$AH38*VLOOKUP('Baseline Projects'!$H38&amp;"-"&amp;'Baseline Projects'!$G38,'Baseline scaling factors'!$A$49:$K$51,MATCH('Baseline Projects'!CU$2,'Baseline scaling factors'!$A$48:$K$48,0),0)</f>
        <v>0</v>
      </c>
      <c r="CV38" s="12">
        <f>'Mitigation Projects'!$AH38*VLOOKUP('Baseline Projects'!$H38&amp;"-"&amp;'Baseline Projects'!$G38,'Baseline scaling factors'!$A$49:$K$51,MATCH('Baseline Projects'!CV$2,'Baseline scaling factors'!$A$48:$K$48,0),0)</f>
        <v>0</v>
      </c>
      <c r="CW38" s="12">
        <f>'Mitigation Projects'!$AH38*VLOOKUP('Baseline Projects'!$H38&amp;"-"&amp;'Baseline Projects'!$G38,'Baseline scaling factors'!$A$49:$K$51,MATCH('Baseline Projects'!CW$2,'Baseline scaling factors'!$A$48:$K$48,0),0)</f>
        <v>0</v>
      </c>
      <c r="CX38" s="12">
        <f>'Mitigation Projects'!$AH38*VLOOKUP('Baseline Projects'!$H38&amp;"-"&amp;'Baseline Projects'!$G38,'Baseline scaling factors'!$A$49:$K$51,MATCH('Baseline Projects'!CX$2,'Baseline scaling factors'!$A$48:$K$48,0),0)</f>
        <v>0</v>
      </c>
      <c r="CY38" s="12">
        <f>'Mitigation Projects'!$AH38*VLOOKUP('Baseline Projects'!$H38&amp;"-"&amp;'Baseline Projects'!$G38,'Baseline scaling factors'!$A$49:$K$51,MATCH('Baseline Projects'!CY$2,'Baseline scaling factors'!$A$48:$K$48,0),0)</f>
        <v>0</v>
      </c>
      <c r="CZ38" s="12">
        <f>'Mitigation Projects'!$AH38*VLOOKUP('Baseline Projects'!$H38&amp;"-"&amp;'Baseline Projects'!$G38,'Baseline scaling factors'!$A$49:$K$51,MATCH('Baseline Projects'!CZ$2,'Baseline scaling factors'!$A$48:$K$48,0),0)</f>
        <v>0</v>
      </c>
      <c r="DA38" s="12">
        <f>'Mitigation Projects'!$AH38*VLOOKUP('Baseline Projects'!$H38&amp;"-"&amp;'Baseline Projects'!$G38,'Baseline scaling factors'!$A$49:$K$51,MATCH('Baseline Projects'!DA$2,'Baseline scaling factors'!$A$48:$K$48,0),0)</f>
        <v>0</v>
      </c>
      <c r="DB38" s="12">
        <f>'Mitigation Projects'!$AH38*VLOOKUP('Baseline Projects'!$H38&amp;"-"&amp;'Baseline Projects'!$G38,'Baseline scaling factors'!$A$49:$K$51,MATCH('Baseline Projects'!DB$2,'Baseline scaling factors'!$A$48:$K$48,0),0)</f>
        <v>0</v>
      </c>
      <c r="DC38" s="12">
        <f>'Mitigation Projects'!$AH38*VLOOKUP('Baseline Projects'!$H38&amp;"-"&amp;'Baseline Projects'!$G38,'Baseline scaling factors'!$A$49:$K$51,MATCH('Baseline Projects'!DC$2,'Baseline scaling factors'!$A$48:$K$48,0),0)</f>
        <v>0</v>
      </c>
    </row>
    <row r="39" spans="1:107" x14ac:dyDescent="0.4">
      <c r="A39" s="38" t="str">
        <f>'Mitigation Projects'!A39</f>
        <v>SB-G91</v>
      </c>
      <c r="B39" s="38" t="str">
        <f>'Mitigation Projects'!B39</f>
        <v>Rutland</v>
      </c>
      <c r="C39" s="39">
        <f>'Mitigation Projects'!C39</f>
        <v>204891</v>
      </c>
      <c r="D39" s="39" t="str">
        <f>'Mitigation Projects'!D39</f>
        <v>204891: WO212564 - L8 P298 thru P215</v>
      </c>
      <c r="E39" s="39">
        <f>'Mitigation Projects'!E39</f>
        <v>531232</v>
      </c>
      <c r="F39" s="39">
        <f>'Mitigation Projects'!F39</f>
        <v>652334</v>
      </c>
      <c r="G39" s="39" t="str">
        <f>'Mitigation Projects'!G39</f>
        <v>3PH</v>
      </c>
      <c r="H39" s="39" t="str">
        <f>'Mitigation Projects'!H39</f>
        <v>OH</v>
      </c>
      <c r="I39" s="39" t="str">
        <f>'Mitigation Projects'!J39</f>
        <v>Zone 2</v>
      </c>
      <c r="J39" s="39">
        <f>'Mitigation Projects'!K39</f>
        <v>544</v>
      </c>
      <c r="K39" s="40">
        <f>'Mitigation Projects'!L39*BASELINE_CAP_SPEND</f>
        <v>241866.6</v>
      </c>
      <c r="L39" s="97">
        <f>'Mitigation Projects'!Q39</f>
        <v>0.79882154882154888</v>
      </c>
      <c r="M39" s="97">
        <f>'Mitigation Projects'!R39</f>
        <v>0.20117845117845112</v>
      </c>
      <c r="N39" s="98">
        <f>'Mitigation Projects'!S39</f>
        <v>1</v>
      </c>
      <c r="O39" s="26">
        <f t="shared" si="0"/>
        <v>0.9</v>
      </c>
      <c r="P39" s="26">
        <f t="shared" si="1"/>
        <v>0.80330442615766917</v>
      </c>
      <c r="Q39" s="112">
        <f>VLOOKUP($A39,'Outage by Zone inputs'!$A$4:$E$13,MATCH('Baseline Projects'!$I39,'Outage by Zone inputs'!$A$3:$E$3,0),0)*'Baseline Projects'!$L39*$N39*('Baseline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Projects'!Q$3,'Baseline scaling factors'!$B$54:$K$54,0))+VLOOKUP($A39,'Outage by Zone inputs'!$A$4:$E$13,MATCH('Baseline Projects'!$I39,'Outage by Zone inputs'!$A$3:$E$3,0),0)*'Baseline Projects'!$L39*$N39*('Baseline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Projects'!Q$3,'Baseline scaling factors'!$B$48:$K$48,0))</f>
        <v>1798.1380341845108</v>
      </c>
      <c r="R39" s="112">
        <f>VLOOKUP($A39,'Outage by Zone inputs'!$A$4:$E$13,MATCH('Baseline Projects'!$I39,'Outage by Zone inputs'!$A$3:$E$3,0),0)*'Baseline Projects'!$L39*$N39*('Baseline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Projects'!R$3,'Baseline scaling factors'!$B$54:$K$54,0))+VLOOKUP($A39,'Outage by Zone inputs'!$A$4:$E$13,MATCH('Baseline Projects'!$I39,'Outage by Zone inputs'!$A$3:$E$3,0),0)*'Baseline Projects'!$L39*$N39*('Baseline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Projects'!R$3,'Baseline scaling factors'!$B$48:$K$48,0))</f>
        <v>1664.1806856047285</v>
      </c>
      <c r="S39" s="112">
        <f>VLOOKUP($A39,'Outage by Zone inputs'!$A$4:$E$13,MATCH('Baseline Projects'!$I39,'Outage by Zone inputs'!$A$3:$E$3,0),0)*'Baseline Projects'!$L39*$N39*('Baseline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Projects'!S$3,'Baseline scaling factors'!$B$54:$K$54,0))+VLOOKUP($A39,'Outage by Zone inputs'!$A$4:$E$13,MATCH('Baseline Projects'!$I39,'Outage by Zone inputs'!$A$3:$E$3,0),0)*'Baseline Projects'!$L39*$N39*('Baseline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Projects'!S$3,'Baseline scaling factors'!$B$48:$K$48,0))</f>
        <v>1536.1257966780904</v>
      </c>
      <c r="T39" s="112">
        <f>VLOOKUP($A39,'Outage by Zone inputs'!$A$4:$E$13,MATCH('Baseline Projects'!$I39,'Outage by Zone inputs'!$A$3:$E$3,0),0)*'Baseline Projects'!$L39*$N39*('Baseline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Projects'!T$3,'Baseline scaling factors'!$B$54:$K$54,0))+VLOOKUP($A39,'Outage by Zone inputs'!$A$4:$E$13,MATCH('Baseline Projects'!$I39,'Outage by Zone inputs'!$A$3:$E$3,0),0)*'Baseline Projects'!$L39*$N39*('Baseline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Projects'!T$3,'Baseline scaling factors'!$B$48:$K$48,0))</f>
        <v>1413.7132918631919</v>
      </c>
      <c r="U39" s="112">
        <f>VLOOKUP($A39,'Outage by Zone inputs'!$A$4:$E$13,MATCH('Baseline Projects'!$I39,'Outage by Zone inputs'!$A$3:$E$3,0),0)*'Baseline Projects'!$L39*$N39*('Baseline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Projects'!U$3,'Baseline scaling factors'!$B$54:$K$54,0))+VLOOKUP($A39,'Outage by Zone inputs'!$A$4:$E$13,MATCH('Baseline Projects'!$I39,'Outage by Zone inputs'!$A$3:$E$3,0),0)*'Baseline Projects'!$L39*$N39*('Baseline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Projects'!U$3,'Baseline scaling factors'!$B$48:$K$48,0))</f>
        <v>1296.6945551272424</v>
      </c>
      <c r="V39" s="112">
        <f>VLOOKUP($A39,'Outage by Zone inputs'!$A$4:$E$13,MATCH('Baseline Projects'!$I39,'Outage by Zone inputs'!$A$3:$E$3,0),0)*'Baseline Projects'!$L39*$N39*('Baseline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Projects'!V$3,'Baseline scaling factors'!$B$54:$K$54,0))+VLOOKUP($A39,'Outage by Zone inputs'!$A$4:$E$13,MATCH('Baseline Projects'!$I39,'Outage by Zone inputs'!$A$3:$E$3,0),0)*'Baseline Projects'!$L39*$N39*('Baseline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Projects'!V$3,'Baseline scaling factors'!$B$48:$K$48,0))</f>
        <v>1184.8319250145473</v>
      </c>
      <c r="W39" s="112">
        <f>VLOOKUP($A39,'Outage by Zone inputs'!$A$4:$E$13,MATCH('Baseline Projects'!$I39,'Outage by Zone inputs'!$A$3:$E$3,0),0)*'Baseline Projects'!$L39*$N39*('Baseline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Projects'!W$3,'Baseline scaling factors'!$B$54:$K$54,0))+VLOOKUP($A39,'Outage by Zone inputs'!$A$4:$E$13,MATCH('Baseline Projects'!$I39,'Outage by Zone inputs'!$A$3:$E$3,0),0)*'Baseline Projects'!$L39*$N39*('Baseline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Projects'!W$3,'Baseline scaling factors'!$B$48:$K$48,0))</f>
        <v>1077.8982119634011</v>
      </c>
      <c r="X39" s="112">
        <f>VLOOKUP($A39,'Outage by Zone inputs'!$A$4:$E$13,MATCH('Baseline Projects'!$I39,'Outage by Zone inputs'!$A$3:$E$3,0),0)*'Baseline Projects'!$L39*$N39*('Baseline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Projects'!X$3,'Baseline scaling factors'!$B$54:$K$54,0))+VLOOKUP($A39,'Outage by Zone inputs'!$A$4:$E$13,MATCH('Baseline Projects'!$I39,'Outage by Zone inputs'!$A$3:$E$3,0),0)*'Baseline Projects'!$L39*$N39*('Baseline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Projects'!X$3,'Baseline scaling factors'!$B$48:$K$48,0))</f>
        <v>975.67623689107427</v>
      </c>
      <c r="Y39" s="112">
        <f>VLOOKUP($A39,'Outage by Zone inputs'!$A$4:$E$13,MATCH('Baseline Projects'!$I39,'Outage by Zone inputs'!$A$3:$E$3,0),0)*'Baseline Projects'!$L39*$N39*('Baseline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Projects'!Y$3,'Baseline scaling factors'!$B$54:$K$54,0))+VLOOKUP($A39,'Outage by Zone inputs'!$A$4:$E$13,MATCH('Baseline Projects'!$I39,'Outage by Zone inputs'!$A$3:$E$3,0),0)*'Baseline Projects'!$L39*$N39*('Baseline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Projects'!Y$3,'Baseline scaling factors'!$B$48:$K$48,0))</f>
        <v>877.95839010977397</v>
      </c>
      <c r="Z39" s="112">
        <f>VLOOKUP($A39,'Outage by Zone inputs'!$A$4:$E$13,MATCH('Baseline Projects'!$I39,'Outage by Zone inputs'!$A$3:$E$3,0),0)*'Baseline Projects'!$L39*$N39*('Baseline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Projects'!Z$3,'Baseline scaling factors'!$B$54:$K$54,0))+VLOOKUP($A39,'Outage by Zone inputs'!$A$4:$E$13,MATCH('Baseline Projects'!$I39,'Outage by Zone inputs'!$A$3:$E$3,0),0)*'Baseline Projects'!$L39*$N39*('Baseline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Projects'!Z$3,'Baseline scaling factors'!$B$48:$K$48,0))</f>
        <v>784.54620967775384</v>
      </c>
      <c r="AA39" s="34">
        <f>VLOOKUP($A39,'Outage by Zone inputs'!$A$4:$E$13,MATCH('Baseline Projects'!$I39,'Outage by Zone inputs'!$A$3:$E$3,0),0)*$M39*$N39*('Baseline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Projects'!AA$3,'Baseline scaling factors'!$B$54:$K$54,0))+VLOOKUP($A39,'Outage by Zone inputs'!$A$4:$E$13,MATCH('Baseline Projects'!$I39,'Outage by Zone inputs'!$A$3:$E$3,0),0)*$M39*$N39*('Baseline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Projects'!AA$3,'Baseline scaling factors'!$B$48:$K$48,0))</f>
        <v>452.85035845110428</v>
      </c>
      <c r="AB39" s="34">
        <f>VLOOKUP($A39,'Outage by Zone inputs'!$A$4:$E$13,MATCH('Baseline Projects'!$I39,'Outage by Zone inputs'!$A$3:$E$3,0),0)*$M39*$N39*('Baseline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Projects'!AB$3,'Baseline scaling factors'!$B$54:$K$54,0))+VLOOKUP($A39,'Outage by Zone inputs'!$A$4:$E$13,MATCH('Baseline Projects'!$I39,'Outage by Zone inputs'!$A$3:$E$3,0),0)*$M39*$N39*('Baseline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Projects'!AB$3,'Baseline scaling factors'!$B$48:$K$48,0))</f>
        <v>419.11399774449944</v>
      </c>
      <c r="AC39" s="34">
        <f>VLOOKUP($A39,'Outage by Zone inputs'!$A$4:$E$13,MATCH('Baseline Projects'!$I39,'Outage by Zone inputs'!$A$3:$E$3,0),0)*$M39*$N39*('Baseline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Projects'!AC$3,'Baseline scaling factors'!$B$54:$K$54,0))+VLOOKUP($A39,'Outage by Zone inputs'!$A$4:$E$13,MATCH('Baseline Projects'!$I39,'Outage by Zone inputs'!$A$3:$E$3,0),0)*$M39*$N39*('Baseline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Projects'!AC$3,'Baseline scaling factors'!$B$48:$K$48,0))</f>
        <v>386.86413636044625</v>
      </c>
      <c r="AD39" s="34">
        <f>VLOOKUP($A39,'Outage by Zone inputs'!$A$4:$E$13,MATCH('Baseline Projects'!$I39,'Outage by Zone inputs'!$A$3:$E$3,0),0)*$M39*$N39*('Baseline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Projects'!AD$3,'Baseline scaling factors'!$B$54:$K$54,0))+VLOOKUP($A39,'Outage by Zone inputs'!$A$4:$E$13,MATCH('Baseline Projects'!$I39,'Outage by Zone inputs'!$A$3:$E$3,0),0)*$M39*$N39*('Baseline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Projects'!AD$3,'Baseline scaling factors'!$B$48:$K$48,0))</f>
        <v>356.03527582223688</v>
      </c>
      <c r="AE39" s="34">
        <f>VLOOKUP($A39,'Outage by Zone inputs'!$A$4:$E$13,MATCH('Baseline Projects'!$I39,'Outage by Zone inputs'!$A$3:$E$3,0),0)*$M39*$N39*('Baseline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Projects'!AE$3,'Baseline scaling factors'!$B$54:$K$54,0))+VLOOKUP($A39,'Outage by Zone inputs'!$A$4:$E$13,MATCH('Baseline Projects'!$I39,'Outage by Zone inputs'!$A$3:$E$3,0),0)*$M39*$N39*('Baseline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Projects'!AE$3,'Baseline scaling factors'!$B$48:$K$48,0))</f>
        <v>326.5648036621821</v>
      </c>
      <c r="AF39" s="34">
        <f>VLOOKUP($A39,'Outage by Zone inputs'!$A$4:$E$13,MATCH('Baseline Projects'!$I39,'Outage by Zone inputs'!$A$3:$E$3,0),0)*$M39*$N39*('Baseline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Projects'!AF$3,'Baseline scaling factors'!$B$54:$K$54,0))+VLOOKUP($A39,'Outage by Zone inputs'!$A$4:$E$13,MATCH('Baseline Projects'!$I39,'Outage by Zone inputs'!$A$3:$E$3,0),0)*$M39*$N39*('Baseline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Projects'!AF$3,'Baseline scaling factors'!$B$48:$K$48,0))</f>
        <v>298.39286625761508</v>
      </c>
      <c r="AG39" s="34">
        <f>VLOOKUP($A39,'Outage by Zone inputs'!$A$4:$E$13,MATCH('Baseline Projects'!$I39,'Outage by Zone inputs'!$A$3:$E$3,0),0)*$M39*$N39*('Baseline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Projects'!AG$3,'Baseline scaling factors'!$B$54:$K$54,0))+VLOOKUP($A39,'Outage by Zone inputs'!$A$4:$E$13,MATCH('Baseline Projects'!$I39,'Outage by Zone inputs'!$A$3:$E$3,0),0)*$M39*$N39*('Baseline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Projects'!AG$3,'Baseline scaling factors'!$B$48:$K$48,0))</f>
        <v>271.46224727002402</v>
      </c>
      <c r="AH39" s="34">
        <f>VLOOKUP($A39,'Outage by Zone inputs'!$A$4:$E$13,MATCH('Baseline Projects'!$I39,'Outage by Zone inputs'!$A$3:$E$3,0),0)*$M39*$N39*('Baseline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Projects'!AH$3,'Baseline scaling factors'!$B$54:$K$54,0))+VLOOKUP($A39,'Outage by Zone inputs'!$A$4:$E$13,MATCH('Baseline Projects'!$I39,'Outage by Zone inputs'!$A$3:$E$3,0),0)*$M39*$N39*('Baseline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Projects'!AH$3,'Baseline scaling factors'!$B$48:$K$48,0))</f>
        <v>245.71825144042853</v>
      </c>
      <c r="AI39" s="34">
        <f>VLOOKUP($A39,'Outage by Zone inputs'!$A$4:$E$13,MATCH('Baseline Projects'!$I39,'Outage by Zone inputs'!$A$3:$E$3,0),0)*$M39*$N39*('Baseline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Projects'!AI$3,'Baseline scaling factors'!$B$54:$K$54,0))+VLOOKUP($A39,'Outage by Zone inputs'!$A$4:$E$13,MATCH('Baseline Projects'!$I39,'Outage by Zone inputs'!$A$3:$E$3,0),0)*$M39*$N39*('Baseline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Projects'!AI$3,'Baseline scaling factors'!$B$48:$K$48,0))</f>
        <v>221.10859350499044</v>
      </c>
      <c r="AJ39" s="34">
        <f>VLOOKUP($A39,'Outage by Zone inputs'!$A$4:$E$13,MATCH('Baseline Projects'!$I39,'Outage by Zone inputs'!$A$3:$E$3,0),0)*$M39*$N39*('Baseline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Projects'!AJ$3,'Baseline scaling factors'!$B$54:$K$54,0))+VLOOKUP($A39,'Outage by Zone inputs'!$A$4:$E$13,MATCH('Baseline Projects'!$I39,'Outage by Zone inputs'!$A$3:$E$3,0),0)*$M39*$N39*('Baseline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Projects'!AJ$3,'Baseline scaling factors'!$B$48:$K$48,0))</f>
        <v>197.58329200525091</v>
      </c>
      <c r="AK39" s="1">
        <f t="shared" si="2"/>
        <v>37760.898717874727</v>
      </c>
      <c r="AL39" s="1">
        <f t="shared" si="3"/>
        <v>34947.794397699297</v>
      </c>
      <c r="AM39" s="1">
        <f t="shared" si="4"/>
        <v>32258.641730239899</v>
      </c>
      <c r="AN39" s="1">
        <f t="shared" si="5"/>
        <v>29687.97912912703</v>
      </c>
      <c r="AO39" s="1">
        <f t="shared" si="6"/>
        <v>27230.585657672091</v>
      </c>
      <c r="AP39" s="1">
        <f t="shared" si="7"/>
        <v>24881.470425305495</v>
      </c>
      <c r="AQ39" s="1">
        <f t="shared" si="8"/>
        <v>22635.862451231424</v>
      </c>
      <c r="AR39" s="1">
        <f t="shared" si="9"/>
        <v>20489.200974712559</v>
      </c>
      <c r="AS39" s="1">
        <f t="shared" si="10"/>
        <v>18437.126192305252</v>
      </c>
      <c r="AT39" s="1">
        <f t="shared" si="11"/>
        <v>16475.47040323283</v>
      </c>
      <c r="AU39" s="1">
        <f t="shared" si="12"/>
        <v>1759323.6425825402</v>
      </c>
      <c r="AV39" s="1">
        <f t="shared" si="13"/>
        <v>1628257.8812373804</v>
      </c>
      <c r="AW39" s="1">
        <f t="shared" si="14"/>
        <v>1502967.1697603336</v>
      </c>
      <c r="AX39" s="1">
        <f t="shared" si="15"/>
        <v>1383197.0465693902</v>
      </c>
      <c r="AY39" s="1">
        <f t="shared" si="16"/>
        <v>1268704.2622275774</v>
      </c>
      <c r="AZ39" s="1">
        <f t="shared" si="17"/>
        <v>1159256.2854108347</v>
      </c>
      <c r="BA39" s="1">
        <f t="shared" si="18"/>
        <v>1054630.8306440434</v>
      </c>
      <c r="BB39" s="1">
        <f t="shared" si="19"/>
        <v>954615.40684606484</v>
      </c>
      <c r="BC39" s="1">
        <f t="shared" si="20"/>
        <v>859006.8857668878</v>
      </c>
      <c r="BD39" s="1">
        <f t="shared" si="21"/>
        <v>767611.08944039978</v>
      </c>
      <c r="BE39" s="1">
        <f t="shared" si="22"/>
        <v>1797084.5413004148</v>
      </c>
      <c r="BF39" s="1">
        <f t="shared" si="23"/>
        <v>1663205.6756350799</v>
      </c>
      <c r="BG39" s="1">
        <f t="shared" si="24"/>
        <v>1535225.8114905735</v>
      </c>
      <c r="BH39" s="1">
        <f t="shared" si="25"/>
        <v>1412885.0256985172</v>
      </c>
      <c r="BI39" s="1">
        <f t="shared" si="26"/>
        <v>1295934.8478852494</v>
      </c>
      <c r="BJ39" s="1">
        <f t="shared" si="27"/>
        <v>1184137.7558361401</v>
      </c>
      <c r="BK39" s="1">
        <f t="shared" si="28"/>
        <v>1077266.6930952747</v>
      </c>
      <c r="BL39" s="1">
        <f t="shared" si="29"/>
        <v>975104.60782077746</v>
      </c>
      <c r="BM39" s="1">
        <f t="shared" si="30"/>
        <v>877444.01195919304</v>
      </c>
      <c r="BN39" s="1">
        <f t="shared" si="31"/>
        <v>784086.55984363263</v>
      </c>
      <c r="BO39" s="25">
        <f>VLOOKUP($A39,'Outage by Zone inputs'!$A$59:$E$68,MATCH('Baseline Projects'!$I39,'Outage by Zone inputs'!$A$58:$E$58,0),0)*AVG_INCIDENT_PERCENT_NON_STORM</f>
        <v>11.29956594811059</v>
      </c>
      <c r="BP39" s="25">
        <f>$BO39*$N39*('Baseline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Projects'!Q$3,'Baseline scaling factors'!$B$54:$K$54,0))+$BO39*$N39*('Baseline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Projects'!Q$3,'Baseline scaling factors'!$B$48:$K$48,0))</f>
        <v>10.482636727530595</v>
      </c>
      <c r="BQ39" s="25">
        <f>$BO39*$N39*('Baseline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Projects'!R$3,'Baseline scaling factors'!$B$54:$K$54,0))+$BO39*$N39*('Baseline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Projects'!R$3,'Baseline scaling factors'!$B$48:$K$48,0))</f>
        <v>9.7017032310752533</v>
      </c>
      <c r="BR39" s="25">
        <f>$BO39*$N39*('Baseline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Projects'!S$3,'Baseline scaling factors'!$B$54:$K$54,0))+$BO39*$N39*('Baseline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Projects'!S$3,'Baseline scaling factors'!$B$48:$K$48,0))</f>
        <v>8.9551794068289077</v>
      </c>
      <c r="BS39" s="25">
        <f>$BO39*$N39*('Baseline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Projects'!T$3,'Baseline scaling factors'!$B$54:$K$54,0))+$BO39*$N39*('Baseline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Projects'!T$3,'Baseline scaling factors'!$B$48:$K$48,0))</f>
        <v>8.2415490878619728</v>
      </c>
      <c r="BT39" s="25">
        <f>$BO39*$N39*('Baseline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Projects'!U$3,'Baseline scaling factors'!$B$54:$K$54,0))+$BO39*$N39*('Baseline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Projects'!U$3,'Baseline scaling factors'!$B$48:$K$48,0))</f>
        <v>7.5593629129425288</v>
      </c>
      <c r="BU39" s="25">
        <f>$BO39*$N39*('Baseline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Projects'!V$3,'Baseline scaling factors'!$B$54:$K$54,0))+$BO39*$N39*('Baseline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Projects'!V$3,'Baseline scaling factors'!$B$48:$K$48,0))</f>
        <v>6.9072353829282322</v>
      </c>
      <c r="BV39" s="25">
        <f>$BO39*$N39*('Baseline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Projects'!W$3,'Baseline scaling factors'!$B$54:$K$54,0))+$BO39*$N39*('Baseline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Projects'!W$3,'Baseline scaling factors'!$B$48:$K$48,0))</f>
        <v>6.2838420468601637</v>
      </c>
      <c r="BW39" s="25">
        <f>$BO39*$N39*('Baseline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Projects'!X$3,'Baseline scaling factors'!$B$54:$K$54,0))+$BO39*$N39*('Baseline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Projects'!X$3,'Baseline scaling factors'!$B$48:$K$48,0))</f>
        <v>5.6879168120436603</v>
      </c>
      <c r="BX39" s="25">
        <f>$BO39*$N39*('Baseline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Projects'!Y$3,'Baseline scaling factors'!$B$54:$K$54,0))+$BO39*$N39*('Baseline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Projects'!Y$3,'Baseline scaling factors'!$B$48:$K$48,0))</f>
        <v>5.1182493726529881</v>
      </c>
      <c r="BY39" s="25">
        <f>$BO39*$N39*('Baseline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Projects'!Z$3,'Baseline scaling factors'!$B$54:$K$54,0))+$BO39*$N39*('Baseline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Projects'!Z$3,'Baseline scaling factors'!$B$48:$K$48,0))</f>
        <v>4.5736827516374348</v>
      </c>
      <c r="BZ39" s="12">
        <f t="shared" si="32"/>
        <v>4947.8045353944408</v>
      </c>
      <c r="CA39" s="12">
        <f t="shared" si="33"/>
        <v>4579.2039250675198</v>
      </c>
      <c r="CB39" s="12">
        <f t="shared" si="34"/>
        <v>4226.8446800232441</v>
      </c>
      <c r="CC39" s="12">
        <f t="shared" si="35"/>
        <v>3890.0111694708512</v>
      </c>
      <c r="CD39" s="12">
        <f t="shared" si="36"/>
        <v>3568.0192949088737</v>
      </c>
      <c r="CE39" s="12">
        <f t="shared" si="37"/>
        <v>3260.2151007421257</v>
      </c>
      <c r="CF39" s="12">
        <f t="shared" si="38"/>
        <v>2965.9734461179974</v>
      </c>
      <c r="CG39" s="12">
        <f t="shared" si="39"/>
        <v>2684.6967352846077</v>
      </c>
      <c r="CH39" s="12">
        <f t="shared" si="40"/>
        <v>2415.8137038922105</v>
      </c>
      <c r="CI39" s="12">
        <f t="shared" si="41"/>
        <v>2158.7782587728693</v>
      </c>
      <c r="CJ39" s="12">
        <f>'Mitigation Projects'!$AG39*VLOOKUP('Baseline Projects'!$H39&amp;"-"&amp;'Baseline Projects'!$G39,'Baseline scaling factors'!$A$49:$K$51,MATCH('Baseline Projects'!CJ$2,'Baseline scaling factors'!$A$48:$K$48,0),0)</f>
        <v>0</v>
      </c>
      <c r="CK39" s="12">
        <f>'Mitigation Projects'!$AG39*VLOOKUP('Baseline Projects'!$H39&amp;"-"&amp;'Baseline Projects'!$G39,'Baseline scaling factors'!$A$49:$K$51,MATCH('Baseline Projects'!CK$2,'Baseline scaling factors'!$A$48:$K$48,0),0)</f>
        <v>0</v>
      </c>
      <c r="CL39" s="12">
        <f>'Mitigation Projects'!$AG39*VLOOKUP('Baseline Projects'!$H39&amp;"-"&amp;'Baseline Projects'!$G39,'Baseline scaling factors'!$A$49:$K$51,MATCH('Baseline Projects'!CL$2,'Baseline scaling factors'!$A$48:$K$48,0),0)</f>
        <v>0</v>
      </c>
      <c r="CM39" s="12">
        <f>'Mitigation Projects'!$AG39*VLOOKUP('Baseline Projects'!$H39&amp;"-"&amp;'Baseline Projects'!$G39,'Baseline scaling factors'!$A$49:$K$51,MATCH('Baseline Projects'!CM$2,'Baseline scaling factors'!$A$48:$K$48,0),0)</f>
        <v>0</v>
      </c>
      <c r="CN39" s="12">
        <f>'Mitigation Projects'!$AG39*VLOOKUP('Baseline Projects'!$H39&amp;"-"&amp;'Baseline Projects'!$G39,'Baseline scaling factors'!$A$49:$K$51,MATCH('Baseline Projects'!CN$2,'Baseline scaling factors'!$A$48:$K$48,0),0)</f>
        <v>0</v>
      </c>
      <c r="CO39" s="12">
        <f>'Mitigation Projects'!$AG39*VLOOKUP('Baseline Projects'!$H39&amp;"-"&amp;'Baseline Projects'!$G39,'Baseline scaling factors'!$A$49:$K$51,MATCH('Baseline Projects'!CO$2,'Baseline scaling factors'!$A$48:$K$48,0),0)</f>
        <v>0</v>
      </c>
      <c r="CP39" s="12">
        <f>'Mitigation Projects'!$AG39*VLOOKUP('Baseline Projects'!$H39&amp;"-"&amp;'Baseline Projects'!$G39,'Baseline scaling factors'!$A$49:$K$51,MATCH('Baseline Projects'!CP$2,'Baseline scaling factors'!$A$48:$K$48,0),0)</f>
        <v>0</v>
      </c>
      <c r="CQ39" s="12">
        <f>'Mitigation Projects'!$AG39*VLOOKUP('Baseline Projects'!$H39&amp;"-"&amp;'Baseline Projects'!$G39,'Baseline scaling factors'!$A$49:$K$51,MATCH('Baseline Projects'!CQ$2,'Baseline scaling factors'!$A$48:$K$48,0),0)</f>
        <v>0</v>
      </c>
      <c r="CR39" s="12">
        <f>'Mitigation Projects'!$AG39*VLOOKUP('Baseline Projects'!$H39&amp;"-"&amp;'Baseline Projects'!$G39,'Baseline scaling factors'!$A$49:$K$51,MATCH('Baseline Projects'!CR$2,'Baseline scaling factors'!$A$48:$K$48,0),0)</f>
        <v>0</v>
      </c>
      <c r="CS39" s="12">
        <f>'Mitigation Projects'!$AG39*VLOOKUP('Baseline Projects'!$H39&amp;"-"&amp;'Baseline Projects'!$G39,'Baseline scaling factors'!$A$49:$K$51,MATCH('Baseline Projects'!CS$2,'Baseline scaling factors'!$A$48:$K$48,0),0)</f>
        <v>0</v>
      </c>
      <c r="CT39" s="12">
        <f>'Mitigation Projects'!$AH39*VLOOKUP('Baseline Projects'!$H39&amp;"-"&amp;'Baseline Projects'!$G39,'Baseline scaling factors'!$A$49:$K$51,MATCH('Baseline Projects'!CT$2,'Baseline scaling factors'!$A$48:$K$48,0),0)</f>
        <v>0</v>
      </c>
      <c r="CU39" s="12">
        <f>'Mitigation Projects'!$AH39*VLOOKUP('Baseline Projects'!$H39&amp;"-"&amp;'Baseline Projects'!$G39,'Baseline scaling factors'!$A$49:$K$51,MATCH('Baseline Projects'!CU$2,'Baseline scaling factors'!$A$48:$K$48,0),0)</f>
        <v>0</v>
      </c>
      <c r="CV39" s="12">
        <f>'Mitigation Projects'!$AH39*VLOOKUP('Baseline Projects'!$H39&amp;"-"&amp;'Baseline Projects'!$G39,'Baseline scaling factors'!$A$49:$K$51,MATCH('Baseline Projects'!CV$2,'Baseline scaling factors'!$A$48:$K$48,0),0)</f>
        <v>0</v>
      </c>
      <c r="CW39" s="12">
        <f>'Mitigation Projects'!$AH39*VLOOKUP('Baseline Projects'!$H39&amp;"-"&amp;'Baseline Projects'!$G39,'Baseline scaling factors'!$A$49:$K$51,MATCH('Baseline Projects'!CW$2,'Baseline scaling factors'!$A$48:$K$48,0),0)</f>
        <v>0</v>
      </c>
      <c r="CX39" s="12">
        <f>'Mitigation Projects'!$AH39*VLOOKUP('Baseline Projects'!$H39&amp;"-"&amp;'Baseline Projects'!$G39,'Baseline scaling factors'!$A$49:$K$51,MATCH('Baseline Projects'!CX$2,'Baseline scaling factors'!$A$48:$K$48,0),0)</f>
        <v>0</v>
      </c>
      <c r="CY39" s="12">
        <f>'Mitigation Projects'!$AH39*VLOOKUP('Baseline Projects'!$H39&amp;"-"&amp;'Baseline Projects'!$G39,'Baseline scaling factors'!$A$49:$K$51,MATCH('Baseline Projects'!CY$2,'Baseline scaling factors'!$A$48:$K$48,0),0)</f>
        <v>0</v>
      </c>
      <c r="CZ39" s="12">
        <f>'Mitigation Projects'!$AH39*VLOOKUP('Baseline Projects'!$H39&amp;"-"&amp;'Baseline Projects'!$G39,'Baseline scaling factors'!$A$49:$K$51,MATCH('Baseline Projects'!CZ$2,'Baseline scaling factors'!$A$48:$K$48,0),0)</f>
        <v>0</v>
      </c>
      <c r="DA39" s="12">
        <f>'Mitigation Projects'!$AH39*VLOOKUP('Baseline Projects'!$H39&amp;"-"&amp;'Baseline Projects'!$G39,'Baseline scaling factors'!$A$49:$K$51,MATCH('Baseline Projects'!DA$2,'Baseline scaling factors'!$A$48:$K$48,0),0)</f>
        <v>0</v>
      </c>
      <c r="DB39" s="12">
        <f>'Mitigation Projects'!$AH39*VLOOKUP('Baseline Projects'!$H39&amp;"-"&amp;'Baseline Projects'!$G39,'Baseline scaling factors'!$A$49:$K$51,MATCH('Baseline Projects'!DB$2,'Baseline scaling factors'!$A$48:$K$48,0),0)</f>
        <v>0</v>
      </c>
      <c r="DC39" s="12">
        <f>'Mitigation Projects'!$AH39*VLOOKUP('Baseline Projects'!$H39&amp;"-"&amp;'Baseline Projects'!$G39,'Baseline scaling factors'!$A$49:$K$51,MATCH('Baseline Projects'!DC$2,'Baseline scaling factors'!$A$48:$K$48,0),0)</f>
        <v>0</v>
      </c>
    </row>
    <row r="40" spans="1:107" x14ac:dyDescent="0.4">
      <c r="A40" s="38" t="str">
        <f>'Mitigation Projects'!A40</f>
        <v>SB-G91</v>
      </c>
      <c r="B40" s="38" t="str">
        <f>'Mitigation Projects'!B40</f>
        <v>Rutland</v>
      </c>
      <c r="C40" s="39">
        <f>'Mitigation Projects'!C40</f>
        <v>204902</v>
      </c>
      <c r="D40" s="39" t="str">
        <f>'Mitigation Projects'!D40</f>
        <v>204902: L88 Rt100A, Spacer and CI</v>
      </c>
      <c r="E40" s="39">
        <f>'Mitigation Projects'!E40</f>
        <v>532550</v>
      </c>
      <c r="F40" s="39">
        <f>'Mitigation Projects'!F40</f>
        <v>0</v>
      </c>
      <c r="G40" s="39" t="str">
        <f>'Mitigation Projects'!G40</f>
        <v>1PH</v>
      </c>
      <c r="H40" s="39" t="str">
        <f>'Mitigation Projects'!H40</f>
        <v>OH</v>
      </c>
      <c r="I40" s="39" t="str">
        <f>'Mitigation Projects'!J40</f>
        <v>Zone 3</v>
      </c>
      <c r="J40" s="39">
        <f>'Mitigation Projects'!K40</f>
        <v>135</v>
      </c>
      <c r="K40" s="40">
        <f>'Mitigation Projects'!L40*BASELINE_CAP_SPEND</f>
        <v>151021.80000000002</v>
      </c>
      <c r="L40" s="97">
        <f>'Mitigation Projects'!Q40</f>
        <v>0.79882154882154888</v>
      </c>
      <c r="M40" s="97">
        <f>'Mitigation Projects'!R40</f>
        <v>0.20117845117845112</v>
      </c>
      <c r="N40" s="98">
        <f>'Mitigation Projects'!S40</f>
        <v>0.5</v>
      </c>
      <c r="O40" s="26">
        <f t="shared" si="0"/>
        <v>0.9</v>
      </c>
      <c r="P40" s="26">
        <f t="shared" si="1"/>
        <v>0.80330442615766917</v>
      </c>
      <c r="Q40" s="112">
        <f>VLOOKUP($A40,'Outage by Zone inputs'!$A$4:$E$13,MATCH('Baseline Projects'!$I40,'Outage by Zone inputs'!$A$3:$E$3,0),0)*'Baseline Projects'!$L40*$N40*('Baseline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Projects'!Q$3,'Baseline scaling factors'!$B$54:$K$54,0))+VLOOKUP($A40,'Outage by Zone inputs'!$A$4:$E$13,MATCH('Baseline Projects'!$I40,'Outage by Zone inputs'!$A$3:$E$3,0),0)*'Baseline Projects'!$L40*$N40*('Baseline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Projects'!Q$3,'Baseline scaling factors'!$B$48:$K$48,0))</f>
        <v>310.26572299608114</v>
      </c>
      <c r="R40" s="112">
        <f>VLOOKUP($A40,'Outage by Zone inputs'!$A$4:$E$13,MATCH('Baseline Projects'!$I40,'Outage by Zone inputs'!$A$3:$E$3,0),0)*'Baseline Projects'!$L40*$N40*('Baseline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Projects'!R$3,'Baseline scaling factors'!$B$54:$K$54,0))+VLOOKUP($A40,'Outage by Zone inputs'!$A$4:$E$13,MATCH('Baseline Projects'!$I40,'Outage by Zone inputs'!$A$3:$E$3,0),0)*'Baseline Projects'!$L40*$N40*('Baseline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Projects'!R$3,'Baseline scaling factors'!$B$48:$K$48,0))</f>
        <v>287.15160560486902</v>
      </c>
      <c r="S40" s="112">
        <f>VLOOKUP($A40,'Outage by Zone inputs'!$A$4:$E$13,MATCH('Baseline Projects'!$I40,'Outage by Zone inputs'!$A$3:$E$3,0),0)*'Baseline Projects'!$L40*$N40*('Baseline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Projects'!S$3,'Baseline scaling factors'!$B$54:$K$54,0))+VLOOKUP($A40,'Outage by Zone inputs'!$A$4:$E$13,MATCH('Baseline Projects'!$I40,'Outage by Zone inputs'!$A$3:$E$3,0),0)*'Baseline Projects'!$L40*$N40*('Baseline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Projects'!S$3,'Baseline scaling factors'!$B$48:$K$48,0))</f>
        <v>265.05594779624869</v>
      </c>
      <c r="T40" s="112">
        <f>VLOOKUP($A40,'Outage by Zone inputs'!$A$4:$E$13,MATCH('Baseline Projects'!$I40,'Outage by Zone inputs'!$A$3:$E$3,0),0)*'Baseline Projects'!$L40*$N40*('Baseline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Projects'!T$3,'Baseline scaling factors'!$B$54:$K$54,0))+VLOOKUP($A40,'Outage by Zone inputs'!$A$4:$E$13,MATCH('Baseline Projects'!$I40,'Outage by Zone inputs'!$A$3:$E$3,0),0)*'Baseline Projects'!$L40*$N40*('Baseline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Projects'!T$3,'Baseline scaling factors'!$B$48:$K$48,0))</f>
        <v>243.93387396870708</v>
      </c>
      <c r="U40" s="112">
        <f>VLOOKUP($A40,'Outage by Zone inputs'!$A$4:$E$13,MATCH('Baseline Projects'!$I40,'Outage by Zone inputs'!$A$3:$E$3,0),0)*'Baseline Projects'!$L40*$N40*('Baseline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Projects'!U$3,'Baseline scaling factors'!$B$54:$K$54,0))+VLOOKUP($A40,'Outage by Zone inputs'!$A$4:$E$13,MATCH('Baseline Projects'!$I40,'Outage by Zone inputs'!$A$3:$E$3,0),0)*'Baseline Projects'!$L40*$N40*('Baseline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Projects'!U$3,'Baseline scaling factors'!$B$48:$K$48,0))</f>
        <v>223.74248583985667</v>
      </c>
      <c r="V40" s="112">
        <f>VLOOKUP($A40,'Outage by Zone inputs'!$A$4:$E$13,MATCH('Baseline Projects'!$I40,'Outage by Zone inputs'!$A$3:$E$3,0),0)*'Baseline Projects'!$L40*$N40*('Baseline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Projects'!V$3,'Baseline scaling factors'!$B$54:$K$54,0))+VLOOKUP($A40,'Outage by Zone inputs'!$A$4:$E$13,MATCH('Baseline Projects'!$I40,'Outage by Zone inputs'!$A$3:$E$3,0),0)*'Baseline Projects'!$L40*$N40*('Baseline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Projects'!V$3,'Baseline scaling factors'!$B$48:$K$48,0))</f>
        <v>204.4407753213431</v>
      </c>
      <c r="W40" s="112">
        <f>VLOOKUP($A40,'Outage by Zone inputs'!$A$4:$E$13,MATCH('Baseline Projects'!$I40,'Outage by Zone inputs'!$A$3:$E$3,0),0)*'Baseline Projects'!$L40*$N40*('Baseline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Projects'!W$3,'Baseline scaling factors'!$B$54:$K$54,0))+VLOOKUP($A40,'Outage by Zone inputs'!$A$4:$E$13,MATCH('Baseline Projects'!$I40,'Outage by Zone inputs'!$A$3:$E$3,0),0)*'Baseline Projects'!$L40*$N40*('Baseline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Projects'!W$3,'Baseline scaling factors'!$B$48:$K$48,0))</f>
        <v>185.98954123267862</v>
      </c>
      <c r="X40" s="112">
        <f>VLOOKUP($A40,'Outage by Zone inputs'!$A$4:$E$13,MATCH('Baseline Projects'!$I40,'Outage by Zone inputs'!$A$3:$E$3,0),0)*'Baseline Projects'!$L40*$N40*('Baseline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Projects'!X$3,'Baseline scaling factors'!$B$54:$K$54,0))+VLOOKUP($A40,'Outage by Zone inputs'!$A$4:$E$13,MATCH('Baseline Projects'!$I40,'Outage by Zone inputs'!$A$3:$E$3,0),0)*'Baseline Projects'!$L40*$N40*('Baseline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Projects'!X$3,'Baseline scaling factors'!$B$48:$K$48,0))</f>
        <v>168.35130968485052</v>
      </c>
      <c r="Y40" s="112">
        <f>VLOOKUP($A40,'Outage by Zone inputs'!$A$4:$E$13,MATCH('Baseline Projects'!$I40,'Outage by Zone inputs'!$A$3:$E$3,0),0)*'Baseline Projects'!$L40*$N40*('Baseline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Projects'!Y$3,'Baseline scaling factors'!$B$54:$K$54,0))+VLOOKUP($A40,'Outage by Zone inputs'!$A$4:$E$13,MATCH('Baseline Projects'!$I40,'Outage by Zone inputs'!$A$3:$E$3,0),0)*'Baseline Projects'!$L40*$N40*('Baseline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Projects'!Y$3,'Baseline scaling factors'!$B$48:$K$48,0))</f>
        <v>151.49025797200443</v>
      </c>
      <c r="Z40" s="112">
        <f>VLOOKUP($A40,'Outage by Zone inputs'!$A$4:$E$13,MATCH('Baseline Projects'!$I40,'Outage by Zone inputs'!$A$3:$E$3,0),0)*'Baseline Projects'!$L40*$N40*('Baseline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Projects'!Z$3,'Baseline scaling factors'!$B$54:$K$54,0))+VLOOKUP($A40,'Outage by Zone inputs'!$A$4:$E$13,MATCH('Baseline Projects'!$I40,'Outage by Zone inputs'!$A$3:$E$3,0),0)*'Baseline Projects'!$L40*$N40*('Baseline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Projects'!Z$3,'Baseline scaling factors'!$B$48:$K$48,0))</f>
        <v>135.37214181663077</v>
      </c>
      <c r="AA40" s="34">
        <f>VLOOKUP($A40,'Outage by Zone inputs'!$A$4:$E$13,MATCH('Baseline Projects'!$I40,'Outage by Zone inputs'!$A$3:$E$3,0),0)*$M40*$N40*('Baseline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Projects'!AA$3,'Baseline scaling factors'!$B$54:$K$54,0))+VLOOKUP($A40,'Outage by Zone inputs'!$A$4:$E$13,MATCH('Baseline Projects'!$I40,'Outage by Zone inputs'!$A$3:$E$3,0),0)*$M40*$N40*('Baseline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Projects'!AA$3,'Baseline scaling factors'!$B$48:$K$48,0))</f>
        <v>78.13857512756941</v>
      </c>
      <c r="AB40" s="34">
        <f>VLOOKUP($A40,'Outage by Zone inputs'!$A$4:$E$13,MATCH('Baseline Projects'!$I40,'Outage by Zone inputs'!$A$3:$E$3,0),0)*$M40*$N40*('Baseline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Projects'!AB$3,'Baseline scaling factors'!$B$54:$K$54,0))+VLOOKUP($A40,'Outage by Zone inputs'!$A$4:$E$13,MATCH('Baseline Projects'!$I40,'Outage by Zone inputs'!$A$3:$E$3,0),0)*$M40*$N40*('Baseline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Projects'!AB$3,'Baseline scaling factors'!$B$48:$K$48,0))</f>
        <v>72.317422275620302</v>
      </c>
      <c r="AC40" s="34">
        <f>VLOOKUP($A40,'Outage by Zone inputs'!$A$4:$E$13,MATCH('Baseline Projects'!$I40,'Outage by Zone inputs'!$A$3:$E$3,0),0)*$M40*$N40*('Baseline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Projects'!AC$3,'Baseline scaling factors'!$B$54:$K$54,0))+VLOOKUP($A40,'Outage by Zone inputs'!$A$4:$E$13,MATCH('Baseline Projects'!$I40,'Outage by Zone inputs'!$A$3:$E$3,0),0)*$M40*$N40*('Baseline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Projects'!AC$3,'Baseline scaling factors'!$B$48:$K$48,0))</f>
        <v>66.752762406009921</v>
      </c>
      <c r="AD40" s="34">
        <f>VLOOKUP($A40,'Outage by Zone inputs'!$A$4:$E$13,MATCH('Baseline Projects'!$I40,'Outage by Zone inputs'!$A$3:$E$3,0),0)*$M40*$N40*('Baseline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Projects'!AD$3,'Baseline scaling factors'!$B$54:$K$54,0))+VLOOKUP($A40,'Outage by Zone inputs'!$A$4:$E$13,MATCH('Baseline Projects'!$I40,'Outage by Zone inputs'!$A$3:$E$3,0),0)*$M40*$N40*('Baseline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Projects'!AD$3,'Baseline scaling factors'!$B$48:$K$48,0))</f>
        <v>61.433293865670151</v>
      </c>
      <c r="AE40" s="34">
        <f>VLOOKUP($A40,'Outage by Zone inputs'!$A$4:$E$13,MATCH('Baseline Projects'!$I40,'Outage by Zone inputs'!$A$3:$E$3,0),0)*$M40*$N40*('Baseline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Projects'!AE$3,'Baseline scaling factors'!$B$54:$K$54,0))+VLOOKUP($A40,'Outage by Zone inputs'!$A$4:$E$13,MATCH('Baseline Projects'!$I40,'Outage by Zone inputs'!$A$3:$E$3,0),0)*$M40*$N40*('Baseline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Projects'!AE$3,'Baseline scaling factors'!$B$48:$K$48,0))</f>
        <v>56.348212977582435</v>
      </c>
      <c r="AF40" s="34">
        <f>VLOOKUP($A40,'Outage by Zone inputs'!$A$4:$E$13,MATCH('Baseline Projects'!$I40,'Outage by Zone inputs'!$A$3:$E$3,0),0)*$M40*$N40*('Baseline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Projects'!AF$3,'Baseline scaling factors'!$B$54:$K$54,0))+VLOOKUP($A40,'Outage by Zone inputs'!$A$4:$E$13,MATCH('Baseline Projects'!$I40,'Outage by Zone inputs'!$A$3:$E$3,0),0)*$M40*$N40*('Baseline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Projects'!AF$3,'Baseline scaling factors'!$B$48:$K$48,0))</f>
        <v>51.487192098841923</v>
      </c>
      <c r="AG40" s="34">
        <f>VLOOKUP($A40,'Outage by Zone inputs'!$A$4:$E$13,MATCH('Baseline Projects'!$I40,'Outage by Zone inputs'!$A$3:$E$3,0),0)*$M40*$N40*('Baseline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Projects'!AG$3,'Baseline scaling factors'!$B$54:$K$54,0))+VLOOKUP($A40,'Outage by Zone inputs'!$A$4:$E$13,MATCH('Baseline Projects'!$I40,'Outage by Zone inputs'!$A$3:$E$3,0),0)*$M40*$N40*('Baseline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Projects'!AG$3,'Baseline scaling factors'!$B$48:$K$48,0))</f>
        <v>46.840358645532326</v>
      </c>
      <c r="AH40" s="34">
        <f>VLOOKUP($A40,'Outage by Zone inputs'!$A$4:$E$13,MATCH('Baseline Projects'!$I40,'Outage by Zone inputs'!$A$3:$E$3,0),0)*$M40*$N40*('Baseline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Projects'!AH$3,'Baseline scaling factors'!$B$54:$K$54,0))+VLOOKUP($A40,'Outage by Zone inputs'!$A$4:$E$13,MATCH('Baseline Projects'!$I40,'Outage by Zone inputs'!$A$3:$E$3,0),0)*$M40*$N40*('Baseline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Projects'!AH$3,'Baseline scaling factors'!$B$48:$K$48,0))</f>
        <v>42.398275041811658</v>
      </c>
      <c r="AI40" s="34">
        <f>VLOOKUP($A40,'Outage by Zone inputs'!$A$4:$E$13,MATCH('Baseline Projects'!$I40,'Outage by Zone inputs'!$A$3:$E$3,0),0)*$M40*$N40*('Baseline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Projects'!AI$3,'Baseline scaling factors'!$B$54:$K$54,0))+VLOOKUP($A40,'Outage by Zone inputs'!$A$4:$E$13,MATCH('Baseline Projects'!$I40,'Outage by Zone inputs'!$A$3:$E$3,0),0)*$M40*$N40*('Baseline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Projects'!AI$3,'Baseline scaling factors'!$B$48:$K$48,0))</f>
        <v>38.151919552485829</v>
      </c>
      <c r="AJ40" s="34">
        <f>VLOOKUP($A40,'Outage by Zone inputs'!$A$4:$E$13,MATCH('Baseline Projects'!$I40,'Outage by Zone inputs'!$A$3:$E$3,0),0)*$M40*$N40*('Baseline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Projects'!AJ$3,'Baseline scaling factors'!$B$54:$K$54,0))+VLOOKUP($A40,'Outage by Zone inputs'!$A$4:$E$13,MATCH('Baseline Projects'!$I40,'Outage by Zone inputs'!$A$3:$E$3,0),0)*$M40*$N40*('Baseline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Projects'!AJ$3,'Baseline scaling factors'!$B$48:$K$48,0))</f>
        <v>34.092667960141995</v>
      </c>
      <c r="AK40" s="1">
        <f t="shared" si="2"/>
        <v>6515.5801829177035</v>
      </c>
      <c r="AL40" s="1">
        <f t="shared" si="3"/>
        <v>6030.1837177022499</v>
      </c>
      <c r="AM40" s="1">
        <f t="shared" si="4"/>
        <v>5566.1749037212221</v>
      </c>
      <c r="AN40" s="1">
        <f t="shared" si="5"/>
        <v>5122.6113533428488</v>
      </c>
      <c r="AO40" s="1">
        <f t="shared" si="6"/>
        <v>4698.5922026369899</v>
      </c>
      <c r="AP40" s="1">
        <f t="shared" si="7"/>
        <v>4293.2562817482049</v>
      </c>
      <c r="AQ40" s="1">
        <f t="shared" si="8"/>
        <v>3905.7803658862508</v>
      </c>
      <c r="AR40" s="1">
        <f t="shared" si="9"/>
        <v>3535.3775033818611</v>
      </c>
      <c r="AS40" s="1">
        <f t="shared" si="10"/>
        <v>3181.2954174120932</v>
      </c>
      <c r="AT40" s="1">
        <f t="shared" si="11"/>
        <v>2842.8149781492461</v>
      </c>
      <c r="AU40" s="1">
        <f t="shared" si="12"/>
        <v>303568.36437060713</v>
      </c>
      <c r="AV40" s="1">
        <f t="shared" si="13"/>
        <v>280953.18554078485</v>
      </c>
      <c r="AW40" s="1">
        <f t="shared" si="14"/>
        <v>259334.48194734854</v>
      </c>
      <c r="AX40" s="1">
        <f t="shared" si="15"/>
        <v>238668.34666812854</v>
      </c>
      <c r="AY40" s="1">
        <f t="shared" si="16"/>
        <v>218912.80741790775</v>
      </c>
      <c r="AZ40" s="1">
        <f t="shared" si="17"/>
        <v>200027.74130400087</v>
      </c>
      <c r="BA40" s="1">
        <f t="shared" si="18"/>
        <v>181974.79333789309</v>
      </c>
      <c r="BB40" s="1">
        <f t="shared" si="19"/>
        <v>164717.2985374383</v>
      </c>
      <c r="BC40" s="1">
        <f t="shared" si="20"/>
        <v>148220.20746140744</v>
      </c>
      <c r="BD40" s="1">
        <f t="shared" si="21"/>
        <v>132450.01502515166</v>
      </c>
      <c r="BE40" s="1">
        <f t="shared" si="22"/>
        <v>310083.94455352484</v>
      </c>
      <c r="BF40" s="1">
        <f t="shared" si="23"/>
        <v>286983.36925848707</v>
      </c>
      <c r="BG40" s="1">
        <f t="shared" si="24"/>
        <v>264900.65685106977</v>
      </c>
      <c r="BH40" s="1">
        <f t="shared" si="25"/>
        <v>243790.95802147139</v>
      </c>
      <c r="BI40" s="1">
        <f t="shared" si="26"/>
        <v>223611.39962054475</v>
      </c>
      <c r="BJ40" s="1">
        <f t="shared" si="27"/>
        <v>204320.99758574908</v>
      </c>
      <c r="BK40" s="1">
        <f t="shared" si="28"/>
        <v>185880.57370377934</v>
      </c>
      <c r="BL40" s="1">
        <f t="shared" si="29"/>
        <v>168252.67604082017</v>
      </c>
      <c r="BM40" s="1">
        <f t="shared" si="30"/>
        <v>151401.50287881953</v>
      </c>
      <c r="BN40" s="1">
        <f t="shared" si="31"/>
        <v>135292.83000330091</v>
      </c>
      <c r="BO40" s="25">
        <f>VLOOKUP($A40,'Outage by Zone inputs'!$A$59:$E$68,MATCH('Baseline Projects'!$I40,'Outage by Zone inputs'!$A$58:$E$58,0),0)*AVG_INCIDENT_PERCENT_NON_STORM</f>
        <v>3.8994425697940458</v>
      </c>
      <c r="BP40" s="25">
        <f>$BO40*$N40*('Baseline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Projects'!Q$3,'Baseline scaling factors'!$B$54:$K$54,0))+$BO40*$N40*('Baseline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Projects'!Q$3,'Baseline scaling factors'!$B$48:$K$48,0))</f>
        <v>1.8087615084831792</v>
      </c>
      <c r="BQ40" s="25">
        <f>$BO40*$N40*('Baseline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Projects'!R$3,'Baseline scaling factors'!$B$54:$K$54,0))+$BO40*$N40*('Baseline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Projects'!R$3,'Baseline scaling factors'!$B$48:$K$48,0))</f>
        <v>1.6740127343160947</v>
      </c>
      <c r="BR40" s="25">
        <f>$BO40*$N40*('Baseline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Projects'!S$3,'Baseline scaling factors'!$B$54:$K$54,0))+$BO40*$N40*('Baseline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Projects'!S$3,'Baseline scaling factors'!$B$48:$K$48,0))</f>
        <v>1.545201291779295</v>
      </c>
      <c r="BS40" s="25">
        <f>$BO40*$N40*('Baseline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Projects'!T$3,'Baseline scaling factors'!$B$54:$K$54,0))+$BO40*$N40*('Baseline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Projects'!T$3,'Baseline scaling factors'!$B$48:$K$48,0))</f>
        <v>1.4220655687942594</v>
      </c>
      <c r="BT40" s="25">
        <f>$BO40*$N40*('Baseline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Projects'!U$3,'Baseline scaling factors'!$B$54:$K$54,0))+$BO40*$N40*('Baseline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Projects'!U$3,'Baseline scaling factors'!$B$48:$K$48,0))</f>
        <v>1.3043554804943345</v>
      </c>
      <c r="BU40" s="25">
        <f>$BO40*$N40*('Baseline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Projects'!V$3,'Baseline scaling factors'!$B$54:$K$54,0))+$BO40*$N40*('Baseline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Projects'!V$3,'Baseline scaling factors'!$B$48:$K$48,0))</f>
        <v>1.1918319613100601</v>
      </c>
      <c r="BV40" s="25">
        <f>$BO40*$N40*('Baseline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Projects'!W$3,'Baseline scaling factors'!$B$54:$K$54,0))+$BO40*$N40*('Baseline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Projects'!W$3,'Baseline scaling factors'!$B$48:$K$48,0))</f>
        <v>1.0842664794343504</v>
      </c>
      <c r="BW40" s="25">
        <f>$BO40*$N40*('Baseline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Projects'!X$3,'Baseline scaling factors'!$B$54:$K$54,0))+$BO40*$N40*('Baseline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Projects'!X$3,'Baseline scaling factors'!$B$48:$K$48,0))</f>
        <v>0.98144057268142104</v>
      </c>
      <c r="BX40" s="25">
        <f>$BO40*$N40*('Baseline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Projects'!Y$3,'Baseline scaling factors'!$B$54:$K$54,0))+$BO40*$N40*('Baseline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Projects'!Y$3,'Baseline scaling factors'!$B$48:$K$48,0))</f>
        <v>0.88314540479680892</v>
      </c>
      <c r="BY40" s="25">
        <f>$BO40*$N40*('Baseline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Projects'!Z$3,'Baseline scaling factors'!$B$54:$K$54,0))+$BO40*$N40*('Baseline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Projects'!Z$3,'Baseline scaling factors'!$B$48:$K$48,0))</f>
        <v>0.78918134131736051</v>
      </c>
      <c r="BZ40" s="12">
        <f t="shared" si="32"/>
        <v>853.73543200406061</v>
      </c>
      <c r="CA40" s="12">
        <f t="shared" si="33"/>
        <v>790.13401059719672</v>
      </c>
      <c r="CB40" s="12">
        <f t="shared" si="34"/>
        <v>729.33500971982721</v>
      </c>
      <c r="CC40" s="12">
        <f t="shared" si="35"/>
        <v>671.21494847089048</v>
      </c>
      <c r="CD40" s="12">
        <f t="shared" si="36"/>
        <v>615.65578679332589</v>
      </c>
      <c r="CE40" s="12">
        <f t="shared" si="37"/>
        <v>562.54468573834833</v>
      </c>
      <c r="CF40" s="12">
        <f t="shared" si="38"/>
        <v>511.77377829301338</v>
      </c>
      <c r="CG40" s="12">
        <f t="shared" si="39"/>
        <v>463.23995030563071</v>
      </c>
      <c r="CH40" s="12">
        <f t="shared" si="40"/>
        <v>416.84463106409379</v>
      </c>
      <c r="CI40" s="12">
        <f t="shared" si="41"/>
        <v>372.49359310179415</v>
      </c>
      <c r="CJ40" s="12">
        <f>'Mitigation Projects'!$AG40*VLOOKUP('Baseline Projects'!$H40&amp;"-"&amp;'Baseline Projects'!$G40,'Baseline scaling factors'!$A$49:$K$51,MATCH('Baseline Projects'!CJ$2,'Baseline scaling factors'!$A$48:$K$48,0),0)</f>
        <v>0</v>
      </c>
      <c r="CK40" s="12">
        <f>'Mitigation Projects'!$AG40*VLOOKUP('Baseline Projects'!$H40&amp;"-"&amp;'Baseline Projects'!$G40,'Baseline scaling factors'!$A$49:$K$51,MATCH('Baseline Projects'!CK$2,'Baseline scaling factors'!$A$48:$K$48,0),0)</f>
        <v>0</v>
      </c>
      <c r="CL40" s="12">
        <f>'Mitigation Projects'!$AG40*VLOOKUP('Baseline Projects'!$H40&amp;"-"&amp;'Baseline Projects'!$G40,'Baseline scaling factors'!$A$49:$K$51,MATCH('Baseline Projects'!CL$2,'Baseline scaling factors'!$A$48:$K$48,0),0)</f>
        <v>0</v>
      </c>
      <c r="CM40" s="12">
        <f>'Mitigation Projects'!$AG40*VLOOKUP('Baseline Projects'!$H40&amp;"-"&amp;'Baseline Projects'!$G40,'Baseline scaling factors'!$A$49:$K$51,MATCH('Baseline Projects'!CM$2,'Baseline scaling factors'!$A$48:$K$48,0),0)</f>
        <v>0</v>
      </c>
      <c r="CN40" s="12">
        <f>'Mitigation Projects'!$AG40*VLOOKUP('Baseline Projects'!$H40&amp;"-"&amp;'Baseline Projects'!$G40,'Baseline scaling factors'!$A$49:$K$51,MATCH('Baseline Projects'!CN$2,'Baseline scaling factors'!$A$48:$K$48,0),0)</f>
        <v>0</v>
      </c>
      <c r="CO40" s="12">
        <f>'Mitigation Projects'!$AG40*VLOOKUP('Baseline Projects'!$H40&amp;"-"&amp;'Baseline Projects'!$G40,'Baseline scaling factors'!$A$49:$K$51,MATCH('Baseline Projects'!CO$2,'Baseline scaling factors'!$A$48:$K$48,0),0)</f>
        <v>0</v>
      </c>
      <c r="CP40" s="12">
        <f>'Mitigation Projects'!$AG40*VLOOKUP('Baseline Projects'!$H40&amp;"-"&amp;'Baseline Projects'!$G40,'Baseline scaling factors'!$A$49:$K$51,MATCH('Baseline Projects'!CP$2,'Baseline scaling factors'!$A$48:$K$48,0),0)</f>
        <v>0</v>
      </c>
      <c r="CQ40" s="12">
        <f>'Mitigation Projects'!$AG40*VLOOKUP('Baseline Projects'!$H40&amp;"-"&amp;'Baseline Projects'!$G40,'Baseline scaling factors'!$A$49:$K$51,MATCH('Baseline Projects'!CQ$2,'Baseline scaling factors'!$A$48:$K$48,0),0)</f>
        <v>0</v>
      </c>
      <c r="CR40" s="12">
        <f>'Mitigation Projects'!$AG40*VLOOKUP('Baseline Projects'!$H40&amp;"-"&amp;'Baseline Projects'!$G40,'Baseline scaling factors'!$A$49:$K$51,MATCH('Baseline Projects'!CR$2,'Baseline scaling factors'!$A$48:$K$48,0),0)</f>
        <v>0</v>
      </c>
      <c r="CS40" s="12">
        <f>'Mitigation Projects'!$AG40*VLOOKUP('Baseline Projects'!$H40&amp;"-"&amp;'Baseline Projects'!$G40,'Baseline scaling factors'!$A$49:$K$51,MATCH('Baseline Projects'!CS$2,'Baseline scaling factors'!$A$48:$K$48,0),0)</f>
        <v>0</v>
      </c>
      <c r="CT40" s="12">
        <f>'Mitigation Projects'!$AH40*VLOOKUP('Baseline Projects'!$H40&amp;"-"&amp;'Baseline Projects'!$G40,'Baseline scaling factors'!$A$49:$K$51,MATCH('Baseline Projects'!CT$2,'Baseline scaling factors'!$A$48:$K$48,0),0)</f>
        <v>0</v>
      </c>
      <c r="CU40" s="12">
        <f>'Mitigation Projects'!$AH40*VLOOKUP('Baseline Projects'!$H40&amp;"-"&amp;'Baseline Projects'!$G40,'Baseline scaling factors'!$A$49:$K$51,MATCH('Baseline Projects'!CU$2,'Baseline scaling factors'!$A$48:$K$48,0),0)</f>
        <v>0</v>
      </c>
      <c r="CV40" s="12">
        <f>'Mitigation Projects'!$AH40*VLOOKUP('Baseline Projects'!$H40&amp;"-"&amp;'Baseline Projects'!$G40,'Baseline scaling factors'!$A$49:$K$51,MATCH('Baseline Projects'!CV$2,'Baseline scaling factors'!$A$48:$K$48,0),0)</f>
        <v>0</v>
      </c>
      <c r="CW40" s="12">
        <f>'Mitigation Projects'!$AH40*VLOOKUP('Baseline Projects'!$H40&amp;"-"&amp;'Baseline Projects'!$G40,'Baseline scaling factors'!$A$49:$K$51,MATCH('Baseline Projects'!CW$2,'Baseline scaling factors'!$A$48:$K$48,0),0)</f>
        <v>0</v>
      </c>
      <c r="CX40" s="12">
        <f>'Mitigation Projects'!$AH40*VLOOKUP('Baseline Projects'!$H40&amp;"-"&amp;'Baseline Projects'!$G40,'Baseline scaling factors'!$A$49:$K$51,MATCH('Baseline Projects'!CX$2,'Baseline scaling factors'!$A$48:$K$48,0),0)</f>
        <v>0</v>
      </c>
      <c r="CY40" s="12">
        <f>'Mitigation Projects'!$AH40*VLOOKUP('Baseline Projects'!$H40&amp;"-"&amp;'Baseline Projects'!$G40,'Baseline scaling factors'!$A$49:$K$51,MATCH('Baseline Projects'!CY$2,'Baseline scaling factors'!$A$48:$K$48,0),0)</f>
        <v>0</v>
      </c>
      <c r="CZ40" s="12">
        <f>'Mitigation Projects'!$AH40*VLOOKUP('Baseline Projects'!$H40&amp;"-"&amp;'Baseline Projects'!$G40,'Baseline scaling factors'!$A$49:$K$51,MATCH('Baseline Projects'!CZ$2,'Baseline scaling factors'!$A$48:$K$48,0),0)</f>
        <v>0</v>
      </c>
      <c r="DA40" s="12">
        <f>'Mitigation Projects'!$AH40*VLOOKUP('Baseline Projects'!$H40&amp;"-"&amp;'Baseline Projects'!$G40,'Baseline scaling factors'!$A$49:$K$51,MATCH('Baseline Projects'!DA$2,'Baseline scaling factors'!$A$48:$K$48,0),0)</f>
        <v>0</v>
      </c>
      <c r="DB40" s="12">
        <f>'Mitigation Projects'!$AH40*VLOOKUP('Baseline Projects'!$H40&amp;"-"&amp;'Baseline Projects'!$G40,'Baseline scaling factors'!$A$49:$K$51,MATCH('Baseline Projects'!DB$2,'Baseline scaling factors'!$A$48:$K$48,0),0)</f>
        <v>0</v>
      </c>
      <c r="DC40" s="12">
        <f>'Mitigation Projects'!$AH40*VLOOKUP('Baseline Projects'!$H40&amp;"-"&amp;'Baseline Projects'!$G40,'Baseline scaling factors'!$A$49:$K$51,MATCH('Baseline Projects'!DC$2,'Baseline scaling factors'!$A$48:$K$48,0),0)</f>
        <v>0</v>
      </c>
    </row>
    <row r="41" spans="1:107" x14ac:dyDescent="0.4">
      <c r="A41" s="38" t="str">
        <f>'Mitigation Projects'!A41</f>
        <v>SH-G35</v>
      </c>
      <c r="B41" s="38" t="str">
        <f>'Mitigation Projects'!B41</f>
        <v>Royalton</v>
      </c>
      <c r="C41" s="39">
        <f>'Mitigation Projects'!C41</f>
        <v>199309</v>
      </c>
      <c r="D41" s="39" t="str">
        <f>'Mitigation Projects'!D41</f>
        <v>199309: Fay Brook Rd.</v>
      </c>
      <c r="E41" s="39">
        <f>'Mitigation Projects'!E41</f>
        <v>599580</v>
      </c>
      <c r="F41" s="39">
        <f>'Mitigation Projects'!F41</f>
        <v>476994</v>
      </c>
      <c r="G41" s="39" t="str">
        <f>'Mitigation Projects'!G41</f>
        <v>1PH</v>
      </c>
      <c r="H41" s="39" t="str">
        <f>'Mitigation Projects'!H41</f>
        <v>UG</v>
      </c>
      <c r="I41" s="39" t="str">
        <f>'Mitigation Projects'!J41</f>
        <v>Zone 3</v>
      </c>
      <c r="J41" s="39">
        <f>'Mitigation Projects'!K41</f>
        <v>210</v>
      </c>
      <c r="K41" s="40">
        <f>'Mitigation Projects'!L41*BASELINE_CAP_SPEND</f>
        <v>69431.100000000006</v>
      </c>
      <c r="L41" s="97">
        <f>'Mitigation Projects'!Q41</f>
        <v>0.8671875</v>
      </c>
      <c r="M41" s="97">
        <f>'Mitigation Projects'!R41</f>
        <v>0.1328125</v>
      </c>
      <c r="N41" s="98">
        <f>'Mitigation Projects'!S41</f>
        <v>0.5</v>
      </c>
      <c r="O41" s="26">
        <f t="shared" si="0"/>
        <v>0.98</v>
      </c>
      <c r="P41" s="26">
        <f t="shared" si="1"/>
        <v>0.83359200333362127</v>
      </c>
      <c r="Q41" s="112">
        <f>VLOOKUP($A41,'Outage by Zone inputs'!$A$4:$E$13,MATCH('Baseline Projects'!$I41,'Outage by Zone inputs'!$A$3:$E$3,0),0)*'Baseline Projects'!$L41*$N41*('Baseline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Projects'!Q$3,'Baseline scaling factors'!$B$54:$K$54,0))+VLOOKUP($A41,'Outage by Zone inputs'!$A$4:$E$13,MATCH('Baseline Projects'!$I41,'Outage by Zone inputs'!$A$3:$E$3,0),0)*'Baseline Projects'!$L41*$N41*('Baseline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Projects'!Q$3,'Baseline scaling factors'!$B$48:$K$48,0))</f>
        <v>387.60350242086008</v>
      </c>
      <c r="R41" s="112">
        <f>VLOOKUP($A41,'Outage by Zone inputs'!$A$4:$E$13,MATCH('Baseline Projects'!$I41,'Outage by Zone inputs'!$A$3:$E$3,0),0)*'Baseline Projects'!$L41*$N41*('Baseline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Projects'!R$3,'Baseline scaling factors'!$B$54:$K$54,0))+VLOOKUP($A41,'Outage by Zone inputs'!$A$4:$E$13,MATCH('Baseline Projects'!$I41,'Outage by Zone inputs'!$A$3:$E$3,0),0)*'Baseline Projects'!$L41*$N41*('Baseline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Projects'!R$3,'Baseline scaling factors'!$B$48:$K$48,0))</f>
        <v>354.64188085096742</v>
      </c>
      <c r="S41" s="112">
        <f>VLOOKUP($A41,'Outage by Zone inputs'!$A$4:$E$13,MATCH('Baseline Projects'!$I41,'Outage by Zone inputs'!$A$3:$E$3,0),0)*'Baseline Projects'!$L41*$N41*('Baseline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Projects'!S$3,'Baseline scaling factors'!$B$54:$K$54,0))+VLOOKUP($A41,'Outage by Zone inputs'!$A$4:$E$13,MATCH('Baseline Projects'!$I41,'Outage by Zone inputs'!$A$3:$E$3,0),0)*'Baseline Projects'!$L41*$N41*('Baseline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Projects'!S$3,'Baseline scaling factors'!$B$48:$K$48,0))</f>
        <v>323.13262186872794</v>
      </c>
      <c r="T41" s="112">
        <f>VLOOKUP($A41,'Outage by Zone inputs'!$A$4:$E$13,MATCH('Baseline Projects'!$I41,'Outage by Zone inputs'!$A$3:$E$3,0),0)*'Baseline Projects'!$L41*$N41*('Baseline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Projects'!T$3,'Baseline scaling factors'!$B$54:$K$54,0))+VLOOKUP($A41,'Outage by Zone inputs'!$A$4:$E$13,MATCH('Baseline Projects'!$I41,'Outage by Zone inputs'!$A$3:$E$3,0),0)*'Baseline Projects'!$L41*$N41*('Baseline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Projects'!T$3,'Baseline scaling factors'!$B$48:$K$48,0))</f>
        <v>293.01173113813672</v>
      </c>
      <c r="U41" s="112">
        <f>VLOOKUP($A41,'Outage by Zone inputs'!$A$4:$E$13,MATCH('Baseline Projects'!$I41,'Outage by Zone inputs'!$A$3:$E$3,0),0)*'Baseline Projects'!$L41*$N41*('Baseline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Projects'!U$3,'Baseline scaling factors'!$B$54:$K$54,0))+VLOOKUP($A41,'Outage by Zone inputs'!$A$4:$E$13,MATCH('Baseline Projects'!$I41,'Outage by Zone inputs'!$A$3:$E$3,0),0)*'Baseline Projects'!$L41*$N41*('Baseline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Projects'!U$3,'Baseline scaling factors'!$B$48:$K$48,0))</f>
        <v>264.21803405641185</v>
      </c>
      <c r="V41" s="112">
        <f>VLOOKUP($A41,'Outage by Zone inputs'!$A$4:$E$13,MATCH('Baseline Projects'!$I41,'Outage by Zone inputs'!$A$3:$E$3,0),0)*'Baseline Projects'!$L41*$N41*('Baseline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Projects'!V$3,'Baseline scaling factors'!$B$54:$K$54,0))+VLOOKUP($A41,'Outage by Zone inputs'!$A$4:$E$13,MATCH('Baseline Projects'!$I41,'Outage by Zone inputs'!$A$3:$E$3,0),0)*'Baseline Projects'!$L41*$N41*('Baseline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Projects'!V$3,'Baseline scaling factors'!$B$48:$K$48,0))</f>
        <v>236.69305151025819</v>
      </c>
      <c r="W41" s="112">
        <f>VLOOKUP($A41,'Outage by Zone inputs'!$A$4:$E$13,MATCH('Baseline Projects'!$I41,'Outage by Zone inputs'!$A$3:$E$3,0),0)*'Baseline Projects'!$L41*$N41*('Baseline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Projects'!W$3,'Baseline scaling factors'!$B$54:$K$54,0))+VLOOKUP($A41,'Outage by Zone inputs'!$A$4:$E$13,MATCH('Baseline Projects'!$I41,'Outage by Zone inputs'!$A$3:$E$3,0),0)*'Baseline Projects'!$L41*$N41*('Baseline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Projects'!W$3,'Baseline scaling factors'!$B$48:$K$48,0))</f>
        <v>210.38088110658583</v>
      </c>
      <c r="X41" s="112">
        <f>VLOOKUP($A41,'Outage by Zone inputs'!$A$4:$E$13,MATCH('Baseline Projects'!$I41,'Outage by Zone inputs'!$A$3:$E$3,0),0)*'Baseline Projects'!$L41*$N41*('Baseline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Projects'!X$3,'Baseline scaling factors'!$B$54:$K$54,0))+VLOOKUP($A41,'Outage by Zone inputs'!$A$4:$E$13,MATCH('Baseline Projects'!$I41,'Outage by Zone inputs'!$A$3:$E$3,0),0)*'Baseline Projects'!$L41*$N41*('Baseline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Projects'!X$3,'Baseline scaling factors'!$B$48:$K$48,0))</f>
        <v>185.22808363646953</v>
      </c>
      <c r="Y41" s="112">
        <f>VLOOKUP($A41,'Outage by Zone inputs'!$A$4:$E$13,MATCH('Baseline Projects'!$I41,'Outage by Zone inputs'!$A$3:$E$3,0),0)*'Baseline Projects'!$L41*$N41*('Baseline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Projects'!Y$3,'Baseline scaling factors'!$B$54:$K$54,0))+VLOOKUP($A41,'Outage by Zone inputs'!$A$4:$E$13,MATCH('Baseline Projects'!$I41,'Outage by Zone inputs'!$A$3:$E$3,0),0)*'Baseline Projects'!$L41*$N41*('Baseline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Projects'!Y$3,'Baseline scaling factors'!$B$48:$K$48,0))</f>
        <v>161.18357454175833</v>
      </c>
      <c r="Z41" s="112">
        <f>VLOOKUP($A41,'Outage by Zone inputs'!$A$4:$E$13,MATCH('Baseline Projects'!$I41,'Outage by Zone inputs'!$A$3:$E$3,0),0)*'Baseline Projects'!$L41*$N41*('Baseline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Projects'!Z$3,'Baseline scaling factors'!$B$54:$K$54,0))+VLOOKUP($A41,'Outage by Zone inputs'!$A$4:$E$13,MATCH('Baseline Projects'!$I41,'Outage by Zone inputs'!$A$3:$E$3,0),0)*'Baseline Projects'!$L41*$N41*('Baseline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Projects'!Z$3,'Baseline scaling factors'!$B$48:$K$48,0))</f>
        <v>138.19852016390922</v>
      </c>
      <c r="AA41" s="34">
        <f>VLOOKUP($A41,'Outage by Zone inputs'!$A$4:$E$13,MATCH('Baseline Projects'!$I41,'Outage by Zone inputs'!$A$3:$E$3,0),0)*$M41*$N41*('Baseline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Projects'!AA$3,'Baseline scaling factors'!$B$54:$K$54,0))+VLOOKUP($A41,'Outage by Zone inputs'!$A$4:$E$13,MATCH('Baseline Projects'!$I41,'Outage by Zone inputs'!$A$3:$E$3,0),0)*$M41*$N41*('Baseline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Projects'!AA$3,'Baseline scaling factors'!$B$48:$K$48,0))</f>
        <v>59.362698568960546</v>
      </c>
      <c r="AB41" s="34">
        <f>VLOOKUP($A41,'Outage by Zone inputs'!$A$4:$E$13,MATCH('Baseline Projects'!$I41,'Outage by Zone inputs'!$A$3:$E$3,0),0)*$M41*$N41*('Baseline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Projects'!AB$3,'Baseline scaling factors'!$B$54:$K$54,0))+VLOOKUP($A41,'Outage by Zone inputs'!$A$4:$E$13,MATCH('Baseline Projects'!$I41,'Outage by Zone inputs'!$A$3:$E$3,0),0)*$M41*$N41*('Baseline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Projects'!AB$3,'Baseline scaling factors'!$B$48:$K$48,0))</f>
        <v>54.314522292490508</v>
      </c>
      <c r="AC41" s="34">
        <f>VLOOKUP($A41,'Outage by Zone inputs'!$A$4:$E$13,MATCH('Baseline Projects'!$I41,'Outage by Zone inputs'!$A$3:$E$3,0),0)*$M41*$N41*('Baseline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Projects'!AC$3,'Baseline scaling factors'!$B$54:$K$54,0))+VLOOKUP($A41,'Outage by Zone inputs'!$A$4:$E$13,MATCH('Baseline Projects'!$I41,'Outage by Zone inputs'!$A$3:$E$3,0),0)*$M41*$N41*('Baseline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Projects'!AC$3,'Baseline scaling factors'!$B$48:$K$48,0))</f>
        <v>49.488779925841222</v>
      </c>
      <c r="AD41" s="34">
        <f>VLOOKUP($A41,'Outage by Zone inputs'!$A$4:$E$13,MATCH('Baseline Projects'!$I41,'Outage by Zone inputs'!$A$3:$E$3,0),0)*$M41*$N41*('Baseline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Projects'!AD$3,'Baseline scaling factors'!$B$54:$K$54,0))+VLOOKUP($A41,'Outage by Zone inputs'!$A$4:$E$13,MATCH('Baseline Projects'!$I41,'Outage by Zone inputs'!$A$3:$E$3,0),0)*$M41*$N41*('Baseline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Projects'!AD$3,'Baseline scaling factors'!$B$48:$K$48,0))</f>
        <v>44.875670534669595</v>
      </c>
      <c r="AE41" s="34">
        <f>VLOOKUP($A41,'Outage by Zone inputs'!$A$4:$E$13,MATCH('Baseline Projects'!$I41,'Outage by Zone inputs'!$A$3:$E$3,0),0)*$M41*$N41*('Baseline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Projects'!AE$3,'Baseline scaling factors'!$B$54:$K$54,0))+VLOOKUP($A41,'Outage by Zone inputs'!$A$4:$E$13,MATCH('Baseline Projects'!$I41,'Outage by Zone inputs'!$A$3:$E$3,0),0)*$M41*$N41*('Baseline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Projects'!AE$3,'Baseline scaling factors'!$B$48:$K$48,0))</f>
        <v>40.46582503566669</v>
      </c>
      <c r="AF41" s="34">
        <f>VLOOKUP($A41,'Outage by Zone inputs'!$A$4:$E$13,MATCH('Baseline Projects'!$I41,'Outage by Zone inputs'!$A$3:$E$3,0),0)*$M41*$N41*('Baseline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Projects'!AF$3,'Baseline scaling factors'!$B$54:$K$54,0))+VLOOKUP($A41,'Outage by Zone inputs'!$A$4:$E$13,MATCH('Baseline Projects'!$I41,'Outage by Zone inputs'!$A$3:$E$3,0),0)*$M41*$N41*('Baseline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Projects'!AF$3,'Baseline scaling factors'!$B$48:$K$48,0))</f>
        <v>36.25028716823774</v>
      </c>
      <c r="AG41" s="34">
        <f>VLOOKUP($A41,'Outage by Zone inputs'!$A$4:$E$13,MATCH('Baseline Projects'!$I41,'Outage by Zone inputs'!$A$3:$E$3,0),0)*$M41*$N41*('Baseline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Projects'!AG$3,'Baseline scaling factors'!$B$54:$K$54,0))+VLOOKUP($A41,'Outage by Zone inputs'!$A$4:$E$13,MATCH('Baseline Projects'!$I41,'Outage by Zone inputs'!$A$3:$E$3,0),0)*$M41*$N41*('Baseline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Projects'!AG$3,'Baseline scaling factors'!$B$48:$K$48,0))</f>
        <v>32.220495304612243</v>
      </c>
      <c r="AH41" s="34">
        <f>VLOOKUP($A41,'Outage by Zone inputs'!$A$4:$E$13,MATCH('Baseline Projects'!$I41,'Outage by Zone inputs'!$A$3:$E$3,0),0)*$M41*$N41*('Baseline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Projects'!AH$3,'Baseline scaling factors'!$B$54:$K$54,0))+VLOOKUP($A41,'Outage by Zone inputs'!$A$4:$E$13,MATCH('Baseline Projects'!$I41,'Outage by Zone inputs'!$A$3:$E$3,0),0)*$M41*$N41*('Baseline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Projects'!AH$3,'Baseline scaling factors'!$B$48:$K$48,0))</f>
        <v>28.368265061441281</v>
      </c>
      <c r="AI41" s="34">
        <f>VLOOKUP($A41,'Outage by Zone inputs'!$A$4:$E$13,MATCH('Baseline Projects'!$I41,'Outage by Zone inputs'!$A$3:$E$3,0),0)*$M41*$N41*('Baseline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Projects'!AI$3,'Baseline scaling factors'!$B$54:$K$54,0))+VLOOKUP($A41,'Outage by Zone inputs'!$A$4:$E$13,MATCH('Baseline Projects'!$I41,'Outage by Zone inputs'!$A$3:$E$3,0),0)*$M41*$N41*('Baseline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Projects'!AI$3,'Baseline scaling factors'!$B$48:$K$48,0))</f>
        <v>24.68577267756659</v>
      </c>
      <c r="AJ41" s="34">
        <f>VLOOKUP($A41,'Outage by Zone inputs'!$A$4:$E$13,MATCH('Baseline Projects'!$I41,'Outage by Zone inputs'!$A$3:$E$3,0),0)*$M41*$N41*('Baseline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Projects'!AJ$3,'Baseline scaling factors'!$B$54:$K$54,0))+VLOOKUP($A41,'Outage by Zone inputs'!$A$4:$E$13,MATCH('Baseline Projects'!$I41,'Outage by Zone inputs'!$A$3:$E$3,0),0)*$M41*$N41*('Baseline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Projects'!AJ$3,'Baseline scaling factors'!$B$48:$K$48,0))</f>
        <v>21.165539124202315</v>
      </c>
      <c r="AK41" s="1">
        <f t="shared" si="2"/>
        <v>8139.6735508380616</v>
      </c>
      <c r="AL41" s="1">
        <f t="shared" si="3"/>
        <v>7447.4794978703158</v>
      </c>
      <c r="AM41" s="1">
        <f t="shared" si="4"/>
        <v>6785.7850592432869</v>
      </c>
      <c r="AN41" s="1">
        <f t="shared" si="5"/>
        <v>6153.2463539008713</v>
      </c>
      <c r="AO41" s="1">
        <f t="shared" si="6"/>
        <v>5548.5787151846489</v>
      </c>
      <c r="AP41" s="1">
        <f t="shared" si="7"/>
        <v>4970.5540817154215</v>
      </c>
      <c r="AQ41" s="1">
        <f t="shared" si="8"/>
        <v>4417.9985032383029</v>
      </c>
      <c r="AR41" s="1">
        <f t="shared" si="9"/>
        <v>3889.7897563658603</v>
      </c>
      <c r="AS41" s="1">
        <f t="shared" si="10"/>
        <v>3384.8550653769248</v>
      </c>
      <c r="AT41" s="1">
        <f t="shared" si="11"/>
        <v>2902.1689234420937</v>
      </c>
      <c r="AU41" s="1">
        <f t="shared" si="12"/>
        <v>230624.08394041171</v>
      </c>
      <c r="AV41" s="1">
        <f t="shared" si="13"/>
        <v>211011.91910632563</v>
      </c>
      <c r="AW41" s="1">
        <f t="shared" si="14"/>
        <v>192263.91001189314</v>
      </c>
      <c r="AX41" s="1">
        <f t="shared" si="15"/>
        <v>174341.98002719137</v>
      </c>
      <c r="AY41" s="1">
        <f t="shared" si="16"/>
        <v>157209.73026356508</v>
      </c>
      <c r="AZ41" s="1">
        <f t="shared" si="17"/>
        <v>140832.36564860362</v>
      </c>
      <c r="BA41" s="1">
        <f t="shared" si="18"/>
        <v>125176.62425841857</v>
      </c>
      <c r="BB41" s="1">
        <f t="shared" si="19"/>
        <v>110210.70976369937</v>
      </c>
      <c r="BC41" s="1">
        <f t="shared" si="20"/>
        <v>95904.226852346197</v>
      </c>
      <c r="BD41" s="1">
        <f t="shared" si="21"/>
        <v>82228.119497526</v>
      </c>
      <c r="BE41" s="1">
        <f t="shared" si="22"/>
        <v>238763.75749124977</v>
      </c>
      <c r="BF41" s="1">
        <f t="shared" si="23"/>
        <v>218459.39860419594</v>
      </c>
      <c r="BG41" s="1">
        <f t="shared" si="24"/>
        <v>199049.69507113643</v>
      </c>
      <c r="BH41" s="1">
        <f t="shared" si="25"/>
        <v>180495.22638109224</v>
      </c>
      <c r="BI41" s="1">
        <f t="shared" si="26"/>
        <v>162758.30897874973</v>
      </c>
      <c r="BJ41" s="1">
        <f t="shared" si="27"/>
        <v>145802.91973031903</v>
      </c>
      <c r="BK41" s="1">
        <f t="shared" si="28"/>
        <v>129594.62276165686</v>
      </c>
      <c r="BL41" s="1">
        <f t="shared" si="29"/>
        <v>114100.49952006523</v>
      </c>
      <c r="BM41" s="1">
        <f t="shared" si="30"/>
        <v>99289.081917723117</v>
      </c>
      <c r="BN41" s="1">
        <f t="shared" si="31"/>
        <v>85130.288420968092</v>
      </c>
      <c r="BO41" s="25">
        <f>VLOOKUP($A41,'Outage by Zone inputs'!$A$59:$E$68,MATCH('Baseline Projects'!$I41,'Outage by Zone inputs'!$A$58:$E$58,0),0)*AVG_INCIDENT_PERCENT_NON_STORM</f>
        <v>25.107585612663954</v>
      </c>
      <c r="BP41" s="25">
        <f>$BO41*$N41*('Baseline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Projects'!Q$3,'Baseline scaling factors'!$B$54:$K$54,0))+$BO41*$N41*('Baseline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Projects'!Q$3,'Baseline scaling factors'!$B$48:$K$48,0))</f>
        <v>4.9006722944967285</v>
      </c>
      <c r="BQ41" s="25">
        <f>$BO41*$N41*('Baseline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Projects'!R$3,'Baseline scaling factors'!$B$54:$K$54,0))+$BO41*$N41*('Baseline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Projects'!R$3,'Baseline scaling factors'!$B$48:$K$48,0))</f>
        <v>4.4839214018954934</v>
      </c>
      <c r="BR41" s="25">
        <f>$BO41*$N41*('Baseline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Projects'!S$3,'Baseline scaling factors'!$B$54:$K$54,0))+$BO41*$N41*('Baseline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Projects'!S$3,'Baseline scaling factors'!$B$48:$K$48,0))</f>
        <v>4.0855334834428945</v>
      </c>
      <c r="BS41" s="25">
        <f>$BO41*$N41*('Baseline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Projects'!T$3,'Baseline scaling factors'!$B$54:$K$54,0))+$BO41*$N41*('Baseline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Projects'!T$3,'Baseline scaling factors'!$B$48:$K$48,0))</f>
        <v>3.7046994255279748</v>
      </c>
      <c r="BT41" s="25">
        <f>$BO41*$N41*('Baseline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Projects'!U$3,'Baseline scaling factors'!$B$54:$K$54,0))+$BO41*$N41*('Baseline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Projects'!U$3,'Baseline scaling factors'!$B$48:$K$48,0))</f>
        <v>3.3406457658906978</v>
      </c>
      <c r="BU41" s="25">
        <f>$BO41*$N41*('Baseline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Projects'!V$3,'Baseline scaling factors'!$B$54:$K$54,0))+$BO41*$N41*('Baseline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Projects'!V$3,'Baseline scaling factors'!$B$48:$K$48,0))</f>
        <v>2.9926331227438956</v>
      </c>
      <c r="BV41" s="25">
        <f>$BO41*$N41*('Baseline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Projects'!W$3,'Baseline scaling factors'!$B$54:$K$54,0))+$BO41*$N41*('Baseline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Projects'!W$3,'Baseline scaling factors'!$B$48:$K$48,0))</f>
        <v>2.6599546931115881</v>
      </c>
      <c r="BW41" s="25">
        <f>$BO41*$N41*('Baseline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Projects'!X$3,'Baseline scaling factors'!$B$54:$K$54,0))+$BO41*$N41*('Baseline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Projects'!X$3,'Baseline scaling factors'!$B$48:$K$48,0))</f>
        <v>2.3419348173338808</v>
      </c>
      <c r="BX41" s="25">
        <f>$BO41*$N41*('Baseline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Projects'!Y$3,'Baseline scaling factors'!$B$54:$K$54,0))+$BO41*$N41*('Baseline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Projects'!Y$3,'Baseline scaling factors'!$B$48:$K$48,0))</f>
        <v>2.0379276068229668</v>
      </c>
      <c r="BY41" s="25">
        <f>$BO41*$N41*('Baseline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Projects'!Z$3,'Baseline scaling factors'!$B$54:$K$54,0))+$BO41*$N41*('Baseline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Projects'!Z$3,'Baseline scaling factors'!$B$48:$K$48,0))</f>
        <v>1.7473156322832764</v>
      </c>
      <c r="BZ41" s="12">
        <f t="shared" si="32"/>
        <v>2313.117323002456</v>
      </c>
      <c r="CA41" s="12">
        <f t="shared" si="33"/>
        <v>2116.4109016946727</v>
      </c>
      <c r="CB41" s="12">
        <f t="shared" si="34"/>
        <v>1928.3718041850461</v>
      </c>
      <c r="CC41" s="12">
        <f t="shared" si="35"/>
        <v>1748.6181288492041</v>
      </c>
      <c r="CD41" s="12">
        <f t="shared" si="36"/>
        <v>1576.7848015004095</v>
      </c>
      <c r="CE41" s="12">
        <f t="shared" si="37"/>
        <v>1412.5228339351188</v>
      </c>
      <c r="CF41" s="12">
        <f t="shared" si="38"/>
        <v>1255.4986151486696</v>
      </c>
      <c r="CG41" s="12">
        <f t="shared" si="39"/>
        <v>1105.3932337815918</v>
      </c>
      <c r="CH41" s="12">
        <f t="shared" si="40"/>
        <v>961.90183042044032</v>
      </c>
      <c r="CI41" s="12">
        <f t="shared" si="41"/>
        <v>824.73297843770649</v>
      </c>
      <c r="CJ41" s="12">
        <f>'Mitigation Projects'!$AG41*VLOOKUP('Baseline Projects'!$H41&amp;"-"&amp;'Baseline Projects'!$G41,'Baseline scaling factors'!$A$49:$K$51,MATCH('Baseline Projects'!CJ$2,'Baseline scaling factors'!$A$48:$K$48,0),0)</f>
        <v>0</v>
      </c>
      <c r="CK41" s="12">
        <f>'Mitigation Projects'!$AG41*VLOOKUP('Baseline Projects'!$H41&amp;"-"&amp;'Baseline Projects'!$G41,'Baseline scaling factors'!$A$49:$K$51,MATCH('Baseline Projects'!CK$2,'Baseline scaling factors'!$A$48:$K$48,0),0)</f>
        <v>0</v>
      </c>
      <c r="CL41" s="12">
        <f>'Mitigation Projects'!$AG41*VLOOKUP('Baseline Projects'!$H41&amp;"-"&amp;'Baseline Projects'!$G41,'Baseline scaling factors'!$A$49:$K$51,MATCH('Baseline Projects'!CL$2,'Baseline scaling factors'!$A$48:$K$48,0),0)</f>
        <v>0</v>
      </c>
      <c r="CM41" s="12">
        <f>'Mitigation Projects'!$AG41*VLOOKUP('Baseline Projects'!$H41&amp;"-"&amp;'Baseline Projects'!$G41,'Baseline scaling factors'!$A$49:$K$51,MATCH('Baseline Projects'!CM$2,'Baseline scaling factors'!$A$48:$K$48,0),0)</f>
        <v>0</v>
      </c>
      <c r="CN41" s="12">
        <f>'Mitigation Projects'!$AG41*VLOOKUP('Baseline Projects'!$H41&amp;"-"&amp;'Baseline Projects'!$G41,'Baseline scaling factors'!$A$49:$K$51,MATCH('Baseline Projects'!CN$2,'Baseline scaling factors'!$A$48:$K$48,0),0)</f>
        <v>0</v>
      </c>
      <c r="CO41" s="12">
        <f>'Mitigation Projects'!$AG41*VLOOKUP('Baseline Projects'!$H41&amp;"-"&amp;'Baseline Projects'!$G41,'Baseline scaling factors'!$A$49:$K$51,MATCH('Baseline Projects'!CO$2,'Baseline scaling factors'!$A$48:$K$48,0),0)</f>
        <v>0</v>
      </c>
      <c r="CP41" s="12">
        <f>'Mitigation Projects'!$AG41*VLOOKUP('Baseline Projects'!$H41&amp;"-"&amp;'Baseline Projects'!$G41,'Baseline scaling factors'!$A$49:$K$51,MATCH('Baseline Projects'!CP$2,'Baseline scaling factors'!$A$48:$K$48,0),0)</f>
        <v>0</v>
      </c>
      <c r="CQ41" s="12">
        <f>'Mitigation Projects'!$AG41*VLOOKUP('Baseline Projects'!$H41&amp;"-"&amp;'Baseline Projects'!$G41,'Baseline scaling factors'!$A$49:$K$51,MATCH('Baseline Projects'!CQ$2,'Baseline scaling factors'!$A$48:$K$48,0),0)</f>
        <v>0</v>
      </c>
      <c r="CR41" s="12">
        <f>'Mitigation Projects'!$AG41*VLOOKUP('Baseline Projects'!$H41&amp;"-"&amp;'Baseline Projects'!$G41,'Baseline scaling factors'!$A$49:$K$51,MATCH('Baseline Projects'!CR$2,'Baseline scaling factors'!$A$48:$K$48,0),0)</f>
        <v>0</v>
      </c>
      <c r="CS41" s="12">
        <f>'Mitigation Projects'!$AG41*VLOOKUP('Baseline Projects'!$H41&amp;"-"&amp;'Baseline Projects'!$G41,'Baseline scaling factors'!$A$49:$K$51,MATCH('Baseline Projects'!CS$2,'Baseline scaling factors'!$A$48:$K$48,0),0)</f>
        <v>0</v>
      </c>
      <c r="CT41" s="12">
        <f>'Mitigation Projects'!$AH41*VLOOKUP('Baseline Projects'!$H41&amp;"-"&amp;'Baseline Projects'!$G41,'Baseline scaling factors'!$A$49:$K$51,MATCH('Baseline Projects'!CT$2,'Baseline scaling factors'!$A$48:$K$48,0),0)</f>
        <v>0</v>
      </c>
      <c r="CU41" s="12">
        <f>'Mitigation Projects'!$AH41*VLOOKUP('Baseline Projects'!$H41&amp;"-"&amp;'Baseline Projects'!$G41,'Baseline scaling factors'!$A$49:$K$51,MATCH('Baseline Projects'!CU$2,'Baseline scaling factors'!$A$48:$K$48,0),0)</f>
        <v>0</v>
      </c>
      <c r="CV41" s="12">
        <f>'Mitigation Projects'!$AH41*VLOOKUP('Baseline Projects'!$H41&amp;"-"&amp;'Baseline Projects'!$G41,'Baseline scaling factors'!$A$49:$K$51,MATCH('Baseline Projects'!CV$2,'Baseline scaling factors'!$A$48:$K$48,0),0)</f>
        <v>0</v>
      </c>
      <c r="CW41" s="12">
        <f>'Mitigation Projects'!$AH41*VLOOKUP('Baseline Projects'!$H41&amp;"-"&amp;'Baseline Projects'!$G41,'Baseline scaling factors'!$A$49:$K$51,MATCH('Baseline Projects'!CW$2,'Baseline scaling factors'!$A$48:$K$48,0),0)</f>
        <v>0</v>
      </c>
      <c r="CX41" s="12">
        <f>'Mitigation Projects'!$AH41*VLOOKUP('Baseline Projects'!$H41&amp;"-"&amp;'Baseline Projects'!$G41,'Baseline scaling factors'!$A$49:$K$51,MATCH('Baseline Projects'!CX$2,'Baseline scaling factors'!$A$48:$K$48,0),0)</f>
        <v>0</v>
      </c>
      <c r="CY41" s="12">
        <f>'Mitigation Projects'!$AH41*VLOOKUP('Baseline Projects'!$H41&amp;"-"&amp;'Baseline Projects'!$G41,'Baseline scaling factors'!$A$49:$K$51,MATCH('Baseline Projects'!CY$2,'Baseline scaling factors'!$A$48:$K$48,0),0)</f>
        <v>0</v>
      </c>
      <c r="CZ41" s="12">
        <f>'Mitigation Projects'!$AH41*VLOOKUP('Baseline Projects'!$H41&amp;"-"&amp;'Baseline Projects'!$G41,'Baseline scaling factors'!$A$49:$K$51,MATCH('Baseline Projects'!CZ$2,'Baseline scaling factors'!$A$48:$K$48,0),0)</f>
        <v>0</v>
      </c>
      <c r="DA41" s="12">
        <f>'Mitigation Projects'!$AH41*VLOOKUP('Baseline Projects'!$H41&amp;"-"&amp;'Baseline Projects'!$G41,'Baseline scaling factors'!$A$49:$K$51,MATCH('Baseline Projects'!DA$2,'Baseline scaling factors'!$A$48:$K$48,0),0)</f>
        <v>0</v>
      </c>
      <c r="DB41" s="12">
        <f>'Mitigation Projects'!$AH41*VLOOKUP('Baseline Projects'!$H41&amp;"-"&amp;'Baseline Projects'!$G41,'Baseline scaling factors'!$A$49:$K$51,MATCH('Baseline Projects'!DB$2,'Baseline scaling factors'!$A$48:$K$48,0),0)</f>
        <v>0</v>
      </c>
      <c r="DC41" s="12">
        <f>'Mitigation Projects'!$AH41*VLOOKUP('Baseline Projects'!$H41&amp;"-"&amp;'Baseline Projects'!$G41,'Baseline scaling factors'!$A$49:$K$51,MATCH('Baseline Projects'!DC$2,'Baseline scaling factors'!$A$48:$K$48,0),0)</f>
        <v>0</v>
      </c>
    </row>
    <row r="42" spans="1:107" x14ac:dyDescent="0.4">
      <c r="A42" s="38" t="str">
        <f>'Mitigation Projects'!A42</f>
        <v>SH-G35</v>
      </c>
      <c r="B42" s="38" t="str">
        <f>'Mitigation Projects'!B42</f>
        <v>Royalton</v>
      </c>
      <c r="C42" s="39">
        <f>'Mitigation Projects'!C42</f>
        <v>199373</v>
      </c>
      <c r="D42" s="39" t="str">
        <f>'Mitigation Projects'!D42</f>
        <v>199373: FAY BROOK RD P.44 -P.75</v>
      </c>
      <c r="E42" s="39">
        <f>'Mitigation Projects'!E42</f>
        <v>617377</v>
      </c>
      <c r="F42" s="39">
        <f>'Mitigation Projects'!F42</f>
        <v>476994</v>
      </c>
      <c r="G42" s="39" t="str">
        <f>'Mitigation Projects'!G42</f>
        <v>1PH</v>
      </c>
      <c r="H42" s="39" t="str">
        <f>'Mitigation Projects'!H42</f>
        <v>UG</v>
      </c>
      <c r="I42" s="39" t="str">
        <f>'Mitigation Projects'!J42</f>
        <v>Zone 3</v>
      </c>
      <c r="J42" s="39">
        <f>'Mitigation Projects'!K42</f>
        <v>135</v>
      </c>
      <c r="K42" s="40">
        <f>'Mitigation Projects'!L42*BASELINE_CAP_SPEND</f>
        <v>86792.1</v>
      </c>
      <c r="L42" s="97">
        <f>'Mitigation Projects'!Q42</f>
        <v>0.8671875</v>
      </c>
      <c r="M42" s="97">
        <f>'Mitigation Projects'!R42</f>
        <v>0.1328125</v>
      </c>
      <c r="N42" s="98">
        <f>'Mitigation Projects'!S42</f>
        <v>0.5</v>
      </c>
      <c r="O42" s="26">
        <f t="shared" si="0"/>
        <v>0.98</v>
      </c>
      <c r="P42" s="26">
        <f t="shared" si="1"/>
        <v>0.83359200333362127</v>
      </c>
      <c r="Q42" s="112">
        <f>VLOOKUP($A42,'Outage by Zone inputs'!$A$4:$E$13,MATCH('Baseline Projects'!$I42,'Outage by Zone inputs'!$A$3:$E$3,0),0)*'Baseline Projects'!$L42*$N42*('Baseline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Projects'!Q$3,'Baseline scaling factors'!$B$54:$K$54,0))+VLOOKUP($A42,'Outage by Zone inputs'!$A$4:$E$13,MATCH('Baseline Projects'!$I42,'Outage by Zone inputs'!$A$3:$E$3,0),0)*'Baseline Projects'!$L42*$N42*('Baseline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Projects'!Q$3,'Baseline scaling factors'!$B$48:$K$48,0))</f>
        <v>249.17368012769577</v>
      </c>
      <c r="R42" s="112">
        <f>VLOOKUP($A42,'Outage by Zone inputs'!$A$4:$E$13,MATCH('Baseline Projects'!$I42,'Outage by Zone inputs'!$A$3:$E$3,0),0)*'Baseline Projects'!$L42*$N42*('Baseline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Projects'!R$3,'Baseline scaling factors'!$B$54:$K$54,0))+VLOOKUP($A42,'Outage by Zone inputs'!$A$4:$E$13,MATCH('Baseline Projects'!$I42,'Outage by Zone inputs'!$A$3:$E$3,0),0)*'Baseline Projects'!$L42*$N42*('Baseline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Projects'!R$3,'Baseline scaling factors'!$B$48:$K$48,0))</f>
        <v>227.98406626133624</v>
      </c>
      <c r="S42" s="112">
        <f>VLOOKUP($A42,'Outage by Zone inputs'!$A$4:$E$13,MATCH('Baseline Projects'!$I42,'Outage by Zone inputs'!$A$3:$E$3,0),0)*'Baseline Projects'!$L42*$N42*('Baseline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Projects'!S$3,'Baseline scaling factors'!$B$54:$K$54,0))+VLOOKUP($A42,'Outage by Zone inputs'!$A$4:$E$13,MATCH('Baseline Projects'!$I42,'Outage by Zone inputs'!$A$3:$E$3,0),0)*'Baseline Projects'!$L42*$N42*('Baseline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Projects'!S$3,'Baseline scaling factors'!$B$48:$K$48,0))</f>
        <v>207.72811405846798</v>
      </c>
      <c r="T42" s="112">
        <f>VLOOKUP($A42,'Outage by Zone inputs'!$A$4:$E$13,MATCH('Baseline Projects'!$I42,'Outage by Zone inputs'!$A$3:$E$3,0),0)*'Baseline Projects'!$L42*$N42*('Baseline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Projects'!T$3,'Baseline scaling factors'!$B$54:$K$54,0))+VLOOKUP($A42,'Outage by Zone inputs'!$A$4:$E$13,MATCH('Baseline Projects'!$I42,'Outage by Zone inputs'!$A$3:$E$3,0),0)*'Baseline Projects'!$L42*$N42*('Baseline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Projects'!T$3,'Baseline scaling factors'!$B$48:$K$48,0))</f>
        <v>188.36468430308793</v>
      </c>
      <c r="U42" s="112">
        <f>VLOOKUP($A42,'Outage by Zone inputs'!$A$4:$E$13,MATCH('Baseline Projects'!$I42,'Outage by Zone inputs'!$A$3:$E$3,0),0)*'Baseline Projects'!$L42*$N42*('Baseline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Projects'!U$3,'Baseline scaling factors'!$B$54:$K$54,0))+VLOOKUP($A42,'Outage by Zone inputs'!$A$4:$E$13,MATCH('Baseline Projects'!$I42,'Outage by Zone inputs'!$A$3:$E$3,0),0)*'Baseline Projects'!$L42*$N42*('Baseline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Projects'!U$3,'Baseline scaling factors'!$B$48:$K$48,0))</f>
        <v>169.85445046483625</v>
      </c>
      <c r="V42" s="112">
        <f>VLOOKUP($A42,'Outage by Zone inputs'!$A$4:$E$13,MATCH('Baseline Projects'!$I42,'Outage by Zone inputs'!$A$3:$E$3,0),0)*'Baseline Projects'!$L42*$N42*('Baseline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Projects'!V$3,'Baseline scaling factors'!$B$54:$K$54,0))+VLOOKUP($A42,'Outage by Zone inputs'!$A$4:$E$13,MATCH('Baseline Projects'!$I42,'Outage by Zone inputs'!$A$3:$E$3,0),0)*'Baseline Projects'!$L42*$N42*('Baseline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Projects'!V$3,'Baseline scaling factors'!$B$48:$K$48,0))</f>
        <v>152.15981882802316</v>
      </c>
      <c r="W42" s="112">
        <f>VLOOKUP($A42,'Outage by Zone inputs'!$A$4:$E$13,MATCH('Baseline Projects'!$I42,'Outage by Zone inputs'!$A$3:$E$3,0),0)*'Baseline Projects'!$L42*$N42*('Baseline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Projects'!W$3,'Baseline scaling factors'!$B$54:$K$54,0))+VLOOKUP($A42,'Outage by Zone inputs'!$A$4:$E$13,MATCH('Baseline Projects'!$I42,'Outage by Zone inputs'!$A$3:$E$3,0),0)*'Baseline Projects'!$L42*$N42*('Baseline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Projects'!W$3,'Baseline scaling factors'!$B$48:$K$48,0))</f>
        <v>135.24485213994805</v>
      </c>
      <c r="X42" s="112">
        <f>VLOOKUP($A42,'Outage by Zone inputs'!$A$4:$E$13,MATCH('Baseline Projects'!$I42,'Outage by Zone inputs'!$A$3:$E$3,0),0)*'Baseline Projects'!$L42*$N42*('Baseline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Projects'!X$3,'Baseline scaling factors'!$B$54:$K$54,0))+VLOOKUP($A42,'Outage by Zone inputs'!$A$4:$E$13,MATCH('Baseline Projects'!$I42,'Outage by Zone inputs'!$A$3:$E$3,0),0)*'Baseline Projects'!$L42*$N42*('Baseline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Projects'!X$3,'Baseline scaling factors'!$B$48:$K$48,0))</f>
        <v>119.07519662344473</v>
      </c>
      <c r="Y42" s="112">
        <f>VLOOKUP($A42,'Outage by Zone inputs'!$A$4:$E$13,MATCH('Baseline Projects'!$I42,'Outage by Zone inputs'!$A$3:$E$3,0),0)*'Baseline Projects'!$L42*$N42*('Baseline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Projects'!Y$3,'Baseline scaling factors'!$B$54:$K$54,0))+VLOOKUP($A42,'Outage by Zone inputs'!$A$4:$E$13,MATCH('Baseline Projects'!$I42,'Outage by Zone inputs'!$A$3:$E$3,0),0)*'Baseline Projects'!$L42*$N42*('Baseline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Projects'!Y$3,'Baseline scaling factors'!$B$48:$K$48,0))</f>
        <v>103.61801220541608</v>
      </c>
      <c r="Z42" s="112">
        <f>VLOOKUP($A42,'Outage by Zone inputs'!$A$4:$E$13,MATCH('Baseline Projects'!$I42,'Outage by Zone inputs'!$A$3:$E$3,0),0)*'Baseline Projects'!$L42*$N42*('Baseline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Projects'!Z$3,'Baseline scaling factors'!$B$54:$K$54,0))+VLOOKUP($A42,'Outage by Zone inputs'!$A$4:$E$13,MATCH('Baseline Projects'!$I42,'Outage by Zone inputs'!$A$3:$E$3,0),0)*'Baseline Projects'!$L42*$N42*('Baseline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Projects'!Z$3,'Baseline scaling factors'!$B$48:$K$48,0))</f>
        <v>88.841905819655949</v>
      </c>
      <c r="AA42" s="34">
        <f>VLOOKUP($A42,'Outage by Zone inputs'!$A$4:$E$13,MATCH('Baseline Projects'!$I42,'Outage by Zone inputs'!$A$3:$E$3,0),0)*$M42*$N42*('Baseline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Projects'!AA$3,'Baseline scaling factors'!$B$54:$K$54,0))+VLOOKUP($A42,'Outage by Zone inputs'!$A$4:$E$13,MATCH('Baseline Projects'!$I42,'Outage by Zone inputs'!$A$3:$E$3,0),0)*$M42*$N42*('Baseline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Projects'!AA$3,'Baseline scaling factors'!$B$48:$K$48,0))</f>
        <v>38.161734794331778</v>
      </c>
      <c r="AB42" s="34">
        <f>VLOOKUP($A42,'Outage by Zone inputs'!$A$4:$E$13,MATCH('Baseline Projects'!$I42,'Outage by Zone inputs'!$A$3:$E$3,0),0)*$M42*$N42*('Baseline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Projects'!AB$3,'Baseline scaling factors'!$B$54:$K$54,0))+VLOOKUP($A42,'Outage by Zone inputs'!$A$4:$E$13,MATCH('Baseline Projects'!$I42,'Outage by Zone inputs'!$A$3:$E$3,0),0)*$M42*$N42*('Baseline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Projects'!AB$3,'Baseline scaling factors'!$B$48:$K$48,0))</f>
        <v>34.91647861660104</v>
      </c>
      <c r="AC42" s="34">
        <f>VLOOKUP($A42,'Outage by Zone inputs'!$A$4:$E$13,MATCH('Baseline Projects'!$I42,'Outage by Zone inputs'!$A$3:$E$3,0),0)*$M42*$N42*('Baseline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Projects'!AC$3,'Baseline scaling factors'!$B$54:$K$54,0))+VLOOKUP($A42,'Outage by Zone inputs'!$A$4:$E$13,MATCH('Baseline Projects'!$I42,'Outage by Zone inputs'!$A$3:$E$3,0),0)*$M42*$N42*('Baseline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Projects'!AC$3,'Baseline scaling factors'!$B$48:$K$48,0))</f>
        <v>31.81421566661221</v>
      </c>
      <c r="AD42" s="34">
        <f>VLOOKUP($A42,'Outage by Zone inputs'!$A$4:$E$13,MATCH('Baseline Projects'!$I42,'Outage by Zone inputs'!$A$3:$E$3,0),0)*$M42*$N42*('Baseline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Projects'!AD$3,'Baseline scaling factors'!$B$54:$K$54,0))+VLOOKUP($A42,'Outage by Zone inputs'!$A$4:$E$13,MATCH('Baseline Projects'!$I42,'Outage by Zone inputs'!$A$3:$E$3,0),0)*$M42*$N42*('Baseline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Projects'!AD$3,'Baseline scaling factors'!$B$48:$K$48,0))</f>
        <v>28.848645343716168</v>
      </c>
      <c r="AE42" s="34">
        <f>VLOOKUP($A42,'Outage by Zone inputs'!$A$4:$E$13,MATCH('Baseline Projects'!$I42,'Outage by Zone inputs'!$A$3:$E$3,0),0)*$M42*$N42*('Baseline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Projects'!AE$3,'Baseline scaling factors'!$B$54:$K$54,0))+VLOOKUP($A42,'Outage by Zone inputs'!$A$4:$E$13,MATCH('Baseline Projects'!$I42,'Outage by Zone inputs'!$A$3:$E$3,0),0)*$M42*$N42*('Baseline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Projects'!AE$3,'Baseline scaling factors'!$B$48:$K$48,0))</f>
        <v>26.013744665785726</v>
      </c>
      <c r="AF42" s="34">
        <f>VLOOKUP($A42,'Outage by Zone inputs'!$A$4:$E$13,MATCH('Baseline Projects'!$I42,'Outage by Zone inputs'!$A$3:$E$3,0),0)*$M42*$N42*('Baseline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Projects'!AF$3,'Baseline scaling factors'!$B$54:$K$54,0))+VLOOKUP($A42,'Outage by Zone inputs'!$A$4:$E$13,MATCH('Baseline Projects'!$I42,'Outage by Zone inputs'!$A$3:$E$3,0),0)*$M42*$N42*('Baseline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Projects'!AF$3,'Baseline scaling factors'!$B$48:$K$48,0))</f>
        <v>23.303756036724266</v>
      </c>
      <c r="AG42" s="34">
        <f>VLOOKUP($A42,'Outage by Zone inputs'!$A$4:$E$13,MATCH('Baseline Projects'!$I42,'Outage by Zone inputs'!$A$3:$E$3,0),0)*$M42*$N42*('Baseline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Projects'!AG$3,'Baseline scaling factors'!$B$54:$K$54,0))+VLOOKUP($A42,'Outage by Zone inputs'!$A$4:$E$13,MATCH('Baseline Projects'!$I42,'Outage by Zone inputs'!$A$3:$E$3,0),0)*$M42*$N42*('Baseline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Projects'!AG$3,'Baseline scaling factors'!$B$48:$K$48,0))</f>
        <v>20.713175552965016</v>
      </c>
      <c r="AH42" s="34">
        <f>VLOOKUP($A42,'Outage by Zone inputs'!$A$4:$E$13,MATCH('Baseline Projects'!$I42,'Outage by Zone inputs'!$A$3:$E$3,0),0)*$M42*$N42*('Baseline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Projects'!AH$3,'Baseline scaling factors'!$B$54:$K$54,0))+VLOOKUP($A42,'Outage by Zone inputs'!$A$4:$E$13,MATCH('Baseline Projects'!$I42,'Outage by Zone inputs'!$A$3:$E$3,0),0)*$M42*$N42*('Baseline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Projects'!AH$3,'Baseline scaling factors'!$B$48:$K$48,0))</f>
        <v>18.236741825212256</v>
      </c>
      <c r="AI42" s="34">
        <f>VLOOKUP($A42,'Outage by Zone inputs'!$A$4:$E$13,MATCH('Baseline Projects'!$I42,'Outage by Zone inputs'!$A$3:$E$3,0),0)*$M42*$N42*('Baseline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Projects'!AI$3,'Baseline scaling factors'!$B$54:$K$54,0))+VLOOKUP($A42,'Outage by Zone inputs'!$A$4:$E$13,MATCH('Baseline Projects'!$I42,'Outage by Zone inputs'!$A$3:$E$3,0),0)*$M42*$N42*('Baseline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Projects'!AI$3,'Baseline scaling factors'!$B$48:$K$48,0))</f>
        <v>15.869425292721381</v>
      </c>
      <c r="AJ42" s="34">
        <f>VLOOKUP($A42,'Outage by Zone inputs'!$A$4:$E$13,MATCH('Baseline Projects'!$I42,'Outage by Zone inputs'!$A$3:$E$3,0),0)*$M42*$N42*('Baseline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Projects'!AJ$3,'Baseline scaling factors'!$B$54:$K$54,0))+VLOOKUP($A42,'Outage by Zone inputs'!$A$4:$E$13,MATCH('Baseline Projects'!$I42,'Outage by Zone inputs'!$A$3:$E$3,0),0)*$M42*$N42*('Baseline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Projects'!AJ$3,'Baseline scaling factors'!$B$48:$K$48,0))</f>
        <v>13.606418008415774</v>
      </c>
      <c r="AK42" s="1">
        <f t="shared" si="2"/>
        <v>5232.6472826816116</v>
      </c>
      <c r="AL42" s="1">
        <f t="shared" si="3"/>
        <v>4787.6653914880608</v>
      </c>
      <c r="AM42" s="1">
        <f t="shared" si="4"/>
        <v>4362.2903952278275</v>
      </c>
      <c r="AN42" s="1">
        <f t="shared" si="5"/>
        <v>3955.6583703648466</v>
      </c>
      <c r="AO42" s="1">
        <f t="shared" si="6"/>
        <v>3566.9434597615614</v>
      </c>
      <c r="AP42" s="1">
        <f t="shared" si="7"/>
        <v>3195.3561953884864</v>
      </c>
      <c r="AQ42" s="1">
        <f t="shared" si="8"/>
        <v>2840.141894938909</v>
      </c>
      <c r="AR42" s="1">
        <f t="shared" si="9"/>
        <v>2500.5791290923394</v>
      </c>
      <c r="AS42" s="1">
        <f t="shared" si="10"/>
        <v>2175.9782563137378</v>
      </c>
      <c r="AT42" s="1">
        <f t="shared" si="11"/>
        <v>1865.6800222127749</v>
      </c>
      <c r="AU42" s="1">
        <f t="shared" si="12"/>
        <v>148258.33967597896</v>
      </c>
      <c r="AV42" s="1">
        <f t="shared" si="13"/>
        <v>135650.51942549503</v>
      </c>
      <c r="AW42" s="1">
        <f t="shared" si="14"/>
        <v>123598.22786478844</v>
      </c>
      <c r="AX42" s="1">
        <f t="shared" si="15"/>
        <v>112076.98716033732</v>
      </c>
      <c r="AY42" s="1">
        <f t="shared" si="16"/>
        <v>101063.39802657755</v>
      </c>
      <c r="AZ42" s="1">
        <f t="shared" si="17"/>
        <v>90535.092202673768</v>
      </c>
      <c r="BA42" s="1">
        <f t="shared" si="18"/>
        <v>80470.687023269085</v>
      </c>
      <c r="BB42" s="1">
        <f t="shared" si="19"/>
        <v>70849.741990949609</v>
      </c>
      <c r="BC42" s="1">
        <f t="shared" si="20"/>
        <v>61652.717262222563</v>
      </c>
      <c r="BD42" s="1">
        <f t="shared" si="21"/>
        <v>52860.933962695286</v>
      </c>
      <c r="BE42" s="1">
        <f t="shared" si="22"/>
        <v>153490.98695866056</v>
      </c>
      <c r="BF42" s="1">
        <f t="shared" si="23"/>
        <v>140438.18481698309</v>
      </c>
      <c r="BG42" s="1">
        <f t="shared" si="24"/>
        <v>127960.51826001627</v>
      </c>
      <c r="BH42" s="1">
        <f t="shared" si="25"/>
        <v>116032.64553070217</v>
      </c>
      <c r="BI42" s="1">
        <f t="shared" si="26"/>
        <v>104630.34148633911</v>
      </c>
      <c r="BJ42" s="1">
        <f t="shared" si="27"/>
        <v>93730.448398062261</v>
      </c>
      <c r="BK42" s="1">
        <f t="shared" si="28"/>
        <v>83310.82891820799</v>
      </c>
      <c r="BL42" s="1">
        <f t="shared" si="29"/>
        <v>73350.321120041946</v>
      </c>
      <c r="BM42" s="1">
        <f t="shared" si="30"/>
        <v>63828.695518536304</v>
      </c>
      <c r="BN42" s="1">
        <f t="shared" si="31"/>
        <v>54726.613984908065</v>
      </c>
      <c r="BO42" s="25">
        <f>VLOOKUP($A42,'Outage by Zone inputs'!$A$59:$E$68,MATCH('Baseline Projects'!$I42,'Outage by Zone inputs'!$A$58:$E$58,0),0)*AVG_INCIDENT_PERCENT_NON_STORM</f>
        <v>25.107585612663954</v>
      </c>
      <c r="BP42" s="25">
        <f>$BO42*$N42*('Baseline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Projects'!Q$3,'Baseline scaling factors'!$B$54:$K$54,0))+$BO42*$N42*('Baseline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Projects'!Q$3,'Baseline scaling factors'!$B$48:$K$48,0))</f>
        <v>3.1504321893193254</v>
      </c>
      <c r="BQ42" s="25">
        <f>$BO42*$N42*('Baseline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Projects'!R$3,'Baseline scaling factors'!$B$54:$K$54,0))+$BO42*$N42*('Baseline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Projects'!R$3,'Baseline scaling factors'!$B$48:$K$48,0))</f>
        <v>2.8825209012185313</v>
      </c>
      <c r="BR42" s="25">
        <f>$BO42*$N42*('Baseline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Projects'!S$3,'Baseline scaling factors'!$B$54:$K$54,0))+$BO42*$N42*('Baseline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Projects'!S$3,'Baseline scaling factors'!$B$48:$K$48,0))</f>
        <v>2.6264143822132895</v>
      </c>
      <c r="BS42" s="25">
        <f>$BO42*$N42*('Baseline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Projects'!T$3,'Baseline scaling factors'!$B$54:$K$54,0))+$BO42*$N42*('Baseline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Projects'!T$3,'Baseline scaling factors'!$B$48:$K$48,0))</f>
        <v>2.3815924878394124</v>
      </c>
      <c r="BT42" s="25">
        <f>$BO42*$N42*('Baseline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Projects'!U$3,'Baseline scaling factors'!$B$54:$K$54,0))+$BO42*$N42*('Baseline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Projects'!U$3,'Baseline scaling factors'!$B$48:$K$48,0))</f>
        <v>2.1475579923583057</v>
      </c>
      <c r="BU42" s="25">
        <f>$BO42*$N42*('Baseline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Projects'!V$3,'Baseline scaling factors'!$B$54:$K$54,0))+$BO42*$N42*('Baseline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Projects'!V$3,'Baseline scaling factors'!$B$48:$K$48,0))</f>
        <v>1.92383557890679</v>
      </c>
      <c r="BV42" s="25">
        <f>$BO42*$N42*('Baseline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Projects'!W$3,'Baseline scaling factors'!$B$54:$K$54,0))+$BO42*$N42*('Baseline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Projects'!W$3,'Baseline scaling factors'!$B$48:$K$48,0))</f>
        <v>1.7099708741431638</v>
      </c>
      <c r="BW42" s="25">
        <f>$BO42*$N42*('Baseline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Projects'!X$3,'Baseline scaling factors'!$B$54:$K$54,0))+$BO42*$N42*('Baseline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Projects'!X$3,'Baseline scaling factors'!$B$48:$K$48,0))</f>
        <v>1.5055295254289232</v>
      </c>
      <c r="BX42" s="25">
        <f>$BO42*$N42*('Baseline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Projects'!Y$3,'Baseline scaling factors'!$B$54:$K$54,0))+$BO42*$N42*('Baseline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Projects'!Y$3,'Baseline scaling factors'!$B$48:$K$48,0))</f>
        <v>1.3100963186719072</v>
      </c>
      <c r="BY42" s="25">
        <f>$BO42*$N42*('Baseline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Projects'!Z$3,'Baseline scaling factors'!$B$54:$K$54,0))+$BO42*$N42*('Baseline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Projects'!Z$3,'Baseline scaling factors'!$B$48:$K$48,0))</f>
        <v>1.1232743350392491</v>
      </c>
      <c r="BZ42" s="12">
        <f t="shared" si="32"/>
        <v>1487.0039933587216</v>
      </c>
      <c r="CA42" s="12">
        <f t="shared" si="33"/>
        <v>1360.5498653751467</v>
      </c>
      <c r="CB42" s="12">
        <f t="shared" si="34"/>
        <v>1239.6675884046726</v>
      </c>
      <c r="CC42" s="12">
        <f t="shared" si="35"/>
        <v>1124.1116542602026</v>
      </c>
      <c r="CD42" s="12">
        <f t="shared" si="36"/>
        <v>1013.6473723931202</v>
      </c>
      <c r="CE42" s="12">
        <f t="shared" si="37"/>
        <v>908.05039324400491</v>
      </c>
      <c r="CF42" s="12">
        <f t="shared" si="38"/>
        <v>807.10625259557332</v>
      </c>
      <c r="CG42" s="12">
        <f t="shared" si="39"/>
        <v>710.60993600245172</v>
      </c>
      <c r="CH42" s="12">
        <f t="shared" si="40"/>
        <v>618.36546241314022</v>
      </c>
      <c r="CI42" s="12">
        <f t="shared" si="41"/>
        <v>530.18548613852556</v>
      </c>
      <c r="CJ42" s="12">
        <f>'Mitigation Projects'!$AG42*VLOOKUP('Baseline Projects'!$H42&amp;"-"&amp;'Baseline Projects'!$G42,'Baseline scaling factors'!$A$49:$K$51,MATCH('Baseline Projects'!CJ$2,'Baseline scaling factors'!$A$48:$K$48,0),0)</f>
        <v>0</v>
      </c>
      <c r="CK42" s="12">
        <f>'Mitigation Projects'!$AG42*VLOOKUP('Baseline Projects'!$H42&amp;"-"&amp;'Baseline Projects'!$G42,'Baseline scaling factors'!$A$49:$K$51,MATCH('Baseline Projects'!CK$2,'Baseline scaling factors'!$A$48:$K$48,0),0)</f>
        <v>0</v>
      </c>
      <c r="CL42" s="12">
        <f>'Mitigation Projects'!$AG42*VLOOKUP('Baseline Projects'!$H42&amp;"-"&amp;'Baseline Projects'!$G42,'Baseline scaling factors'!$A$49:$K$51,MATCH('Baseline Projects'!CL$2,'Baseline scaling factors'!$A$48:$K$48,0),0)</f>
        <v>0</v>
      </c>
      <c r="CM42" s="12">
        <f>'Mitigation Projects'!$AG42*VLOOKUP('Baseline Projects'!$H42&amp;"-"&amp;'Baseline Projects'!$G42,'Baseline scaling factors'!$A$49:$K$51,MATCH('Baseline Projects'!CM$2,'Baseline scaling factors'!$A$48:$K$48,0),0)</f>
        <v>0</v>
      </c>
      <c r="CN42" s="12">
        <f>'Mitigation Projects'!$AG42*VLOOKUP('Baseline Projects'!$H42&amp;"-"&amp;'Baseline Projects'!$G42,'Baseline scaling factors'!$A$49:$K$51,MATCH('Baseline Projects'!CN$2,'Baseline scaling factors'!$A$48:$K$48,0),0)</f>
        <v>0</v>
      </c>
      <c r="CO42" s="12">
        <f>'Mitigation Projects'!$AG42*VLOOKUP('Baseline Projects'!$H42&amp;"-"&amp;'Baseline Projects'!$G42,'Baseline scaling factors'!$A$49:$K$51,MATCH('Baseline Projects'!CO$2,'Baseline scaling factors'!$A$48:$K$48,0),0)</f>
        <v>0</v>
      </c>
      <c r="CP42" s="12">
        <f>'Mitigation Projects'!$AG42*VLOOKUP('Baseline Projects'!$H42&amp;"-"&amp;'Baseline Projects'!$G42,'Baseline scaling factors'!$A$49:$K$51,MATCH('Baseline Projects'!CP$2,'Baseline scaling factors'!$A$48:$K$48,0),0)</f>
        <v>0</v>
      </c>
      <c r="CQ42" s="12">
        <f>'Mitigation Projects'!$AG42*VLOOKUP('Baseline Projects'!$H42&amp;"-"&amp;'Baseline Projects'!$G42,'Baseline scaling factors'!$A$49:$K$51,MATCH('Baseline Projects'!CQ$2,'Baseline scaling factors'!$A$48:$K$48,0),0)</f>
        <v>0</v>
      </c>
      <c r="CR42" s="12">
        <f>'Mitigation Projects'!$AG42*VLOOKUP('Baseline Projects'!$H42&amp;"-"&amp;'Baseline Projects'!$G42,'Baseline scaling factors'!$A$49:$K$51,MATCH('Baseline Projects'!CR$2,'Baseline scaling factors'!$A$48:$K$48,0),0)</f>
        <v>0</v>
      </c>
      <c r="CS42" s="12">
        <f>'Mitigation Projects'!$AG42*VLOOKUP('Baseline Projects'!$H42&amp;"-"&amp;'Baseline Projects'!$G42,'Baseline scaling factors'!$A$49:$K$51,MATCH('Baseline Projects'!CS$2,'Baseline scaling factors'!$A$48:$K$48,0),0)</f>
        <v>0</v>
      </c>
      <c r="CT42" s="12">
        <f>'Mitigation Projects'!$AH42*VLOOKUP('Baseline Projects'!$H42&amp;"-"&amp;'Baseline Projects'!$G42,'Baseline scaling factors'!$A$49:$K$51,MATCH('Baseline Projects'!CT$2,'Baseline scaling factors'!$A$48:$K$48,0),0)</f>
        <v>0</v>
      </c>
      <c r="CU42" s="12">
        <f>'Mitigation Projects'!$AH42*VLOOKUP('Baseline Projects'!$H42&amp;"-"&amp;'Baseline Projects'!$G42,'Baseline scaling factors'!$A$49:$K$51,MATCH('Baseline Projects'!CU$2,'Baseline scaling factors'!$A$48:$K$48,0),0)</f>
        <v>0</v>
      </c>
      <c r="CV42" s="12">
        <f>'Mitigation Projects'!$AH42*VLOOKUP('Baseline Projects'!$H42&amp;"-"&amp;'Baseline Projects'!$G42,'Baseline scaling factors'!$A$49:$K$51,MATCH('Baseline Projects'!CV$2,'Baseline scaling factors'!$A$48:$K$48,0),0)</f>
        <v>0</v>
      </c>
      <c r="CW42" s="12">
        <f>'Mitigation Projects'!$AH42*VLOOKUP('Baseline Projects'!$H42&amp;"-"&amp;'Baseline Projects'!$G42,'Baseline scaling factors'!$A$49:$K$51,MATCH('Baseline Projects'!CW$2,'Baseline scaling factors'!$A$48:$K$48,0),0)</f>
        <v>0</v>
      </c>
      <c r="CX42" s="12">
        <f>'Mitigation Projects'!$AH42*VLOOKUP('Baseline Projects'!$H42&amp;"-"&amp;'Baseline Projects'!$G42,'Baseline scaling factors'!$A$49:$K$51,MATCH('Baseline Projects'!CX$2,'Baseline scaling factors'!$A$48:$K$48,0),0)</f>
        <v>0</v>
      </c>
      <c r="CY42" s="12">
        <f>'Mitigation Projects'!$AH42*VLOOKUP('Baseline Projects'!$H42&amp;"-"&amp;'Baseline Projects'!$G42,'Baseline scaling factors'!$A$49:$K$51,MATCH('Baseline Projects'!CY$2,'Baseline scaling factors'!$A$48:$K$48,0),0)</f>
        <v>0</v>
      </c>
      <c r="CZ42" s="12">
        <f>'Mitigation Projects'!$AH42*VLOOKUP('Baseline Projects'!$H42&amp;"-"&amp;'Baseline Projects'!$G42,'Baseline scaling factors'!$A$49:$K$51,MATCH('Baseline Projects'!CZ$2,'Baseline scaling factors'!$A$48:$K$48,0),0)</f>
        <v>0</v>
      </c>
      <c r="DA42" s="12">
        <f>'Mitigation Projects'!$AH42*VLOOKUP('Baseline Projects'!$H42&amp;"-"&amp;'Baseline Projects'!$G42,'Baseline scaling factors'!$A$49:$K$51,MATCH('Baseline Projects'!DA$2,'Baseline scaling factors'!$A$48:$K$48,0),0)</f>
        <v>0</v>
      </c>
      <c r="DB42" s="12">
        <f>'Mitigation Projects'!$AH42*VLOOKUP('Baseline Projects'!$H42&amp;"-"&amp;'Baseline Projects'!$G42,'Baseline scaling factors'!$A$49:$K$51,MATCH('Baseline Projects'!DB$2,'Baseline scaling factors'!$A$48:$K$48,0),0)</f>
        <v>0</v>
      </c>
      <c r="DC42" s="12">
        <f>'Mitigation Projects'!$AH42*VLOOKUP('Baseline Projects'!$H42&amp;"-"&amp;'Baseline Projects'!$G42,'Baseline scaling factors'!$A$49:$K$51,MATCH('Baseline Projects'!DC$2,'Baseline scaling factors'!$A$48:$K$48,0),0)</f>
        <v>0</v>
      </c>
    </row>
    <row r="43" spans="1:107" x14ac:dyDescent="0.4">
      <c r="A43" s="38" t="str">
        <f>'Mitigation Projects'!A43</f>
        <v>SH-G35</v>
      </c>
      <c r="B43" s="38" t="str">
        <f>'Mitigation Projects'!B43</f>
        <v>Royalton</v>
      </c>
      <c r="C43" s="39">
        <f>'Mitigation Projects'!C43</f>
        <v>199498</v>
      </c>
      <c r="D43" s="39" t="str">
        <f>'Mitigation Projects'!D43</f>
        <v>199498: Brk Rd. P.75-L.81P.76</v>
      </c>
      <c r="E43" s="39">
        <f>'Mitigation Projects'!E43</f>
        <v>617059</v>
      </c>
      <c r="F43" s="39" t="str">
        <f>'Mitigation Projects'!F43</f>
        <v>476994, 618154</v>
      </c>
      <c r="G43" s="39" t="str">
        <f>'Mitigation Projects'!G43</f>
        <v>1PH</v>
      </c>
      <c r="H43" s="39" t="str">
        <f>'Mitigation Projects'!H43</f>
        <v>UG</v>
      </c>
      <c r="I43" s="39" t="str">
        <f>'Mitigation Projects'!J43</f>
        <v>Zone 3</v>
      </c>
      <c r="J43" s="39">
        <f>'Mitigation Projects'!K43</f>
        <v>107</v>
      </c>
      <c r="K43" s="40">
        <f>'Mitigation Projects'!L43*BASELINE_CAP_SPEND</f>
        <v>173545.2</v>
      </c>
      <c r="L43" s="97">
        <f>'Mitigation Projects'!Q43</f>
        <v>0.8671875</v>
      </c>
      <c r="M43" s="97">
        <f>'Mitigation Projects'!R43</f>
        <v>0.1328125</v>
      </c>
      <c r="N43" s="98">
        <f>'Mitigation Projects'!S43</f>
        <v>0.5</v>
      </c>
      <c r="O43" s="26">
        <f t="shared" si="0"/>
        <v>0.98</v>
      </c>
      <c r="P43" s="26">
        <f t="shared" si="1"/>
        <v>0.83359200333362127</v>
      </c>
      <c r="Q43" s="112">
        <f>VLOOKUP($A43,'Outage by Zone inputs'!$A$4:$E$13,MATCH('Baseline Projects'!$I43,'Outage by Zone inputs'!$A$3:$E$3,0),0)*'Baseline Projects'!$L43*$N43*('Baseline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Projects'!Q$3,'Baseline scaling factors'!$B$54:$K$54,0))+VLOOKUP($A43,'Outage by Zone inputs'!$A$4:$E$13,MATCH('Baseline Projects'!$I43,'Outage by Zone inputs'!$A$3:$E$3,0),0)*'Baseline Projects'!$L43*$N43*('Baseline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Projects'!Q$3,'Baseline scaling factors'!$B$48:$K$48,0))</f>
        <v>197.49321313824771</v>
      </c>
      <c r="R43" s="112">
        <f>VLOOKUP($A43,'Outage by Zone inputs'!$A$4:$E$13,MATCH('Baseline Projects'!$I43,'Outage by Zone inputs'!$A$3:$E$3,0),0)*'Baseline Projects'!$L43*$N43*('Baseline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Projects'!R$3,'Baseline scaling factors'!$B$54:$K$54,0))+VLOOKUP($A43,'Outage by Zone inputs'!$A$4:$E$13,MATCH('Baseline Projects'!$I43,'Outage by Zone inputs'!$A$3:$E$3,0),0)*'Baseline Projects'!$L43*$N43*('Baseline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Projects'!R$3,'Baseline scaling factors'!$B$48:$K$48,0))</f>
        <v>180.69848214787388</v>
      </c>
      <c r="S43" s="112">
        <f>VLOOKUP($A43,'Outage by Zone inputs'!$A$4:$E$13,MATCH('Baseline Projects'!$I43,'Outage by Zone inputs'!$A$3:$E$3,0),0)*'Baseline Projects'!$L43*$N43*('Baseline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Projects'!S$3,'Baseline scaling factors'!$B$54:$K$54,0))+VLOOKUP($A43,'Outage by Zone inputs'!$A$4:$E$13,MATCH('Baseline Projects'!$I43,'Outage by Zone inputs'!$A$3:$E$3,0),0)*'Baseline Projects'!$L43*$N43*('Baseline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Projects'!S$3,'Baseline scaling factors'!$B$48:$K$48,0))</f>
        <v>164.6437644759709</v>
      </c>
      <c r="T43" s="112">
        <f>VLOOKUP($A43,'Outage by Zone inputs'!$A$4:$E$13,MATCH('Baseline Projects'!$I43,'Outage by Zone inputs'!$A$3:$E$3,0),0)*'Baseline Projects'!$L43*$N43*('Baseline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Projects'!T$3,'Baseline scaling factors'!$B$54:$K$54,0))+VLOOKUP($A43,'Outage by Zone inputs'!$A$4:$E$13,MATCH('Baseline Projects'!$I43,'Outage by Zone inputs'!$A$3:$E$3,0),0)*'Baseline Projects'!$L43*$N43*('Baseline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Projects'!T$3,'Baseline scaling factors'!$B$48:$K$48,0))</f>
        <v>149.29645348466966</v>
      </c>
      <c r="U43" s="112">
        <f>VLOOKUP($A43,'Outage by Zone inputs'!$A$4:$E$13,MATCH('Baseline Projects'!$I43,'Outage by Zone inputs'!$A$3:$E$3,0),0)*'Baseline Projects'!$L43*$N43*('Baseline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Projects'!U$3,'Baseline scaling factors'!$B$54:$K$54,0))+VLOOKUP($A43,'Outage by Zone inputs'!$A$4:$E$13,MATCH('Baseline Projects'!$I43,'Outage by Zone inputs'!$A$3:$E$3,0),0)*'Baseline Projects'!$L43*$N43*('Baseline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Projects'!U$3,'Baseline scaling factors'!$B$48:$K$48,0))</f>
        <v>134.62537925731462</v>
      </c>
      <c r="V43" s="112">
        <f>VLOOKUP($A43,'Outage by Zone inputs'!$A$4:$E$13,MATCH('Baseline Projects'!$I43,'Outage by Zone inputs'!$A$3:$E$3,0),0)*'Baseline Projects'!$L43*$N43*('Baseline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Projects'!V$3,'Baseline scaling factors'!$B$54:$K$54,0))+VLOOKUP($A43,'Outage by Zone inputs'!$A$4:$E$13,MATCH('Baseline Projects'!$I43,'Outage by Zone inputs'!$A$3:$E$3,0),0)*'Baseline Projects'!$L43*$N43*('Baseline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Projects'!V$3,'Baseline scaling factors'!$B$48:$K$48,0))</f>
        <v>120.60074529332203</v>
      </c>
      <c r="W43" s="112">
        <f>VLOOKUP($A43,'Outage by Zone inputs'!$A$4:$E$13,MATCH('Baseline Projects'!$I43,'Outage by Zone inputs'!$A$3:$E$3,0),0)*'Baseline Projects'!$L43*$N43*('Baseline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Projects'!W$3,'Baseline scaling factors'!$B$54:$K$54,0))+VLOOKUP($A43,'Outage by Zone inputs'!$A$4:$E$13,MATCH('Baseline Projects'!$I43,'Outage by Zone inputs'!$A$3:$E$3,0),0)*'Baseline Projects'!$L43*$N43*('Baseline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Projects'!W$3,'Baseline scaling factors'!$B$48:$K$48,0))</f>
        <v>107.19406799240326</v>
      </c>
      <c r="X43" s="112">
        <f>VLOOKUP($A43,'Outage by Zone inputs'!$A$4:$E$13,MATCH('Baseline Projects'!$I43,'Outage by Zone inputs'!$A$3:$E$3,0),0)*'Baseline Projects'!$L43*$N43*('Baseline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Projects'!X$3,'Baseline scaling factors'!$B$54:$K$54,0))+VLOOKUP($A43,'Outage by Zone inputs'!$A$4:$E$13,MATCH('Baseline Projects'!$I43,'Outage by Zone inputs'!$A$3:$E$3,0),0)*'Baseline Projects'!$L43*$N43*('Baseline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Projects'!X$3,'Baseline scaling factors'!$B$48:$K$48,0))</f>
        <v>94.378118805248761</v>
      </c>
      <c r="Y43" s="112">
        <f>VLOOKUP($A43,'Outage by Zone inputs'!$A$4:$E$13,MATCH('Baseline Projects'!$I43,'Outage by Zone inputs'!$A$3:$E$3,0),0)*'Baseline Projects'!$L43*$N43*('Baseline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Projects'!Y$3,'Baseline scaling factors'!$B$54:$K$54,0))+VLOOKUP($A43,'Outage by Zone inputs'!$A$4:$E$13,MATCH('Baseline Projects'!$I43,'Outage by Zone inputs'!$A$3:$E$3,0),0)*'Baseline Projects'!$L43*$N43*('Baseline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Projects'!Y$3,'Baseline scaling factors'!$B$48:$K$48,0))</f>
        <v>82.126868933181612</v>
      </c>
      <c r="Z43" s="112">
        <f>VLOOKUP($A43,'Outage by Zone inputs'!$A$4:$E$13,MATCH('Baseline Projects'!$I43,'Outage by Zone inputs'!$A$3:$E$3,0),0)*'Baseline Projects'!$L43*$N43*('Baseline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Projects'!Z$3,'Baseline scaling factors'!$B$54:$K$54,0))+VLOOKUP($A43,'Outage by Zone inputs'!$A$4:$E$13,MATCH('Baseline Projects'!$I43,'Outage by Zone inputs'!$A$3:$E$3,0),0)*'Baseline Projects'!$L43*$N43*('Baseline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Projects'!Z$3,'Baseline scaling factors'!$B$48:$K$48,0))</f>
        <v>70.41543646446803</v>
      </c>
      <c r="AA43" s="34">
        <f>VLOOKUP($A43,'Outage by Zone inputs'!$A$4:$E$13,MATCH('Baseline Projects'!$I43,'Outage by Zone inputs'!$A$3:$E$3,0),0)*$M43*$N43*('Baseline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Projects'!AA$3,'Baseline scaling factors'!$B$54:$K$54,0))+VLOOKUP($A43,'Outage by Zone inputs'!$A$4:$E$13,MATCH('Baseline Projects'!$I43,'Outage by Zone inputs'!$A$3:$E$3,0),0)*$M43*$N43*('Baseline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Projects'!AA$3,'Baseline scaling factors'!$B$48:$K$48,0))</f>
        <v>30.246708318470375</v>
      </c>
      <c r="AB43" s="34">
        <f>VLOOKUP($A43,'Outage by Zone inputs'!$A$4:$E$13,MATCH('Baseline Projects'!$I43,'Outage by Zone inputs'!$A$3:$E$3,0),0)*$M43*$N43*('Baseline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Projects'!AB$3,'Baseline scaling factors'!$B$54:$K$54,0))+VLOOKUP($A43,'Outage by Zone inputs'!$A$4:$E$13,MATCH('Baseline Projects'!$I43,'Outage by Zone inputs'!$A$3:$E$3,0),0)*$M43*$N43*('Baseline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Projects'!AB$3,'Baseline scaling factors'!$B$48:$K$48,0))</f>
        <v>27.674542310935639</v>
      </c>
      <c r="AC43" s="34">
        <f>VLOOKUP($A43,'Outage by Zone inputs'!$A$4:$E$13,MATCH('Baseline Projects'!$I43,'Outage by Zone inputs'!$A$3:$E$3,0),0)*$M43*$N43*('Baseline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Projects'!AC$3,'Baseline scaling factors'!$B$54:$K$54,0))+VLOOKUP($A43,'Outage by Zone inputs'!$A$4:$E$13,MATCH('Baseline Projects'!$I43,'Outage by Zone inputs'!$A$3:$E$3,0),0)*$M43*$N43*('Baseline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Projects'!AC$3,'Baseline scaling factors'!$B$48:$K$48,0))</f>
        <v>25.215711676500046</v>
      </c>
      <c r="AD43" s="34">
        <f>VLOOKUP($A43,'Outage by Zone inputs'!$A$4:$E$13,MATCH('Baseline Projects'!$I43,'Outage by Zone inputs'!$A$3:$E$3,0),0)*$M43*$N43*('Baseline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Projects'!AD$3,'Baseline scaling factors'!$B$54:$K$54,0))+VLOOKUP($A43,'Outage by Zone inputs'!$A$4:$E$13,MATCH('Baseline Projects'!$I43,'Outage by Zone inputs'!$A$3:$E$3,0),0)*$M43*$N43*('Baseline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Projects'!AD$3,'Baseline scaling factors'!$B$48:$K$48,0))</f>
        <v>22.865222605760216</v>
      </c>
      <c r="AE43" s="34">
        <f>VLOOKUP($A43,'Outage by Zone inputs'!$A$4:$E$13,MATCH('Baseline Projects'!$I43,'Outage by Zone inputs'!$A$3:$E$3,0),0)*$M43*$N43*('Baseline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Projects'!AE$3,'Baseline scaling factors'!$B$54:$K$54,0))+VLOOKUP($A43,'Outage by Zone inputs'!$A$4:$E$13,MATCH('Baseline Projects'!$I43,'Outage by Zone inputs'!$A$3:$E$3,0),0)*$M43*$N43*('Baseline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Projects'!AE$3,'Baseline scaling factors'!$B$48:$K$48,0))</f>
        <v>20.618301327696834</v>
      </c>
      <c r="AF43" s="34">
        <f>VLOOKUP($A43,'Outage by Zone inputs'!$A$4:$E$13,MATCH('Baseline Projects'!$I43,'Outage by Zone inputs'!$A$3:$E$3,0),0)*$M43*$N43*('Baseline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Projects'!AF$3,'Baseline scaling factors'!$B$54:$K$54,0))+VLOOKUP($A43,'Outage by Zone inputs'!$A$4:$E$13,MATCH('Baseline Projects'!$I43,'Outage by Zone inputs'!$A$3:$E$3,0),0)*$M43*$N43*('Baseline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Projects'!AF$3,'Baseline scaling factors'!$B$48:$K$48,0))</f>
        <v>18.470384414292564</v>
      </c>
      <c r="AG43" s="34">
        <f>VLOOKUP($A43,'Outage by Zone inputs'!$A$4:$E$13,MATCH('Baseline Projects'!$I43,'Outage by Zone inputs'!$A$3:$E$3,0),0)*$M43*$N43*('Baseline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Projects'!AG$3,'Baseline scaling factors'!$B$54:$K$54,0))+VLOOKUP($A43,'Outage by Zone inputs'!$A$4:$E$13,MATCH('Baseline Projects'!$I43,'Outage by Zone inputs'!$A$3:$E$3,0),0)*$M43*$N43*('Baseline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Projects'!AG$3,'Baseline scaling factors'!$B$48:$K$48,0))</f>
        <v>16.417109512350049</v>
      </c>
      <c r="AH43" s="34">
        <f>VLOOKUP($A43,'Outage by Zone inputs'!$A$4:$E$13,MATCH('Baseline Projects'!$I43,'Outage by Zone inputs'!$A$3:$E$3,0),0)*$M43*$N43*('Baseline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Projects'!AH$3,'Baseline scaling factors'!$B$54:$K$54,0))+VLOOKUP($A43,'Outage by Zone inputs'!$A$4:$E$13,MATCH('Baseline Projects'!$I43,'Outage by Zone inputs'!$A$3:$E$3,0),0)*$M43*$N43*('Baseline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Projects'!AH$3,'Baseline scaling factors'!$B$48:$K$48,0))</f>
        <v>14.454306483686747</v>
      </c>
      <c r="AI43" s="34">
        <f>VLOOKUP($A43,'Outage by Zone inputs'!$A$4:$E$13,MATCH('Baseline Projects'!$I43,'Outage by Zone inputs'!$A$3:$E$3,0),0)*$M43*$N43*('Baseline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Projects'!AI$3,'Baseline scaling factors'!$B$54:$K$54,0))+VLOOKUP($A43,'Outage by Zone inputs'!$A$4:$E$13,MATCH('Baseline Projects'!$I43,'Outage by Zone inputs'!$A$3:$E$3,0),0)*$M43*$N43*('Baseline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Projects'!AI$3,'Baseline scaling factors'!$B$48:$K$48,0))</f>
        <v>12.577988935712501</v>
      </c>
      <c r="AJ43" s="34">
        <f>VLOOKUP($A43,'Outage by Zone inputs'!$A$4:$E$13,MATCH('Baseline Projects'!$I43,'Outage by Zone inputs'!$A$3:$E$3,0),0)*$M43*$N43*('Baseline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Projects'!AJ$3,'Baseline scaling factors'!$B$54:$K$54,0))+VLOOKUP($A43,'Outage by Zone inputs'!$A$4:$E$13,MATCH('Baseline Projects'!$I43,'Outage by Zone inputs'!$A$3:$E$3,0),0)*$M43*$N43*('Baseline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Projects'!AJ$3,'Baseline scaling factors'!$B$48:$K$48,0))</f>
        <v>10.784346125188797</v>
      </c>
      <c r="AK43" s="1">
        <f t="shared" si="2"/>
        <v>4147.3574759032017</v>
      </c>
      <c r="AL43" s="1">
        <f t="shared" si="3"/>
        <v>3794.6681251053515</v>
      </c>
      <c r="AM43" s="1">
        <f t="shared" si="4"/>
        <v>3457.5190539953887</v>
      </c>
      <c r="AN43" s="1">
        <f t="shared" si="5"/>
        <v>3135.2255231780628</v>
      </c>
      <c r="AO43" s="1">
        <f t="shared" si="6"/>
        <v>2827.1329644036068</v>
      </c>
      <c r="AP43" s="1">
        <f t="shared" si="7"/>
        <v>2532.6156511597628</v>
      </c>
      <c r="AQ43" s="1">
        <f t="shared" si="8"/>
        <v>2251.0754278404684</v>
      </c>
      <c r="AR43" s="1">
        <f t="shared" si="9"/>
        <v>1981.9404949102241</v>
      </c>
      <c r="AS43" s="1">
        <f t="shared" si="10"/>
        <v>1724.6642475968138</v>
      </c>
      <c r="AT43" s="1">
        <f t="shared" si="11"/>
        <v>1478.7241657538286</v>
      </c>
      <c r="AU43" s="1">
        <f t="shared" si="12"/>
        <v>117508.46181725741</v>
      </c>
      <c r="AV43" s="1">
        <f t="shared" si="13"/>
        <v>107515.59687798495</v>
      </c>
      <c r="AW43" s="1">
        <f t="shared" si="14"/>
        <v>97963.039863202677</v>
      </c>
      <c r="AX43" s="1">
        <f t="shared" si="15"/>
        <v>88831.389823378442</v>
      </c>
      <c r="AY43" s="1">
        <f t="shared" si="16"/>
        <v>80102.100658102194</v>
      </c>
      <c r="AZ43" s="1">
        <f t="shared" si="17"/>
        <v>71757.443449526618</v>
      </c>
      <c r="BA43" s="1">
        <f t="shared" si="18"/>
        <v>63780.470455479939</v>
      </c>
      <c r="BB43" s="1">
        <f t="shared" si="19"/>
        <v>56154.980689123011</v>
      </c>
      <c r="BC43" s="1">
        <f t="shared" si="20"/>
        <v>48865.487015243067</v>
      </c>
      <c r="BD43" s="1">
        <f t="shared" si="21"/>
        <v>41897.184696358476</v>
      </c>
      <c r="BE43" s="1">
        <f t="shared" si="22"/>
        <v>121655.81929316062</v>
      </c>
      <c r="BF43" s="1">
        <f t="shared" si="23"/>
        <v>111310.2650030903</v>
      </c>
      <c r="BG43" s="1">
        <f t="shared" si="24"/>
        <v>101420.55891719807</v>
      </c>
      <c r="BH43" s="1">
        <f t="shared" si="25"/>
        <v>91966.6153465565</v>
      </c>
      <c r="BI43" s="1">
        <f t="shared" si="26"/>
        <v>82929.233622505795</v>
      </c>
      <c r="BJ43" s="1">
        <f t="shared" si="27"/>
        <v>74290.059100686383</v>
      </c>
      <c r="BK43" s="1">
        <f t="shared" si="28"/>
        <v>66031.545883320403</v>
      </c>
      <c r="BL43" s="1">
        <f t="shared" si="29"/>
        <v>58136.921184033235</v>
      </c>
      <c r="BM43" s="1">
        <f t="shared" si="30"/>
        <v>50590.151262839878</v>
      </c>
      <c r="BN43" s="1">
        <f t="shared" si="31"/>
        <v>43375.908862112301</v>
      </c>
      <c r="BO43" s="25">
        <f>VLOOKUP($A43,'Outage by Zone inputs'!$A$59:$E$68,MATCH('Baseline Projects'!$I43,'Outage by Zone inputs'!$A$58:$E$58,0),0)*AVG_INCIDENT_PERCENT_NON_STORM</f>
        <v>25.107585612663954</v>
      </c>
      <c r="BP43" s="25">
        <f>$BO43*$N43*('Baseline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Projects'!Q$3,'Baseline scaling factors'!$B$54:$K$54,0))+$BO43*$N43*('Baseline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Projects'!Q$3,'Baseline scaling factors'!$B$48:$K$48,0))</f>
        <v>2.4970092167197611</v>
      </c>
      <c r="BQ43" s="25">
        <f>$BO43*$N43*('Baseline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Projects'!R$3,'Baseline scaling factors'!$B$54:$K$54,0))+$BO43*$N43*('Baseline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Projects'!R$3,'Baseline scaling factors'!$B$48:$K$48,0))</f>
        <v>2.2846647142991316</v>
      </c>
      <c r="BR43" s="25">
        <f>$BO43*$N43*('Baseline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Projects'!S$3,'Baseline scaling factors'!$B$54:$K$54,0))+$BO43*$N43*('Baseline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Projects'!S$3,'Baseline scaling factors'!$B$48:$K$48,0))</f>
        <v>2.0816765844209031</v>
      </c>
      <c r="BS43" s="25">
        <f>$BO43*$N43*('Baseline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Projects'!T$3,'Baseline scaling factors'!$B$54:$K$54,0))+$BO43*$N43*('Baseline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Projects'!T$3,'Baseline scaling factors'!$B$48:$K$48,0))</f>
        <v>1.8876325644356819</v>
      </c>
      <c r="BT43" s="25">
        <f>$BO43*$N43*('Baseline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Projects'!U$3,'Baseline scaling factors'!$B$54:$K$54,0))+$BO43*$N43*('Baseline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Projects'!U$3,'Baseline scaling factors'!$B$48:$K$48,0))</f>
        <v>1.7021385569062122</v>
      </c>
      <c r="BU43" s="25">
        <f>$BO43*$N43*('Baseline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Projects'!V$3,'Baseline scaling factors'!$B$54:$K$54,0))+$BO43*$N43*('Baseline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Projects'!V$3,'Baseline scaling factors'!$B$48:$K$48,0))</f>
        <v>1.5248178292076036</v>
      </c>
      <c r="BV43" s="25">
        <f>$BO43*$N43*('Baseline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Projects'!W$3,'Baseline scaling factors'!$B$54:$K$54,0))+$BO43*$N43*('Baseline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Projects'!W$3,'Baseline scaling factors'!$B$48:$K$48,0))</f>
        <v>1.3553102483949517</v>
      </c>
      <c r="BW43" s="25">
        <f>$BO43*$N43*('Baseline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Projects'!X$3,'Baseline scaling factors'!$B$54:$K$54,0))+$BO43*$N43*('Baseline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Projects'!X$3,'Baseline scaling factors'!$B$48:$K$48,0))</f>
        <v>1.1932715497844057</v>
      </c>
      <c r="BX43" s="25">
        <f>$BO43*$N43*('Baseline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Projects'!Y$3,'Baseline scaling factors'!$B$54:$K$54,0))+$BO43*$N43*('Baseline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Projects'!Y$3,'Baseline scaling factors'!$B$48:$K$48,0))</f>
        <v>1.038372637762178</v>
      </c>
      <c r="BY43" s="25">
        <f>$BO43*$N43*('Baseline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Projects'!Z$3,'Baseline scaling factors'!$B$54:$K$54,0))+$BO43*$N43*('Baseline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Projects'!Z$3,'Baseline scaling factors'!$B$48:$K$48,0))</f>
        <v>0.89029891740147871</v>
      </c>
      <c r="BZ43" s="12">
        <f t="shared" si="32"/>
        <v>1178.5883502917272</v>
      </c>
      <c r="CA43" s="12">
        <f t="shared" si="33"/>
        <v>1078.36174514919</v>
      </c>
      <c r="CB43" s="12">
        <f t="shared" si="34"/>
        <v>982.5513478466662</v>
      </c>
      <c r="CC43" s="12">
        <f t="shared" si="35"/>
        <v>890.96257041364186</v>
      </c>
      <c r="CD43" s="12">
        <f t="shared" si="36"/>
        <v>803.40939885973216</v>
      </c>
      <c r="CE43" s="12">
        <f t="shared" si="37"/>
        <v>719.71401538598889</v>
      </c>
      <c r="CF43" s="12">
        <f t="shared" si="38"/>
        <v>639.70643724241722</v>
      </c>
      <c r="CG43" s="12">
        <f t="shared" si="39"/>
        <v>563.22417149823946</v>
      </c>
      <c r="CH43" s="12">
        <f t="shared" si="40"/>
        <v>490.11188502374802</v>
      </c>
      <c r="CI43" s="12">
        <f t="shared" si="41"/>
        <v>420.22108901349793</v>
      </c>
      <c r="CJ43" s="12">
        <f>'Mitigation Projects'!$AG43*VLOOKUP('Baseline Projects'!$H43&amp;"-"&amp;'Baseline Projects'!$G43,'Baseline scaling factors'!$A$49:$K$51,MATCH('Baseline Projects'!CJ$2,'Baseline scaling factors'!$A$48:$K$48,0),0)</f>
        <v>0</v>
      </c>
      <c r="CK43" s="12">
        <f>'Mitigation Projects'!$AG43*VLOOKUP('Baseline Projects'!$H43&amp;"-"&amp;'Baseline Projects'!$G43,'Baseline scaling factors'!$A$49:$K$51,MATCH('Baseline Projects'!CK$2,'Baseline scaling factors'!$A$48:$K$48,0),0)</f>
        <v>0</v>
      </c>
      <c r="CL43" s="12">
        <f>'Mitigation Projects'!$AG43*VLOOKUP('Baseline Projects'!$H43&amp;"-"&amp;'Baseline Projects'!$G43,'Baseline scaling factors'!$A$49:$K$51,MATCH('Baseline Projects'!CL$2,'Baseline scaling factors'!$A$48:$K$48,0),0)</f>
        <v>0</v>
      </c>
      <c r="CM43" s="12">
        <f>'Mitigation Projects'!$AG43*VLOOKUP('Baseline Projects'!$H43&amp;"-"&amp;'Baseline Projects'!$G43,'Baseline scaling factors'!$A$49:$K$51,MATCH('Baseline Projects'!CM$2,'Baseline scaling factors'!$A$48:$K$48,0),0)</f>
        <v>0</v>
      </c>
      <c r="CN43" s="12">
        <f>'Mitigation Projects'!$AG43*VLOOKUP('Baseline Projects'!$H43&amp;"-"&amp;'Baseline Projects'!$G43,'Baseline scaling factors'!$A$49:$K$51,MATCH('Baseline Projects'!CN$2,'Baseline scaling factors'!$A$48:$K$48,0),0)</f>
        <v>0</v>
      </c>
      <c r="CO43" s="12">
        <f>'Mitigation Projects'!$AG43*VLOOKUP('Baseline Projects'!$H43&amp;"-"&amp;'Baseline Projects'!$G43,'Baseline scaling factors'!$A$49:$K$51,MATCH('Baseline Projects'!CO$2,'Baseline scaling factors'!$A$48:$K$48,0),0)</f>
        <v>0</v>
      </c>
      <c r="CP43" s="12">
        <f>'Mitigation Projects'!$AG43*VLOOKUP('Baseline Projects'!$H43&amp;"-"&amp;'Baseline Projects'!$G43,'Baseline scaling factors'!$A$49:$K$51,MATCH('Baseline Projects'!CP$2,'Baseline scaling factors'!$A$48:$K$48,0),0)</f>
        <v>0</v>
      </c>
      <c r="CQ43" s="12">
        <f>'Mitigation Projects'!$AG43*VLOOKUP('Baseline Projects'!$H43&amp;"-"&amp;'Baseline Projects'!$G43,'Baseline scaling factors'!$A$49:$K$51,MATCH('Baseline Projects'!CQ$2,'Baseline scaling factors'!$A$48:$K$48,0),0)</f>
        <v>0</v>
      </c>
      <c r="CR43" s="12">
        <f>'Mitigation Projects'!$AG43*VLOOKUP('Baseline Projects'!$H43&amp;"-"&amp;'Baseline Projects'!$G43,'Baseline scaling factors'!$A$49:$K$51,MATCH('Baseline Projects'!CR$2,'Baseline scaling factors'!$A$48:$K$48,0),0)</f>
        <v>0</v>
      </c>
      <c r="CS43" s="12">
        <f>'Mitigation Projects'!$AG43*VLOOKUP('Baseline Projects'!$H43&amp;"-"&amp;'Baseline Projects'!$G43,'Baseline scaling factors'!$A$49:$K$51,MATCH('Baseline Projects'!CS$2,'Baseline scaling factors'!$A$48:$K$48,0),0)</f>
        <v>0</v>
      </c>
      <c r="CT43" s="12">
        <f>'Mitigation Projects'!$AH43*VLOOKUP('Baseline Projects'!$H43&amp;"-"&amp;'Baseline Projects'!$G43,'Baseline scaling factors'!$A$49:$K$51,MATCH('Baseline Projects'!CT$2,'Baseline scaling factors'!$A$48:$K$48,0),0)</f>
        <v>0</v>
      </c>
      <c r="CU43" s="12">
        <f>'Mitigation Projects'!$AH43*VLOOKUP('Baseline Projects'!$H43&amp;"-"&amp;'Baseline Projects'!$G43,'Baseline scaling factors'!$A$49:$K$51,MATCH('Baseline Projects'!CU$2,'Baseline scaling factors'!$A$48:$K$48,0),0)</f>
        <v>0</v>
      </c>
      <c r="CV43" s="12">
        <f>'Mitigation Projects'!$AH43*VLOOKUP('Baseline Projects'!$H43&amp;"-"&amp;'Baseline Projects'!$G43,'Baseline scaling factors'!$A$49:$K$51,MATCH('Baseline Projects'!CV$2,'Baseline scaling factors'!$A$48:$K$48,0),0)</f>
        <v>0</v>
      </c>
      <c r="CW43" s="12">
        <f>'Mitigation Projects'!$AH43*VLOOKUP('Baseline Projects'!$H43&amp;"-"&amp;'Baseline Projects'!$G43,'Baseline scaling factors'!$A$49:$K$51,MATCH('Baseline Projects'!CW$2,'Baseline scaling factors'!$A$48:$K$48,0),0)</f>
        <v>0</v>
      </c>
      <c r="CX43" s="12">
        <f>'Mitigation Projects'!$AH43*VLOOKUP('Baseline Projects'!$H43&amp;"-"&amp;'Baseline Projects'!$G43,'Baseline scaling factors'!$A$49:$K$51,MATCH('Baseline Projects'!CX$2,'Baseline scaling factors'!$A$48:$K$48,0),0)</f>
        <v>0</v>
      </c>
      <c r="CY43" s="12">
        <f>'Mitigation Projects'!$AH43*VLOOKUP('Baseline Projects'!$H43&amp;"-"&amp;'Baseline Projects'!$G43,'Baseline scaling factors'!$A$49:$K$51,MATCH('Baseline Projects'!CY$2,'Baseline scaling factors'!$A$48:$K$48,0),0)</f>
        <v>0</v>
      </c>
      <c r="CZ43" s="12">
        <f>'Mitigation Projects'!$AH43*VLOOKUP('Baseline Projects'!$H43&amp;"-"&amp;'Baseline Projects'!$G43,'Baseline scaling factors'!$A$49:$K$51,MATCH('Baseline Projects'!CZ$2,'Baseline scaling factors'!$A$48:$K$48,0),0)</f>
        <v>0</v>
      </c>
      <c r="DA43" s="12">
        <f>'Mitigation Projects'!$AH43*VLOOKUP('Baseline Projects'!$H43&amp;"-"&amp;'Baseline Projects'!$G43,'Baseline scaling factors'!$A$49:$K$51,MATCH('Baseline Projects'!DA$2,'Baseline scaling factors'!$A$48:$K$48,0),0)</f>
        <v>0</v>
      </c>
      <c r="DB43" s="12">
        <f>'Mitigation Projects'!$AH43*VLOOKUP('Baseline Projects'!$H43&amp;"-"&amp;'Baseline Projects'!$G43,'Baseline scaling factors'!$A$49:$K$51,MATCH('Baseline Projects'!DB$2,'Baseline scaling factors'!$A$48:$K$48,0),0)</f>
        <v>0</v>
      </c>
      <c r="DC43" s="12">
        <f>'Mitigation Projects'!$AH43*VLOOKUP('Baseline Projects'!$H43&amp;"-"&amp;'Baseline Projects'!$G43,'Baseline scaling factors'!$A$49:$K$51,MATCH('Baseline Projects'!DC$2,'Baseline scaling factors'!$A$48:$K$48,0),0)</f>
        <v>0</v>
      </c>
    </row>
    <row r="44" spans="1:107" x14ac:dyDescent="0.4">
      <c r="A44" s="38" t="str">
        <f>'Mitigation Projects'!A44</f>
        <v>SH-G35</v>
      </c>
      <c r="B44" s="38" t="str">
        <f>'Mitigation Projects'!B44</f>
        <v>Royalton</v>
      </c>
      <c r="C44" s="39">
        <f>'Mitigation Projects'!C44</f>
        <v>199569</v>
      </c>
      <c r="D44" s="39" t="str">
        <f>'Mitigation Projects'!D44</f>
        <v>199569: Brook Rd. P.76 to 50X</v>
      </c>
      <c r="E44" s="39">
        <f>'Mitigation Projects'!E44</f>
        <v>618225</v>
      </c>
      <c r="F44" s="39">
        <f>'Mitigation Projects'!F44</f>
        <v>618154</v>
      </c>
      <c r="G44" s="39" t="str">
        <f>'Mitigation Projects'!G44</f>
        <v>1PH</v>
      </c>
      <c r="H44" s="39" t="str">
        <f>'Mitigation Projects'!H44</f>
        <v>UG</v>
      </c>
      <c r="I44" s="39" t="str">
        <f>'Mitigation Projects'!J44</f>
        <v>Zone 3</v>
      </c>
      <c r="J44" s="39">
        <f>'Mitigation Projects'!K44</f>
        <v>42</v>
      </c>
      <c r="K44" s="40">
        <f>'Mitigation Projects'!L44*BASELINE_CAP_SPEND</f>
        <v>97852.800000000003</v>
      </c>
      <c r="L44" s="97">
        <f>'Mitigation Projects'!Q44</f>
        <v>0.8671875</v>
      </c>
      <c r="M44" s="97">
        <f>'Mitigation Projects'!R44</f>
        <v>0.1328125</v>
      </c>
      <c r="N44" s="98">
        <f>'Mitigation Projects'!S44</f>
        <v>0.5</v>
      </c>
      <c r="O44" s="26">
        <f t="shared" si="0"/>
        <v>0.98</v>
      </c>
      <c r="P44" s="26">
        <f t="shared" si="1"/>
        <v>0.83359200333362127</v>
      </c>
      <c r="Q44" s="112">
        <f>VLOOKUP($A44,'Outage by Zone inputs'!$A$4:$E$13,MATCH('Baseline Projects'!$I44,'Outage by Zone inputs'!$A$3:$E$3,0),0)*'Baseline Projects'!$L44*$N44*('Baseline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Projects'!Q$3,'Baseline scaling factors'!$B$54:$K$54,0))+VLOOKUP($A44,'Outage by Zone inputs'!$A$4:$E$13,MATCH('Baseline Projects'!$I44,'Outage by Zone inputs'!$A$3:$E$3,0),0)*'Baseline Projects'!$L44*$N44*('Baseline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Projects'!Q$3,'Baseline scaling factors'!$B$48:$K$48,0))</f>
        <v>77.520700484172011</v>
      </c>
      <c r="R44" s="112">
        <f>VLOOKUP($A44,'Outage by Zone inputs'!$A$4:$E$13,MATCH('Baseline Projects'!$I44,'Outage by Zone inputs'!$A$3:$E$3,0),0)*'Baseline Projects'!$L44*$N44*('Baseline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Projects'!R$3,'Baseline scaling factors'!$B$54:$K$54,0))+VLOOKUP($A44,'Outage by Zone inputs'!$A$4:$E$13,MATCH('Baseline Projects'!$I44,'Outage by Zone inputs'!$A$3:$E$3,0),0)*'Baseline Projects'!$L44*$N44*('Baseline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Projects'!R$3,'Baseline scaling factors'!$B$48:$K$48,0))</f>
        <v>70.928376170193474</v>
      </c>
      <c r="S44" s="112">
        <f>VLOOKUP($A44,'Outage by Zone inputs'!$A$4:$E$13,MATCH('Baseline Projects'!$I44,'Outage by Zone inputs'!$A$3:$E$3,0),0)*'Baseline Projects'!$L44*$N44*('Baseline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Projects'!S$3,'Baseline scaling factors'!$B$54:$K$54,0))+VLOOKUP($A44,'Outage by Zone inputs'!$A$4:$E$13,MATCH('Baseline Projects'!$I44,'Outage by Zone inputs'!$A$3:$E$3,0),0)*'Baseline Projects'!$L44*$N44*('Baseline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Projects'!S$3,'Baseline scaling factors'!$B$48:$K$48,0))</f>
        <v>64.626524373745582</v>
      </c>
      <c r="T44" s="112">
        <f>VLOOKUP($A44,'Outage by Zone inputs'!$A$4:$E$13,MATCH('Baseline Projects'!$I44,'Outage by Zone inputs'!$A$3:$E$3,0),0)*'Baseline Projects'!$L44*$N44*('Baseline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Projects'!T$3,'Baseline scaling factors'!$B$54:$K$54,0))+VLOOKUP($A44,'Outage by Zone inputs'!$A$4:$E$13,MATCH('Baseline Projects'!$I44,'Outage by Zone inputs'!$A$3:$E$3,0),0)*'Baseline Projects'!$L44*$N44*('Baseline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Projects'!T$3,'Baseline scaling factors'!$B$48:$K$48,0))</f>
        <v>58.602346227627343</v>
      </c>
      <c r="U44" s="112">
        <f>VLOOKUP($A44,'Outage by Zone inputs'!$A$4:$E$13,MATCH('Baseline Projects'!$I44,'Outage by Zone inputs'!$A$3:$E$3,0),0)*'Baseline Projects'!$L44*$N44*('Baseline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Projects'!U$3,'Baseline scaling factors'!$B$54:$K$54,0))+VLOOKUP($A44,'Outage by Zone inputs'!$A$4:$E$13,MATCH('Baseline Projects'!$I44,'Outage by Zone inputs'!$A$3:$E$3,0),0)*'Baseline Projects'!$L44*$N44*('Baseline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Projects'!U$3,'Baseline scaling factors'!$B$48:$K$48,0))</f>
        <v>52.843606811282378</v>
      </c>
      <c r="V44" s="112">
        <f>VLOOKUP($A44,'Outage by Zone inputs'!$A$4:$E$13,MATCH('Baseline Projects'!$I44,'Outage by Zone inputs'!$A$3:$E$3,0),0)*'Baseline Projects'!$L44*$N44*('Baseline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Projects'!V$3,'Baseline scaling factors'!$B$54:$K$54,0))+VLOOKUP($A44,'Outage by Zone inputs'!$A$4:$E$13,MATCH('Baseline Projects'!$I44,'Outage by Zone inputs'!$A$3:$E$3,0),0)*'Baseline Projects'!$L44*$N44*('Baseline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Projects'!V$3,'Baseline scaling factors'!$B$48:$K$48,0))</f>
        <v>47.338610302051634</v>
      </c>
      <c r="W44" s="112">
        <f>VLOOKUP($A44,'Outage by Zone inputs'!$A$4:$E$13,MATCH('Baseline Projects'!$I44,'Outage by Zone inputs'!$A$3:$E$3,0),0)*'Baseline Projects'!$L44*$N44*('Baseline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Projects'!W$3,'Baseline scaling factors'!$B$54:$K$54,0))+VLOOKUP($A44,'Outage by Zone inputs'!$A$4:$E$13,MATCH('Baseline Projects'!$I44,'Outage by Zone inputs'!$A$3:$E$3,0),0)*'Baseline Projects'!$L44*$N44*('Baseline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Projects'!W$3,'Baseline scaling factors'!$B$48:$K$48,0))</f>
        <v>42.076176221317162</v>
      </c>
      <c r="X44" s="112">
        <f>VLOOKUP($A44,'Outage by Zone inputs'!$A$4:$E$13,MATCH('Baseline Projects'!$I44,'Outage by Zone inputs'!$A$3:$E$3,0),0)*'Baseline Projects'!$L44*$N44*('Baseline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Projects'!X$3,'Baseline scaling factors'!$B$54:$K$54,0))+VLOOKUP($A44,'Outage by Zone inputs'!$A$4:$E$13,MATCH('Baseline Projects'!$I44,'Outage by Zone inputs'!$A$3:$E$3,0),0)*'Baseline Projects'!$L44*$N44*('Baseline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Projects'!X$3,'Baseline scaling factors'!$B$48:$K$48,0))</f>
        <v>37.045616727293911</v>
      </c>
      <c r="Y44" s="112">
        <f>VLOOKUP($A44,'Outage by Zone inputs'!$A$4:$E$13,MATCH('Baseline Projects'!$I44,'Outage by Zone inputs'!$A$3:$E$3,0),0)*'Baseline Projects'!$L44*$N44*('Baseline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Projects'!Y$3,'Baseline scaling factors'!$B$54:$K$54,0))+VLOOKUP($A44,'Outage by Zone inputs'!$A$4:$E$13,MATCH('Baseline Projects'!$I44,'Outage by Zone inputs'!$A$3:$E$3,0),0)*'Baseline Projects'!$L44*$N44*('Baseline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Projects'!Y$3,'Baseline scaling factors'!$B$48:$K$48,0))</f>
        <v>32.236714908351665</v>
      </c>
      <c r="Z44" s="112">
        <f>VLOOKUP($A44,'Outage by Zone inputs'!$A$4:$E$13,MATCH('Baseline Projects'!$I44,'Outage by Zone inputs'!$A$3:$E$3,0),0)*'Baseline Projects'!$L44*$N44*('Baseline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Projects'!Z$3,'Baseline scaling factors'!$B$54:$K$54,0))+VLOOKUP($A44,'Outage by Zone inputs'!$A$4:$E$13,MATCH('Baseline Projects'!$I44,'Outage by Zone inputs'!$A$3:$E$3,0),0)*'Baseline Projects'!$L44*$N44*('Baseline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Projects'!Z$3,'Baseline scaling factors'!$B$48:$K$48,0))</f>
        <v>27.639704032781847</v>
      </c>
      <c r="AA44" s="34">
        <f>VLOOKUP($A44,'Outage by Zone inputs'!$A$4:$E$13,MATCH('Baseline Projects'!$I44,'Outage by Zone inputs'!$A$3:$E$3,0),0)*$M44*$N44*('Baseline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Projects'!AA$3,'Baseline scaling factors'!$B$54:$K$54,0))+VLOOKUP($A44,'Outage by Zone inputs'!$A$4:$E$13,MATCH('Baseline Projects'!$I44,'Outage by Zone inputs'!$A$3:$E$3,0),0)*$M44*$N44*('Baseline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Projects'!AA$3,'Baseline scaling factors'!$B$48:$K$48,0))</f>
        <v>11.872539713792108</v>
      </c>
      <c r="AB44" s="34">
        <f>VLOOKUP($A44,'Outage by Zone inputs'!$A$4:$E$13,MATCH('Baseline Projects'!$I44,'Outage by Zone inputs'!$A$3:$E$3,0),0)*$M44*$N44*('Baseline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Projects'!AB$3,'Baseline scaling factors'!$B$54:$K$54,0))+VLOOKUP($A44,'Outage by Zone inputs'!$A$4:$E$13,MATCH('Baseline Projects'!$I44,'Outage by Zone inputs'!$A$3:$E$3,0),0)*$M44*$N44*('Baseline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Projects'!AB$3,'Baseline scaling factors'!$B$48:$K$48,0))</f>
        <v>10.8629044584981</v>
      </c>
      <c r="AC44" s="34">
        <f>VLOOKUP($A44,'Outage by Zone inputs'!$A$4:$E$13,MATCH('Baseline Projects'!$I44,'Outage by Zone inputs'!$A$3:$E$3,0),0)*$M44*$N44*('Baseline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Projects'!AC$3,'Baseline scaling factors'!$B$54:$K$54,0))+VLOOKUP($A44,'Outage by Zone inputs'!$A$4:$E$13,MATCH('Baseline Projects'!$I44,'Outage by Zone inputs'!$A$3:$E$3,0),0)*$M44*$N44*('Baseline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Projects'!AC$3,'Baseline scaling factors'!$B$48:$K$48,0))</f>
        <v>9.8977559851682422</v>
      </c>
      <c r="AD44" s="34">
        <f>VLOOKUP($A44,'Outage by Zone inputs'!$A$4:$E$13,MATCH('Baseline Projects'!$I44,'Outage by Zone inputs'!$A$3:$E$3,0),0)*$M44*$N44*('Baseline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Projects'!AD$3,'Baseline scaling factors'!$B$54:$K$54,0))+VLOOKUP($A44,'Outage by Zone inputs'!$A$4:$E$13,MATCH('Baseline Projects'!$I44,'Outage by Zone inputs'!$A$3:$E$3,0),0)*$M44*$N44*('Baseline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Projects'!AD$3,'Baseline scaling factors'!$B$48:$K$48,0))</f>
        <v>8.9751341069339183</v>
      </c>
      <c r="AE44" s="34">
        <f>VLOOKUP($A44,'Outage by Zone inputs'!$A$4:$E$13,MATCH('Baseline Projects'!$I44,'Outage by Zone inputs'!$A$3:$E$3,0),0)*$M44*$N44*('Baseline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Projects'!AE$3,'Baseline scaling factors'!$B$54:$K$54,0))+VLOOKUP($A44,'Outage by Zone inputs'!$A$4:$E$13,MATCH('Baseline Projects'!$I44,'Outage by Zone inputs'!$A$3:$E$3,0),0)*$M44*$N44*('Baseline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Projects'!AE$3,'Baseline scaling factors'!$B$48:$K$48,0))</f>
        <v>8.0931650071333365</v>
      </c>
      <c r="AF44" s="34">
        <f>VLOOKUP($A44,'Outage by Zone inputs'!$A$4:$E$13,MATCH('Baseline Projects'!$I44,'Outage by Zone inputs'!$A$3:$E$3,0),0)*$M44*$N44*('Baseline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Projects'!AF$3,'Baseline scaling factors'!$B$54:$K$54,0))+VLOOKUP($A44,'Outage by Zone inputs'!$A$4:$E$13,MATCH('Baseline Projects'!$I44,'Outage by Zone inputs'!$A$3:$E$3,0),0)*$M44*$N44*('Baseline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Projects'!AF$3,'Baseline scaling factors'!$B$48:$K$48,0))</f>
        <v>7.2500574336475481</v>
      </c>
      <c r="AG44" s="34">
        <f>VLOOKUP($A44,'Outage by Zone inputs'!$A$4:$E$13,MATCH('Baseline Projects'!$I44,'Outage by Zone inputs'!$A$3:$E$3,0),0)*$M44*$N44*('Baseline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Projects'!AG$3,'Baseline scaling factors'!$B$54:$K$54,0))+VLOOKUP($A44,'Outage by Zone inputs'!$A$4:$E$13,MATCH('Baseline Projects'!$I44,'Outage by Zone inputs'!$A$3:$E$3,0),0)*$M44*$N44*('Baseline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Projects'!AG$3,'Baseline scaling factors'!$B$48:$K$48,0))</f>
        <v>6.4440990609224489</v>
      </c>
      <c r="AH44" s="34">
        <f>VLOOKUP($A44,'Outage by Zone inputs'!$A$4:$E$13,MATCH('Baseline Projects'!$I44,'Outage by Zone inputs'!$A$3:$E$3,0),0)*$M44*$N44*('Baseline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Projects'!AH$3,'Baseline scaling factors'!$B$54:$K$54,0))+VLOOKUP($A44,'Outage by Zone inputs'!$A$4:$E$13,MATCH('Baseline Projects'!$I44,'Outage by Zone inputs'!$A$3:$E$3,0),0)*$M44*$N44*('Baseline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Projects'!AH$3,'Baseline scaling factors'!$B$48:$K$48,0))</f>
        <v>5.6736530122882556</v>
      </c>
      <c r="AI44" s="34">
        <f>VLOOKUP($A44,'Outage by Zone inputs'!$A$4:$E$13,MATCH('Baseline Projects'!$I44,'Outage by Zone inputs'!$A$3:$E$3,0),0)*$M44*$N44*('Baseline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Projects'!AI$3,'Baseline scaling factors'!$B$54:$K$54,0))+VLOOKUP($A44,'Outage by Zone inputs'!$A$4:$E$13,MATCH('Baseline Projects'!$I44,'Outage by Zone inputs'!$A$3:$E$3,0),0)*$M44*$N44*('Baseline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Projects'!AI$3,'Baseline scaling factors'!$B$48:$K$48,0))</f>
        <v>4.9371545355133177</v>
      </c>
      <c r="AJ44" s="34">
        <f>VLOOKUP($A44,'Outage by Zone inputs'!$A$4:$E$13,MATCH('Baseline Projects'!$I44,'Outage by Zone inputs'!$A$3:$E$3,0),0)*$M44*$N44*('Baseline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Projects'!AJ$3,'Baseline scaling factors'!$B$54:$K$54,0))+VLOOKUP($A44,'Outage by Zone inputs'!$A$4:$E$13,MATCH('Baseline Projects'!$I44,'Outage by Zone inputs'!$A$3:$E$3,0),0)*$M44*$N44*('Baseline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Projects'!AJ$3,'Baseline scaling factors'!$B$48:$K$48,0))</f>
        <v>4.233107824840463</v>
      </c>
      <c r="AK44" s="1">
        <f t="shared" si="2"/>
        <v>1627.9347101676121</v>
      </c>
      <c r="AL44" s="1">
        <f t="shared" si="3"/>
        <v>1489.4958995740631</v>
      </c>
      <c r="AM44" s="1">
        <f t="shared" si="4"/>
        <v>1357.1570118486572</v>
      </c>
      <c r="AN44" s="1">
        <f t="shared" si="5"/>
        <v>1230.6492707801742</v>
      </c>
      <c r="AO44" s="1">
        <f t="shared" si="6"/>
        <v>1109.71574303693</v>
      </c>
      <c r="AP44" s="1">
        <f t="shared" si="7"/>
        <v>994.11081634308437</v>
      </c>
      <c r="AQ44" s="1">
        <f t="shared" si="8"/>
        <v>883.59970064766037</v>
      </c>
      <c r="AR44" s="1">
        <f t="shared" si="9"/>
        <v>777.95795127317217</v>
      </c>
      <c r="AS44" s="1">
        <f t="shared" si="10"/>
        <v>676.97101307538492</v>
      </c>
      <c r="AT44" s="1">
        <f t="shared" si="11"/>
        <v>580.43378468841877</v>
      </c>
      <c r="AU44" s="1">
        <f t="shared" si="12"/>
        <v>46124.816788082338</v>
      </c>
      <c r="AV44" s="1">
        <f t="shared" si="13"/>
        <v>42202.383821265117</v>
      </c>
      <c r="AW44" s="1">
        <f t="shared" si="14"/>
        <v>38452.782002378619</v>
      </c>
      <c r="AX44" s="1">
        <f t="shared" si="15"/>
        <v>34868.39600543827</v>
      </c>
      <c r="AY44" s="1">
        <f t="shared" si="16"/>
        <v>31441.946052713014</v>
      </c>
      <c r="AZ44" s="1">
        <f t="shared" si="17"/>
        <v>28166.473129720725</v>
      </c>
      <c r="BA44" s="1">
        <f t="shared" si="18"/>
        <v>25035.324851683716</v>
      </c>
      <c r="BB44" s="1">
        <f t="shared" si="19"/>
        <v>22042.141952739872</v>
      </c>
      <c r="BC44" s="1">
        <f t="shared" si="20"/>
        <v>19180.84537046924</v>
      </c>
      <c r="BD44" s="1">
        <f t="shared" si="21"/>
        <v>16445.623899505197</v>
      </c>
      <c r="BE44" s="1">
        <f t="shared" si="22"/>
        <v>47752.751498249949</v>
      </c>
      <c r="BF44" s="1">
        <f t="shared" si="23"/>
        <v>43691.879720839177</v>
      </c>
      <c r="BG44" s="1">
        <f t="shared" si="24"/>
        <v>39809.939014227275</v>
      </c>
      <c r="BH44" s="1">
        <f t="shared" si="25"/>
        <v>36099.045276218443</v>
      </c>
      <c r="BI44" s="1">
        <f t="shared" si="26"/>
        <v>32551.661795749944</v>
      </c>
      <c r="BJ44" s="1">
        <f t="shared" si="27"/>
        <v>29160.583946063809</v>
      </c>
      <c r="BK44" s="1">
        <f t="shared" si="28"/>
        <v>25918.924552331377</v>
      </c>
      <c r="BL44" s="1">
        <f t="shared" si="29"/>
        <v>22820.099904013045</v>
      </c>
      <c r="BM44" s="1">
        <f t="shared" si="30"/>
        <v>19857.816383544625</v>
      </c>
      <c r="BN44" s="1">
        <f t="shared" si="31"/>
        <v>17026.057684193616</v>
      </c>
      <c r="BO44" s="25">
        <f>VLOOKUP($A44,'Outage by Zone inputs'!$A$59:$E$68,MATCH('Baseline Projects'!$I44,'Outage by Zone inputs'!$A$58:$E$58,0),0)*AVG_INCIDENT_PERCENT_NON_STORM</f>
        <v>25.107585612663954</v>
      </c>
      <c r="BP44" s="25">
        <f>$BO44*$N44*('Baseline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Projects'!Q$3,'Baseline scaling factors'!$B$54:$K$54,0))+$BO44*$N44*('Baseline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Projects'!Q$3,'Baseline scaling factors'!$B$48:$K$48,0))</f>
        <v>0.98013445889934558</v>
      </c>
      <c r="BQ44" s="25">
        <f>$BO44*$N44*('Baseline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Projects'!R$3,'Baseline scaling factors'!$B$54:$K$54,0))+$BO44*$N44*('Baseline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Projects'!R$3,'Baseline scaling factors'!$B$48:$K$48,0))</f>
        <v>0.89678428037909863</v>
      </c>
      <c r="BR44" s="25">
        <f>$BO44*$N44*('Baseline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Projects'!S$3,'Baseline scaling factors'!$B$54:$K$54,0))+$BO44*$N44*('Baseline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Projects'!S$3,'Baseline scaling factors'!$B$48:$K$48,0))</f>
        <v>0.81710669668857883</v>
      </c>
      <c r="BS44" s="25">
        <f>$BO44*$N44*('Baseline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Projects'!T$3,'Baseline scaling factors'!$B$54:$K$54,0))+$BO44*$N44*('Baseline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Projects'!T$3,'Baseline scaling factors'!$B$48:$K$48,0))</f>
        <v>0.74093988510559483</v>
      </c>
      <c r="BT44" s="25">
        <f>$BO44*$N44*('Baseline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Projects'!U$3,'Baseline scaling factors'!$B$54:$K$54,0))+$BO44*$N44*('Baseline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Projects'!U$3,'Baseline scaling factors'!$B$48:$K$48,0))</f>
        <v>0.66812915317813948</v>
      </c>
      <c r="BU44" s="25">
        <f>$BO44*$N44*('Baseline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Projects'!V$3,'Baseline scaling factors'!$B$54:$K$54,0))+$BO44*$N44*('Baseline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Projects'!V$3,'Baseline scaling factors'!$B$48:$K$48,0))</f>
        <v>0.59852662454877903</v>
      </c>
      <c r="BV44" s="25">
        <f>$BO44*$N44*('Baseline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Projects'!W$3,'Baseline scaling factors'!$B$54:$K$54,0))+$BO44*$N44*('Baseline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Projects'!W$3,'Baseline scaling factors'!$B$48:$K$48,0))</f>
        <v>0.53199093862231761</v>
      </c>
      <c r="BW44" s="25">
        <f>$BO44*$N44*('Baseline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Projects'!X$3,'Baseline scaling factors'!$B$54:$K$54,0))+$BO44*$N44*('Baseline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Projects'!X$3,'Baseline scaling factors'!$B$48:$K$48,0))</f>
        <v>0.46838696346677605</v>
      </c>
      <c r="BX44" s="25">
        <f>$BO44*$N44*('Baseline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Projects'!Y$3,'Baseline scaling factors'!$B$54:$K$54,0))+$BO44*$N44*('Baseline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Projects'!Y$3,'Baseline scaling factors'!$B$48:$K$48,0))</f>
        <v>0.40758552136459336</v>
      </c>
      <c r="BY44" s="25">
        <f>$BO44*$N44*('Baseline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Projects'!Z$3,'Baseline scaling factors'!$B$54:$K$54,0))+$BO44*$N44*('Baseline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Projects'!Z$3,'Baseline scaling factors'!$B$48:$K$48,0))</f>
        <v>0.34946312645665523</v>
      </c>
      <c r="BZ44" s="12">
        <f t="shared" si="32"/>
        <v>462.6234646004911</v>
      </c>
      <c r="CA44" s="12">
        <f t="shared" si="33"/>
        <v>423.28218033893455</v>
      </c>
      <c r="CB44" s="12">
        <f t="shared" si="34"/>
        <v>385.6743608370092</v>
      </c>
      <c r="CC44" s="12">
        <f t="shared" si="35"/>
        <v>349.72362576984074</v>
      </c>
      <c r="CD44" s="12">
        <f t="shared" si="36"/>
        <v>315.35696030008182</v>
      </c>
      <c r="CE44" s="12">
        <f t="shared" si="37"/>
        <v>282.50456678702369</v>
      </c>
      <c r="CF44" s="12">
        <f t="shared" si="38"/>
        <v>251.09972302973392</v>
      </c>
      <c r="CG44" s="12">
        <f t="shared" si="39"/>
        <v>221.07864675631831</v>
      </c>
      <c r="CH44" s="12">
        <f t="shared" si="40"/>
        <v>192.38036608408805</v>
      </c>
      <c r="CI44" s="12">
        <f t="shared" si="41"/>
        <v>164.94659568754128</v>
      </c>
      <c r="CJ44" s="12">
        <f>'Mitigation Projects'!$AG44*VLOOKUP('Baseline Projects'!$H44&amp;"-"&amp;'Baseline Projects'!$G44,'Baseline scaling factors'!$A$49:$K$51,MATCH('Baseline Projects'!CJ$2,'Baseline scaling factors'!$A$48:$K$48,0),0)</f>
        <v>0</v>
      </c>
      <c r="CK44" s="12">
        <f>'Mitigation Projects'!$AG44*VLOOKUP('Baseline Projects'!$H44&amp;"-"&amp;'Baseline Projects'!$G44,'Baseline scaling factors'!$A$49:$K$51,MATCH('Baseline Projects'!CK$2,'Baseline scaling factors'!$A$48:$K$48,0),0)</f>
        <v>0</v>
      </c>
      <c r="CL44" s="12">
        <f>'Mitigation Projects'!$AG44*VLOOKUP('Baseline Projects'!$H44&amp;"-"&amp;'Baseline Projects'!$G44,'Baseline scaling factors'!$A$49:$K$51,MATCH('Baseline Projects'!CL$2,'Baseline scaling factors'!$A$48:$K$48,0),0)</f>
        <v>0</v>
      </c>
      <c r="CM44" s="12">
        <f>'Mitigation Projects'!$AG44*VLOOKUP('Baseline Projects'!$H44&amp;"-"&amp;'Baseline Projects'!$G44,'Baseline scaling factors'!$A$49:$K$51,MATCH('Baseline Projects'!CM$2,'Baseline scaling factors'!$A$48:$K$48,0),0)</f>
        <v>0</v>
      </c>
      <c r="CN44" s="12">
        <f>'Mitigation Projects'!$AG44*VLOOKUP('Baseline Projects'!$H44&amp;"-"&amp;'Baseline Projects'!$G44,'Baseline scaling factors'!$A$49:$K$51,MATCH('Baseline Projects'!CN$2,'Baseline scaling factors'!$A$48:$K$48,0),0)</f>
        <v>0</v>
      </c>
      <c r="CO44" s="12">
        <f>'Mitigation Projects'!$AG44*VLOOKUP('Baseline Projects'!$H44&amp;"-"&amp;'Baseline Projects'!$G44,'Baseline scaling factors'!$A$49:$K$51,MATCH('Baseline Projects'!CO$2,'Baseline scaling factors'!$A$48:$K$48,0),0)</f>
        <v>0</v>
      </c>
      <c r="CP44" s="12">
        <f>'Mitigation Projects'!$AG44*VLOOKUP('Baseline Projects'!$H44&amp;"-"&amp;'Baseline Projects'!$G44,'Baseline scaling factors'!$A$49:$K$51,MATCH('Baseline Projects'!CP$2,'Baseline scaling factors'!$A$48:$K$48,0),0)</f>
        <v>0</v>
      </c>
      <c r="CQ44" s="12">
        <f>'Mitigation Projects'!$AG44*VLOOKUP('Baseline Projects'!$H44&amp;"-"&amp;'Baseline Projects'!$G44,'Baseline scaling factors'!$A$49:$K$51,MATCH('Baseline Projects'!CQ$2,'Baseline scaling factors'!$A$48:$K$48,0),0)</f>
        <v>0</v>
      </c>
      <c r="CR44" s="12">
        <f>'Mitigation Projects'!$AG44*VLOOKUP('Baseline Projects'!$H44&amp;"-"&amp;'Baseline Projects'!$G44,'Baseline scaling factors'!$A$49:$K$51,MATCH('Baseline Projects'!CR$2,'Baseline scaling factors'!$A$48:$K$48,0),0)</f>
        <v>0</v>
      </c>
      <c r="CS44" s="12">
        <f>'Mitigation Projects'!$AG44*VLOOKUP('Baseline Projects'!$H44&amp;"-"&amp;'Baseline Projects'!$G44,'Baseline scaling factors'!$A$49:$K$51,MATCH('Baseline Projects'!CS$2,'Baseline scaling factors'!$A$48:$K$48,0),0)</f>
        <v>0</v>
      </c>
      <c r="CT44" s="12">
        <f>'Mitigation Projects'!$AH44*VLOOKUP('Baseline Projects'!$H44&amp;"-"&amp;'Baseline Projects'!$G44,'Baseline scaling factors'!$A$49:$K$51,MATCH('Baseline Projects'!CT$2,'Baseline scaling factors'!$A$48:$K$48,0),0)</f>
        <v>0</v>
      </c>
      <c r="CU44" s="12">
        <f>'Mitigation Projects'!$AH44*VLOOKUP('Baseline Projects'!$H44&amp;"-"&amp;'Baseline Projects'!$G44,'Baseline scaling factors'!$A$49:$K$51,MATCH('Baseline Projects'!CU$2,'Baseline scaling factors'!$A$48:$K$48,0),0)</f>
        <v>0</v>
      </c>
      <c r="CV44" s="12">
        <f>'Mitigation Projects'!$AH44*VLOOKUP('Baseline Projects'!$H44&amp;"-"&amp;'Baseline Projects'!$G44,'Baseline scaling factors'!$A$49:$K$51,MATCH('Baseline Projects'!CV$2,'Baseline scaling factors'!$A$48:$K$48,0),0)</f>
        <v>0</v>
      </c>
      <c r="CW44" s="12">
        <f>'Mitigation Projects'!$AH44*VLOOKUP('Baseline Projects'!$H44&amp;"-"&amp;'Baseline Projects'!$G44,'Baseline scaling factors'!$A$49:$K$51,MATCH('Baseline Projects'!CW$2,'Baseline scaling factors'!$A$48:$K$48,0),0)</f>
        <v>0</v>
      </c>
      <c r="CX44" s="12">
        <f>'Mitigation Projects'!$AH44*VLOOKUP('Baseline Projects'!$H44&amp;"-"&amp;'Baseline Projects'!$G44,'Baseline scaling factors'!$A$49:$K$51,MATCH('Baseline Projects'!CX$2,'Baseline scaling factors'!$A$48:$K$48,0),0)</f>
        <v>0</v>
      </c>
      <c r="CY44" s="12">
        <f>'Mitigation Projects'!$AH44*VLOOKUP('Baseline Projects'!$H44&amp;"-"&amp;'Baseline Projects'!$G44,'Baseline scaling factors'!$A$49:$K$51,MATCH('Baseline Projects'!CY$2,'Baseline scaling factors'!$A$48:$K$48,0),0)</f>
        <v>0</v>
      </c>
      <c r="CZ44" s="12">
        <f>'Mitigation Projects'!$AH44*VLOOKUP('Baseline Projects'!$H44&amp;"-"&amp;'Baseline Projects'!$G44,'Baseline scaling factors'!$A$49:$K$51,MATCH('Baseline Projects'!CZ$2,'Baseline scaling factors'!$A$48:$K$48,0),0)</f>
        <v>0</v>
      </c>
      <c r="DA44" s="12">
        <f>'Mitigation Projects'!$AH44*VLOOKUP('Baseline Projects'!$H44&amp;"-"&amp;'Baseline Projects'!$G44,'Baseline scaling factors'!$A$49:$K$51,MATCH('Baseline Projects'!DA$2,'Baseline scaling factors'!$A$48:$K$48,0),0)</f>
        <v>0</v>
      </c>
      <c r="DB44" s="12">
        <f>'Mitigation Projects'!$AH44*VLOOKUP('Baseline Projects'!$H44&amp;"-"&amp;'Baseline Projects'!$G44,'Baseline scaling factors'!$A$49:$K$51,MATCH('Baseline Projects'!DB$2,'Baseline scaling factors'!$A$48:$K$48,0),0)</f>
        <v>0</v>
      </c>
      <c r="DC44" s="12">
        <f>'Mitigation Projects'!$AH44*VLOOKUP('Baseline Projects'!$H44&amp;"-"&amp;'Baseline Projects'!$G44,'Baseline scaling factors'!$A$49:$K$51,MATCH('Baseline Projects'!DC$2,'Baseline scaling factors'!$A$48:$K$48,0),0)</f>
        <v>0</v>
      </c>
    </row>
    <row r="45" spans="1:107" x14ac:dyDescent="0.4">
      <c r="A45" s="38" t="str">
        <f>'Mitigation Projects'!A45</f>
        <v>TH-G16</v>
      </c>
      <c r="B45" s="38" t="str">
        <f>'Mitigation Projects'!B45</f>
        <v>White River Jct</v>
      </c>
      <c r="C45" s="39">
        <f>'Mitigation Projects'!C45</f>
        <v>203716</v>
      </c>
      <c r="D45" s="39" t="str">
        <f>'Mitigation Projects'!D45</f>
        <v>203716: RTE 5 L1 P.137 (tag: 4902</v>
      </c>
      <c r="E45" s="39" t="str">
        <f>'Mitigation Projects'!E45</f>
        <v>Sub Breaker</v>
      </c>
      <c r="F45" s="39">
        <f>'Mitigation Projects'!F45</f>
        <v>0</v>
      </c>
      <c r="G45" s="39" t="str">
        <f>'Mitigation Projects'!G45</f>
        <v>3PH</v>
      </c>
      <c r="H45" s="39" t="str">
        <f>'Mitigation Projects'!H45</f>
        <v>OH</v>
      </c>
      <c r="I45" s="39" t="str">
        <f>'Mitigation Projects'!J45</f>
        <v>Zone 1</v>
      </c>
      <c r="J45" s="39">
        <f>'Mitigation Projects'!K45</f>
        <v>123</v>
      </c>
      <c r="K45" s="40">
        <f>'Mitigation Projects'!L45*BASELINE_CAP_SPEND</f>
        <v>111063.8</v>
      </c>
      <c r="L45" s="97">
        <f>'Mitigation Projects'!Q45</f>
        <v>0.85561497326203206</v>
      </c>
      <c r="M45" s="97">
        <f>'Mitigation Projects'!R45</f>
        <v>0.14438502673796794</v>
      </c>
      <c r="N45" s="98">
        <f>'Mitigation Projects'!S45</f>
        <v>1</v>
      </c>
      <c r="O45" s="26">
        <f t="shared" si="0"/>
        <v>0.9</v>
      </c>
      <c r="P45" s="26">
        <f t="shared" si="1"/>
        <v>0.80330442615766917</v>
      </c>
      <c r="Q45" s="112">
        <f>VLOOKUP($A45,'Outage by Zone inputs'!$A$4:$E$13,MATCH('Baseline Projects'!$I45,'Outage by Zone inputs'!$A$3:$E$3,0),0)*'Baseline Projects'!$L45*$N45*('Baseline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Projects'!Q$3,'Baseline scaling factors'!$B$54:$K$54,0))+VLOOKUP($A45,'Outage by Zone inputs'!$A$4:$E$13,MATCH('Baseline Projects'!$I45,'Outage by Zone inputs'!$A$3:$E$3,0),0)*'Baseline Projects'!$L45*$N45*('Baseline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Projects'!Q$3,'Baseline scaling factors'!$B$48:$K$48,0))</f>
        <v>288.37638628786215</v>
      </c>
      <c r="R45" s="112">
        <f>VLOOKUP($A45,'Outage by Zone inputs'!$A$4:$E$13,MATCH('Baseline Projects'!$I45,'Outage by Zone inputs'!$A$3:$E$3,0),0)*'Baseline Projects'!$L45*$N45*('Baseline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Projects'!R$3,'Baseline scaling factors'!$B$54:$K$54,0))+VLOOKUP($A45,'Outage by Zone inputs'!$A$4:$E$13,MATCH('Baseline Projects'!$I45,'Outage by Zone inputs'!$A$3:$E$3,0),0)*'Baseline Projects'!$L45*$N45*('Baseline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Projects'!R$3,'Baseline scaling factors'!$B$48:$K$48,0))</f>
        <v>266.89297657974112</v>
      </c>
      <c r="S45" s="112">
        <f>VLOOKUP($A45,'Outage by Zone inputs'!$A$4:$E$13,MATCH('Baseline Projects'!$I45,'Outage by Zone inputs'!$A$3:$E$3,0),0)*'Baseline Projects'!$L45*$N45*('Baseline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Projects'!S$3,'Baseline scaling factors'!$B$54:$K$54,0))+VLOOKUP($A45,'Outage by Zone inputs'!$A$4:$E$13,MATCH('Baseline Projects'!$I45,'Outage by Zone inputs'!$A$3:$E$3,0),0)*'Baseline Projects'!$L45*$N45*('Baseline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Projects'!S$3,'Baseline scaling factors'!$B$48:$K$48,0))</f>
        <v>246.35617383539284</v>
      </c>
      <c r="T45" s="112">
        <f>VLOOKUP($A45,'Outage by Zone inputs'!$A$4:$E$13,MATCH('Baseline Projects'!$I45,'Outage by Zone inputs'!$A$3:$E$3,0),0)*'Baseline Projects'!$L45*$N45*('Baseline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Projects'!T$3,'Baseline scaling factors'!$B$54:$K$54,0))+VLOOKUP($A45,'Outage by Zone inputs'!$A$4:$E$13,MATCH('Baseline Projects'!$I45,'Outage by Zone inputs'!$A$3:$E$3,0),0)*'Baseline Projects'!$L45*$N45*('Baseline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Projects'!T$3,'Baseline scaling factors'!$B$48:$K$48,0))</f>
        <v>226.72426844000114</v>
      </c>
      <c r="U45" s="112">
        <f>VLOOKUP($A45,'Outage by Zone inputs'!$A$4:$E$13,MATCH('Baseline Projects'!$I45,'Outage by Zone inputs'!$A$3:$E$3,0),0)*'Baseline Projects'!$L45*$N45*('Baseline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Projects'!U$3,'Baseline scaling factors'!$B$54:$K$54,0))+VLOOKUP($A45,'Outage by Zone inputs'!$A$4:$E$13,MATCH('Baseline Projects'!$I45,'Outage by Zone inputs'!$A$3:$E$3,0),0)*'Baseline Projects'!$L45*$N45*('Baseline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Projects'!U$3,'Baseline scaling factors'!$B$48:$K$48,0))</f>
        <v>207.95738859743776</v>
      </c>
      <c r="V45" s="112">
        <f>VLOOKUP($A45,'Outage by Zone inputs'!$A$4:$E$13,MATCH('Baseline Projects'!$I45,'Outage by Zone inputs'!$A$3:$E$3,0),0)*'Baseline Projects'!$L45*$N45*('Baseline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Projects'!V$3,'Baseline scaling factors'!$B$54:$K$54,0))+VLOOKUP($A45,'Outage by Zone inputs'!$A$4:$E$13,MATCH('Baseline Projects'!$I45,'Outage by Zone inputs'!$A$3:$E$3,0),0)*'Baseline Projects'!$L45*$N45*('Baseline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Projects'!V$3,'Baseline scaling factors'!$B$48:$K$48,0))</f>
        <v>190.01741935187056</v>
      </c>
      <c r="W45" s="112">
        <f>VLOOKUP($A45,'Outage by Zone inputs'!$A$4:$E$13,MATCH('Baseline Projects'!$I45,'Outage by Zone inputs'!$A$3:$E$3,0),0)*'Baseline Projects'!$L45*$N45*('Baseline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Projects'!W$3,'Baseline scaling factors'!$B$54:$K$54,0))+VLOOKUP($A45,'Outage by Zone inputs'!$A$4:$E$13,MATCH('Baseline Projects'!$I45,'Outage by Zone inputs'!$A$3:$E$3,0),0)*'Baseline Projects'!$L45*$N45*('Baseline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Projects'!W$3,'Baseline scaling factors'!$B$48:$K$48,0))</f>
        <v>172.86792517746034</v>
      </c>
      <c r="X45" s="112">
        <f>VLOOKUP($A45,'Outage by Zone inputs'!$A$4:$E$13,MATCH('Baseline Projects'!$I45,'Outage by Zone inputs'!$A$3:$E$3,0),0)*'Baseline Projects'!$L45*$N45*('Baseline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Projects'!X$3,'Baseline scaling factors'!$B$54:$K$54,0))+VLOOKUP($A45,'Outage by Zone inputs'!$A$4:$E$13,MATCH('Baseline Projects'!$I45,'Outage by Zone inputs'!$A$3:$E$3,0),0)*'Baseline Projects'!$L45*$N45*('Baseline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Projects'!X$3,'Baseline scaling factors'!$B$48:$K$48,0))</f>
        <v>156.4740759789284</v>
      </c>
      <c r="Y45" s="112">
        <f>VLOOKUP($A45,'Outage by Zone inputs'!$A$4:$E$13,MATCH('Baseline Projects'!$I45,'Outage by Zone inputs'!$A$3:$E$3,0),0)*'Baseline Projects'!$L45*$N45*('Baseline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Projects'!Y$3,'Baseline scaling factors'!$B$54:$K$54,0))+VLOOKUP($A45,'Outage by Zone inputs'!$A$4:$E$13,MATCH('Baseline Projects'!$I45,'Outage by Zone inputs'!$A$3:$E$3,0),0)*'Baseline Projects'!$L45*$N45*('Baseline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Projects'!Y$3,'Baseline scaling factors'!$B$48:$K$48,0))</f>
        <v>140.80257635270402</v>
      </c>
      <c r="Z45" s="112">
        <f>VLOOKUP($A45,'Outage by Zone inputs'!$A$4:$E$13,MATCH('Baseline Projects'!$I45,'Outage by Zone inputs'!$A$3:$E$3,0),0)*'Baseline Projects'!$L45*$N45*('Baseline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Projects'!Z$3,'Baseline scaling factors'!$B$54:$K$54,0))+VLOOKUP($A45,'Outage by Zone inputs'!$A$4:$E$13,MATCH('Baseline Projects'!$I45,'Outage by Zone inputs'!$A$3:$E$3,0),0)*'Baseline Projects'!$L45*$N45*('Baseline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Projects'!Z$3,'Baseline scaling factors'!$B$48:$K$48,0))</f>
        <v>125.82159796498389</v>
      </c>
      <c r="AA45" s="34">
        <f>VLOOKUP($A45,'Outage by Zone inputs'!$A$4:$E$13,MATCH('Baseline Projects'!$I45,'Outage by Zone inputs'!$A$3:$E$3,0),0)*$M45*$N45*('Baseline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Projects'!AA$3,'Baseline scaling factors'!$B$54:$K$54,0))+VLOOKUP($A45,'Outage by Zone inputs'!$A$4:$E$13,MATCH('Baseline Projects'!$I45,'Outage by Zone inputs'!$A$3:$E$3,0),0)*$M45*$N45*('Baseline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Projects'!AA$3,'Baseline scaling factors'!$B$48:$K$48,0))</f>
        <v>48.663515186076744</v>
      </c>
      <c r="AB45" s="34">
        <f>VLOOKUP($A45,'Outage by Zone inputs'!$A$4:$E$13,MATCH('Baseline Projects'!$I45,'Outage by Zone inputs'!$A$3:$E$3,0),0)*$M45*$N45*('Baseline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Projects'!AB$3,'Baseline scaling factors'!$B$54:$K$54,0))+VLOOKUP($A45,'Outage by Zone inputs'!$A$4:$E$13,MATCH('Baseline Projects'!$I45,'Outage by Zone inputs'!$A$3:$E$3,0),0)*$M45*$N45*('Baseline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Projects'!AB$3,'Baseline scaling factors'!$B$48:$K$48,0))</f>
        <v>45.038189797831322</v>
      </c>
      <c r="AC45" s="34">
        <f>VLOOKUP($A45,'Outage by Zone inputs'!$A$4:$E$13,MATCH('Baseline Projects'!$I45,'Outage by Zone inputs'!$A$3:$E$3,0),0)*$M45*$N45*('Baseline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Projects'!AC$3,'Baseline scaling factors'!$B$54:$K$54,0))+VLOOKUP($A45,'Outage by Zone inputs'!$A$4:$E$13,MATCH('Baseline Projects'!$I45,'Outage by Zone inputs'!$A$3:$E$3,0),0)*$M45*$N45*('Baseline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Projects'!AC$3,'Baseline scaling factors'!$B$48:$K$48,0))</f>
        <v>41.572604334722556</v>
      </c>
      <c r="AD45" s="34">
        <f>VLOOKUP($A45,'Outage by Zone inputs'!$A$4:$E$13,MATCH('Baseline Projects'!$I45,'Outage by Zone inputs'!$A$3:$E$3,0),0)*$M45*$N45*('Baseline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Projects'!AD$3,'Baseline scaling factors'!$B$54:$K$54,0))+VLOOKUP($A45,'Outage by Zone inputs'!$A$4:$E$13,MATCH('Baseline Projects'!$I45,'Outage by Zone inputs'!$A$3:$E$3,0),0)*$M45*$N45*('Baseline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Projects'!AD$3,'Baseline scaling factors'!$B$48:$K$48,0))</f>
        <v>38.259720299250205</v>
      </c>
      <c r="AE45" s="34">
        <f>VLOOKUP($A45,'Outage by Zone inputs'!$A$4:$E$13,MATCH('Baseline Projects'!$I45,'Outage by Zone inputs'!$A$3:$E$3,0),0)*$M45*$N45*('Baseline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Projects'!AE$3,'Baseline scaling factors'!$B$54:$K$54,0))+VLOOKUP($A45,'Outage by Zone inputs'!$A$4:$E$13,MATCH('Baseline Projects'!$I45,'Outage by Zone inputs'!$A$3:$E$3,0),0)*$M45*$N45*('Baseline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Projects'!AE$3,'Baseline scaling factors'!$B$48:$K$48,0))</f>
        <v>35.092809325817633</v>
      </c>
      <c r="AF45" s="34">
        <f>VLOOKUP($A45,'Outage by Zone inputs'!$A$4:$E$13,MATCH('Baseline Projects'!$I45,'Outage by Zone inputs'!$A$3:$E$3,0),0)*$M45*$N45*('Baseline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Projects'!AF$3,'Baseline scaling factors'!$B$54:$K$54,0))+VLOOKUP($A45,'Outage by Zone inputs'!$A$4:$E$13,MATCH('Baseline Projects'!$I45,'Outage by Zone inputs'!$A$3:$E$3,0),0)*$M45*$N45*('Baseline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Projects'!AF$3,'Baseline scaling factors'!$B$48:$K$48,0))</f>
        <v>32.065439515628157</v>
      </c>
      <c r="AG45" s="34">
        <f>VLOOKUP($A45,'Outage by Zone inputs'!$A$4:$E$13,MATCH('Baseline Projects'!$I45,'Outage by Zone inputs'!$A$3:$E$3,0),0)*$M45*$N45*('Baseline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Projects'!AG$3,'Baseline scaling factors'!$B$54:$K$54,0))+VLOOKUP($A45,'Outage by Zone inputs'!$A$4:$E$13,MATCH('Baseline Projects'!$I45,'Outage by Zone inputs'!$A$3:$E$3,0),0)*$M45*$N45*('Baseline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Projects'!AG$3,'Baseline scaling factors'!$B$48:$K$48,0))</f>
        <v>29.171462373696436</v>
      </c>
      <c r="AH45" s="34">
        <f>VLOOKUP($A45,'Outage by Zone inputs'!$A$4:$E$13,MATCH('Baseline Projects'!$I45,'Outage by Zone inputs'!$A$3:$E$3,0),0)*$M45*$N45*('Baseline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Projects'!AH$3,'Baseline scaling factors'!$B$54:$K$54,0))+VLOOKUP($A45,'Outage by Zone inputs'!$A$4:$E$13,MATCH('Baseline Projects'!$I45,'Outage by Zone inputs'!$A$3:$E$3,0),0)*$M45*$N45*('Baseline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Projects'!AH$3,'Baseline scaling factors'!$B$48:$K$48,0))</f>
        <v>26.40500032144417</v>
      </c>
      <c r="AI45" s="34">
        <f>VLOOKUP($A45,'Outage by Zone inputs'!$A$4:$E$13,MATCH('Baseline Projects'!$I45,'Outage by Zone inputs'!$A$3:$E$3,0),0)*$M45*$N45*('Baseline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Projects'!AI$3,'Baseline scaling factors'!$B$54:$K$54,0))+VLOOKUP($A45,'Outage by Zone inputs'!$A$4:$E$13,MATCH('Baseline Projects'!$I45,'Outage by Zone inputs'!$A$3:$E$3,0),0)*$M45*$N45*('Baseline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Projects'!AI$3,'Baseline scaling factors'!$B$48:$K$48,0))</f>
        <v>23.760434759518809</v>
      </c>
      <c r="AJ45" s="34">
        <f>VLOOKUP($A45,'Outage by Zone inputs'!$A$4:$E$13,MATCH('Baseline Projects'!$I45,'Outage by Zone inputs'!$A$3:$E$3,0),0)*$M45*$N45*('Baseline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Projects'!AJ$3,'Baseline scaling factors'!$B$54:$K$54,0))+VLOOKUP($A45,'Outage by Zone inputs'!$A$4:$E$13,MATCH('Baseline Projects'!$I45,'Outage by Zone inputs'!$A$3:$E$3,0),0)*$M45*$N45*('Baseline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Projects'!AJ$3,'Baseline scaling factors'!$B$48:$K$48,0))</f>
        <v>21.232394656591037</v>
      </c>
      <c r="AK45" s="1">
        <f t="shared" si="2"/>
        <v>6055.9041120451047</v>
      </c>
      <c r="AL45" s="1">
        <f t="shared" si="3"/>
        <v>5604.7525081745634</v>
      </c>
      <c r="AM45" s="1">
        <f t="shared" si="4"/>
        <v>5173.4796505432496</v>
      </c>
      <c r="AN45" s="1">
        <f t="shared" si="5"/>
        <v>4761.2096372400238</v>
      </c>
      <c r="AO45" s="1">
        <f t="shared" si="6"/>
        <v>4367.1051605461926</v>
      </c>
      <c r="AP45" s="1">
        <f t="shared" si="7"/>
        <v>3990.3658063892817</v>
      </c>
      <c r="AQ45" s="1">
        <f t="shared" si="8"/>
        <v>3630.2264287266671</v>
      </c>
      <c r="AR45" s="1">
        <f t="shared" si="9"/>
        <v>3285.9555955574965</v>
      </c>
      <c r="AS45" s="1">
        <f t="shared" si="10"/>
        <v>2956.8541034067844</v>
      </c>
      <c r="AT45" s="1">
        <f t="shared" si="11"/>
        <v>2642.2535572646616</v>
      </c>
      <c r="AU45" s="1">
        <f t="shared" si="12"/>
        <v>189057.75649790815</v>
      </c>
      <c r="AV45" s="1">
        <f t="shared" si="13"/>
        <v>174973.36736457469</v>
      </c>
      <c r="AW45" s="1">
        <f t="shared" si="14"/>
        <v>161509.56784039713</v>
      </c>
      <c r="AX45" s="1">
        <f t="shared" si="15"/>
        <v>148639.01336258705</v>
      </c>
      <c r="AY45" s="1">
        <f t="shared" si="16"/>
        <v>136335.56423080151</v>
      </c>
      <c r="AZ45" s="1">
        <f t="shared" si="17"/>
        <v>124574.23251821539</v>
      </c>
      <c r="BA45" s="1">
        <f t="shared" si="18"/>
        <v>113331.13132181065</v>
      </c>
      <c r="BB45" s="1">
        <f t="shared" si="19"/>
        <v>102583.4262488106</v>
      </c>
      <c r="BC45" s="1">
        <f t="shared" si="20"/>
        <v>92309.289040730568</v>
      </c>
      <c r="BD45" s="1">
        <f t="shared" si="21"/>
        <v>82487.853240856173</v>
      </c>
      <c r="BE45" s="1">
        <f t="shared" si="22"/>
        <v>195113.66060995325</v>
      </c>
      <c r="BF45" s="1">
        <f t="shared" si="23"/>
        <v>180578.11987274926</v>
      </c>
      <c r="BG45" s="1">
        <f t="shared" si="24"/>
        <v>166683.04749094037</v>
      </c>
      <c r="BH45" s="1">
        <f t="shared" si="25"/>
        <v>153400.22299982706</v>
      </c>
      <c r="BI45" s="1">
        <f t="shared" si="26"/>
        <v>140702.66939134771</v>
      </c>
      <c r="BJ45" s="1">
        <f t="shared" si="27"/>
        <v>128564.59832460467</v>
      </c>
      <c r="BK45" s="1">
        <f t="shared" si="28"/>
        <v>116961.35775053733</v>
      </c>
      <c r="BL45" s="1">
        <f t="shared" si="29"/>
        <v>105869.38184436809</v>
      </c>
      <c r="BM45" s="1">
        <f t="shared" si="30"/>
        <v>95266.143144137357</v>
      </c>
      <c r="BN45" s="1">
        <f t="shared" si="31"/>
        <v>85130.106798120833</v>
      </c>
      <c r="BO45" s="25">
        <f>VLOOKUP($A45,'Outage by Zone inputs'!$A$59:$E$68,MATCH('Baseline Projects'!$I45,'Outage by Zone inputs'!$A$58:$E$58,0),0)*AVG_INCIDENT_PERCENT_NON_STORM</f>
        <v>22.699582008566281</v>
      </c>
      <c r="BP45" s="25">
        <f>$BO45*$N45*('Baseline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Projects'!Q$3,'Baseline scaling factors'!$B$54:$K$54,0))+$BO45*$N45*('Baseline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Projects'!Q$3,'Baseline scaling factors'!$B$48:$K$48,0))</f>
        <v>2.9806567757550986</v>
      </c>
      <c r="BQ45" s="25">
        <f>$BO45*$N45*('Baseline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Projects'!R$3,'Baseline scaling factors'!$B$54:$K$54,0))+$BO45*$N45*('Baseline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Projects'!R$3,'Baseline scaling factors'!$B$48:$K$48,0))</f>
        <v>2.7586043687008215</v>
      </c>
      <c r="BR45" s="25">
        <f>$BO45*$N45*('Baseline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Projects'!S$3,'Baseline scaling factors'!$B$54:$K$54,0))+$BO45*$N45*('Baseline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Projects'!S$3,'Baseline scaling factors'!$B$48:$K$48,0))</f>
        <v>2.5463360861265909</v>
      </c>
      <c r="BS45" s="25">
        <f>$BO45*$N45*('Baseline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Projects'!T$3,'Baseline scaling factors'!$B$54:$K$54,0))+$BO45*$N45*('Baseline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Projects'!T$3,'Baseline scaling factors'!$B$48:$K$48,0))</f>
        <v>2.3434208176782727</v>
      </c>
      <c r="BT45" s="25">
        <f>$BO45*$N45*('Baseline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Projects'!U$3,'Baseline scaling factors'!$B$54:$K$54,0))+$BO45*$N45*('Baseline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Projects'!U$3,'Baseline scaling factors'!$B$48:$K$48,0))</f>
        <v>2.1494464486857976</v>
      </c>
      <c r="BU45" s="25">
        <f>$BO45*$N45*('Baseline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Projects'!V$3,'Baseline scaling factors'!$B$54:$K$54,0))+$BO45*$N45*('Baseline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Projects'!V$3,'Baseline scaling factors'!$B$48:$K$48,0))</f>
        <v>1.964019023170934</v>
      </c>
      <c r="BV45" s="25">
        <f>$BO45*$N45*('Baseline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Projects'!W$3,'Baseline scaling factors'!$B$54:$K$54,0))+$BO45*$N45*('Baseline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Projects'!W$3,'Baseline scaling factors'!$B$48:$K$48,0))</f>
        <v>1.7867619437348154</v>
      </c>
      <c r="BW45" s="25">
        <f>$BO45*$N45*('Baseline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Projects'!X$3,'Baseline scaling factors'!$B$54:$K$54,0))+$BO45*$N45*('Baseline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Projects'!X$3,'Baseline scaling factors'!$B$48:$K$48,0))</f>
        <v>1.6173152067002019</v>
      </c>
      <c r="BX45" s="25">
        <f>$BO45*$N45*('Baseline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Projects'!Y$3,'Baseline scaling factors'!$B$54:$K$54,0))+$BO45*$N45*('Baseline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Projects'!Y$3,'Baseline scaling factors'!$B$48:$K$48,0))</f>
        <v>1.4553346709550834</v>
      </c>
      <c r="BY45" s="25">
        <f>$BO45*$N45*('Baseline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Projects'!Z$3,'Baseline scaling factors'!$B$54:$K$54,0))+$BO45*$N45*('Baseline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Projects'!Z$3,'Baseline scaling factors'!$B$48:$K$48,0))</f>
        <v>1.3004913590126654</v>
      </c>
      <c r="BZ45" s="12">
        <f t="shared" si="32"/>
        <v>1406.8699981564066</v>
      </c>
      <c r="CA45" s="12">
        <f t="shared" si="33"/>
        <v>1302.0612620267877</v>
      </c>
      <c r="CB45" s="12">
        <f t="shared" si="34"/>
        <v>1201.8706326517508</v>
      </c>
      <c r="CC45" s="12">
        <f t="shared" si="35"/>
        <v>1106.0946259441448</v>
      </c>
      <c r="CD45" s="12">
        <f t="shared" si="36"/>
        <v>1014.5387237796965</v>
      </c>
      <c r="CE45" s="12">
        <f t="shared" si="37"/>
        <v>927.01697893668086</v>
      </c>
      <c r="CF45" s="12">
        <f t="shared" si="38"/>
        <v>843.35163744283284</v>
      </c>
      <c r="CG45" s="12">
        <f t="shared" si="39"/>
        <v>763.37277756249534</v>
      </c>
      <c r="CH45" s="12">
        <f t="shared" si="40"/>
        <v>686.91796469079941</v>
      </c>
      <c r="CI45" s="12">
        <f t="shared" si="41"/>
        <v>613.83192145397811</v>
      </c>
      <c r="CJ45" s="12">
        <f>'Mitigation Projects'!$AG45*VLOOKUP('Baseline Projects'!$H45&amp;"-"&amp;'Baseline Projects'!$G45,'Baseline scaling factors'!$A$49:$K$51,MATCH('Baseline Projects'!CJ$2,'Baseline scaling factors'!$A$48:$K$48,0),0)</f>
        <v>3732.791693286485</v>
      </c>
      <c r="CK45" s="12">
        <f>'Mitigation Projects'!$AG45*VLOOKUP('Baseline Projects'!$H45&amp;"-"&amp;'Baseline Projects'!$G45,'Baseline scaling factors'!$A$49:$K$51,MATCH('Baseline Projects'!CK$2,'Baseline scaling factors'!$A$48:$K$48,0),0)</f>
        <v>7301.1082562661577</v>
      </c>
      <c r="CL45" s="12">
        <f>'Mitigation Projects'!$AG45*VLOOKUP('Baseline Projects'!$H45&amp;"-"&amp;'Baseline Projects'!$G45,'Baseline scaling factors'!$A$49:$K$51,MATCH('Baseline Projects'!CL$2,'Baseline scaling factors'!$A$48:$K$48,0),0)</f>
        <v>10712.196830143839</v>
      </c>
      <c r="CM45" s="12">
        <f>'Mitigation Projects'!$AG45*VLOOKUP('Baseline Projects'!$H45&amp;"-"&amp;'Baseline Projects'!$G45,'Baseline scaling factors'!$A$49:$K$51,MATCH('Baseline Projects'!CM$2,'Baseline scaling factors'!$A$48:$K$48,0),0)</f>
        <v>13972.985230913644</v>
      </c>
      <c r="CN45" s="12">
        <f>'Mitigation Projects'!$AG45*VLOOKUP('Baseline Projects'!$H45&amp;"-"&amp;'Baseline Projects'!$G45,'Baseline scaling factors'!$A$49:$K$51,MATCH('Baseline Projects'!CN$2,'Baseline scaling factors'!$A$48:$K$48,0),0)</f>
        <v>17090.096019540197</v>
      </c>
      <c r="CO45" s="12">
        <f>'Mitigation Projects'!$AG45*VLOOKUP('Baseline Projects'!$H45&amp;"-"&amp;'Baseline Projects'!$G45,'Baseline scaling factors'!$A$49:$K$51,MATCH('Baseline Projects'!CO$2,'Baseline scaling factors'!$A$48:$K$48,0),0)</f>
        <v>20069.85995217631</v>
      </c>
      <c r="CP45" s="12">
        <f>'Mitigation Projects'!$AG45*VLOOKUP('Baseline Projects'!$H45&amp;"-"&amp;'Baseline Projects'!$G45,'Baseline scaling factors'!$A$49:$K$51,MATCH('Baseline Projects'!CP$2,'Baseline scaling factors'!$A$48:$K$48,0),0)</f>
        <v>22918.328837734036</v>
      </c>
      <c r="CQ45" s="12">
        <f>'Mitigation Projects'!$AG45*VLOOKUP('Baseline Projects'!$H45&amp;"-"&amp;'Baseline Projects'!$G45,'Baseline scaling factors'!$A$49:$K$51,MATCH('Baseline Projects'!CQ$2,'Baseline scaling factors'!$A$48:$K$48,0),0)</f>
        <v>25641.287828922457</v>
      </c>
      <c r="CR45" s="12">
        <f>'Mitigation Projects'!$AG45*VLOOKUP('Baseline Projects'!$H45&amp;"-"&amp;'Baseline Projects'!$G45,'Baseline scaling factors'!$A$49:$K$51,MATCH('Baseline Projects'!CR$2,'Baseline scaling factors'!$A$48:$K$48,0),0)</f>
        <v>28244.267171714924</v>
      </c>
      <c r="CS45" s="12">
        <f>'Mitigation Projects'!$AG45*VLOOKUP('Baseline Projects'!$H45&amp;"-"&amp;'Baseline Projects'!$G45,'Baseline scaling factors'!$A$49:$K$51,MATCH('Baseline Projects'!CS$2,'Baseline scaling factors'!$A$48:$K$48,0),0)</f>
        <v>30732.553437108589</v>
      </c>
      <c r="CT45" s="12">
        <f>'Mitigation Projects'!$AH45*VLOOKUP('Baseline Projects'!$H45&amp;"-"&amp;'Baseline Projects'!$G45,'Baseline scaling factors'!$A$49:$K$51,MATCH('Baseline Projects'!CT$2,'Baseline scaling factors'!$A$48:$K$48,0),0)</f>
        <v>116533.09067478747</v>
      </c>
      <c r="CU45" s="12">
        <f>'Mitigation Projects'!$AH45*VLOOKUP('Baseline Projects'!$H45&amp;"-"&amp;'Baseline Projects'!$G45,'Baseline scaling factors'!$A$49:$K$51,MATCH('Baseline Projects'!CU$2,'Baseline scaling factors'!$A$48:$K$48,0),0)</f>
        <v>227931.47337530911</v>
      </c>
      <c r="CV45" s="12">
        <f>'Mitigation Projects'!$AH45*VLOOKUP('Baseline Projects'!$H45&amp;"-"&amp;'Baseline Projects'!$G45,'Baseline scaling factors'!$A$49:$K$51,MATCH('Baseline Projects'!CV$2,'Baseline scaling factors'!$A$48:$K$48,0),0)</f>
        <v>334421.39479105303</v>
      </c>
      <c r="CW45" s="12">
        <f>'Mitigation Projects'!$AH45*VLOOKUP('Baseline Projects'!$H45&amp;"-"&amp;'Baseline Projects'!$G45,'Baseline scaling factors'!$A$49:$K$51,MATCH('Baseline Projects'!CW$2,'Baseline scaling factors'!$A$48:$K$48,0),0)</f>
        <v>436219.13267758529</v>
      </c>
      <c r="CX45" s="12">
        <f>'Mitigation Projects'!$AH45*VLOOKUP('Baseline Projects'!$H45&amp;"-"&amp;'Baseline Projects'!$G45,'Baseline scaling factors'!$A$49:$K$51,MATCH('Baseline Projects'!CX$2,'Baseline scaling factors'!$A$48:$K$48,0),0)</f>
        <v>533531.43511002045</v>
      </c>
      <c r="CY45" s="12">
        <f>'Mitigation Projects'!$AH45*VLOOKUP('Baseline Projects'!$H45&amp;"-"&amp;'Baseline Projects'!$G45,'Baseline scaling factors'!$A$49:$K$51,MATCH('Baseline Projects'!CY$2,'Baseline scaling factors'!$A$48:$K$48,0),0)</f>
        <v>626555.94038200413</v>
      </c>
      <c r="CZ45" s="12">
        <f>'Mitigation Projects'!$AH45*VLOOKUP('Baseline Projects'!$H45&amp;"-"&amp;'Baseline Projects'!$G45,'Baseline scaling factors'!$A$49:$K$51,MATCH('Baseline Projects'!CZ$2,'Baseline scaling factors'!$A$48:$K$48,0),0)</f>
        <v>715481.57840300945</v>
      </c>
      <c r="DA45" s="12">
        <f>'Mitigation Projects'!$AH45*VLOOKUP('Baseline Projects'!$H45&amp;"-"&amp;'Baseline Projects'!$G45,'Baseline scaling factors'!$A$49:$K$51,MATCH('Baseline Projects'!DA$2,'Baseline scaling factors'!$A$48:$K$48,0),0)</f>
        <v>800488.95440917299</v>
      </c>
      <c r="DB45" s="12">
        <f>'Mitigation Projects'!$AH45*VLOOKUP('Baseline Projects'!$H45&amp;"-"&amp;'Baseline Projects'!$G45,'Baseline scaling factors'!$A$49:$K$51,MATCH('Baseline Projects'!DB$2,'Baseline scaling factors'!$A$48:$K$48,0),0)</f>
        <v>881750.71576697531</v>
      </c>
      <c r="DC45" s="12">
        <f>'Mitigation Projects'!$AH45*VLOOKUP('Baseline Projects'!$H45&amp;"-"&amp;'Baseline Projects'!$G45,'Baseline scaling factors'!$A$49:$K$51,MATCH('Baseline Projects'!DC$2,'Baseline scaling factors'!$A$48:$K$48,0),0)</f>
        <v>959431.90261473379</v>
      </c>
    </row>
    <row r="46" spans="1:107" x14ac:dyDescent="0.4">
      <c r="A46" s="38" t="str">
        <f>'Mitigation Projects'!A46</f>
        <v>TH-G16</v>
      </c>
      <c r="B46" s="38" t="str">
        <f>'Mitigation Projects'!B46</f>
        <v>White River Jct</v>
      </c>
      <c r="C46" s="39">
        <f>'Mitigation Projects'!C46</f>
        <v>203723</v>
      </c>
      <c r="D46" s="39" t="str">
        <f>'Mitigation Projects'!D46</f>
        <v>203723: RTE 113 L1 Start at P.156</v>
      </c>
      <c r="E46" s="39">
        <f>'Mitigation Projects'!E46</f>
        <v>618564</v>
      </c>
      <c r="F46" s="39">
        <f>'Mitigation Projects'!F46</f>
        <v>619011</v>
      </c>
      <c r="G46" s="39" t="str">
        <f>'Mitigation Projects'!G46</f>
        <v>3PH</v>
      </c>
      <c r="H46" s="39" t="str">
        <f>'Mitigation Projects'!H46</f>
        <v>OH</v>
      </c>
      <c r="I46" s="39" t="str">
        <f>'Mitigation Projects'!J46</f>
        <v>Zone 2</v>
      </c>
      <c r="J46" s="39">
        <f>'Mitigation Projects'!K46</f>
        <v>830</v>
      </c>
      <c r="K46" s="40">
        <f>'Mitigation Projects'!L46*BASELINE_CAP_SPEND</f>
        <v>58765.100000000006</v>
      </c>
      <c r="L46" s="97">
        <f>'Mitigation Projects'!Q46</f>
        <v>0.85561497326203206</v>
      </c>
      <c r="M46" s="97">
        <f>'Mitigation Projects'!R46</f>
        <v>0.14438502673796794</v>
      </c>
      <c r="N46" s="98">
        <f>'Mitigation Projects'!S46</f>
        <v>1</v>
      </c>
      <c r="O46" s="26">
        <f t="shared" si="0"/>
        <v>0.9</v>
      </c>
      <c r="P46" s="26">
        <f t="shared" si="1"/>
        <v>0.80330442615766917</v>
      </c>
      <c r="Q46" s="112">
        <f>VLOOKUP($A46,'Outage by Zone inputs'!$A$4:$E$13,MATCH('Baseline Projects'!$I46,'Outage by Zone inputs'!$A$3:$E$3,0),0)*'Baseline Projects'!$L46*$N46*('Baseline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Projects'!Q$3,'Baseline scaling factors'!$B$54:$K$54,0))+VLOOKUP($A46,'Outage by Zone inputs'!$A$4:$E$13,MATCH('Baseline Projects'!$I46,'Outage by Zone inputs'!$A$3:$E$3,0),0)*'Baseline Projects'!$L46*$N46*('Baseline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Projects'!Q$3,'Baseline scaling factors'!$B$48:$K$48,0))</f>
        <v>643.15941285894087</v>
      </c>
      <c r="R46" s="112">
        <f>VLOOKUP($A46,'Outage by Zone inputs'!$A$4:$E$13,MATCH('Baseline Projects'!$I46,'Outage by Zone inputs'!$A$3:$E$3,0),0)*'Baseline Projects'!$L46*$N46*('Baseline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Projects'!R$3,'Baseline scaling factors'!$B$54:$K$54,0))+VLOOKUP($A46,'Outage by Zone inputs'!$A$4:$E$13,MATCH('Baseline Projects'!$I46,'Outage by Zone inputs'!$A$3:$E$3,0),0)*'Baseline Projects'!$L46*$N46*('Baseline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Projects'!R$3,'Baseline scaling factors'!$B$48:$K$48,0))</f>
        <v>595.24544406299879</v>
      </c>
      <c r="S46" s="112">
        <f>VLOOKUP($A46,'Outage by Zone inputs'!$A$4:$E$13,MATCH('Baseline Projects'!$I46,'Outage by Zone inputs'!$A$3:$E$3,0),0)*'Baseline Projects'!$L46*$N46*('Baseline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Projects'!S$3,'Baseline scaling factors'!$B$54:$K$54,0))+VLOOKUP($A46,'Outage by Zone inputs'!$A$4:$E$13,MATCH('Baseline Projects'!$I46,'Outage by Zone inputs'!$A$3:$E$3,0),0)*'Baseline Projects'!$L46*$N46*('Baseline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Projects'!S$3,'Baseline scaling factors'!$B$48:$K$48,0))</f>
        <v>549.44267163394829</v>
      </c>
      <c r="T46" s="112">
        <f>VLOOKUP($A46,'Outage by Zone inputs'!$A$4:$E$13,MATCH('Baseline Projects'!$I46,'Outage by Zone inputs'!$A$3:$E$3,0),0)*'Baseline Projects'!$L46*$N46*('Baseline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Projects'!T$3,'Baseline scaling factors'!$B$54:$K$54,0))+VLOOKUP($A46,'Outage by Zone inputs'!$A$4:$E$13,MATCH('Baseline Projects'!$I46,'Outage by Zone inputs'!$A$3:$E$3,0),0)*'Baseline Projects'!$L46*$N46*('Baseline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Projects'!T$3,'Baseline scaling factors'!$B$48:$K$48,0))</f>
        <v>505.65807154953472</v>
      </c>
      <c r="U46" s="112">
        <f>VLOOKUP($A46,'Outage by Zone inputs'!$A$4:$E$13,MATCH('Baseline Projects'!$I46,'Outage by Zone inputs'!$A$3:$E$3,0),0)*'Baseline Projects'!$L46*$N46*('Baseline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Projects'!U$3,'Baseline scaling factors'!$B$54:$K$54,0))+VLOOKUP($A46,'Outage by Zone inputs'!$A$4:$E$13,MATCH('Baseline Projects'!$I46,'Outage by Zone inputs'!$A$3:$E$3,0),0)*'Baseline Projects'!$L46*$N46*('Baseline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Projects'!U$3,'Baseline scaling factors'!$B$48:$K$48,0))</f>
        <v>463.80271863347178</v>
      </c>
      <c r="V46" s="112">
        <f>VLOOKUP($A46,'Outage by Zone inputs'!$A$4:$E$13,MATCH('Baseline Projects'!$I46,'Outage by Zone inputs'!$A$3:$E$3,0),0)*'Baseline Projects'!$L46*$N46*('Baseline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Projects'!V$3,'Baseline scaling factors'!$B$54:$K$54,0))+VLOOKUP($A46,'Outage by Zone inputs'!$A$4:$E$13,MATCH('Baseline Projects'!$I46,'Outage by Zone inputs'!$A$3:$E$3,0),0)*'Baseline Projects'!$L46*$N46*('Baseline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Projects'!V$3,'Baseline scaling factors'!$B$48:$K$48,0))</f>
        <v>423.79160595114286</v>
      </c>
      <c r="W46" s="112">
        <f>VLOOKUP($A46,'Outage by Zone inputs'!$A$4:$E$13,MATCH('Baseline Projects'!$I46,'Outage by Zone inputs'!$A$3:$E$3,0),0)*'Baseline Projects'!$L46*$N46*('Baseline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Projects'!W$3,'Baseline scaling factors'!$B$54:$K$54,0))+VLOOKUP($A46,'Outage by Zone inputs'!$A$4:$E$13,MATCH('Baseline Projects'!$I46,'Outage by Zone inputs'!$A$3:$E$3,0),0)*'Baseline Projects'!$L46*$N46*('Baseline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Projects'!W$3,'Baseline scaling factors'!$B$48:$K$48,0))</f>
        <v>385.54347216313113</v>
      </c>
      <c r="X46" s="112">
        <f>VLOOKUP($A46,'Outage by Zone inputs'!$A$4:$E$13,MATCH('Baseline Projects'!$I46,'Outage by Zone inputs'!$A$3:$E$3,0),0)*'Baseline Projects'!$L46*$N46*('Baseline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Projects'!X$3,'Baseline scaling factors'!$B$54:$K$54,0))+VLOOKUP($A46,'Outage by Zone inputs'!$A$4:$E$13,MATCH('Baseline Projects'!$I46,'Outage by Zone inputs'!$A$3:$E$3,0),0)*'Baseline Projects'!$L46*$N46*('Baseline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Projects'!X$3,'Baseline scaling factors'!$B$48:$K$48,0))</f>
        <v>348.98063648593813</v>
      </c>
      <c r="Y46" s="112">
        <f>VLOOKUP($A46,'Outage by Zone inputs'!$A$4:$E$13,MATCH('Baseline Projects'!$I46,'Outage by Zone inputs'!$A$3:$E$3,0),0)*'Baseline Projects'!$L46*$N46*('Baseline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Projects'!Y$3,'Baseline scaling factors'!$B$54:$K$54,0))+VLOOKUP($A46,'Outage by Zone inputs'!$A$4:$E$13,MATCH('Baseline Projects'!$I46,'Outage by Zone inputs'!$A$3:$E$3,0),0)*'Baseline Projects'!$L46*$N46*('Baseline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Projects'!Y$3,'Baseline scaling factors'!$B$48:$K$48,0))</f>
        <v>314.02884092470146</v>
      </c>
      <c r="Z46" s="112">
        <f>VLOOKUP($A46,'Outage by Zone inputs'!$A$4:$E$13,MATCH('Baseline Projects'!$I46,'Outage by Zone inputs'!$A$3:$E$3,0),0)*'Baseline Projects'!$L46*$N46*('Baseline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Projects'!Z$3,'Baseline scaling factors'!$B$54:$K$54,0))+VLOOKUP($A46,'Outage by Zone inputs'!$A$4:$E$13,MATCH('Baseline Projects'!$I46,'Outage by Zone inputs'!$A$3:$E$3,0),0)*'Baseline Projects'!$L46*$N46*('Baseline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Projects'!Z$3,'Baseline scaling factors'!$B$48:$K$48,0))</f>
        <v>280.61709945749067</v>
      </c>
      <c r="AA46" s="34">
        <f>VLOOKUP($A46,'Outage by Zone inputs'!$A$4:$E$13,MATCH('Baseline Projects'!$I46,'Outage by Zone inputs'!$A$3:$E$3,0),0)*$M46*$N46*('Baseline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Projects'!AA$3,'Baseline scaling factors'!$B$54:$K$54,0))+VLOOKUP($A46,'Outage by Zone inputs'!$A$4:$E$13,MATCH('Baseline Projects'!$I46,'Outage by Zone inputs'!$A$3:$E$3,0),0)*$M46*$N46*('Baseline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Projects'!AA$3,'Baseline scaling factors'!$B$48:$K$48,0))</f>
        <v>108.53315091994631</v>
      </c>
      <c r="AB46" s="34">
        <f>VLOOKUP($A46,'Outage by Zone inputs'!$A$4:$E$13,MATCH('Baseline Projects'!$I46,'Outage by Zone inputs'!$A$3:$E$3,0),0)*$M46*$N46*('Baseline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Projects'!AB$3,'Baseline scaling factors'!$B$54:$K$54,0))+VLOOKUP($A46,'Outage by Zone inputs'!$A$4:$E$13,MATCH('Baseline Projects'!$I46,'Outage by Zone inputs'!$A$3:$E$3,0),0)*$M46*$N46*('Baseline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Projects'!AB$3,'Baseline scaling factors'!$B$48:$K$48,0))</f>
        <v>100.44766868563107</v>
      </c>
      <c r="AC46" s="34">
        <f>VLOOKUP($A46,'Outage by Zone inputs'!$A$4:$E$13,MATCH('Baseline Projects'!$I46,'Outage by Zone inputs'!$A$3:$E$3,0),0)*$M46*$N46*('Baseline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Projects'!AC$3,'Baseline scaling factors'!$B$54:$K$54,0))+VLOOKUP($A46,'Outage by Zone inputs'!$A$4:$E$13,MATCH('Baseline Projects'!$I46,'Outage by Zone inputs'!$A$3:$E$3,0),0)*$M46*$N46*('Baseline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Projects'!AC$3,'Baseline scaling factors'!$B$48:$K$48,0))</f>
        <v>92.718450838228804</v>
      </c>
      <c r="AD46" s="34">
        <f>VLOOKUP($A46,'Outage by Zone inputs'!$A$4:$E$13,MATCH('Baseline Projects'!$I46,'Outage by Zone inputs'!$A$3:$E$3,0),0)*$M46*$N46*('Baseline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Projects'!AD$3,'Baseline scaling factors'!$B$54:$K$54,0))+VLOOKUP($A46,'Outage by Zone inputs'!$A$4:$E$13,MATCH('Baseline Projects'!$I46,'Outage by Zone inputs'!$A$3:$E$3,0),0)*$M46*$N46*('Baseline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Projects'!AD$3,'Baseline scaling factors'!$B$48:$K$48,0))</f>
        <v>85.329799573984005</v>
      </c>
      <c r="AE46" s="34">
        <f>VLOOKUP($A46,'Outage by Zone inputs'!$A$4:$E$13,MATCH('Baseline Projects'!$I46,'Outage by Zone inputs'!$A$3:$E$3,0),0)*$M46*$N46*('Baseline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Projects'!AE$3,'Baseline scaling factors'!$B$54:$K$54,0))+VLOOKUP($A46,'Outage by Zone inputs'!$A$4:$E$13,MATCH('Baseline Projects'!$I46,'Outage by Zone inputs'!$A$3:$E$3,0),0)*$M46*$N46*('Baseline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Projects'!AE$3,'Baseline scaling factors'!$B$48:$K$48,0))</f>
        <v>78.266708769398377</v>
      </c>
      <c r="AF46" s="34">
        <f>VLOOKUP($A46,'Outage by Zone inputs'!$A$4:$E$13,MATCH('Baseline Projects'!$I46,'Outage by Zone inputs'!$A$3:$E$3,0),0)*$M46*$N46*('Baseline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Projects'!AF$3,'Baseline scaling factors'!$B$54:$K$54,0))+VLOOKUP($A46,'Outage by Zone inputs'!$A$4:$E$13,MATCH('Baseline Projects'!$I46,'Outage by Zone inputs'!$A$3:$E$3,0),0)*$M46*$N46*('Baseline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Projects'!AF$3,'Baseline scaling factors'!$B$48:$K$48,0))</f>
        <v>71.514833504255378</v>
      </c>
      <c r="AG46" s="34">
        <f>VLOOKUP($A46,'Outage by Zone inputs'!$A$4:$E$13,MATCH('Baseline Projects'!$I46,'Outage by Zone inputs'!$A$3:$E$3,0),0)*$M46*$N46*('Baseline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Projects'!AG$3,'Baseline scaling factors'!$B$54:$K$54,0))+VLOOKUP($A46,'Outage by Zone inputs'!$A$4:$E$13,MATCH('Baseline Projects'!$I46,'Outage by Zone inputs'!$A$3:$E$3,0),0)*$M46*$N46*('Baseline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Projects'!AG$3,'Baseline scaling factors'!$B$48:$K$48,0))</f>
        <v>65.060460927528396</v>
      </c>
      <c r="AH46" s="34">
        <f>VLOOKUP($A46,'Outage by Zone inputs'!$A$4:$E$13,MATCH('Baseline Projects'!$I46,'Outage by Zone inputs'!$A$3:$E$3,0),0)*$M46*$N46*('Baseline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Projects'!AH$3,'Baseline scaling factors'!$B$54:$K$54,0))+VLOOKUP($A46,'Outage by Zone inputs'!$A$4:$E$13,MATCH('Baseline Projects'!$I46,'Outage by Zone inputs'!$A$3:$E$3,0),0)*$M46*$N46*('Baseline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Projects'!AH$3,'Baseline scaling factors'!$B$48:$K$48,0))</f>
        <v>58.890482407002082</v>
      </c>
      <c r="AI46" s="34">
        <f>VLOOKUP($A46,'Outage by Zone inputs'!$A$4:$E$13,MATCH('Baseline Projects'!$I46,'Outage by Zone inputs'!$A$3:$E$3,0),0)*$M46*$N46*('Baseline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Projects'!AI$3,'Baseline scaling factors'!$B$54:$K$54,0))+VLOOKUP($A46,'Outage by Zone inputs'!$A$4:$E$13,MATCH('Baseline Projects'!$I46,'Outage by Zone inputs'!$A$3:$E$3,0),0)*$M46*$N46*('Baseline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Projects'!AI$3,'Baseline scaling factors'!$B$48:$K$48,0))</f>
        <v>52.992366906043387</v>
      </c>
      <c r="AJ46" s="34">
        <f>VLOOKUP($A46,'Outage by Zone inputs'!$A$4:$E$13,MATCH('Baseline Projects'!$I46,'Outage by Zone inputs'!$A$3:$E$3,0),0)*$M46*$N46*('Baseline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Projects'!AJ$3,'Baseline scaling factors'!$B$54:$K$54,0))+VLOOKUP($A46,'Outage by Zone inputs'!$A$4:$E$13,MATCH('Baseline Projects'!$I46,'Outage by Zone inputs'!$A$3:$E$3,0),0)*$M46*$N46*('Baseline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Projects'!AJ$3,'Baseline scaling factors'!$B$48:$K$48,0))</f>
        <v>47.354135533451569</v>
      </c>
      <c r="AK46" s="1">
        <f t="shared" si="2"/>
        <v>13506.347670037758</v>
      </c>
      <c r="AL46" s="1">
        <f t="shared" si="3"/>
        <v>12500.154325322974</v>
      </c>
      <c r="AM46" s="1">
        <f t="shared" si="4"/>
        <v>11538.296104312914</v>
      </c>
      <c r="AN46" s="1">
        <f t="shared" si="5"/>
        <v>10618.819502540229</v>
      </c>
      <c r="AO46" s="1">
        <f t="shared" si="6"/>
        <v>9739.8570913029071</v>
      </c>
      <c r="AP46" s="1">
        <f t="shared" si="7"/>
        <v>8899.6237249740007</v>
      </c>
      <c r="AQ46" s="1">
        <f t="shared" si="8"/>
        <v>8096.4129154257535</v>
      </c>
      <c r="AR46" s="1">
        <f t="shared" si="9"/>
        <v>7328.5933662047009</v>
      </c>
      <c r="AS46" s="1">
        <f t="shared" si="10"/>
        <v>6594.6056594187303</v>
      </c>
      <c r="AT46" s="1">
        <f t="shared" si="11"/>
        <v>5892.9590886073038</v>
      </c>
      <c r="AU46" s="1">
        <f t="shared" si="12"/>
        <v>421651.29132399143</v>
      </c>
      <c r="AV46" s="1">
        <f t="shared" si="13"/>
        <v>390239.19284367672</v>
      </c>
      <c r="AW46" s="1">
        <f t="shared" si="14"/>
        <v>360211.18150651891</v>
      </c>
      <c r="AX46" s="1">
        <f t="shared" si="15"/>
        <v>331506.27134492784</v>
      </c>
      <c r="AY46" s="1">
        <f t="shared" si="16"/>
        <v>304066.16356911272</v>
      </c>
      <c r="AZ46" s="1">
        <f t="shared" si="17"/>
        <v>277835.12816403212</v>
      </c>
      <c r="BA46" s="1">
        <f t="shared" si="18"/>
        <v>252759.89070344783</v>
      </c>
      <c r="BB46" s="1">
        <f t="shared" si="19"/>
        <v>228789.52415120308</v>
      </c>
      <c r="BC46" s="1">
        <f t="shared" si="20"/>
        <v>205875.34542997857</v>
      </c>
      <c r="BD46" s="1">
        <f t="shared" si="21"/>
        <v>183970.81654745934</v>
      </c>
      <c r="BE46" s="1">
        <f t="shared" si="22"/>
        <v>435157.6389940292</v>
      </c>
      <c r="BF46" s="1">
        <f t="shared" si="23"/>
        <v>402739.34716899967</v>
      </c>
      <c r="BG46" s="1">
        <f t="shared" si="24"/>
        <v>371749.47761083185</v>
      </c>
      <c r="BH46" s="1">
        <f t="shared" si="25"/>
        <v>342125.09084746806</v>
      </c>
      <c r="BI46" s="1">
        <f t="shared" si="26"/>
        <v>313806.02066041564</v>
      </c>
      <c r="BJ46" s="1">
        <f t="shared" si="27"/>
        <v>286734.75188900612</v>
      </c>
      <c r="BK46" s="1">
        <f t="shared" si="28"/>
        <v>260856.30361887359</v>
      </c>
      <c r="BL46" s="1">
        <f t="shared" si="29"/>
        <v>236118.11751740778</v>
      </c>
      <c r="BM46" s="1">
        <f t="shared" si="30"/>
        <v>212469.95108939731</v>
      </c>
      <c r="BN46" s="1">
        <f t="shared" si="31"/>
        <v>189863.77563606665</v>
      </c>
      <c r="BO46" s="25">
        <f>VLOOKUP($A46,'Outage by Zone inputs'!$A$59:$E$68,MATCH('Baseline Projects'!$I46,'Outage by Zone inputs'!$A$58:$E$58,0),0)*AVG_INCIDENT_PERCENT_NON_STORM</f>
        <v>7.1657578798228299</v>
      </c>
      <c r="BP46" s="25">
        <f>$BO46*$N46*('Baseline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Projects'!Q$3,'Baseline scaling factors'!$B$54:$K$54,0))+$BO46*$N46*('Baseline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Projects'!Q$3,'Baseline scaling factors'!$B$48:$K$48,0))</f>
        <v>6.6476922278756012</v>
      </c>
      <c r="BQ46" s="25">
        <f>$BO46*$N46*('Baseline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Projects'!R$3,'Baseline scaling factors'!$B$54:$K$54,0))+$BO46*$N46*('Baseline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Projects'!R$3,'Baseline scaling factors'!$B$48:$K$48,0))</f>
        <v>6.1524537044190275</v>
      </c>
      <c r="BR46" s="25">
        <f>$BO46*$N46*('Baseline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Projects'!S$3,'Baseline scaling factors'!$B$54:$K$54,0))+$BO46*$N46*('Baseline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Projects'!S$3,'Baseline scaling factors'!$B$48:$K$48,0))</f>
        <v>5.6790364952417853</v>
      </c>
      <c r="BS46" s="25">
        <f>$BO46*$N46*('Baseline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Projects'!T$3,'Baseline scaling factors'!$B$54:$K$54,0))+$BO46*$N46*('Baseline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Projects'!T$3,'Baseline scaling factors'!$B$48:$K$48,0))</f>
        <v>5.2264791045507861</v>
      </c>
      <c r="BT46" s="25">
        <f>$BO46*$N46*('Baseline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Projects'!U$3,'Baseline scaling factors'!$B$54:$K$54,0))+$BO46*$N46*('Baseline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Projects'!U$3,'Baseline scaling factors'!$B$48:$K$48,0))</f>
        <v>4.7938624022027998</v>
      </c>
      <c r="BU46" s="25">
        <f>$BO46*$N46*('Baseline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Projects'!V$3,'Baseline scaling factors'!$B$54:$K$54,0))+$BO46*$N46*('Baseline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Projects'!V$3,'Baseline scaling factors'!$B$48:$K$48,0))</f>
        <v>4.380307756979394</v>
      </c>
      <c r="BV46" s="25">
        <f>$BO46*$N46*('Baseline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Projects'!W$3,'Baseline scaling factors'!$B$54:$K$54,0))+$BO46*$N46*('Baseline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Projects'!W$3,'Baseline scaling factors'!$B$48:$K$48,0))</f>
        <v>3.9849752521139523</v>
      </c>
      <c r="BW46" s="25">
        <f>$BO46*$N46*('Baseline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Projects'!X$3,'Baseline scaling factors'!$B$54:$K$54,0))+$BO46*$N46*('Baseline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Projects'!X$3,'Baseline scaling factors'!$B$48:$K$48,0))</f>
        <v>3.6070619794465486</v>
      </c>
      <c r="BX46" s="25">
        <f>$BO46*$N46*('Baseline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Projects'!Y$3,'Baseline scaling factors'!$B$54:$K$54,0))+$BO46*$N46*('Baseline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Projects'!Y$3,'Baseline scaling factors'!$B$48:$K$48,0))</f>
        <v>3.2458004087421655</v>
      </c>
      <c r="BY46" s="25">
        <f>$BO46*$N46*('Baseline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Projects'!Z$3,'Baseline scaling factors'!$B$54:$K$54,0))+$BO46*$N46*('Baseline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Projects'!Z$3,'Baseline scaling factors'!$B$48:$K$48,0))</f>
        <v>2.900456828860392</v>
      </c>
      <c r="BZ46" s="12">
        <f t="shared" si="32"/>
        <v>3137.7107315572839</v>
      </c>
      <c r="CA46" s="12">
        <f t="shared" si="33"/>
        <v>2903.9581484857808</v>
      </c>
      <c r="CB46" s="12">
        <f t="shared" si="34"/>
        <v>2680.5052257541229</v>
      </c>
      <c r="CC46" s="12">
        <f t="shared" si="35"/>
        <v>2466.898137347971</v>
      </c>
      <c r="CD46" s="12">
        <f t="shared" si="36"/>
        <v>2262.7030538397216</v>
      </c>
      <c r="CE46" s="12">
        <f t="shared" si="37"/>
        <v>2067.5052612942741</v>
      </c>
      <c r="CF46" s="12">
        <f t="shared" si="38"/>
        <v>1880.9083189977855</v>
      </c>
      <c r="CG46" s="12">
        <f t="shared" si="39"/>
        <v>1702.533254298771</v>
      </c>
      <c r="CH46" s="12">
        <f t="shared" si="40"/>
        <v>1532.017792926302</v>
      </c>
      <c r="CI46" s="12">
        <f t="shared" si="41"/>
        <v>1369.015623222105</v>
      </c>
      <c r="CJ46" s="12">
        <f>'Mitigation Projects'!$AG46*VLOOKUP('Baseline Projects'!$H46&amp;"-"&amp;'Baseline Projects'!$G46,'Baseline scaling factors'!$A$49:$K$51,MATCH('Baseline Projects'!CJ$2,'Baseline scaling factors'!$A$48:$K$48,0),0)</f>
        <v>0</v>
      </c>
      <c r="CK46" s="12">
        <f>'Mitigation Projects'!$AG46*VLOOKUP('Baseline Projects'!$H46&amp;"-"&amp;'Baseline Projects'!$G46,'Baseline scaling factors'!$A$49:$K$51,MATCH('Baseline Projects'!CK$2,'Baseline scaling factors'!$A$48:$K$48,0),0)</f>
        <v>0</v>
      </c>
      <c r="CL46" s="12">
        <f>'Mitigation Projects'!$AG46*VLOOKUP('Baseline Projects'!$H46&amp;"-"&amp;'Baseline Projects'!$G46,'Baseline scaling factors'!$A$49:$K$51,MATCH('Baseline Projects'!CL$2,'Baseline scaling factors'!$A$48:$K$48,0),0)</f>
        <v>0</v>
      </c>
      <c r="CM46" s="12">
        <f>'Mitigation Projects'!$AG46*VLOOKUP('Baseline Projects'!$H46&amp;"-"&amp;'Baseline Projects'!$G46,'Baseline scaling factors'!$A$49:$K$51,MATCH('Baseline Projects'!CM$2,'Baseline scaling factors'!$A$48:$K$48,0),0)</f>
        <v>0</v>
      </c>
      <c r="CN46" s="12">
        <f>'Mitigation Projects'!$AG46*VLOOKUP('Baseline Projects'!$H46&amp;"-"&amp;'Baseline Projects'!$G46,'Baseline scaling factors'!$A$49:$K$51,MATCH('Baseline Projects'!CN$2,'Baseline scaling factors'!$A$48:$K$48,0),0)</f>
        <v>0</v>
      </c>
      <c r="CO46" s="12">
        <f>'Mitigation Projects'!$AG46*VLOOKUP('Baseline Projects'!$H46&amp;"-"&amp;'Baseline Projects'!$G46,'Baseline scaling factors'!$A$49:$K$51,MATCH('Baseline Projects'!CO$2,'Baseline scaling factors'!$A$48:$K$48,0),0)</f>
        <v>0</v>
      </c>
      <c r="CP46" s="12">
        <f>'Mitigation Projects'!$AG46*VLOOKUP('Baseline Projects'!$H46&amp;"-"&amp;'Baseline Projects'!$G46,'Baseline scaling factors'!$A$49:$K$51,MATCH('Baseline Projects'!CP$2,'Baseline scaling factors'!$A$48:$K$48,0),0)</f>
        <v>0</v>
      </c>
      <c r="CQ46" s="12">
        <f>'Mitigation Projects'!$AG46*VLOOKUP('Baseline Projects'!$H46&amp;"-"&amp;'Baseline Projects'!$G46,'Baseline scaling factors'!$A$49:$K$51,MATCH('Baseline Projects'!CQ$2,'Baseline scaling factors'!$A$48:$K$48,0),0)</f>
        <v>0</v>
      </c>
      <c r="CR46" s="12">
        <f>'Mitigation Projects'!$AG46*VLOOKUP('Baseline Projects'!$H46&amp;"-"&amp;'Baseline Projects'!$G46,'Baseline scaling factors'!$A$49:$K$51,MATCH('Baseline Projects'!CR$2,'Baseline scaling factors'!$A$48:$K$48,0),0)</f>
        <v>0</v>
      </c>
      <c r="CS46" s="12">
        <f>'Mitigation Projects'!$AG46*VLOOKUP('Baseline Projects'!$H46&amp;"-"&amp;'Baseline Projects'!$G46,'Baseline scaling factors'!$A$49:$K$51,MATCH('Baseline Projects'!CS$2,'Baseline scaling factors'!$A$48:$K$48,0),0)</f>
        <v>0</v>
      </c>
      <c r="CT46" s="12">
        <f>'Mitigation Projects'!$AH46*VLOOKUP('Baseline Projects'!$H46&amp;"-"&amp;'Baseline Projects'!$G46,'Baseline scaling factors'!$A$49:$K$51,MATCH('Baseline Projects'!CT$2,'Baseline scaling factors'!$A$48:$K$48,0),0)</f>
        <v>0</v>
      </c>
      <c r="CU46" s="12">
        <f>'Mitigation Projects'!$AH46*VLOOKUP('Baseline Projects'!$H46&amp;"-"&amp;'Baseline Projects'!$G46,'Baseline scaling factors'!$A$49:$K$51,MATCH('Baseline Projects'!CU$2,'Baseline scaling factors'!$A$48:$K$48,0),0)</f>
        <v>0</v>
      </c>
      <c r="CV46" s="12">
        <f>'Mitigation Projects'!$AH46*VLOOKUP('Baseline Projects'!$H46&amp;"-"&amp;'Baseline Projects'!$G46,'Baseline scaling factors'!$A$49:$K$51,MATCH('Baseline Projects'!CV$2,'Baseline scaling factors'!$A$48:$K$48,0),0)</f>
        <v>0</v>
      </c>
      <c r="CW46" s="12">
        <f>'Mitigation Projects'!$AH46*VLOOKUP('Baseline Projects'!$H46&amp;"-"&amp;'Baseline Projects'!$G46,'Baseline scaling factors'!$A$49:$K$51,MATCH('Baseline Projects'!CW$2,'Baseline scaling factors'!$A$48:$K$48,0),0)</f>
        <v>0</v>
      </c>
      <c r="CX46" s="12">
        <f>'Mitigation Projects'!$AH46*VLOOKUP('Baseline Projects'!$H46&amp;"-"&amp;'Baseline Projects'!$G46,'Baseline scaling factors'!$A$49:$K$51,MATCH('Baseline Projects'!CX$2,'Baseline scaling factors'!$A$48:$K$48,0),0)</f>
        <v>0</v>
      </c>
      <c r="CY46" s="12">
        <f>'Mitigation Projects'!$AH46*VLOOKUP('Baseline Projects'!$H46&amp;"-"&amp;'Baseline Projects'!$G46,'Baseline scaling factors'!$A$49:$K$51,MATCH('Baseline Projects'!CY$2,'Baseline scaling factors'!$A$48:$K$48,0),0)</f>
        <v>0</v>
      </c>
      <c r="CZ46" s="12">
        <f>'Mitigation Projects'!$AH46*VLOOKUP('Baseline Projects'!$H46&amp;"-"&amp;'Baseline Projects'!$G46,'Baseline scaling factors'!$A$49:$K$51,MATCH('Baseline Projects'!CZ$2,'Baseline scaling factors'!$A$48:$K$48,0),0)</f>
        <v>0</v>
      </c>
      <c r="DA46" s="12">
        <f>'Mitigation Projects'!$AH46*VLOOKUP('Baseline Projects'!$H46&amp;"-"&amp;'Baseline Projects'!$G46,'Baseline scaling factors'!$A$49:$K$51,MATCH('Baseline Projects'!DA$2,'Baseline scaling factors'!$A$48:$K$48,0),0)</f>
        <v>0</v>
      </c>
      <c r="DB46" s="12">
        <f>'Mitigation Projects'!$AH46*VLOOKUP('Baseline Projects'!$H46&amp;"-"&amp;'Baseline Projects'!$G46,'Baseline scaling factors'!$A$49:$K$51,MATCH('Baseline Projects'!DB$2,'Baseline scaling factors'!$A$48:$K$48,0),0)</f>
        <v>0</v>
      </c>
      <c r="DC46" s="12">
        <f>'Mitigation Projects'!$AH46*VLOOKUP('Baseline Projects'!$H46&amp;"-"&amp;'Baseline Projects'!$G46,'Baseline scaling factors'!$A$49:$K$51,MATCH('Baseline Projects'!DC$2,'Baseline scaling factors'!$A$48:$K$48,0),0)</f>
        <v>0</v>
      </c>
    </row>
    <row r="47" spans="1:107" x14ac:dyDescent="0.4">
      <c r="A47" s="38" t="str">
        <f>'Mitigation Projects'!A47</f>
        <v>TH-G16</v>
      </c>
      <c r="B47" s="38" t="str">
        <f>'Mitigation Projects'!B47</f>
        <v>White River Jct</v>
      </c>
      <c r="C47" s="39">
        <f>'Mitigation Projects'!C47</f>
        <v>203724</v>
      </c>
      <c r="D47" s="39" t="str">
        <f>'Mitigation Projects'!D47</f>
        <v>203724: RTE 113 L1 P.217</v>
      </c>
      <c r="E47" s="39">
        <f>'Mitigation Projects'!E47</f>
        <v>653643</v>
      </c>
      <c r="F47" s="39">
        <f>'Mitigation Projects'!F47</f>
        <v>619011</v>
      </c>
      <c r="G47" s="39" t="str">
        <f>'Mitigation Projects'!G47</f>
        <v>3PH</v>
      </c>
      <c r="H47" s="39" t="str">
        <f>'Mitigation Projects'!H47</f>
        <v>OH</v>
      </c>
      <c r="I47" s="39" t="str">
        <f>'Mitigation Projects'!J47</f>
        <v>Zone 1</v>
      </c>
      <c r="J47" s="39">
        <f>'Mitigation Projects'!K47</f>
        <v>746</v>
      </c>
      <c r="K47" s="40">
        <f>'Mitigation Projects'!L47*BASELINE_CAP_SPEND</f>
        <v>159190.90000000002</v>
      </c>
      <c r="L47" s="97">
        <f>'Mitigation Projects'!Q47</f>
        <v>0.85561497326203206</v>
      </c>
      <c r="M47" s="97">
        <f>'Mitigation Projects'!R47</f>
        <v>0.14438502673796794</v>
      </c>
      <c r="N47" s="98">
        <f>'Mitigation Projects'!S47</f>
        <v>1</v>
      </c>
      <c r="O47" s="26">
        <f t="shared" si="0"/>
        <v>0.9</v>
      </c>
      <c r="P47" s="26">
        <f t="shared" si="1"/>
        <v>0.80330442615766917</v>
      </c>
      <c r="Q47" s="112">
        <f>VLOOKUP($A47,'Outage by Zone inputs'!$A$4:$E$13,MATCH('Baseline Projects'!$I47,'Outage by Zone inputs'!$A$3:$E$3,0),0)*'Baseline Projects'!$L47*$N47*('Baseline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Projects'!Q$3,'Baseline scaling factors'!$B$54:$K$54,0))+VLOOKUP($A47,'Outage by Zone inputs'!$A$4:$E$13,MATCH('Baseline Projects'!$I47,'Outage by Zone inputs'!$A$3:$E$3,0),0)*'Baseline Projects'!$L47*$N47*('Baseline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Projects'!Q$3,'Baseline scaling factors'!$B$48:$K$48,0))</f>
        <v>1749.0145054532127</v>
      </c>
      <c r="R47" s="112">
        <f>VLOOKUP($A47,'Outage by Zone inputs'!$A$4:$E$13,MATCH('Baseline Projects'!$I47,'Outage by Zone inputs'!$A$3:$E$3,0),0)*'Baseline Projects'!$L47*$N47*('Baseline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Projects'!R$3,'Baseline scaling factors'!$B$54:$K$54,0))+VLOOKUP($A47,'Outage by Zone inputs'!$A$4:$E$13,MATCH('Baseline Projects'!$I47,'Outage by Zone inputs'!$A$3:$E$3,0),0)*'Baseline Projects'!$L47*$N47*('Baseline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Projects'!R$3,'Baseline scaling factors'!$B$48:$K$48,0))</f>
        <v>1618.7167522641207</v>
      </c>
      <c r="S47" s="112">
        <f>VLOOKUP($A47,'Outage by Zone inputs'!$A$4:$E$13,MATCH('Baseline Projects'!$I47,'Outage by Zone inputs'!$A$3:$E$3,0),0)*'Baseline Projects'!$L47*$N47*('Baseline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Projects'!S$3,'Baseline scaling factors'!$B$54:$K$54,0))+VLOOKUP($A47,'Outage by Zone inputs'!$A$4:$E$13,MATCH('Baseline Projects'!$I47,'Outage by Zone inputs'!$A$3:$E$3,0),0)*'Baseline Projects'!$L47*$N47*('Baseline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Projects'!S$3,'Baseline scaling factors'!$B$48:$K$48,0))</f>
        <v>1494.1602087902688</v>
      </c>
      <c r="T47" s="112">
        <f>VLOOKUP($A47,'Outage by Zone inputs'!$A$4:$E$13,MATCH('Baseline Projects'!$I47,'Outage by Zone inputs'!$A$3:$E$3,0),0)*'Baseline Projects'!$L47*$N47*('Baseline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Projects'!T$3,'Baseline scaling factors'!$B$54:$K$54,0))+VLOOKUP($A47,'Outage by Zone inputs'!$A$4:$E$13,MATCH('Baseline Projects'!$I47,'Outage by Zone inputs'!$A$3:$E$3,0),0)*'Baseline Projects'!$L47*$N47*('Baseline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Projects'!T$3,'Baseline scaling factors'!$B$48:$K$48,0))</f>
        <v>1375.0919045222836</v>
      </c>
      <c r="U47" s="112">
        <f>VLOOKUP($A47,'Outage by Zone inputs'!$A$4:$E$13,MATCH('Baseline Projects'!$I47,'Outage by Zone inputs'!$A$3:$E$3,0),0)*'Baseline Projects'!$L47*$N47*('Baseline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Projects'!U$3,'Baseline scaling factors'!$B$54:$K$54,0))+VLOOKUP($A47,'Outage by Zone inputs'!$A$4:$E$13,MATCH('Baseline Projects'!$I47,'Outage by Zone inputs'!$A$3:$E$3,0),0)*'Baseline Projects'!$L47*$N47*('Baseline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Projects'!U$3,'Baseline scaling factors'!$B$48:$K$48,0))</f>
        <v>1261.2700153958419</v>
      </c>
      <c r="V47" s="112">
        <f>VLOOKUP($A47,'Outage by Zone inputs'!$A$4:$E$13,MATCH('Baseline Projects'!$I47,'Outage by Zone inputs'!$A$3:$E$3,0),0)*'Baseline Projects'!$L47*$N47*('Baseline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Projects'!V$3,'Baseline scaling factors'!$B$54:$K$54,0))+VLOOKUP($A47,'Outage by Zone inputs'!$A$4:$E$13,MATCH('Baseline Projects'!$I47,'Outage by Zone inputs'!$A$3:$E$3,0),0)*'Baseline Projects'!$L47*$N47*('Baseline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Projects'!V$3,'Baseline scaling factors'!$B$48:$K$48,0))</f>
        <v>1152.4633726544344</v>
      </c>
      <c r="W47" s="112">
        <f>VLOOKUP($A47,'Outage by Zone inputs'!$A$4:$E$13,MATCH('Baseline Projects'!$I47,'Outage by Zone inputs'!$A$3:$E$3,0),0)*'Baseline Projects'!$L47*$N47*('Baseline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Projects'!W$3,'Baseline scaling factors'!$B$54:$K$54,0))+VLOOKUP($A47,'Outage by Zone inputs'!$A$4:$E$13,MATCH('Baseline Projects'!$I47,'Outage by Zone inputs'!$A$3:$E$3,0),0)*'Baseline Projects'!$L47*$N47*('Baseline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Projects'!W$3,'Baseline scaling factors'!$B$48:$K$48,0))</f>
        <v>1048.4509933527268</v>
      </c>
      <c r="X47" s="112">
        <f>VLOOKUP($A47,'Outage by Zone inputs'!$A$4:$E$13,MATCH('Baseline Projects'!$I47,'Outage by Zone inputs'!$A$3:$E$3,0),0)*'Baseline Projects'!$L47*$N47*('Baseline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Projects'!X$3,'Baseline scaling factors'!$B$54:$K$54,0))+VLOOKUP($A47,'Outage by Zone inputs'!$A$4:$E$13,MATCH('Baseline Projects'!$I47,'Outage by Zone inputs'!$A$3:$E$3,0),0)*'Baseline Projects'!$L47*$N47*('Baseline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Projects'!X$3,'Baseline scaling factors'!$B$48:$K$48,0))</f>
        <v>949.02163154699656</v>
      </c>
      <c r="Y47" s="112">
        <f>VLOOKUP($A47,'Outage by Zone inputs'!$A$4:$E$13,MATCH('Baseline Projects'!$I47,'Outage by Zone inputs'!$A$3:$E$3,0),0)*'Baseline Projects'!$L47*$N47*('Baseline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Projects'!Y$3,'Baseline scaling factors'!$B$54:$K$54,0))+VLOOKUP($A47,'Outage by Zone inputs'!$A$4:$E$13,MATCH('Baseline Projects'!$I47,'Outage by Zone inputs'!$A$3:$E$3,0),0)*'Baseline Projects'!$L47*$N47*('Baseline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Projects'!Y$3,'Baseline scaling factors'!$B$48:$K$48,0))</f>
        <v>853.97334926111535</v>
      </c>
      <c r="Z47" s="112">
        <f>VLOOKUP($A47,'Outage by Zone inputs'!$A$4:$E$13,MATCH('Baseline Projects'!$I47,'Outage by Zone inputs'!$A$3:$E$3,0),0)*'Baseline Projects'!$L47*$N47*('Baseline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Projects'!Z$3,'Baseline scaling factors'!$B$54:$K$54,0))+VLOOKUP($A47,'Outage by Zone inputs'!$A$4:$E$13,MATCH('Baseline Projects'!$I47,'Outage by Zone inputs'!$A$3:$E$3,0),0)*'Baseline Projects'!$L47*$N47*('Baseline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Projects'!Z$3,'Baseline scaling factors'!$B$48:$K$48,0))</f>
        <v>763.11310635673158</v>
      </c>
      <c r="AA47" s="34">
        <f>VLOOKUP($A47,'Outage by Zone inputs'!$A$4:$E$13,MATCH('Baseline Projects'!$I47,'Outage by Zone inputs'!$A$3:$E$3,0),0)*$M47*$N47*('Baseline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Projects'!AA$3,'Baseline scaling factors'!$B$54:$K$54,0))+VLOOKUP($A47,'Outage by Zone inputs'!$A$4:$E$13,MATCH('Baseline Projects'!$I47,'Outage by Zone inputs'!$A$3:$E$3,0),0)*$M47*$N47*('Baseline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Projects'!AA$3,'Baseline scaling factors'!$B$48:$K$48,0))</f>
        <v>295.14619779522968</v>
      </c>
      <c r="AB47" s="34">
        <f>VLOOKUP($A47,'Outage by Zone inputs'!$A$4:$E$13,MATCH('Baseline Projects'!$I47,'Outage by Zone inputs'!$A$3:$E$3,0),0)*$M47*$N47*('Baseline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Projects'!AB$3,'Baseline scaling factors'!$B$54:$K$54,0))+VLOOKUP($A47,'Outage by Zone inputs'!$A$4:$E$13,MATCH('Baseline Projects'!$I47,'Outage by Zone inputs'!$A$3:$E$3,0),0)*$M47*$N47*('Baseline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Projects'!AB$3,'Baseline scaling factors'!$B$48:$K$48,0))</f>
        <v>273.15845194457046</v>
      </c>
      <c r="AC47" s="34">
        <f>VLOOKUP($A47,'Outage by Zone inputs'!$A$4:$E$13,MATCH('Baseline Projects'!$I47,'Outage by Zone inputs'!$A$3:$E$3,0),0)*$M47*$N47*('Baseline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Projects'!AC$3,'Baseline scaling factors'!$B$54:$K$54,0))+VLOOKUP($A47,'Outage by Zone inputs'!$A$4:$E$13,MATCH('Baseline Projects'!$I47,'Outage by Zone inputs'!$A$3:$E$3,0),0)*$M47*$N47*('Baseline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Projects'!AC$3,'Baseline scaling factors'!$B$48:$K$48,0))</f>
        <v>252.13953523335792</v>
      </c>
      <c r="AD47" s="34">
        <f>VLOOKUP($A47,'Outage by Zone inputs'!$A$4:$E$13,MATCH('Baseline Projects'!$I47,'Outage by Zone inputs'!$A$3:$E$3,0),0)*$M47*$N47*('Baseline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Projects'!AD$3,'Baseline scaling factors'!$B$54:$K$54,0))+VLOOKUP($A47,'Outage by Zone inputs'!$A$4:$E$13,MATCH('Baseline Projects'!$I47,'Outage by Zone inputs'!$A$3:$E$3,0),0)*$M47*$N47*('Baseline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Projects'!AD$3,'Baseline scaling factors'!$B$48:$K$48,0))</f>
        <v>232.04675888813537</v>
      </c>
      <c r="AE47" s="34">
        <f>VLOOKUP($A47,'Outage by Zone inputs'!$A$4:$E$13,MATCH('Baseline Projects'!$I47,'Outage by Zone inputs'!$A$3:$E$3,0),0)*$M47*$N47*('Baseline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Projects'!AE$3,'Baseline scaling factors'!$B$54:$K$54,0))+VLOOKUP($A47,'Outage by Zone inputs'!$A$4:$E$13,MATCH('Baseline Projects'!$I47,'Outage by Zone inputs'!$A$3:$E$3,0),0)*$M47*$N47*('Baseline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Projects'!AE$3,'Baseline scaling factors'!$B$48:$K$48,0))</f>
        <v>212.83931509804836</v>
      </c>
      <c r="AF47" s="34">
        <f>VLOOKUP($A47,'Outage by Zone inputs'!$A$4:$E$13,MATCH('Baseline Projects'!$I47,'Outage by Zone inputs'!$A$3:$E$3,0),0)*$M47*$N47*('Baseline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Projects'!AF$3,'Baseline scaling factors'!$B$54:$K$54,0))+VLOOKUP($A47,'Outage by Zone inputs'!$A$4:$E$13,MATCH('Baseline Projects'!$I47,'Outage by Zone inputs'!$A$3:$E$3,0),0)*$M47*$N47*('Baseline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Projects'!AF$3,'Baseline scaling factors'!$B$48:$K$48,0))</f>
        <v>194.47819413543584</v>
      </c>
      <c r="AG47" s="34">
        <f>VLOOKUP($A47,'Outage by Zone inputs'!$A$4:$E$13,MATCH('Baseline Projects'!$I47,'Outage by Zone inputs'!$A$3:$E$3,0),0)*$M47*$N47*('Baseline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Projects'!AG$3,'Baseline scaling factors'!$B$54:$K$54,0))+VLOOKUP($A47,'Outage by Zone inputs'!$A$4:$E$13,MATCH('Baseline Projects'!$I47,'Outage by Zone inputs'!$A$3:$E$3,0),0)*$M47*$N47*('Baseline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Projects'!AG$3,'Baseline scaling factors'!$B$48:$K$48,0))</f>
        <v>176.92610512827267</v>
      </c>
      <c r="AH47" s="34">
        <f>VLOOKUP($A47,'Outage by Zone inputs'!$A$4:$E$13,MATCH('Baseline Projects'!$I47,'Outage by Zone inputs'!$A$3:$E$3,0),0)*$M47*$N47*('Baseline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Projects'!AH$3,'Baseline scaling factors'!$B$54:$K$54,0))+VLOOKUP($A47,'Outage by Zone inputs'!$A$4:$E$13,MATCH('Baseline Projects'!$I47,'Outage by Zone inputs'!$A$3:$E$3,0),0)*$M47*$N47*('Baseline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Projects'!AH$3,'Baseline scaling factors'!$B$48:$K$48,0))</f>
        <v>160.1474003235557</v>
      </c>
      <c r="AI47" s="34">
        <f>VLOOKUP($A47,'Outage by Zone inputs'!$A$4:$E$13,MATCH('Baseline Projects'!$I47,'Outage by Zone inputs'!$A$3:$E$3,0),0)*$M47*$N47*('Baseline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Projects'!AI$3,'Baseline scaling factors'!$B$54:$K$54,0))+VLOOKUP($A47,'Outage by Zone inputs'!$A$4:$E$13,MATCH('Baseline Projects'!$I47,'Outage by Zone inputs'!$A$3:$E$3,0),0)*$M47*$N47*('Baseline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Projects'!AI$3,'Baseline scaling factors'!$B$48:$K$48,0))</f>
        <v>144.10800268781324</v>
      </c>
      <c r="AJ47" s="34">
        <f>VLOOKUP($A47,'Outage by Zone inputs'!$A$4:$E$13,MATCH('Baseline Projects'!$I47,'Outage by Zone inputs'!$A$3:$E$3,0),0)*$M47*$N47*('Baseline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Projects'!AJ$3,'Baseline scaling factors'!$B$54:$K$54,0))+VLOOKUP($A47,'Outage by Zone inputs'!$A$4:$E$13,MATCH('Baseline Projects'!$I47,'Outage by Zone inputs'!$A$3:$E$3,0),0)*$M47*$N47*('Baseline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Projects'!AJ$3,'Baseline scaling factors'!$B$48:$K$48,0))</f>
        <v>128.77533669769846</v>
      </c>
      <c r="AK47" s="1">
        <f t="shared" si="2"/>
        <v>36729.304614517467</v>
      </c>
      <c r="AL47" s="1">
        <f t="shared" si="3"/>
        <v>33993.051797546534</v>
      </c>
      <c r="AM47" s="1">
        <f t="shared" si="4"/>
        <v>31377.364384595647</v>
      </c>
      <c r="AN47" s="1">
        <f t="shared" si="5"/>
        <v>28876.929994967955</v>
      </c>
      <c r="AO47" s="1">
        <f t="shared" si="6"/>
        <v>26486.670323312679</v>
      </c>
      <c r="AP47" s="1">
        <f t="shared" si="7"/>
        <v>24201.730825743121</v>
      </c>
      <c r="AQ47" s="1">
        <f t="shared" si="8"/>
        <v>22017.470860407262</v>
      </c>
      <c r="AR47" s="1">
        <f t="shared" si="9"/>
        <v>19929.454262486928</v>
      </c>
      <c r="AS47" s="1">
        <f t="shared" si="10"/>
        <v>17933.440334483421</v>
      </c>
      <c r="AT47" s="1">
        <f t="shared" si="11"/>
        <v>16025.375233491362</v>
      </c>
      <c r="AU47" s="1">
        <f t="shared" si="12"/>
        <v>1146642.9784344672</v>
      </c>
      <c r="AV47" s="1">
        <f t="shared" si="13"/>
        <v>1061220.5858046561</v>
      </c>
      <c r="AW47" s="1">
        <f t="shared" si="14"/>
        <v>979562.0943815955</v>
      </c>
      <c r="AX47" s="1">
        <f t="shared" si="15"/>
        <v>901501.65828040591</v>
      </c>
      <c r="AY47" s="1">
        <f t="shared" si="16"/>
        <v>826880.73915591789</v>
      </c>
      <c r="AZ47" s="1">
        <f t="shared" si="17"/>
        <v>755547.78421616822</v>
      </c>
      <c r="BA47" s="1">
        <f t="shared" si="18"/>
        <v>687357.91842333926</v>
      </c>
      <c r="BB47" s="1">
        <f t="shared" si="19"/>
        <v>622172.65025701385</v>
      </c>
      <c r="BC47" s="1">
        <f t="shared" si="20"/>
        <v>559859.59044215444</v>
      </c>
      <c r="BD47" s="1">
        <f t="shared" si="21"/>
        <v>500292.18307055853</v>
      </c>
      <c r="BE47" s="1">
        <f t="shared" si="22"/>
        <v>1183372.2830489846</v>
      </c>
      <c r="BF47" s="1">
        <f t="shared" si="23"/>
        <v>1095213.6376022026</v>
      </c>
      <c r="BG47" s="1">
        <f t="shared" si="24"/>
        <v>1010939.4587661912</v>
      </c>
      <c r="BH47" s="1">
        <f t="shared" si="25"/>
        <v>930378.58827537391</v>
      </c>
      <c r="BI47" s="1">
        <f t="shared" si="26"/>
        <v>853367.40947923053</v>
      </c>
      <c r="BJ47" s="1">
        <f t="shared" si="27"/>
        <v>779749.51504191139</v>
      </c>
      <c r="BK47" s="1">
        <f t="shared" si="28"/>
        <v>709375.38928374648</v>
      </c>
      <c r="BL47" s="1">
        <f t="shared" si="29"/>
        <v>642102.10451950075</v>
      </c>
      <c r="BM47" s="1">
        <f t="shared" si="30"/>
        <v>577793.03077663784</v>
      </c>
      <c r="BN47" s="1">
        <f t="shared" si="31"/>
        <v>516317.55830404989</v>
      </c>
      <c r="BO47" s="25">
        <f>VLOOKUP($A47,'Outage by Zone inputs'!$A$59:$E$68,MATCH('Baseline Projects'!$I47,'Outage by Zone inputs'!$A$58:$E$58,0),0)*AVG_INCIDENT_PERCENT_NON_STORM</f>
        <v>22.699582008566281</v>
      </c>
      <c r="BP47" s="25">
        <f>$BO47*$N47*('Baseline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Projects'!Q$3,'Baseline scaling factors'!$B$54:$K$54,0))+$BO47*$N47*('Baseline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Projects'!Q$3,'Baseline scaling factors'!$B$48:$K$48,0))</f>
        <v>18.077804509864258</v>
      </c>
      <c r="BQ47" s="25">
        <f>$BO47*$N47*('Baseline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Projects'!R$3,'Baseline scaling factors'!$B$54:$K$54,0))+$BO47*$N47*('Baseline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Projects'!R$3,'Baseline scaling factors'!$B$48:$K$48,0))</f>
        <v>16.731047634559452</v>
      </c>
      <c r="BR47" s="25">
        <f>$BO47*$N47*('Baseline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Projects'!S$3,'Baseline scaling factors'!$B$54:$K$54,0))+$BO47*$N47*('Baseline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Projects'!S$3,'Baseline scaling factors'!$B$48:$K$48,0))</f>
        <v>15.443631871954768</v>
      </c>
      <c r="BS47" s="25">
        <f>$BO47*$N47*('Baseline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Projects'!T$3,'Baseline scaling factors'!$B$54:$K$54,0))+$BO47*$N47*('Baseline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Projects'!T$3,'Baseline scaling factors'!$B$48:$K$48,0))</f>
        <v>14.212942520227573</v>
      </c>
      <c r="BT47" s="25">
        <f>$BO47*$N47*('Baseline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Projects'!U$3,'Baseline scaling factors'!$B$54:$K$54,0))+$BO47*$N47*('Baseline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Projects'!U$3,'Baseline scaling factors'!$B$48:$K$48,0))</f>
        <v>13.03648008715126</v>
      </c>
      <c r="BU47" s="25">
        <f>$BO47*$N47*('Baseline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Projects'!V$3,'Baseline scaling factors'!$B$54:$K$54,0))+$BO47*$N47*('Baseline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Projects'!V$3,'Baseline scaling factors'!$B$48:$K$48,0))</f>
        <v>11.911855213703388</v>
      </c>
      <c r="BV47" s="25">
        <f>$BO47*$N47*('Baseline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Projects'!W$3,'Baseline scaling factors'!$B$54:$K$54,0))+$BO47*$N47*('Baseline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Projects'!W$3,'Baseline scaling factors'!$B$48:$K$48,0))</f>
        <v>10.836783821350995</v>
      </c>
      <c r="BW47" s="25">
        <f>$BO47*$N47*('Baseline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Projects'!X$3,'Baseline scaling factors'!$B$54:$K$54,0))+$BO47*$N47*('Baseline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Projects'!X$3,'Baseline scaling factors'!$B$48:$K$48,0))</f>
        <v>9.8090824731573214</v>
      </c>
      <c r="BX47" s="25">
        <f>$BO47*$N47*('Baseline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Projects'!Y$3,'Baseline scaling factors'!$B$54:$K$54,0))+$BO47*$N47*('Baseline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Projects'!Y$3,'Baseline scaling factors'!$B$48:$K$48,0))</f>
        <v>8.8266639392885544</v>
      </c>
      <c r="BY47" s="25">
        <f>$BO47*$N47*('Baseline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Projects'!Z$3,'Baseline scaling factors'!$B$54:$K$54,0))+$BO47*$N47*('Baseline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Projects'!Z$3,'Baseline scaling factors'!$B$48:$K$48,0))</f>
        <v>7.8875329579142139</v>
      </c>
      <c r="BZ47" s="12">
        <f t="shared" si="32"/>
        <v>8532.7237286559302</v>
      </c>
      <c r="CA47" s="12">
        <f t="shared" si="33"/>
        <v>7897.0544835120618</v>
      </c>
      <c r="CB47" s="12">
        <f t="shared" si="34"/>
        <v>7289.3942435626504</v>
      </c>
      <c r="CC47" s="12">
        <f t="shared" si="35"/>
        <v>6708.5088695474142</v>
      </c>
      <c r="CD47" s="12">
        <f t="shared" si="36"/>
        <v>6153.2186011353942</v>
      </c>
      <c r="CE47" s="12">
        <f t="shared" si="37"/>
        <v>5622.3956608679991</v>
      </c>
      <c r="CF47" s="12">
        <f t="shared" si="38"/>
        <v>5114.9619636776697</v>
      </c>
      <c r="CG47" s="12">
        <f t="shared" si="39"/>
        <v>4629.8869273302553</v>
      </c>
      <c r="CH47" s="12">
        <f t="shared" si="40"/>
        <v>4166.1853793441978</v>
      </c>
      <c r="CI47" s="12">
        <f t="shared" si="41"/>
        <v>3722.9155561355092</v>
      </c>
      <c r="CJ47" s="12">
        <f>'Mitigation Projects'!$AG47*VLOOKUP('Baseline Projects'!$H47&amp;"-"&amp;'Baseline Projects'!$G47,'Baseline scaling factors'!$A$49:$K$51,MATCH('Baseline Projects'!CJ$2,'Baseline scaling factors'!$A$48:$K$48,0),0)</f>
        <v>2068.4652078343888</v>
      </c>
      <c r="CK47" s="12">
        <f>'Mitigation Projects'!$AG47*VLOOKUP('Baseline Projects'!$H47&amp;"-"&amp;'Baseline Projects'!$G47,'Baseline scaling factors'!$A$49:$K$51,MATCH('Baseline Projects'!CK$2,'Baseline scaling factors'!$A$48:$K$48,0),0)</f>
        <v>4045.7892236205989</v>
      </c>
      <c r="CL47" s="12">
        <f>'Mitigation Projects'!$AG47*VLOOKUP('Baseline Projects'!$H47&amp;"-"&amp;'Baseline Projects'!$G47,'Baseline scaling factors'!$A$49:$K$51,MATCH('Baseline Projects'!CL$2,'Baseline scaling factors'!$A$48:$K$48,0),0)</f>
        <v>5935.9879316270717</v>
      </c>
      <c r="CM47" s="12">
        <f>'Mitigation Projects'!$AG47*VLOOKUP('Baseline Projects'!$H47&amp;"-"&amp;'Baseline Projects'!$G47,'Baseline scaling factors'!$A$49:$K$51,MATCH('Baseline Projects'!CM$2,'Baseline scaling factors'!$A$48:$K$48,0),0)</f>
        <v>7742.9002673014702</v>
      </c>
      <c r="CN47" s="12">
        <f>'Mitigation Projects'!$AG47*VLOOKUP('Baseline Projects'!$H47&amp;"-"&amp;'Baseline Projects'!$G47,'Baseline scaling factors'!$A$49:$K$51,MATCH('Baseline Projects'!CN$2,'Baseline scaling factors'!$A$48:$K$48,0),0)</f>
        <v>9470.1960140305109</v>
      </c>
      <c r="CO47" s="12">
        <f>'Mitigation Projects'!$AG47*VLOOKUP('Baseline Projects'!$H47&amp;"-"&amp;'Baseline Projects'!$G47,'Baseline scaling factors'!$A$49:$K$51,MATCH('Baseline Projects'!CO$2,'Baseline scaling factors'!$A$48:$K$48,0),0)</f>
        <v>11121.38325635717</v>
      </c>
      <c r="CP47" s="12">
        <f>'Mitigation Projects'!$AG47*VLOOKUP('Baseline Projects'!$H47&amp;"-"&amp;'Baseline Projects'!$G47,'Baseline scaling factors'!$A$49:$K$51,MATCH('Baseline Projects'!CP$2,'Baseline scaling factors'!$A$48:$K$48,0),0)</f>
        <v>12699.815504792512</v>
      </c>
      <c r="CQ47" s="12">
        <f>'Mitigation Projects'!$AG47*VLOOKUP('Baseline Projects'!$H47&amp;"-"&amp;'Baseline Projects'!$G47,'Baseline scaling factors'!$A$49:$K$51,MATCH('Baseline Projects'!CQ$2,'Baseline scaling factors'!$A$48:$K$48,0),0)</f>
        <v>14208.698506692399</v>
      </c>
      <c r="CR47" s="12">
        <f>'Mitigation Projects'!$AG47*VLOOKUP('Baseline Projects'!$H47&amp;"-"&amp;'Baseline Projects'!$G47,'Baseline scaling factors'!$A$49:$K$51,MATCH('Baseline Projects'!CR$2,'Baseline scaling factors'!$A$48:$K$48,0),0)</f>
        <v>15651.09675703179</v>
      </c>
      <c r="CS47" s="12">
        <f>'Mitigation Projects'!$AG47*VLOOKUP('Baseline Projects'!$H47&amp;"-"&amp;'Baseline Projects'!$G47,'Baseline scaling factors'!$A$49:$K$51,MATCH('Baseline Projects'!CS$2,'Baseline scaling factors'!$A$48:$K$48,0),0)</f>
        <v>17029.939722299809</v>
      </c>
      <c r="CT47" s="12">
        <f>'Mitigation Projects'!$AH47*VLOOKUP('Baseline Projects'!$H47&amp;"-"&amp;'Baseline Projects'!$G47,'Baseline scaling factors'!$A$49:$K$51,MATCH('Baseline Projects'!CT$2,'Baseline scaling factors'!$A$48:$K$48,0),0)</f>
        <v>64574.89820707983</v>
      </c>
      <c r="CU47" s="12">
        <f>'Mitigation Projects'!$AH47*VLOOKUP('Baseline Projects'!$H47&amp;"-"&amp;'Baseline Projects'!$G47,'Baseline scaling factors'!$A$49:$K$51,MATCH('Baseline Projects'!CU$2,'Baseline scaling factors'!$A$48:$K$48,0),0)</f>
        <v>126304.48232490558</v>
      </c>
      <c r="CV47" s="12">
        <f>'Mitigation Projects'!$AH47*VLOOKUP('Baseline Projects'!$H47&amp;"-"&amp;'Baseline Projects'!$G47,'Baseline scaling factors'!$A$49:$K$51,MATCH('Baseline Projects'!CV$2,'Baseline scaling factors'!$A$48:$K$48,0),0)</f>
        <v>185314.12324048267</v>
      </c>
      <c r="CW47" s="12">
        <f>'Mitigation Projects'!$AH47*VLOOKUP('Baseline Projects'!$H47&amp;"-"&amp;'Baseline Projects'!$G47,'Baseline scaling factors'!$A$49:$K$51,MATCH('Baseline Projects'!CW$2,'Baseline scaling factors'!$A$48:$K$48,0),0)</f>
        <v>241723.66771981781</v>
      </c>
      <c r="CX47" s="12">
        <f>'Mitigation Projects'!$AH47*VLOOKUP('Baseline Projects'!$H47&amp;"-"&amp;'Baseline Projects'!$G47,'Baseline scaling factors'!$A$49:$K$51,MATCH('Baseline Projects'!CX$2,'Baseline scaling factors'!$A$48:$K$48,0),0)</f>
        <v>295647.68181301502</v>
      </c>
      <c r="CY47" s="12">
        <f>'Mitigation Projects'!$AH47*VLOOKUP('Baseline Projects'!$H47&amp;"-"&amp;'Baseline Projects'!$G47,'Baseline scaling factors'!$A$49:$K$51,MATCH('Baseline Projects'!CY$2,'Baseline scaling factors'!$A$48:$K$48,0),0)</f>
        <v>347195.68353440042</v>
      </c>
      <c r="CZ47" s="12">
        <f>'Mitigation Projects'!$AH47*VLOOKUP('Baseline Projects'!$H47&amp;"-"&amp;'Baseline Projects'!$G47,'Baseline scaling factors'!$A$49:$K$51,MATCH('Baseline Projects'!CZ$2,'Baseline scaling factors'!$A$48:$K$48,0),0)</f>
        <v>396472.36529024126</v>
      </c>
      <c r="DA47" s="12">
        <f>'Mitigation Projects'!$AH47*VLOOKUP('Baseline Projects'!$H47&amp;"-"&amp;'Baseline Projects'!$G47,'Baseline scaling factors'!$A$49:$K$51,MATCH('Baseline Projects'!DA$2,'Baseline scaling factors'!$A$48:$K$48,0),0)</f>
        <v>443577.80650580337</v>
      </c>
      <c r="DB47" s="12">
        <f>'Mitigation Projects'!$AH47*VLOOKUP('Baseline Projects'!$H47&amp;"-"&amp;'Baseline Projects'!$G47,'Baseline scaling factors'!$A$49:$K$51,MATCH('Baseline Projects'!DB$2,'Baseline scaling factors'!$A$48:$K$48,0),0)</f>
        <v>488607.67688358627</v>
      </c>
      <c r="DC47" s="12">
        <f>'Mitigation Projects'!$AH47*VLOOKUP('Baseline Projects'!$H47&amp;"-"&amp;'Baseline Projects'!$G47,'Baseline scaling factors'!$A$49:$K$51,MATCH('Baseline Projects'!DC$2,'Baseline scaling factors'!$A$48:$K$48,0),0)</f>
        <v>531653.43070554722</v>
      </c>
    </row>
    <row r="48" spans="1:107" x14ac:dyDescent="0.4">
      <c r="A48" s="38" t="str">
        <f>'Mitigation Projects'!A48</f>
        <v>TH-G16</v>
      </c>
      <c r="B48" s="38" t="str">
        <f>'Mitigation Projects'!B48</f>
        <v>White River Jct</v>
      </c>
      <c r="C48" s="39">
        <f>'Mitigation Projects'!C48</f>
        <v>203725</v>
      </c>
      <c r="D48" s="39" t="str">
        <f>'Mitigation Projects'!D48</f>
        <v>203725: Tucker Hill L1 294–333</v>
      </c>
      <c r="E48" s="39">
        <f>'Mitigation Projects'!E48</f>
        <v>618564</v>
      </c>
      <c r="F48" s="39">
        <f>'Mitigation Projects'!F48</f>
        <v>0</v>
      </c>
      <c r="G48" s="39" t="str">
        <f>'Mitigation Projects'!G48</f>
        <v>1PH</v>
      </c>
      <c r="H48" s="39" t="str">
        <f>'Mitigation Projects'!H48</f>
        <v>UG</v>
      </c>
      <c r="I48" s="39" t="str">
        <f>'Mitigation Projects'!J48</f>
        <v>Zone 3</v>
      </c>
      <c r="J48" s="138">
        <f>'Mitigation Projects'!K48</f>
        <v>293</v>
      </c>
      <c r="K48" s="40">
        <f>'Mitigation Projects'!L48*BASELINE_CAP_SPEND</f>
        <v>130473.5</v>
      </c>
      <c r="L48" s="97">
        <f>'Mitigation Projects'!Q48</f>
        <v>0.85561497326203206</v>
      </c>
      <c r="M48" s="97">
        <f>'Mitigation Projects'!R48</f>
        <v>0.14438502673796794</v>
      </c>
      <c r="N48" s="98">
        <f>'Mitigation Projects'!S48</f>
        <v>0.5</v>
      </c>
      <c r="O48" s="26">
        <f t="shared" si="0"/>
        <v>0.98</v>
      </c>
      <c r="P48" s="26">
        <f t="shared" si="1"/>
        <v>0.83359200333362127</v>
      </c>
      <c r="Q48" s="112">
        <f>VLOOKUP($A48,'Outage by Zone inputs'!$A$4:$E$13,MATCH('Baseline Projects'!$I48,'Outage by Zone inputs'!$A$3:$E$3,0),0)*'Baseline Projects'!$L48*$N48*('Baseline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Projects'!Q$3,'Baseline scaling factors'!$B$54:$K$54,0))+VLOOKUP($A48,'Outage by Zone inputs'!$A$4:$E$13,MATCH('Baseline Projects'!$I48,'Outage by Zone inputs'!$A$3:$E$3,0),0)*'Baseline Projects'!$L48*$N48*('Baseline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Projects'!Q$3,'Baseline scaling factors'!$B$48:$K$48,0))</f>
        <v>659.96088727827828</v>
      </c>
      <c r="R48" s="112">
        <f>VLOOKUP($A48,'Outage by Zone inputs'!$A$4:$E$13,MATCH('Baseline Projects'!$I48,'Outage by Zone inputs'!$A$3:$E$3,0),0)*'Baseline Projects'!$L48*$N48*('Baseline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Projects'!R$3,'Baseline scaling factors'!$B$54:$K$54,0))+VLOOKUP($A48,'Outage by Zone inputs'!$A$4:$E$13,MATCH('Baseline Projects'!$I48,'Outage by Zone inputs'!$A$3:$E$3,0),0)*'Baseline Projects'!$L48*$N48*('Baseline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Projects'!R$3,'Baseline scaling factors'!$B$48:$K$48,0))</f>
        <v>603.83812037464668</v>
      </c>
      <c r="S48" s="112">
        <f>VLOOKUP($A48,'Outage by Zone inputs'!$A$4:$E$13,MATCH('Baseline Projects'!$I48,'Outage by Zone inputs'!$A$3:$E$3,0),0)*'Baseline Projects'!$L48*$N48*('Baseline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Projects'!S$3,'Baseline scaling factors'!$B$54:$K$54,0))+VLOOKUP($A48,'Outage by Zone inputs'!$A$4:$E$13,MATCH('Baseline Projects'!$I48,'Outage by Zone inputs'!$A$3:$E$3,0),0)*'Baseline Projects'!$L48*$N48*('Baseline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Projects'!S$3,'Baseline scaling factors'!$B$48:$K$48,0))</f>
        <v>550.18824779733256</v>
      </c>
      <c r="T48" s="112">
        <f>VLOOKUP($A48,'Outage by Zone inputs'!$A$4:$E$13,MATCH('Baseline Projects'!$I48,'Outage by Zone inputs'!$A$3:$E$3,0),0)*'Baseline Projects'!$L48*$N48*('Baseline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Projects'!T$3,'Baseline scaling factors'!$B$54:$K$54,0))+VLOOKUP($A48,'Outage by Zone inputs'!$A$4:$E$13,MATCH('Baseline Projects'!$I48,'Outage by Zone inputs'!$A$3:$E$3,0),0)*'Baseline Projects'!$L48*$N48*('Baseline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Projects'!T$3,'Baseline scaling factors'!$B$48:$K$48,0))</f>
        <v>498.90230830499826</v>
      </c>
      <c r="U48" s="112">
        <f>VLOOKUP($A48,'Outage by Zone inputs'!$A$4:$E$13,MATCH('Baseline Projects'!$I48,'Outage by Zone inputs'!$A$3:$E$3,0),0)*'Baseline Projects'!$L48*$N48*('Baseline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Projects'!U$3,'Baseline scaling factors'!$B$54:$K$54,0))+VLOOKUP($A48,'Outage by Zone inputs'!$A$4:$E$13,MATCH('Baseline Projects'!$I48,'Outage by Zone inputs'!$A$3:$E$3,0),0)*'Baseline Projects'!$L48*$N48*('Baseline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Projects'!U$3,'Baseline scaling factors'!$B$48:$K$48,0))</f>
        <v>449.87614173170465</v>
      </c>
      <c r="V48" s="112">
        <f>VLOOKUP($A48,'Outage by Zone inputs'!$A$4:$E$13,MATCH('Baseline Projects'!$I48,'Outage by Zone inputs'!$A$3:$E$3,0),0)*'Baseline Projects'!$L48*$N48*('Baseline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Projects'!V$3,'Baseline scaling factors'!$B$54:$K$54,0))+VLOOKUP($A48,'Outage by Zone inputs'!$A$4:$E$13,MATCH('Baseline Projects'!$I48,'Outage by Zone inputs'!$A$3:$E$3,0),0)*'Baseline Projects'!$L48*$N48*('Baseline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Projects'!V$3,'Baseline scaling factors'!$B$48:$K$48,0))</f>
        <v>403.01017744081776</v>
      </c>
      <c r="W48" s="112">
        <f>VLOOKUP($A48,'Outage by Zone inputs'!$A$4:$E$13,MATCH('Baseline Projects'!$I48,'Outage by Zone inputs'!$A$3:$E$3,0),0)*'Baseline Projects'!$L48*$N48*('Baseline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Projects'!W$3,'Baseline scaling factors'!$B$54:$K$54,0))+VLOOKUP($A48,'Outage by Zone inputs'!$A$4:$E$13,MATCH('Baseline Projects'!$I48,'Outage by Zone inputs'!$A$3:$E$3,0),0)*'Baseline Projects'!$L48*$N48*('Baseline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Projects'!W$3,'Baseline scaling factors'!$B$48:$K$48,0))</f>
        <v>358.20923210010739</v>
      </c>
      <c r="X48" s="112">
        <f>VLOOKUP($A48,'Outage by Zone inputs'!$A$4:$E$13,MATCH('Baseline Projects'!$I48,'Outage by Zone inputs'!$A$3:$E$3,0),0)*'Baseline Projects'!$L48*$N48*('Baseline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Projects'!X$3,'Baseline scaling factors'!$B$54:$K$54,0))+VLOOKUP($A48,'Outage by Zone inputs'!$A$4:$E$13,MATCH('Baseline Projects'!$I48,'Outage by Zone inputs'!$A$3:$E$3,0),0)*'Baseline Projects'!$L48*$N48*('Baseline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Projects'!X$3,'Baseline scaling factors'!$B$48:$K$48,0))</f>
        <v>315.38231636732678</v>
      </c>
      <c r="Y48" s="112">
        <f>VLOOKUP($A48,'Outage by Zone inputs'!$A$4:$E$13,MATCH('Baseline Projects'!$I48,'Outage by Zone inputs'!$A$3:$E$3,0),0)*'Baseline Projects'!$L48*$N48*('Baseline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Projects'!Y$3,'Baseline scaling factors'!$B$54:$K$54,0))+VLOOKUP($A48,'Outage by Zone inputs'!$A$4:$E$13,MATCH('Baseline Projects'!$I48,'Outage by Zone inputs'!$A$3:$E$3,0),0)*'Baseline Projects'!$L48*$N48*('Baseline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Projects'!Y$3,'Baseline scaling factors'!$B$48:$K$48,0))</f>
        <v>274.44245009365648</v>
      </c>
      <c r="Z48" s="112">
        <f>VLOOKUP($A48,'Outage by Zone inputs'!$A$4:$E$13,MATCH('Baseline Projects'!$I48,'Outage by Zone inputs'!$A$3:$E$3,0),0)*'Baseline Projects'!$L48*$N48*('Baseline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Projects'!Z$3,'Baseline scaling factors'!$B$54:$K$54,0))+VLOOKUP($A48,'Outage by Zone inputs'!$A$4:$E$13,MATCH('Baseline Projects'!$I48,'Outage by Zone inputs'!$A$3:$E$3,0),0)*'Baseline Projects'!$L48*$N48*('Baseline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Projects'!Z$3,'Baseline scaling factors'!$B$48:$K$48,0))</f>
        <v>235.30648566969728</v>
      </c>
      <c r="AA48" s="34">
        <f>VLOOKUP($A48,'Outage by Zone inputs'!$A$4:$E$13,MATCH('Baseline Projects'!$I48,'Outage by Zone inputs'!$A$3:$E$3,0),0)*$M48*$N48*('Baseline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Projects'!AA$3,'Baseline scaling factors'!$B$54:$K$54,0))+VLOOKUP($A48,'Outage by Zone inputs'!$A$4:$E$13,MATCH('Baseline Projects'!$I48,'Outage by Zone inputs'!$A$3:$E$3,0),0)*$M48*$N48*('Baseline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Projects'!AA$3,'Baseline scaling factors'!$B$48:$K$48,0))</f>
        <v>111.3683997282095</v>
      </c>
      <c r="AB48" s="34">
        <f>VLOOKUP($A48,'Outage by Zone inputs'!$A$4:$E$13,MATCH('Baseline Projects'!$I48,'Outage by Zone inputs'!$A$3:$E$3,0),0)*$M48*$N48*('Baseline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Projects'!AB$3,'Baseline scaling factors'!$B$54:$K$54,0))+VLOOKUP($A48,'Outage by Zone inputs'!$A$4:$E$13,MATCH('Baseline Projects'!$I48,'Outage by Zone inputs'!$A$3:$E$3,0),0)*$M48*$N48*('Baseline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Projects'!AB$3,'Baseline scaling factors'!$B$48:$K$48,0))</f>
        <v>101.89768281322166</v>
      </c>
      <c r="AC48" s="34">
        <f>VLOOKUP($A48,'Outage by Zone inputs'!$A$4:$E$13,MATCH('Baseline Projects'!$I48,'Outage by Zone inputs'!$A$3:$E$3,0),0)*$M48*$N48*('Baseline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Projects'!AC$3,'Baseline scaling factors'!$B$54:$K$54,0))+VLOOKUP($A48,'Outage by Zone inputs'!$A$4:$E$13,MATCH('Baseline Projects'!$I48,'Outage by Zone inputs'!$A$3:$E$3,0),0)*$M48*$N48*('Baseline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Projects'!AC$3,'Baseline scaling factors'!$B$48:$K$48,0))</f>
        <v>92.844266815799884</v>
      </c>
      <c r="AD48" s="34">
        <f>VLOOKUP($A48,'Outage by Zone inputs'!$A$4:$E$13,MATCH('Baseline Projects'!$I48,'Outage by Zone inputs'!$A$3:$E$3,0),0)*$M48*$N48*('Baseline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Projects'!AD$3,'Baseline scaling factors'!$B$54:$K$54,0))+VLOOKUP($A48,'Outage by Zone inputs'!$A$4:$E$13,MATCH('Baseline Projects'!$I48,'Outage by Zone inputs'!$A$3:$E$3,0),0)*$M48*$N48*('Baseline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Projects'!AD$3,'Baseline scaling factors'!$B$48:$K$48,0))</f>
        <v>84.18976452646848</v>
      </c>
      <c r="AE48" s="34">
        <f>VLOOKUP($A48,'Outage by Zone inputs'!$A$4:$E$13,MATCH('Baseline Projects'!$I48,'Outage by Zone inputs'!$A$3:$E$3,0),0)*$M48*$N48*('Baseline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Projects'!AE$3,'Baseline scaling factors'!$B$54:$K$54,0))+VLOOKUP($A48,'Outage by Zone inputs'!$A$4:$E$13,MATCH('Baseline Projects'!$I48,'Outage by Zone inputs'!$A$3:$E$3,0),0)*$M48*$N48*('Baseline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Projects'!AE$3,'Baseline scaling factors'!$B$48:$K$48,0))</f>
        <v>75.916598917225187</v>
      </c>
      <c r="AF48" s="34">
        <f>VLOOKUP($A48,'Outage by Zone inputs'!$A$4:$E$13,MATCH('Baseline Projects'!$I48,'Outage by Zone inputs'!$A$3:$E$3,0),0)*$M48*$N48*('Baseline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Projects'!AF$3,'Baseline scaling factors'!$B$54:$K$54,0))+VLOOKUP($A48,'Outage by Zone inputs'!$A$4:$E$13,MATCH('Baseline Projects'!$I48,'Outage by Zone inputs'!$A$3:$E$3,0),0)*$M48*$N48*('Baseline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Projects'!AF$3,'Baseline scaling factors'!$B$48:$K$48,0))</f>
        <v>68.007967443138028</v>
      </c>
      <c r="AG48" s="34">
        <f>VLOOKUP($A48,'Outage by Zone inputs'!$A$4:$E$13,MATCH('Baseline Projects'!$I48,'Outage by Zone inputs'!$A$3:$E$3,0),0)*$M48*$N48*('Baseline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Projects'!AG$3,'Baseline scaling factors'!$B$54:$K$54,0))+VLOOKUP($A48,'Outage by Zone inputs'!$A$4:$E$13,MATCH('Baseline Projects'!$I48,'Outage by Zone inputs'!$A$3:$E$3,0),0)*$M48*$N48*('Baseline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Projects'!AG$3,'Baseline scaling factors'!$B$48:$K$48,0))</f>
        <v>60.44780791689314</v>
      </c>
      <c r="AH48" s="34">
        <f>VLOOKUP($A48,'Outage by Zone inputs'!$A$4:$E$13,MATCH('Baseline Projects'!$I48,'Outage by Zone inputs'!$A$3:$E$3,0),0)*$M48*$N48*('Baseline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Projects'!AH$3,'Baseline scaling factors'!$B$54:$K$54,0))+VLOOKUP($A48,'Outage by Zone inputs'!$A$4:$E$13,MATCH('Baseline Projects'!$I48,'Outage by Zone inputs'!$A$3:$E$3,0),0)*$M48*$N48*('Baseline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Projects'!AH$3,'Baseline scaling factors'!$B$48:$K$48,0))</f>
        <v>53.220765886986413</v>
      </c>
      <c r="AI48" s="34">
        <f>VLOOKUP($A48,'Outage by Zone inputs'!$A$4:$E$13,MATCH('Baseline Projects'!$I48,'Outage by Zone inputs'!$A$3:$E$3,0),0)*$M48*$N48*('Baseline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Projects'!AI$3,'Baseline scaling factors'!$B$54:$K$54,0))+VLOOKUP($A48,'Outage by Zone inputs'!$A$4:$E$13,MATCH('Baseline Projects'!$I48,'Outage by Zone inputs'!$A$3:$E$3,0),0)*$M48*$N48*('Baseline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Projects'!AI$3,'Baseline scaling factors'!$B$48:$K$48,0))</f>
        <v>46.312163453304549</v>
      </c>
      <c r="AJ48" s="34">
        <f>VLOOKUP($A48,'Outage by Zone inputs'!$A$4:$E$13,MATCH('Baseline Projects'!$I48,'Outage by Zone inputs'!$A$3:$E$3,0),0)*$M48*$N48*('Baseline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Projects'!AJ$3,'Baseline scaling factors'!$B$54:$K$54,0))+VLOOKUP($A48,'Outage by Zone inputs'!$A$4:$E$13,MATCH('Baseline Projects'!$I48,'Outage by Zone inputs'!$A$3:$E$3,0),0)*$M48*$N48*('Baseline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Projects'!AJ$3,'Baseline scaling factors'!$B$48:$K$48,0))</f>
        <v>39.707969456761433</v>
      </c>
      <c r="AK48" s="1">
        <f t="shared" si="2"/>
        <v>13859.178632843843</v>
      </c>
      <c r="AL48" s="1">
        <f t="shared" si="3"/>
        <v>12680.60052786758</v>
      </c>
      <c r="AM48" s="1">
        <f t="shared" si="4"/>
        <v>11553.953203743984</v>
      </c>
      <c r="AN48" s="1">
        <f t="shared" si="5"/>
        <v>10476.948474404964</v>
      </c>
      <c r="AO48" s="1">
        <f t="shared" si="6"/>
        <v>9447.3989763657974</v>
      </c>
      <c r="AP48" s="1">
        <f t="shared" si="7"/>
        <v>8463.2137262571723</v>
      </c>
      <c r="AQ48" s="1">
        <f t="shared" si="8"/>
        <v>7522.3938741022548</v>
      </c>
      <c r="AR48" s="1">
        <f t="shared" si="9"/>
        <v>6623.028643713862</v>
      </c>
      <c r="AS48" s="1">
        <f t="shared" si="10"/>
        <v>5763.2914519667856</v>
      </c>
      <c r="AT48" s="1">
        <f t="shared" si="11"/>
        <v>4941.4361990636426</v>
      </c>
      <c r="AU48" s="1">
        <f t="shared" si="12"/>
        <v>432666.23294409388</v>
      </c>
      <c r="AV48" s="1">
        <f t="shared" si="13"/>
        <v>395872.49772936618</v>
      </c>
      <c r="AW48" s="1">
        <f t="shared" si="14"/>
        <v>360699.97657938255</v>
      </c>
      <c r="AX48" s="1">
        <f t="shared" si="15"/>
        <v>327077.23518533004</v>
      </c>
      <c r="AY48" s="1">
        <f t="shared" si="16"/>
        <v>294935.98679341987</v>
      </c>
      <c r="AZ48" s="1">
        <f t="shared" si="17"/>
        <v>264210.95351659122</v>
      </c>
      <c r="BA48" s="1">
        <f t="shared" si="18"/>
        <v>234839.73375712984</v>
      </c>
      <c r="BB48" s="1">
        <f t="shared" si="19"/>
        <v>206762.67547094222</v>
      </c>
      <c r="BC48" s="1">
        <f t="shared" si="20"/>
        <v>179922.75501608817</v>
      </c>
      <c r="BD48" s="1">
        <f t="shared" si="21"/>
        <v>154265.46133951817</v>
      </c>
      <c r="BE48" s="1">
        <f t="shared" si="22"/>
        <v>446525.41157693771</v>
      </c>
      <c r="BF48" s="1">
        <f t="shared" si="23"/>
        <v>408553.09825723374</v>
      </c>
      <c r="BG48" s="1">
        <f t="shared" si="24"/>
        <v>372253.92978312651</v>
      </c>
      <c r="BH48" s="1">
        <f t="shared" si="25"/>
        <v>337554.18365973502</v>
      </c>
      <c r="BI48" s="1">
        <f t="shared" si="26"/>
        <v>304383.38576978567</v>
      </c>
      <c r="BJ48" s="1">
        <f t="shared" si="27"/>
        <v>272674.16724284837</v>
      </c>
      <c r="BK48" s="1">
        <f t="shared" si="28"/>
        <v>242362.12763123208</v>
      </c>
      <c r="BL48" s="1">
        <f t="shared" si="29"/>
        <v>213385.70411465608</v>
      </c>
      <c r="BM48" s="1">
        <f t="shared" si="30"/>
        <v>185686.04646805496</v>
      </c>
      <c r="BN48" s="1">
        <f t="shared" si="31"/>
        <v>159206.8975385818</v>
      </c>
      <c r="BO48" s="25">
        <f>VLOOKUP($A48,'Outage by Zone inputs'!$A$59:$E$68,MATCH('Baseline Projects'!$I48,'Outage by Zone inputs'!$A$58:$E$58,0),0)*AVG_INCIDENT_PERCENT_NON_STORM</f>
        <v>14.856349499895304</v>
      </c>
      <c r="BP48" s="25">
        <f>$BO48*$N48*('Baseline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Projects'!Q$3,'Baseline scaling factors'!$B$54:$K$54,0))+$BO48*$N48*('Baseline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Projects'!Q$3,'Baseline scaling factors'!$B$48:$K$48,0))</f>
        <v>6.8213521769973857</v>
      </c>
      <c r="BQ48" s="25">
        <f>$BO48*$N48*('Baseline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Projects'!R$3,'Baseline scaling factors'!$B$54:$K$54,0))+$BO48*$N48*('Baseline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Projects'!R$3,'Baseline scaling factors'!$B$48:$K$48,0))</f>
        <v>6.2412675605043786</v>
      </c>
      <c r="BR48" s="25">
        <f>$BO48*$N48*('Baseline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Projects'!S$3,'Baseline scaling factors'!$B$54:$K$54,0))+$BO48*$N48*('Baseline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Projects'!S$3,'Baseline scaling factors'!$B$48:$K$48,0))</f>
        <v>5.6867427664515722</v>
      </c>
      <c r="BS48" s="25">
        <f>$BO48*$N48*('Baseline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Projects'!T$3,'Baseline scaling factors'!$B$54:$K$54,0))+$BO48*$N48*('Baseline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Projects'!T$3,'Baseline scaling factors'!$B$48:$K$48,0))</f>
        <v>5.1566515720352628</v>
      </c>
      <c r="BT48" s="25">
        <f>$BO48*$N48*('Baseline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Projects'!U$3,'Baseline scaling factors'!$B$54:$K$54,0))+$BO48*$N48*('Baseline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Projects'!U$3,'Baseline scaling factors'!$B$48:$K$48,0))</f>
        <v>4.6499173783412058</v>
      </c>
      <c r="BU48" s="25">
        <f>$BO48*$N48*('Baseline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Projects'!V$3,'Baseline scaling factors'!$B$54:$K$54,0))+$BO48*$N48*('Baseline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Projects'!V$3,'Baseline scaling factors'!$B$48:$K$48,0))</f>
        <v>4.1655110238053448</v>
      </c>
      <c r="BV48" s="25">
        <f>$BO48*$N48*('Baseline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Projects'!W$3,'Baseline scaling factors'!$B$54:$K$54,0))+$BO48*$N48*('Baseline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Projects'!W$3,'Baseline scaling factors'!$B$48:$K$48,0))</f>
        <v>3.7024486940183134</v>
      </c>
      <c r="BW48" s="25">
        <f>$BO48*$N48*('Baseline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Projects'!X$3,'Baseline scaling factors'!$B$54:$K$54,0))+$BO48*$N48*('Baseline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Projects'!X$3,'Baseline scaling factors'!$B$48:$K$48,0))</f>
        <v>3.2597899236286314</v>
      </c>
      <c r="BX48" s="25">
        <f>$BO48*$N48*('Baseline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Projects'!Y$3,'Baseline scaling factors'!$B$54:$K$54,0))+$BO48*$N48*('Baseline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Projects'!Y$3,'Baseline scaling factors'!$B$48:$K$48,0))</f>
        <v>2.8366356862864901</v>
      </c>
      <c r="BY48" s="25">
        <f>$BO48*$N48*('Baseline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Projects'!Z$3,'Baseline scaling factors'!$B$54:$K$54,0))+$BO48*$N48*('Baseline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Projects'!Z$3,'Baseline scaling factors'!$B$48:$K$48,0))</f>
        <v>2.4321265687488927</v>
      </c>
      <c r="BZ48" s="12">
        <f t="shared" si="32"/>
        <v>3219.6782275427659</v>
      </c>
      <c r="CA48" s="12">
        <f t="shared" si="33"/>
        <v>2945.8782885580667</v>
      </c>
      <c r="CB48" s="12">
        <f t="shared" si="34"/>
        <v>2684.142585765142</v>
      </c>
      <c r="CC48" s="12">
        <f t="shared" si="35"/>
        <v>2433.939542000644</v>
      </c>
      <c r="CD48" s="12">
        <f t="shared" si="36"/>
        <v>2194.7610025770491</v>
      </c>
      <c r="CE48" s="12">
        <f t="shared" si="37"/>
        <v>1966.1212032361227</v>
      </c>
      <c r="CF48" s="12">
        <f t="shared" si="38"/>
        <v>1747.555783576644</v>
      </c>
      <c r="CG48" s="12">
        <f t="shared" si="39"/>
        <v>1538.620843952714</v>
      </c>
      <c r="CH48" s="12">
        <f t="shared" si="40"/>
        <v>1338.8920439272233</v>
      </c>
      <c r="CI48" s="12">
        <f t="shared" si="41"/>
        <v>1147.9637404494774</v>
      </c>
      <c r="CJ48" s="12">
        <f>'Mitigation Projects'!$AG48*VLOOKUP('Baseline Projects'!$H48&amp;"-"&amp;'Baseline Projects'!$G48,'Baseline scaling factors'!$A$49:$K$51,MATCH('Baseline Projects'!CJ$2,'Baseline scaling factors'!$A$48:$K$48,0),0)</f>
        <v>0</v>
      </c>
      <c r="CK48" s="12">
        <f>'Mitigation Projects'!$AG48*VLOOKUP('Baseline Projects'!$H48&amp;"-"&amp;'Baseline Projects'!$G48,'Baseline scaling factors'!$A$49:$K$51,MATCH('Baseline Projects'!CK$2,'Baseline scaling factors'!$A$48:$K$48,0),0)</f>
        <v>0</v>
      </c>
      <c r="CL48" s="12">
        <f>'Mitigation Projects'!$AG48*VLOOKUP('Baseline Projects'!$H48&amp;"-"&amp;'Baseline Projects'!$G48,'Baseline scaling factors'!$A$49:$K$51,MATCH('Baseline Projects'!CL$2,'Baseline scaling factors'!$A$48:$K$48,0),0)</f>
        <v>0</v>
      </c>
      <c r="CM48" s="12">
        <f>'Mitigation Projects'!$AG48*VLOOKUP('Baseline Projects'!$H48&amp;"-"&amp;'Baseline Projects'!$G48,'Baseline scaling factors'!$A$49:$K$51,MATCH('Baseline Projects'!CM$2,'Baseline scaling factors'!$A$48:$K$48,0),0)</f>
        <v>0</v>
      </c>
      <c r="CN48" s="12">
        <f>'Mitigation Projects'!$AG48*VLOOKUP('Baseline Projects'!$H48&amp;"-"&amp;'Baseline Projects'!$G48,'Baseline scaling factors'!$A$49:$K$51,MATCH('Baseline Projects'!CN$2,'Baseline scaling factors'!$A$48:$K$48,0),0)</f>
        <v>0</v>
      </c>
      <c r="CO48" s="12">
        <f>'Mitigation Projects'!$AG48*VLOOKUP('Baseline Projects'!$H48&amp;"-"&amp;'Baseline Projects'!$G48,'Baseline scaling factors'!$A$49:$K$51,MATCH('Baseline Projects'!CO$2,'Baseline scaling factors'!$A$48:$K$48,0),0)</f>
        <v>0</v>
      </c>
      <c r="CP48" s="12">
        <f>'Mitigation Projects'!$AG48*VLOOKUP('Baseline Projects'!$H48&amp;"-"&amp;'Baseline Projects'!$G48,'Baseline scaling factors'!$A$49:$K$51,MATCH('Baseline Projects'!CP$2,'Baseline scaling factors'!$A$48:$K$48,0),0)</f>
        <v>0</v>
      </c>
      <c r="CQ48" s="12">
        <f>'Mitigation Projects'!$AG48*VLOOKUP('Baseline Projects'!$H48&amp;"-"&amp;'Baseline Projects'!$G48,'Baseline scaling factors'!$A$49:$K$51,MATCH('Baseline Projects'!CQ$2,'Baseline scaling factors'!$A$48:$K$48,0),0)</f>
        <v>0</v>
      </c>
      <c r="CR48" s="12">
        <f>'Mitigation Projects'!$AG48*VLOOKUP('Baseline Projects'!$H48&amp;"-"&amp;'Baseline Projects'!$G48,'Baseline scaling factors'!$A$49:$K$51,MATCH('Baseline Projects'!CR$2,'Baseline scaling factors'!$A$48:$K$48,0),0)</f>
        <v>0</v>
      </c>
      <c r="CS48" s="12">
        <f>'Mitigation Projects'!$AG48*VLOOKUP('Baseline Projects'!$H48&amp;"-"&amp;'Baseline Projects'!$G48,'Baseline scaling factors'!$A$49:$K$51,MATCH('Baseline Projects'!CS$2,'Baseline scaling factors'!$A$48:$K$48,0),0)</f>
        <v>0</v>
      </c>
      <c r="CT48" s="12">
        <f>'Mitigation Projects'!$AH48*VLOOKUP('Baseline Projects'!$H48&amp;"-"&amp;'Baseline Projects'!$G48,'Baseline scaling factors'!$A$49:$K$51,MATCH('Baseline Projects'!CT$2,'Baseline scaling factors'!$A$48:$K$48,0),0)</f>
        <v>0</v>
      </c>
      <c r="CU48" s="12">
        <f>'Mitigation Projects'!$AH48*VLOOKUP('Baseline Projects'!$H48&amp;"-"&amp;'Baseline Projects'!$G48,'Baseline scaling factors'!$A$49:$K$51,MATCH('Baseline Projects'!CU$2,'Baseline scaling factors'!$A$48:$K$48,0),0)</f>
        <v>0</v>
      </c>
      <c r="CV48" s="12">
        <f>'Mitigation Projects'!$AH48*VLOOKUP('Baseline Projects'!$H48&amp;"-"&amp;'Baseline Projects'!$G48,'Baseline scaling factors'!$A$49:$K$51,MATCH('Baseline Projects'!CV$2,'Baseline scaling factors'!$A$48:$K$48,0),0)</f>
        <v>0</v>
      </c>
      <c r="CW48" s="12">
        <f>'Mitigation Projects'!$AH48*VLOOKUP('Baseline Projects'!$H48&amp;"-"&amp;'Baseline Projects'!$G48,'Baseline scaling factors'!$A$49:$K$51,MATCH('Baseline Projects'!CW$2,'Baseline scaling factors'!$A$48:$K$48,0),0)</f>
        <v>0</v>
      </c>
      <c r="CX48" s="12">
        <f>'Mitigation Projects'!$AH48*VLOOKUP('Baseline Projects'!$H48&amp;"-"&amp;'Baseline Projects'!$G48,'Baseline scaling factors'!$A$49:$K$51,MATCH('Baseline Projects'!CX$2,'Baseline scaling factors'!$A$48:$K$48,0),0)</f>
        <v>0</v>
      </c>
      <c r="CY48" s="12">
        <f>'Mitigation Projects'!$AH48*VLOOKUP('Baseline Projects'!$H48&amp;"-"&amp;'Baseline Projects'!$G48,'Baseline scaling factors'!$A$49:$K$51,MATCH('Baseline Projects'!CY$2,'Baseline scaling factors'!$A$48:$K$48,0),0)</f>
        <v>0</v>
      </c>
      <c r="CZ48" s="12">
        <f>'Mitigation Projects'!$AH48*VLOOKUP('Baseline Projects'!$H48&amp;"-"&amp;'Baseline Projects'!$G48,'Baseline scaling factors'!$A$49:$K$51,MATCH('Baseline Projects'!CZ$2,'Baseline scaling factors'!$A$48:$K$48,0),0)</f>
        <v>0</v>
      </c>
      <c r="DA48" s="12">
        <f>'Mitigation Projects'!$AH48*VLOOKUP('Baseline Projects'!$H48&amp;"-"&amp;'Baseline Projects'!$G48,'Baseline scaling factors'!$A$49:$K$51,MATCH('Baseline Projects'!DA$2,'Baseline scaling factors'!$A$48:$K$48,0),0)</f>
        <v>0</v>
      </c>
      <c r="DB48" s="12">
        <f>'Mitigation Projects'!$AH48*VLOOKUP('Baseline Projects'!$H48&amp;"-"&amp;'Baseline Projects'!$G48,'Baseline scaling factors'!$A$49:$K$51,MATCH('Baseline Projects'!DB$2,'Baseline scaling factors'!$A$48:$K$48,0),0)</f>
        <v>0</v>
      </c>
      <c r="DC48" s="12">
        <f>'Mitigation Projects'!$AH48*VLOOKUP('Baseline Projects'!$H48&amp;"-"&amp;'Baseline Projects'!$G48,'Baseline scaling factors'!$A$49:$K$51,MATCH('Baseline Projects'!DC$2,'Baseline scaling factors'!$A$48:$K$48,0),0)</f>
        <v>0</v>
      </c>
    </row>
    <row r="49" spans="1:66" x14ac:dyDescent="0.4">
      <c r="A49" s="38"/>
      <c r="B49" s="38"/>
      <c r="C49" s="39"/>
      <c r="D49" s="39"/>
      <c r="E49" s="39"/>
      <c r="F49" s="39"/>
      <c r="G49" s="39"/>
      <c r="H49" s="39"/>
      <c r="I49" s="39"/>
      <c r="J49" s="39"/>
      <c r="K49" s="40"/>
      <c r="L49" s="139"/>
      <c r="M49" s="139"/>
      <c r="N49" s="98"/>
      <c r="O49" s="26"/>
      <c r="P49" s="26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</row>
    <row r="50" spans="1:66" x14ac:dyDescent="0.4">
      <c r="A50" s="38"/>
      <c r="B50" s="38"/>
      <c r="C50" s="39"/>
      <c r="D50" s="39"/>
      <c r="E50" s="39"/>
      <c r="F50" s="39"/>
      <c r="G50" s="39"/>
      <c r="H50" s="39"/>
      <c r="I50" s="39"/>
      <c r="J50" s="39"/>
      <c r="K50" s="40"/>
      <c r="L50" s="139"/>
      <c r="M50" s="139"/>
      <c r="N50" s="98"/>
      <c r="O50" s="26"/>
      <c r="P50" s="26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</row>
    <row r="51" spans="1:66" x14ac:dyDescent="0.4">
      <c r="A51" s="38"/>
      <c r="B51" s="38"/>
      <c r="C51" s="39"/>
      <c r="D51" s="39"/>
      <c r="E51" s="39"/>
      <c r="F51" s="39"/>
      <c r="G51" s="39"/>
      <c r="H51" s="39"/>
      <c r="I51" s="39"/>
      <c r="J51" s="39"/>
      <c r="K51" s="40"/>
      <c r="L51" s="139"/>
      <c r="M51" s="139"/>
      <c r="N51" s="98"/>
      <c r="O51" s="26"/>
      <c r="P51" s="26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</row>
    <row r="52" spans="1:66" x14ac:dyDescent="0.4">
      <c r="A52" s="38"/>
      <c r="B52" s="38"/>
      <c r="C52" s="39"/>
      <c r="D52" s="39"/>
      <c r="E52" s="39"/>
      <c r="F52" s="39"/>
      <c r="G52" s="39"/>
      <c r="H52" s="39"/>
      <c r="I52" s="39"/>
      <c r="J52" s="39"/>
      <c r="K52" s="40"/>
      <c r="L52" s="139"/>
      <c r="M52" s="139"/>
      <c r="N52" s="98"/>
      <c r="O52" s="26"/>
      <c r="P52" s="26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</row>
    <row r="55" spans="1:66" x14ac:dyDescent="0.4">
      <c r="BE55" s="1"/>
      <c r="BF55" s="1"/>
      <c r="BG55" s="1"/>
      <c r="BH55" s="1"/>
      <c r="BI55" s="1"/>
      <c r="BJ55" s="1"/>
      <c r="BK55" s="1"/>
      <c r="BL55" s="1"/>
      <c r="BM55" s="1"/>
      <c r="BN55" s="1"/>
    </row>
    <row r="56" spans="1:66" x14ac:dyDescent="0.4">
      <c r="BE56" s="1"/>
      <c r="BF56" s="1"/>
      <c r="BG56" s="1"/>
      <c r="BH56" s="1"/>
      <c r="BI56" s="1"/>
      <c r="BJ56" s="1"/>
      <c r="BK56" s="1"/>
      <c r="BL56" s="1"/>
      <c r="BM56" s="1"/>
      <c r="BN56" s="1"/>
    </row>
  </sheetData>
  <mergeCells count="1">
    <mergeCell ref="L2:M2"/>
  </mergeCells>
  <pageMargins left="0.7" right="0.7" top="0.75" bottom="0.75" header="0.3" footer="0.3"/>
  <pageSetup scale="68" orientation="portrait" r:id="rId1"/>
  <colBreaks count="2" manualBreakCount="2">
    <brk id="5" max="49" man="1"/>
    <brk id="93" max="49" man="1"/>
  </col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D3167-8136-4678-88CB-C97C7635C883}">
  <dimension ref="A1:AI65"/>
  <sheetViews>
    <sheetView view="pageBreakPreview" zoomScale="60" zoomScaleNormal="55" workbookViewId="0">
      <selection sqref="A1:AI62"/>
    </sheetView>
  </sheetViews>
  <sheetFormatPr defaultRowHeight="18.75" customHeight="1" x14ac:dyDescent="0.4"/>
  <cols>
    <col min="1" max="1" width="11.77734375" customWidth="1"/>
    <col min="2" max="2" width="15.5546875" customWidth="1"/>
    <col min="3" max="3" width="9.21875" customWidth="1"/>
    <col min="4" max="4" width="47.6640625" customWidth="1"/>
    <col min="5" max="5" width="10.44140625" customWidth="1"/>
    <col min="6" max="6" width="16.88671875" customWidth="1"/>
    <col min="7" max="8" width="9.5546875" customWidth="1"/>
    <col min="9" max="9" width="9.21875" customWidth="1"/>
    <col min="10" max="10" width="10.6640625" customWidth="1"/>
    <col min="11" max="11" width="17.21875" customWidth="1"/>
    <col min="12" max="12" width="14.33203125" customWidth="1"/>
    <col min="13" max="13" width="31.77734375" bestFit="1" customWidth="1"/>
    <col min="14" max="14" width="60.88671875" bestFit="1" customWidth="1"/>
    <col min="15" max="16" width="10.44140625" customWidth="1"/>
    <col min="17" max="19" width="12.44140625" customWidth="1"/>
    <col min="20" max="21" width="12.77734375" customWidth="1"/>
    <col min="22" max="27" width="11.21875" customWidth="1"/>
    <col min="28" max="35" width="10.77734375" customWidth="1"/>
  </cols>
  <sheetData>
    <row r="1" spans="1:35" x14ac:dyDescent="0.4"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H1" s="1"/>
      <c r="AI1" s="1"/>
    </row>
    <row r="2" spans="1:35" x14ac:dyDescent="0.4">
      <c r="A2" t="s">
        <v>230</v>
      </c>
      <c r="Q2" s="219" t="s">
        <v>439</v>
      </c>
      <c r="R2" s="219"/>
      <c r="V2" s="219" t="s">
        <v>231</v>
      </c>
      <c r="W2" s="219"/>
      <c r="X2" s="219" t="s">
        <v>232</v>
      </c>
      <c r="Y2" s="219"/>
      <c r="Z2" s="217" t="s">
        <v>233</v>
      </c>
      <c r="AA2" s="217"/>
      <c r="AC2" s="219" t="s">
        <v>440</v>
      </c>
      <c r="AD2" s="219"/>
      <c r="AE2" s="219"/>
      <c r="AF2" s="219"/>
      <c r="AG2" s="218" t="s">
        <v>441</v>
      </c>
      <c r="AH2" s="218"/>
      <c r="AI2" s="218"/>
    </row>
    <row r="3" spans="1:35" ht="112.5" x14ac:dyDescent="0.4">
      <c r="A3" s="29" t="s">
        <v>138</v>
      </c>
      <c r="B3" s="30" t="s">
        <v>98</v>
      </c>
      <c r="C3" s="30" t="s">
        <v>139</v>
      </c>
      <c r="D3" s="30" t="s">
        <v>140</v>
      </c>
      <c r="E3" s="30" t="s">
        <v>141</v>
      </c>
      <c r="F3" s="30" t="s">
        <v>142</v>
      </c>
      <c r="G3" s="30" t="s">
        <v>70</v>
      </c>
      <c r="H3" s="30" t="s">
        <v>102</v>
      </c>
      <c r="I3" s="30" t="s">
        <v>103</v>
      </c>
      <c r="J3" s="30" t="s">
        <v>143</v>
      </c>
      <c r="K3" s="106" t="s">
        <v>234</v>
      </c>
      <c r="L3" s="106" t="s">
        <v>437</v>
      </c>
      <c r="M3" s="30" t="s">
        <v>235</v>
      </c>
      <c r="N3" s="30" t="s">
        <v>236</v>
      </c>
      <c r="O3" s="106" t="s">
        <v>304</v>
      </c>
      <c r="P3" s="106" t="s">
        <v>307</v>
      </c>
      <c r="Q3" s="27" t="s">
        <v>238</v>
      </c>
      <c r="R3" s="27" t="s">
        <v>239</v>
      </c>
      <c r="S3" s="27" t="s">
        <v>438</v>
      </c>
      <c r="T3" s="27" t="s">
        <v>227</v>
      </c>
      <c r="U3" s="27" t="s">
        <v>22</v>
      </c>
      <c r="V3" s="27" t="s">
        <v>228</v>
      </c>
      <c r="W3" s="27" t="s">
        <v>229</v>
      </c>
      <c r="X3" s="27" t="s">
        <v>228</v>
      </c>
      <c r="Y3" s="27" t="s">
        <v>229</v>
      </c>
      <c r="Z3" s="27" t="s">
        <v>240</v>
      </c>
      <c r="AA3" s="27" t="s">
        <v>229</v>
      </c>
      <c r="AB3" s="27" t="s">
        <v>74</v>
      </c>
      <c r="AC3" s="27" t="s">
        <v>300</v>
      </c>
      <c r="AD3" s="27" t="s">
        <v>303</v>
      </c>
      <c r="AE3" s="27" t="s">
        <v>241</v>
      </c>
      <c r="AF3" s="27" t="s">
        <v>301</v>
      </c>
      <c r="AG3" s="27" t="s">
        <v>228</v>
      </c>
      <c r="AH3" s="27" t="s">
        <v>229</v>
      </c>
      <c r="AI3" s="27" t="s">
        <v>74</v>
      </c>
    </row>
    <row r="4" spans="1:35" x14ac:dyDescent="0.4">
      <c r="A4" s="31" t="s">
        <v>106</v>
      </c>
      <c r="B4" s="31" t="s">
        <v>107</v>
      </c>
      <c r="C4" s="32">
        <v>201153</v>
      </c>
      <c r="D4" s="94" t="s">
        <v>342</v>
      </c>
      <c r="E4" s="94">
        <v>0</v>
      </c>
      <c r="F4" s="94">
        <v>0</v>
      </c>
      <c r="G4" s="94" t="s">
        <v>37</v>
      </c>
      <c r="H4" s="94" t="s">
        <v>16</v>
      </c>
      <c r="I4" s="94">
        <v>1.5</v>
      </c>
      <c r="J4" s="94" t="s">
        <v>44</v>
      </c>
      <c r="K4" s="94">
        <v>165</v>
      </c>
      <c r="L4" s="108">
        <v>1442345</v>
      </c>
      <c r="M4" s="33" t="s">
        <v>418</v>
      </c>
      <c r="N4" s="33" t="s">
        <v>418</v>
      </c>
      <c r="O4" s="32"/>
      <c r="P4" s="32"/>
      <c r="Q4" s="98">
        <f>VLOOKUP($A4,'Customer Count by class'!$B$5:$M$14,12,0)</f>
        <v>0.87308228730822868</v>
      </c>
      <c r="R4" s="98">
        <f t="shared" ref="R4:R48" si="0">1-Q4</f>
        <v>0.12691771269177132</v>
      </c>
      <c r="S4" s="98">
        <f t="shared" ref="S4:S48" si="1">IF(J4="Zone 1",Downstream_Factor_Zone_1,IF(J4="Zone 2",Downstream_Factor_Zone_2,IF(J4="Zone 3",Downstream_Factor_Zone_3,"CHECK")))</f>
        <v>0.5</v>
      </c>
      <c r="T4" s="26">
        <f t="shared" ref="T4:T48" si="2">IF(H4="OH",EFF_SCORE_OH,EFF_SCORE_UG)</f>
        <v>0.98</v>
      </c>
      <c r="U4" s="26">
        <f t="shared" ref="U4:U48" si="3">IF($H4="OH",APPLICABILITY_SCORE_OH,APPLICABILITY_SCORE_UG)</f>
        <v>0.83359200333362127</v>
      </c>
      <c r="V4" s="43">
        <f>VLOOKUP($A4,'Outage by Zone inputs'!$A$4:$E$13,MATCH('Mitigation Projects'!$J20,'Outage by Zone inputs'!$A$3:$E$3,0),0)*Q4*$S4*($K4/SUMIFS($K$4:$K$48,$A$4:$A$48,$A4,$J$4:$J$48,$J4))</f>
        <v>638.81240793305676</v>
      </c>
      <c r="W4" s="43">
        <f>VLOOKUP($A4,'Outage by Zone inputs'!$A$4:$E$13,MATCH('Mitigation Projects'!$J20,'Outage by Zone inputs'!$A$3:$E$3,0),0)*R4*$S4*($K4/SUMIFS($K$4:$K$48,$A$4:$A$48,$A4,$J$4:$J$48,$J4))</f>
        <v>92.862506584517888</v>
      </c>
      <c r="X4" s="25">
        <f t="shared" ref="X4:X48" si="4">V4*(1-$T4*$U4)</f>
        <v>116.95367134743131</v>
      </c>
      <c r="Y4" s="25">
        <f t="shared" ref="Y4:Y48" si="5">W4*(1-$T4*$U4)</f>
        <v>17.001252544115424</v>
      </c>
      <c r="Z4" s="1">
        <f t="shared" ref="Z4:Z48" si="6">X4*ICE_VALUE_RES_WTD</f>
        <v>2456.0270982960574</v>
      </c>
      <c r="AA4" s="1">
        <f t="shared" ref="AA4:AA48" si="7">Y4*ICE_VALUE_NONRES_WTD</f>
        <v>66049.866133888427</v>
      </c>
      <c r="AB4" s="1">
        <f>SUM(Z4:AA4)</f>
        <v>68505.893232184491</v>
      </c>
      <c r="AC4" s="25">
        <f>VLOOKUP($A4,'Outage by Zone inputs'!$A$59:$E$68,MATCH('Mitigation Projects'!$J20,'Outage by Zone inputs'!$A$58:$E$58,0),0)*AVG_INCIDENT_PERCENT_NON_STORM</f>
        <v>20.995842451294386</v>
      </c>
      <c r="AD4" s="25">
        <f t="shared" ref="AD4:AD48" si="8">AC4*S4*($K4/SUMIFS($K$4:$K$48,$A$4:$A$48,$A4,$J$4:$J$48,$J4))</f>
        <v>6.7662382899679177</v>
      </c>
      <c r="AE4" s="1">
        <f t="shared" ref="AE4:AE48" si="9">AD4*OM_AVG_RESTORATION_COST_PER_INCIDENT</f>
        <v>3193.6644728648571</v>
      </c>
      <c r="AF4" s="1">
        <f t="shared" ref="AF4:AF48" si="10">AE4*(1-T4*U4)</f>
        <v>584.69557027224391</v>
      </c>
      <c r="AG4" s="25"/>
      <c r="AH4" s="25"/>
      <c r="AI4" s="25"/>
    </row>
    <row r="5" spans="1:35" x14ac:dyDescent="0.4">
      <c r="A5" s="31" t="s">
        <v>106</v>
      </c>
      <c r="B5" s="31" t="s">
        <v>107</v>
      </c>
      <c r="C5" s="32">
        <v>203031</v>
      </c>
      <c r="D5" s="94" t="s">
        <v>344</v>
      </c>
      <c r="E5" s="94" t="s">
        <v>147</v>
      </c>
      <c r="F5" s="94">
        <v>0</v>
      </c>
      <c r="G5" s="94" t="s">
        <v>39</v>
      </c>
      <c r="H5" s="94" t="s">
        <v>15</v>
      </c>
      <c r="I5" s="94">
        <v>3.7</v>
      </c>
      <c r="J5" s="94" t="s">
        <v>42</v>
      </c>
      <c r="K5" s="94">
        <v>716</v>
      </c>
      <c r="L5" s="108">
        <v>2754059</v>
      </c>
      <c r="M5" s="33" t="s">
        <v>418</v>
      </c>
      <c r="N5" s="33" t="s">
        <v>418</v>
      </c>
      <c r="O5" s="32"/>
      <c r="P5" s="32"/>
      <c r="Q5" s="98">
        <f>VLOOKUP($A5,'Customer Count by class'!$B$5:$M$14,12,0)</f>
        <v>0.87308228730822868</v>
      </c>
      <c r="R5" s="98">
        <f t="shared" si="0"/>
        <v>0.12691771269177132</v>
      </c>
      <c r="S5" s="98">
        <f t="shared" si="1"/>
        <v>1</v>
      </c>
      <c r="T5" s="26">
        <f t="shared" si="2"/>
        <v>0.9</v>
      </c>
      <c r="U5" s="26">
        <f t="shared" si="3"/>
        <v>0.80330442615766917</v>
      </c>
      <c r="V5" s="43">
        <f>VLOOKUP($A5,'Outage by Zone inputs'!$A$4:$E$13,MATCH('Mitigation Projects'!$J22,'Outage by Zone inputs'!$A$3:$E$3,0),0)*Q5*$S5*($K5/SUMIFS($K$4:$K$48,$A$4:$A$48,$A5,$J$4:$J$48,$J5))</f>
        <v>131.06469760037069</v>
      </c>
      <c r="W5" s="43">
        <f>VLOOKUP($A5,'Outage by Zone inputs'!$A$4:$E$13,MATCH('Mitigation Projects'!$J22,'Outage by Zone inputs'!$A$3:$E$3,0),0)*R5*$S5*($K5/SUMIFS($K$4:$K$48,$A$4:$A$48,$A5,$J$4:$J$48,$J5))</f>
        <v>19.052535913152941</v>
      </c>
      <c r="X5" s="25">
        <f t="shared" si="4"/>
        <v>36.308331074515898</v>
      </c>
      <c r="Y5" s="25">
        <f t="shared" si="5"/>
        <v>5.2780481274456053</v>
      </c>
      <c r="Z5" s="1">
        <f t="shared" si="6"/>
        <v>762.47495256483387</v>
      </c>
      <c r="AA5" s="1">
        <f t="shared" si="7"/>
        <v>20505.216975126175</v>
      </c>
      <c r="AB5" s="1">
        <f t="shared" ref="AB5:AB48" si="11">SUM(Z5:AA5)</f>
        <v>21267.691927691008</v>
      </c>
      <c r="AC5" s="25">
        <f>VLOOKUP($A5,'Outage by Zone inputs'!$A$59:$E$68,MATCH('Mitigation Projects'!$J22,'Outage by Zone inputs'!$A$58:$E$58,0),0)*AVG_INCIDENT_PERCENT_NON_STORM</f>
        <v>1.3882244057157178</v>
      </c>
      <c r="AD5" s="25">
        <f t="shared" si="8"/>
        <v>1.3882244057157178</v>
      </c>
      <c r="AE5" s="1">
        <f t="shared" si="9"/>
        <v>655.2419194978188</v>
      </c>
      <c r="AF5" s="1">
        <f t="shared" si="10"/>
        <v>181.51905877483833</v>
      </c>
      <c r="AG5" s="25"/>
      <c r="AH5" s="25"/>
      <c r="AI5" s="25"/>
    </row>
    <row r="6" spans="1:35" x14ac:dyDescent="0.4">
      <c r="A6" s="31" t="s">
        <v>106</v>
      </c>
      <c r="B6" s="31" t="s">
        <v>107</v>
      </c>
      <c r="C6" s="32">
        <v>204899</v>
      </c>
      <c r="D6" s="94" t="s">
        <v>365</v>
      </c>
      <c r="E6" s="94">
        <v>650740</v>
      </c>
      <c r="F6" s="94">
        <v>0</v>
      </c>
      <c r="G6" s="94" t="s">
        <v>37</v>
      </c>
      <c r="H6" s="94" t="s">
        <v>16</v>
      </c>
      <c r="I6" s="94">
        <v>1.5</v>
      </c>
      <c r="J6" s="94" t="s">
        <v>44</v>
      </c>
      <c r="K6" s="94">
        <v>91</v>
      </c>
      <c r="L6" s="108">
        <v>1441983</v>
      </c>
      <c r="M6" s="33" t="s">
        <v>418</v>
      </c>
      <c r="N6" s="33" t="s">
        <v>418</v>
      </c>
      <c r="O6" s="32"/>
      <c r="P6" s="32"/>
      <c r="Q6" s="98">
        <f>VLOOKUP($A6,'Customer Count by class'!$B$5:$M$14,12,0)</f>
        <v>0.87308228730822868</v>
      </c>
      <c r="R6" s="98">
        <f t="shared" si="0"/>
        <v>0.12691771269177132</v>
      </c>
      <c r="S6" s="98">
        <f t="shared" si="1"/>
        <v>0.5</v>
      </c>
      <c r="T6" s="26">
        <f t="shared" si="2"/>
        <v>0.98</v>
      </c>
      <c r="U6" s="26">
        <f t="shared" si="3"/>
        <v>0.83359200333362127</v>
      </c>
      <c r="V6" s="43">
        <f>VLOOKUP($A6,'Outage by Zone inputs'!$A$4:$E$13,MATCH('Mitigation Projects'!$J43,'Outage by Zone inputs'!$A$3:$E$3,0),0)*Q6*$S6*($K6/SUMIFS($K$4:$K$48,$A$4:$A$48,$A6,$J$4:$J$48,$J6))</f>
        <v>108.42624983303394</v>
      </c>
      <c r="W6" s="43">
        <f>VLOOKUP($A6,'Outage by Zone inputs'!$A$4:$E$13,MATCH('Mitigation Projects'!$J43,'Outage by Zone inputs'!$A$3:$E$3,0),0)*R6*$S6*($K6/SUMIFS($K$4:$K$48,$A$4:$A$48,$A6,$J$4:$J$48,$J6))</f>
        <v>15.76164334633561</v>
      </c>
      <c r="X6" s="25">
        <f t="shared" si="4"/>
        <v>19.850660117008871</v>
      </c>
      <c r="Y6" s="25">
        <f t="shared" si="5"/>
        <v>2.885639090491706</v>
      </c>
      <c r="Z6" s="1">
        <f t="shared" si="6"/>
        <v>416.86386245718631</v>
      </c>
      <c r="AA6" s="1">
        <f t="shared" si="7"/>
        <v>11210.707866560278</v>
      </c>
      <c r="AB6" s="1">
        <f t="shared" si="11"/>
        <v>11627.571729017465</v>
      </c>
      <c r="AC6" s="25">
        <f>VLOOKUP($A6,'Outage by Zone inputs'!$A$59:$E$68,MATCH('Mitigation Projects'!$J43,'Outage by Zone inputs'!$A$58:$E$58,0),0)*AVG_INCIDENT_PERCENT_NON_STORM</f>
        <v>6.4615535975131593</v>
      </c>
      <c r="AD6" s="25">
        <f t="shared" si="8"/>
        <v>1.148440190183003</v>
      </c>
      <c r="AE6" s="1">
        <f t="shared" si="9"/>
        <v>542.06376976637739</v>
      </c>
      <c r="AF6" s="1">
        <f t="shared" si="10"/>
        <v>99.240946467730609</v>
      </c>
      <c r="AG6" s="25"/>
      <c r="AH6" s="25"/>
      <c r="AI6" s="25"/>
    </row>
    <row r="7" spans="1:35" x14ac:dyDescent="0.4">
      <c r="A7" s="31" t="s">
        <v>108</v>
      </c>
      <c r="B7" s="31" t="s">
        <v>107</v>
      </c>
      <c r="C7" s="32">
        <v>199623</v>
      </c>
      <c r="D7" s="94" t="s">
        <v>337</v>
      </c>
      <c r="E7" s="94" t="s">
        <v>146</v>
      </c>
      <c r="F7" s="94">
        <v>0</v>
      </c>
      <c r="G7" s="94" t="s">
        <v>39</v>
      </c>
      <c r="H7" s="94" t="s">
        <v>15</v>
      </c>
      <c r="I7" s="94">
        <v>1.5</v>
      </c>
      <c r="J7" s="94" t="s">
        <v>42</v>
      </c>
      <c r="K7" s="94">
        <v>797</v>
      </c>
      <c r="L7" s="108">
        <v>1109903</v>
      </c>
      <c r="M7" s="33" t="s">
        <v>243</v>
      </c>
      <c r="N7" s="33" t="s">
        <v>589</v>
      </c>
      <c r="O7" s="32"/>
      <c r="P7" s="32"/>
      <c r="Q7" s="98">
        <f>VLOOKUP($A7,'Customer Count by class'!$B$5:$M$14,12,0)</f>
        <v>0.85768261964735515</v>
      </c>
      <c r="R7" s="98">
        <f t="shared" si="0"/>
        <v>0.14231738035264485</v>
      </c>
      <c r="S7" s="98">
        <f t="shared" si="1"/>
        <v>1</v>
      </c>
      <c r="T7" s="26">
        <f t="shared" si="2"/>
        <v>0.9</v>
      </c>
      <c r="U7" s="26">
        <f t="shared" si="3"/>
        <v>0.80330442615766917</v>
      </c>
      <c r="V7" s="43">
        <f>VLOOKUP($A7,'Outage by Zone inputs'!$A$4:$E$13,MATCH('Mitigation Projects'!$J14,'Outage by Zone inputs'!$A$3:$E$3,0),0)*Q7*$S7*($K7/SUMIFS($K$4:$K$48,$A$4:$A$48,$A7,$J$4:$J$48,$J7))</f>
        <v>1634.0121758530363</v>
      </c>
      <c r="W7" s="43">
        <f>VLOOKUP($A7,'Outage by Zone inputs'!$A$4:$E$13,MATCH('Mitigation Projects'!$J14,'Outage by Zone inputs'!$A$3:$E$3,0),0)*R7*$S7*($K7/SUMIFS($K$4:$K$48,$A$4:$A$48,$A7,$J$4:$J$48,$J7))</f>
        <v>271.13564738824243</v>
      </c>
      <c r="X7" s="25">
        <f t="shared" si="4"/>
        <v>452.66388392059537</v>
      </c>
      <c r="Y7" s="25">
        <f t="shared" si="5"/>
        <v>75.111628315752242</v>
      </c>
      <c r="Z7" s="1">
        <f t="shared" si="6"/>
        <v>9505.9415623325021</v>
      </c>
      <c r="AA7" s="1">
        <f t="shared" si="7"/>
        <v>291808.67600669747</v>
      </c>
      <c r="AB7" s="1">
        <f t="shared" si="11"/>
        <v>301314.61756902997</v>
      </c>
      <c r="AC7" s="25">
        <f>VLOOKUP($A7,'Outage by Zone inputs'!$A$59:$E$68,MATCH('Mitigation Projects'!$J14,'Outage by Zone inputs'!$A$58:$E$58,0),0)*AVG_INCIDENT_PERCENT_NON_STORM</f>
        <v>24.37141188271459</v>
      </c>
      <c r="AD7" s="25">
        <f t="shared" si="8"/>
        <v>15.664528443970585</v>
      </c>
      <c r="AE7" s="1">
        <f t="shared" si="9"/>
        <v>7393.6574255541163</v>
      </c>
      <c r="AF7" s="1">
        <f t="shared" si="10"/>
        <v>2048.2354636570913</v>
      </c>
      <c r="AG7" s="25"/>
      <c r="AH7" s="25"/>
      <c r="AI7" s="25"/>
    </row>
    <row r="8" spans="1:35" x14ac:dyDescent="0.4">
      <c r="A8" s="31" t="s">
        <v>108</v>
      </c>
      <c r="B8" s="31" t="s">
        <v>107</v>
      </c>
      <c r="C8" s="32">
        <v>199973</v>
      </c>
      <c r="D8" s="94" t="s">
        <v>338</v>
      </c>
      <c r="E8" s="94">
        <v>526376</v>
      </c>
      <c r="F8" s="94">
        <v>0</v>
      </c>
      <c r="G8" s="94" t="s">
        <v>39</v>
      </c>
      <c r="H8" s="94" t="s">
        <v>15</v>
      </c>
      <c r="I8" s="94">
        <v>2.1</v>
      </c>
      <c r="J8" s="94" t="s">
        <v>42</v>
      </c>
      <c r="K8" s="94">
        <v>197</v>
      </c>
      <c r="L8" s="108">
        <v>1553533</v>
      </c>
      <c r="M8" s="33" t="s">
        <v>243</v>
      </c>
      <c r="N8" s="33" t="s">
        <v>589</v>
      </c>
      <c r="O8" s="32" t="s">
        <v>111</v>
      </c>
      <c r="P8" s="32">
        <v>339</v>
      </c>
      <c r="Q8" s="98">
        <f>VLOOKUP($A8,'Customer Count by class'!$B$5:$M$14,12,0)</f>
        <v>0.85768261964735515</v>
      </c>
      <c r="R8" s="98">
        <f t="shared" si="0"/>
        <v>0.14231738035264485</v>
      </c>
      <c r="S8" s="98">
        <f t="shared" si="1"/>
        <v>1</v>
      </c>
      <c r="T8" s="26">
        <f t="shared" si="2"/>
        <v>0.9</v>
      </c>
      <c r="U8" s="26">
        <f t="shared" si="3"/>
        <v>0.80330442615766917</v>
      </c>
      <c r="V8" s="43">
        <f>VLOOKUP($A8,'Outage by Zone inputs'!$A$4:$E$13,MATCH('Mitigation Projects'!$J15,'Outage by Zone inputs'!$A$3:$E$3,0),0)*Q8*$S8*($K8/SUMIFS($K$4:$K$48,$A$4:$A$48,$A8,$J$4:$J$48,$J8))</f>
        <v>193.41106122052952</v>
      </c>
      <c r="W8" s="43">
        <f>VLOOKUP($A8,'Outage by Zone inputs'!$A$4:$E$13,MATCH('Mitigation Projects'!$J15,'Outage by Zone inputs'!$A$3:$E$3,0),0)*R8*$S8*($K8/SUMIFS($K$4:$K$48,$A$4:$A$48,$A8,$J$4:$J$48,$J8))</f>
        <v>32.093171685638531</v>
      </c>
      <c r="X8" s="25">
        <f t="shared" si="4"/>
        <v>53.579895828856564</v>
      </c>
      <c r="Y8" s="25">
        <f t="shared" si="5"/>
        <v>8.8906435075782575</v>
      </c>
      <c r="Z8" s="1">
        <f t="shared" si="6"/>
        <v>1125.1778124059879</v>
      </c>
      <c r="AA8" s="1">
        <f t="shared" si="7"/>
        <v>34540.150026941534</v>
      </c>
      <c r="AB8" s="1">
        <f t="shared" si="11"/>
        <v>35665.327839347519</v>
      </c>
      <c r="AC8" s="25">
        <f>VLOOKUP($A8,'Outage by Zone inputs'!$A$59:$E$68,MATCH('Mitigation Projects'!$J15,'Outage by Zone inputs'!$A$58:$E$58,0),0)*AVG_INCIDENT_PERCENT_NON_STORM</f>
        <v>11.670751022590757</v>
      </c>
      <c r="AD8" s="25">
        <f t="shared" si="8"/>
        <v>1.8541435092341767</v>
      </c>
      <c r="AE8" s="1">
        <f t="shared" si="9"/>
        <v>875.15573635853139</v>
      </c>
      <c r="AF8" s="1">
        <f t="shared" si="10"/>
        <v>242.4409074238572</v>
      </c>
      <c r="AG8" s="8">
        <f>IFERROR(VLOOKUP($O8,'Pre_Post mitigation outages'!$B$5:$L$19,11,0),0)*Q8*ICE_VALUE_RES_WTD</f>
        <v>2270.3503504378191</v>
      </c>
      <c r="AH8" s="8">
        <f>IFERROR(VLOOKUP($O8,'Pre_Post mitigation outages'!$B$5:$L$19,11,0),0)*R8*ICE_VALUE_NONRES_WTD</f>
        <v>69694.088217184457</v>
      </c>
      <c r="AI8" s="8">
        <f>SUM(AG8:AH8)</f>
        <v>71964.438567622274</v>
      </c>
    </row>
    <row r="9" spans="1:35" x14ac:dyDescent="0.4">
      <c r="A9" s="31" t="s">
        <v>108</v>
      </c>
      <c r="B9" s="31" t="s">
        <v>107</v>
      </c>
      <c r="C9" s="32">
        <v>204892</v>
      </c>
      <c r="D9" s="94" t="s">
        <v>358</v>
      </c>
      <c r="E9" s="94">
        <v>526443</v>
      </c>
      <c r="F9" s="94">
        <v>0</v>
      </c>
      <c r="G9" s="94" t="s">
        <v>39</v>
      </c>
      <c r="H9" s="94" t="s">
        <v>15</v>
      </c>
      <c r="I9" s="94">
        <v>1.65</v>
      </c>
      <c r="J9" s="94" t="s">
        <v>42</v>
      </c>
      <c r="K9" s="94">
        <v>246</v>
      </c>
      <c r="L9" s="108">
        <v>1214917</v>
      </c>
      <c r="M9" s="33" t="s">
        <v>243</v>
      </c>
      <c r="N9" s="33" t="s">
        <v>595</v>
      </c>
      <c r="O9" s="32" t="s">
        <v>111</v>
      </c>
      <c r="P9" s="32">
        <v>339</v>
      </c>
      <c r="Q9" s="98">
        <f>VLOOKUP($A9,'Customer Count by class'!$B$5:$M$14,12,0)</f>
        <v>0.85768261964735515</v>
      </c>
      <c r="R9" s="98">
        <f t="shared" si="0"/>
        <v>0.14231738035264485</v>
      </c>
      <c r="S9" s="98">
        <f t="shared" si="1"/>
        <v>1</v>
      </c>
      <c r="T9" s="26">
        <f t="shared" si="2"/>
        <v>0.9</v>
      </c>
      <c r="U9" s="26">
        <f t="shared" si="3"/>
        <v>0.80330442615766917</v>
      </c>
      <c r="V9" s="43">
        <f>VLOOKUP($A9,'Outage by Zone inputs'!$A$4:$E$13,MATCH('Mitigation Projects'!$J36,'Outage by Zone inputs'!$A$3:$E$3,0),0)*Q9*$S9*($K9/SUMIFS($K$4:$K$48,$A$4:$A$48,$A9,$J$4:$J$48,$J9))</f>
        <v>119.11225409538118</v>
      </c>
      <c r="W9" s="43">
        <f>VLOOKUP($A9,'Outage by Zone inputs'!$A$4:$E$13,MATCH('Mitigation Projects'!$J36,'Outage by Zone inputs'!$A$3:$E$3,0),0)*R9*$S9*($K9/SUMIFS($K$4:$K$48,$A$4:$A$48,$A9,$J$4:$J$48,$J9))</f>
        <v>19.76458841817632</v>
      </c>
      <c r="X9" s="25">
        <f t="shared" si="4"/>
        <v>32.997193263388191</v>
      </c>
      <c r="Y9" s="25">
        <f t="shared" si="5"/>
        <v>5.4753051964212416</v>
      </c>
      <c r="Z9" s="1">
        <f t="shared" si="6"/>
        <v>692.94105853115195</v>
      </c>
      <c r="AA9" s="1">
        <f t="shared" si="7"/>
        <v>21271.560688096524</v>
      </c>
      <c r="AB9" s="1">
        <f t="shared" si="11"/>
        <v>21964.501746627677</v>
      </c>
      <c r="AC9" s="25">
        <f>VLOOKUP($A9,'Outage by Zone inputs'!$A$59:$E$68,MATCH('Mitigation Projects'!$J36,'Outage by Zone inputs'!$A$58:$E$58,0),0)*AVG_INCIDENT_PERCENT_NON_STORM</f>
        <v>5.7557915693041846</v>
      </c>
      <c r="AD9" s="25">
        <f t="shared" si="8"/>
        <v>1.1418747790716366</v>
      </c>
      <c r="AE9" s="1">
        <f t="shared" si="9"/>
        <v>538.96489572181247</v>
      </c>
      <c r="AF9" s="1">
        <f t="shared" si="10"/>
        <v>149.30729807256776</v>
      </c>
      <c r="AG9" s="8"/>
      <c r="AH9" s="8"/>
      <c r="AI9" s="8"/>
    </row>
    <row r="10" spans="1:35" x14ac:dyDescent="0.4">
      <c r="A10" s="31" t="s">
        <v>108</v>
      </c>
      <c r="B10" s="31" t="s">
        <v>107</v>
      </c>
      <c r="C10" s="32">
        <v>204893</v>
      </c>
      <c r="D10" s="94" t="s">
        <v>359</v>
      </c>
      <c r="E10" s="94">
        <v>469709</v>
      </c>
      <c r="F10" s="94">
        <v>0</v>
      </c>
      <c r="G10" s="94" t="s">
        <v>37</v>
      </c>
      <c r="H10" s="94" t="s">
        <v>16</v>
      </c>
      <c r="I10" s="94">
        <v>1.75</v>
      </c>
      <c r="J10" s="94" t="s">
        <v>44</v>
      </c>
      <c r="K10" s="94">
        <v>89</v>
      </c>
      <c r="L10" s="108">
        <v>1012095</v>
      </c>
      <c r="M10" s="33" t="s">
        <v>418</v>
      </c>
      <c r="N10" s="33" t="s">
        <v>418</v>
      </c>
      <c r="O10" s="32"/>
      <c r="P10" s="32"/>
      <c r="Q10" s="98">
        <f>VLOOKUP($A10,'Customer Count by class'!$B$5:$M$14,12,0)</f>
        <v>0.85768261964735515</v>
      </c>
      <c r="R10" s="98">
        <f t="shared" si="0"/>
        <v>0.14231738035264485</v>
      </c>
      <c r="S10" s="98">
        <f t="shared" si="1"/>
        <v>0.5</v>
      </c>
      <c r="T10" s="26">
        <f t="shared" si="2"/>
        <v>0.98</v>
      </c>
      <c r="U10" s="26">
        <f t="shared" si="3"/>
        <v>0.83359200333362127</v>
      </c>
      <c r="V10" s="43">
        <f>VLOOKUP($A10,'Outage by Zone inputs'!$A$4:$E$13,MATCH('Mitigation Projects'!$J37,'Outage by Zone inputs'!$A$3:$E$3,0),0)*Q10*$S10*($K10/SUMIFS($K$4:$K$48,$A$4:$A$48,$A10,$J$4:$J$48,$J10))</f>
        <v>268.1917464479273</v>
      </c>
      <c r="W10" s="43">
        <f>VLOOKUP($A10,'Outage by Zone inputs'!$A$4:$E$13,MATCH('Mitigation Projects'!$J37,'Outage by Zone inputs'!$A$3:$E$3,0),0)*R10*$S10*($K10/SUMIFS($K$4:$K$48,$A$4:$A$48,$A10,$J$4:$J$48,$J10))</f>
        <v>44.501714168305121</v>
      </c>
      <c r="X10" s="25">
        <f t="shared" si="4"/>
        <v>49.100501152838383</v>
      </c>
      <c r="Y10" s="25">
        <f t="shared" si="5"/>
        <v>8.1473665642742112</v>
      </c>
      <c r="Z10" s="1">
        <f t="shared" si="6"/>
        <v>1031.110524209606</v>
      </c>
      <c r="AA10" s="1">
        <f t="shared" si="7"/>
        <v>31652.519102205311</v>
      </c>
      <c r="AB10" s="1">
        <f t="shared" si="11"/>
        <v>32683.629626414917</v>
      </c>
      <c r="AC10" s="25">
        <f>VLOOKUP($A10,'Outage by Zone inputs'!$A$59:$E$68,MATCH('Mitigation Projects'!$J37,'Outage by Zone inputs'!$A$58:$E$58,0),0)*AVG_INCIDENT_PERCENT_NON_STORM</f>
        <v>11.670751022590757</v>
      </c>
      <c r="AD10" s="25">
        <f t="shared" si="8"/>
        <v>2.5710317846796471</v>
      </c>
      <c r="AE10" s="1">
        <f t="shared" si="9"/>
        <v>1213.5270023687935</v>
      </c>
      <c r="AF10" s="1">
        <f t="shared" si="10"/>
        <v>222.17232546482774</v>
      </c>
      <c r="AG10" s="25"/>
      <c r="AH10" s="25"/>
      <c r="AI10" s="25"/>
    </row>
    <row r="11" spans="1:35" x14ac:dyDescent="0.4">
      <c r="A11" s="31" t="s">
        <v>108</v>
      </c>
      <c r="B11" s="31" t="s">
        <v>107</v>
      </c>
      <c r="C11" s="32">
        <v>204901</v>
      </c>
      <c r="D11" s="94" t="s">
        <v>367</v>
      </c>
      <c r="E11" s="94">
        <v>776981</v>
      </c>
      <c r="F11" s="94">
        <v>489712</v>
      </c>
      <c r="G11" s="94" t="s">
        <v>37</v>
      </c>
      <c r="H11" s="94" t="s">
        <v>15</v>
      </c>
      <c r="I11" s="94">
        <v>4.5</v>
      </c>
      <c r="J11" s="94" t="s">
        <v>44</v>
      </c>
      <c r="K11" s="94">
        <v>113</v>
      </c>
      <c r="L11" s="108">
        <v>2259492</v>
      </c>
      <c r="M11" s="33" t="s">
        <v>418</v>
      </c>
      <c r="N11" s="33" t="s">
        <v>418</v>
      </c>
      <c r="O11" s="32"/>
      <c r="P11" s="32"/>
      <c r="Q11" s="98">
        <f>VLOOKUP($A11,'Customer Count by class'!$B$5:$M$14,12,0)</f>
        <v>0.85768261964735515</v>
      </c>
      <c r="R11" s="98">
        <f t="shared" si="0"/>
        <v>0.14231738035264485</v>
      </c>
      <c r="S11" s="98">
        <f t="shared" si="1"/>
        <v>0.5</v>
      </c>
      <c r="T11" s="26">
        <f t="shared" si="2"/>
        <v>0.9</v>
      </c>
      <c r="U11" s="26">
        <f t="shared" si="3"/>
        <v>0.80330442615766917</v>
      </c>
      <c r="V11" s="43">
        <f>VLOOKUP($A11,'Outage by Zone inputs'!$A$4:$E$13,MATCH('Mitigation Projects'!$J45,'Outage by Zone inputs'!$A$3:$E$3,0),0)*Q11*$S11*($K11/SUMIFS($K$4:$K$48,$A$4:$A$48,$A11,$J$4:$J$48,$J11))</f>
        <v>711.07552480380468</v>
      </c>
      <c r="W11" s="43">
        <f>VLOOKUP($A11,'Outage by Zone inputs'!$A$4:$E$13,MATCH('Mitigation Projects'!$J45,'Outage by Zone inputs'!$A$3:$E$3,0),0)*R11*$S11*($K11/SUMIFS($K$4:$K$48,$A$4:$A$48,$A11,$J$4:$J$48,$J11))</f>
        <v>117.99050558418493</v>
      </c>
      <c r="X11" s="25">
        <f t="shared" si="4"/>
        <v>196.9864200372493</v>
      </c>
      <c r="Y11" s="25">
        <f t="shared" si="5"/>
        <v>32.686439741863694</v>
      </c>
      <c r="Z11" s="1">
        <f t="shared" si="6"/>
        <v>4136.7148207822356</v>
      </c>
      <c r="AA11" s="1">
        <f t="shared" si="7"/>
        <v>126986.81839714045</v>
      </c>
      <c r="AB11" s="1">
        <f t="shared" si="11"/>
        <v>131123.5332179227</v>
      </c>
      <c r="AC11" s="25">
        <f>VLOOKUP($A11,'Outage by Zone inputs'!$A$59:$E$68,MATCH('Mitigation Projects'!$J45,'Outage by Zone inputs'!$A$58:$E$58,0),0)*AVG_INCIDENT_PERCENT_NON_STORM</f>
        <v>24.37141188271459</v>
      </c>
      <c r="AD11" s="25">
        <f t="shared" si="8"/>
        <v>6.8167562939275959</v>
      </c>
      <c r="AE11" s="1">
        <f t="shared" si="9"/>
        <v>3217.5089707338252</v>
      </c>
      <c r="AF11" s="1">
        <f t="shared" si="10"/>
        <v>891.33369308058582</v>
      </c>
      <c r="AG11" s="25"/>
      <c r="AH11" s="25"/>
      <c r="AI11" s="25"/>
    </row>
    <row r="12" spans="1:35" x14ac:dyDescent="0.4">
      <c r="A12" s="31" t="s">
        <v>122</v>
      </c>
      <c r="B12" s="31" t="s">
        <v>107</v>
      </c>
      <c r="C12" s="32">
        <v>201152</v>
      </c>
      <c r="D12" s="94" t="s">
        <v>413</v>
      </c>
      <c r="E12" s="94">
        <v>488351</v>
      </c>
      <c r="F12" s="94">
        <v>0</v>
      </c>
      <c r="G12" s="94" t="s">
        <v>37</v>
      </c>
      <c r="H12" s="94" t="s">
        <v>15</v>
      </c>
      <c r="I12" s="94">
        <v>5.2</v>
      </c>
      <c r="J12" s="94" t="s">
        <v>44</v>
      </c>
      <c r="K12" s="94">
        <v>73</v>
      </c>
      <c r="L12" s="208">
        <v>2617704</v>
      </c>
      <c r="M12" s="33" t="s">
        <v>418</v>
      </c>
      <c r="N12" s="33" t="s">
        <v>418</v>
      </c>
      <c r="O12" s="32"/>
      <c r="P12" s="32"/>
      <c r="Q12" s="98">
        <f>VLOOKUP($A12,'Customer Count by class'!$B$5:$M$14,12,0)</f>
        <v>0.85898709036742804</v>
      </c>
      <c r="R12" s="98">
        <f t="shared" si="0"/>
        <v>0.14101290963257196</v>
      </c>
      <c r="S12" s="98">
        <f t="shared" si="1"/>
        <v>0.5</v>
      </c>
      <c r="T12" s="26">
        <f t="shared" si="2"/>
        <v>0.9</v>
      </c>
      <c r="U12" s="26">
        <f t="shared" si="3"/>
        <v>0.80330442615766917</v>
      </c>
      <c r="V12" s="43">
        <f>VLOOKUP($A12,'Outage by Zone inputs'!$A$4:$E$13,MATCH('Mitigation Projects'!$J19,'Outage by Zone inputs'!$A$3:$E$3,0),0)*Q12*$S12*($K12/SUMIFS($K$4:$K$48,$A$4:$A$48,$A12,$J$4:$J$48,$J12))</f>
        <v>326.76295110209043</v>
      </c>
      <c r="W12" s="43">
        <f>VLOOKUP($A12,'Outage by Zone inputs'!$A$4:$E$13,MATCH('Mitigation Projects'!$J19,'Outage by Zone inputs'!$A$3:$E$3,0),0)*R12*$S12*($K12/SUMIFS($K$4:$K$48,$A$4:$A$48,$A12,$J$4:$J$48,$J12))</f>
        <v>53.642010469938526</v>
      </c>
      <c r="X12" s="25">
        <f t="shared" si="4"/>
        <v>90.521838669904298</v>
      </c>
      <c r="Y12" s="25">
        <f t="shared" si="5"/>
        <v>14.860232475290642</v>
      </c>
      <c r="Z12" s="1">
        <f t="shared" si="6"/>
        <v>1900.9586120679903</v>
      </c>
      <c r="AA12" s="1">
        <f t="shared" si="7"/>
        <v>57732.003166504146</v>
      </c>
      <c r="AB12" s="1">
        <f t="shared" si="11"/>
        <v>59632.961778572135</v>
      </c>
      <c r="AC12" s="25">
        <f>VLOOKUP($A12,'Outage by Zone inputs'!$A$59:$E$68,MATCH('Mitigation Projects'!$J19,'Outage by Zone inputs'!$A$58:$E$58,0),0)*AVG_INCIDENT_PERCENT_NON_STORM</f>
        <v>20.330971234443997</v>
      </c>
      <c r="AD12" s="25">
        <f t="shared" si="8"/>
        <v>4.9804057050819184</v>
      </c>
      <c r="AE12" s="1">
        <f t="shared" si="9"/>
        <v>2350.7514927986654</v>
      </c>
      <c r="AF12" s="1">
        <f t="shared" si="10"/>
        <v>651.21932173294101</v>
      </c>
      <c r="AG12" s="25"/>
      <c r="AH12" s="25"/>
      <c r="AI12" s="25"/>
    </row>
    <row r="13" spans="1:35" x14ac:dyDescent="0.4">
      <c r="A13" s="31" t="s">
        <v>122</v>
      </c>
      <c r="B13" s="31" t="s">
        <v>107</v>
      </c>
      <c r="C13" s="32">
        <v>204900</v>
      </c>
      <c r="D13" s="94" t="s">
        <v>366</v>
      </c>
      <c r="E13" s="94">
        <v>513356</v>
      </c>
      <c r="F13" s="94">
        <v>0</v>
      </c>
      <c r="G13" s="94" t="s">
        <v>37</v>
      </c>
      <c r="H13" s="94" t="s">
        <v>16</v>
      </c>
      <c r="I13" s="94">
        <v>5</v>
      </c>
      <c r="J13" s="94" t="s">
        <v>44</v>
      </c>
      <c r="K13" s="94">
        <v>76</v>
      </c>
      <c r="L13" s="208">
        <v>2891675</v>
      </c>
      <c r="M13" s="33" t="s">
        <v>418</v>
      </c>
      <c r="N13" s="33" t="s">
        <v>418</v>
      </c>
      <c r="O13" s="32"/>
      <c r="P13" s="32"/>
      <c r="Q13" s="98">
        <f>VLOOKUP($A13,'Customer Count by class'!$B$5:$M$14,12,0)</f>
        <v>0.85898709036742804</v>
      </c>
      <c r="R13" s="98">
        <f t="shared" si="0"/>
        <v>0.14101290963257196</v>
      </c>
      <c r="S13" s="98">
        <f t="shared" si="1"/>
        <v>0.5</v>
      </c>
      <c r="T13" s="26">
        <f t="shared" si="2"/>
        <v>0.98</v>
      </c>
      <c r="U13" s="26">
        <f t="shared" si="3"/>
        <v>0.83359200333362127</v>
      </c>
      <c r="V13" s="43">
        <f>VLOOKUP($A13,'Outage by Zone inputs'!$A$4:$E$13,MATCH('Mitigation Projects'!$J44,'Outage by Zone inputs'!$A$3:$E$3,0),0)*Q13*$S13*($K13/SUMIFS($K$4:$K$48,$A$4:$A$48,$A13,$J$4:$J$48,$J13))</f>
        <v>340.19156553094348</v>
      </c>
      <c r="W13" s="43">
        <f>VLOOKUP($A13,'Outage by Zone inputs'!$A$4:$E$13,MATCH('Mitigation Projects'!$J44,'Outage by Zone inputs'!$A$3:$E$3,0),0)*R13*$S13*($K13/SUMIFS($K$4:$K$48,$A$4:$A$48,$A13,$J$4:$J$48,$J13))</f>
        <v>55.846476653634632</v>
      </c>
      <c r="X13" s="25">
        <f t="shared" si="4"/>
        <v>62.28221627536621</v>
      </c>
      <c r="Y13" s="25">
        <f t="shared" si="5"/>
        <v>10.224363827863582</v>
      </c>
      <c r="Z13" s="1">
        <f t="shared" si="6"/>
        <v>1307.9265417826905</v>
      </c>
      <c r="AA13" s="1">
        <f t="shared" si="7"/>
        <v>39721.653471250014</v>
      </c>
      <c r="AB13" s="1">
        <f t="shared" si="11"/>
        <v>41029.580013032704</v>
      </c>
      <c r="AC13" s="25">
        <f>VLOOKUP($A13,'Outage by Zone inputs'!$A$59:$E$68,MATCH('Mitigation Projects'!$J44,'Outage by Zone inputs'!$A$58:$E$58,0),0)*AVG_INCIDENT_PERCENT_NON_STORM</f>
        <v>20.330971234443997</v>
      </c>
      <c r="AD13" s="25">
        <f t="shared" si="8"/>
        <v>5.1850799121400799</v>
      </c>
      <c r="AE13" s="1">
        <f t="shared" si="9"/>
        <v>2447.3577185301178</v>
      </c>
      <c r="AF13" s="1">
        <f t="shared" si="10"/>
        <v>448.06185153586659</v>
      </c>
      <c r="AG13" s="25"/>
      <c r="AH13" s="25"/>
      <c r="AI13" s="25"/>
    </row>
    <row r="14" spans="1:35" x14ac:dyDescent="0.4">
      <c r="A14" s="31" t="s">
        <v>109</v>
      </c>
      <c r="B14" s="31" t="s">
        <v>110</v>
      </c>
      <c r="C14" s="32">
        <v>203325</v>
      </c>
      <c r="D14" s="94" t="s">
        <v>345</v>
      </c>
      <c r="E14" s="94">
        <v>0</v>
      </c>
      <c r="F14" s="94">
        <v>0</v>
      </c>
      <c r="G14" s="94" t="s">
        <v>39</v>
      </c>
      <c r="H14" s="94" t="s">
        <v>15</v>
      </c>
      <c r="I14" s="94">
        <v>2.7</v>
      </c>
      <c r="J14" s="94" t="s">
        <v>42</v>
      </c>
      <c r="K14" s="94">
        <v>569</v>
      </c>
      <c r="L14" s="108">
        <v>2009727</v>
      </c>
      <c r="M14" s="33" t="s">
        <v>245</v>
      </c>
      <c r="N14" s="33" t="s">
        <v>590</v>
      </c>
      <c r="O14" s="32"/>
      <c r="P14" s="32"/>
      <c r="Q14" s="98">
        <f>VLOOKUP($A14,'Customer Count by class'!$B$5:$M$14,12,0)</f>
        <v>0.83087400681044266</v>
      </c>
      <c r="R14" s="98">
        <f t="shared" si="0"/>
        <v>0.16912599318955734</v>
      </c>
      <c r="S14" s="98">
        <f t="shared" si="1"/>
        <v>1</v>
      </c>
      <c r="T14" s="26">
        <f t="shared" si="2"/>
        <v>0.9</v>
      </c>
      <c r="U14" s="26">
        <f t="shared" si="3"/>
        <v>0.80330442615766917</v>
      </c>
      <c r="V14" s="43">
        <f>VLOOKUP($A14,'Outage by Zone inputs'!$A$4:$E$13,MATCH('Mitigation Projects'!$J23,'Outage by Zone inputs'!$A$3:$E$3,0),0)*Q14*$S14*($K14/SUMIFS($K$4:$K$48,$A$4:$A$48,$A14,$J$4:$J$48,$J14))</f>
        <v>86.839747329935761</v>
      </c>
      <c r="W14" s="43">
        <f>VLOOKUP($A14,'Outage by Zone inputs'!$A$4:$E$13,MATCH('Mitigation Projects'!$J23,'Outage by Zone inputs'!$A$3:$E$3,0),0)*R14*$S14*($K14/SUMIFS($K$4:$K$48,$A$4:$A$48,$A14,$J$4:$J$48,$J14))</f>
        <v>17.676396655956871</v>
      </c>
      <c r="X14" s="25">
        <f t="shared" si="4"/>
        <v>24.056869273039837</v>
      </c>
      <c r="Y14" s="25">
        <f t="shared" si="5"/>
        <v>4.8968217509329728</v>
      </c>
      <c r="Z14" s="1">
        <f t="shared" si="6"/>
        <v>505.1942547338366</v>
      </c>
      <c r="AA14" s="1">
        <f t="shared" si="7"/>
        <v>19024.1525023746</v>
      </c>
      <c r="AB14" s="1">
        <f t="shared" si="11"/>
        <v>19529.346757108437</v>
      </c>
      <c r="AC14" s="25">
        <f>VLOOKUP($A14,'Outage by Zone inputs'!$A$59:$E$68,MATCH('Mitigation Projects'!$J23,'Outage by Zone inputs'!$A$58:$E$58,0),0)*AVG_INCIDENT_PERCENT_NON_STORM</f>
        <v>2.3547831532510397</v>
      </c>
      <c r="AD14" s="25">
        <f t="shared" si="8"/>
        <v>0.79564822695952597</v>
      </c>
      <c r="AE14" s="1">
        <f t="shared" si="9"/>
        <v>375.54596312489628</v>
      </c>
      <c r="AF14" s="1">
        <f t="shared" si="10"/>
        <v>104.0360021614097</v>
      </c>
      <c r="AG14" s="8"/>
      <c r="AH14" s="8"/>
      <c r="AI14" s="8"/>
    </row>
    <row r="15" spans="1:35" x14ac:dyDescent="0.4">
      <c r="A15" s="31" t="s">
        <v>109</v>
      </c>
      <c r="B15" s="31" t="s">
        <v>110</v>
      </c>
      <c r="C15" s="32">
        <v>204898</v>
      </c>
      <c r="D15" s="94" t="s">
        <v>364</v>
      </c>
      <c r="E15" s="94">
        <v>616282</v>
      </c>
      <c r="F15" s="94">
        <v>0</v>
      </c>
      <c r="G15" s="94" t="s">
        <v>37</v>
      </c>
      <c r="H15" s="94" t="s">
        <v>16</v>
      </c>
      <c r="I15" s="94">
        <v>3.1</v>
      </c>
      <c r="J15" s="94" t="s">
        <v>44</v>
      </c>
      <c r="K15" s="94">
        <v>106</v>
      </c>
      <c r="L15" s="108">
        <v>1797640</v>
      </c>
      <c r="M15" s="33" t="s">
        <v>418</v>
      </c>
      <c r="N15" s="33" t="s">
        <v>418</v>
      </c>
      <c r="O15" s="32"/>
      <c r="P15" s="32"/>
      <c r="Q15" s="98">
        <f>VLOOKUP($A15,'Customer Count by class'!$B$5:$M$14,12,0)</f>
        <v>0.83087400681044266</v>
      </c>
      <c r="R15" s="98">
        <f t="shared" si="0"/>
        <v>0.16912599318955734</v>
      </c>
      <c r="S15" s="98">
        <f t="shared" si="1"/>
        <v>0.5</v>
      </c>
      <c r="T15" s="26">
        <f t="shared" si="2"/>
        <v>0.98</v>
      </c>
      <c r="U15" s="26">
        <f t="shared" si="3"/>
        <v>0.83359200333362127</v>
      </c>
      <c r="V15" s="43">
        <f>VLOOKUP($A15,'Outage by Zone inputs'!$A$4:$E$13,MATCH('Mitigation Projects'!$J42,'Outage by Zone inputs'!$A$3:$E$3,0),0)*Q15*$S15*($K15/SUMIFS($K$4:$K$48,$A$4:$A$48,$A15,$J$4:$J$48,$J15))</f>
        <v>128.50451186609124</v>
      </c>
      <c r="W15" s="43">
        <f>VLOOKUP($A15,'Outage by Zone inputs'!$A$4:$E$13,MATCH('Mitigation Projects'!$J42,'Outage by Zone inputs'!$A$3:$E$3,0),0)*R15*$S15*($K15/SUMIFS($K$4:$K$48,$A$4:$A$48,$A15,$J$4:$J$48,$J15))</f>
        <v>26.157339163999449</v>
      </c>
      <c r="X15" s="25">
        <f t="shared" si="4"/>
        <v>23.526585051904419</v>
      </c>
      <c r="Y15" s="25">
        <f t="shared" si="5"/>
        <v>4.7888813835160642</v>
      </c>
      <c r="Z15" s="1">
        <f t="shared" si="6"/>
        <v>494.05828608999281</v>
      </c>
      <c r="AA15" s="1">
        <f t="shared" si="7"/>
        <v>18604.804174959911</v>
      </c>
      <c r="AB15" s="1">
        <f t="shared" si="11"/>
        <v>19098.862461049903</v>
      </c>
      <c r="AC15" s="25">
        <f>VLOOKUP($A15,'Outage by Zone inputs'!$A$59:$E$68,MATCH('Mitigation Projects'!$J42,'Outage by Zone inputs'!$A$58:$E$58,0),0)*AVG_INCIDENT_PERCENT_NON_STORM</f>
        <v>2.3547831532510397</v>
      </c>
      <c r="AD15" s="25">
        <f t="shared" si="8"/>
        <v>1.1773915766255199</v>
      </c>
      <c r="AE15" s="1">
        <f t="shared" si="9"/>
        <v>555.72882416724542</v>
      </c>
      <c r="AF15" s="1">
        <f t="shared" si="10"/>
        <v>101.74274239638979</v>
      </c>
      <c r="AG15" s="25"/>
      <c r="AH15" s="25"/>
      <c r="AI15" s="25"/>
    </row>
    <row r="16" spans="1:35" x14ac:dyDescent="0.4">
      <c r="A16" s="31" t="s">
        <v>109</v>
      </c>
      <c r="B16" s="31" t="s">
        <v>110</v>
      </c>
      <c r="C16" s="32">
        <v>205188</v>
      </c>
      <c r="D16" s="94" t="s">
        <v>369</v>
      </c>
      <c r="E16" s="94">
        <v>616175</v>
      </c>
      <c r="F16" s="94">
        <v>0</v>
      </c>
      <c r="G16" s="94" t="s">
        <v>39</v>
      </c>
      <c r="H16" s="94" t="s">
        <v>15</v>
      </c>
      <c r="I16" s="94">
        <v>2.8</v>
      </c>
      <c r="J16" s="94" t="s">
        <v>42</v>
      </c>
      <c r="K16" s="94">
        <v>871</v>
      </c>
      <c r="L16" s="108">
        <v>2073314</v>
      </c>
      <c r="M16" s="33" t="s">
        <v>245</v>
      </c>
      <c r="N16" s="33" t="s">
        <v>590</v>
      </c>
      <c r="O16" s="32" t="s">
        <v>248</v>
      </c>
      <c r="P16" s="32">
        <v>1877</v>
      </c>
      <c r="Q16" s="98">
        <f>VLOOKUP($A16,'Customer Count by class'!$B$5:$M$14,12,0)</f>
        <v>0.83087400681044266</v>
      </c>
      <c r="R16" s="98">
        <f t="shared" si="0"/>
        <v>0.16912599318955734</v>
      </c>
      <c r="S16" s="98">
        <f t="shared" si="1"/>
        <v>1</v>
      </c>
      <c r="T16" s="26">
        <f t="shared" si="2"/>
        <v>0.9</v>
      </c>
      <c r="U16" s="26">
        <f t="shared" si="3"/>
        <v>0.80330442615766917</v>
      </c>
      <c r="V16" s="43">
        <f>VLOOKUP($A16,'Outage by Zone inputs'!$A$4:$E$13,MATCH('Mitigation Projects'!$J47,'Outage by Zone inputs'!$A$3:$E$3,0),0)*Q16*$S16*($K16/SUMIFS($K$4:$K$48,$A$4:$A$48,$A16,$J$4:$J$48,$J16))</f>
        <v>1269.6639205880895</v>
      </c>
      <c r="W16" s="43">
        <f>VLOOKUP($A16,'Outage by Zone inputs'!$A$4:$E$13,MATCH('Mitigation Projects'!$J47,'Outage by Zone inputs'!$A$3:$E$3,0),0)*R16*$S16*($K16/SUMIFS($K$4:$K$48,$A$4:$A$48,$A16,$J$4:$J$48,$J16))</f>
        <v>258.4425193546794</v>
      </c>
      <c r="X16" s="25">
        <f t="shared" si="4"/>
        <v>351.72993816108902</v>
      </c>
      <c r="Y16" s="25">
        <f t="shared" si="5"/>
        <v>71.595301620221662</v>
      </c>
      <c r="Z16" s="1">
        <f t="shared" si="6"/>
        <v>7386.3287013828694</v>
      </c>
      <c r="AA16" s="1">
        <f t="shared" si="7"/>
        <v>278147.74679456116</v>
      </c>
      <c r="AB16" s="1">
        <f t="shared" si="11"/>
        <v>285534.07549594401</v>
      </c>
      <c r="AC16" s="25">
        <f>VLOOKUP($A16,'Outage by Zone inputs'!$A$59:$E$68,MATCH('Mitigation Projects'!$J47,'Outage by Zone inputs'!$A$58:$E$58,0),0)*AVG_INCIDENT_PERCENT_NON_STORM</f>
        <v>1.3614312017488024</v>
      </c>
      <c r="AD16" s="25">
        <f t="shared" si="8"/>
        <v>0.70416067501378077</v>
      </c>
      <c r="AE16" s="1">
        <f t="shared" si="9"/>
        <v>332.36383860650454</v>
      </c>
      <c r="AF16" s="1">
        <f t="shared" si="10"/>
        <v>92.073430223882085</v>
      </c>
      <c r="AG16" s="8">
        <f>IFERROR(VLOOKUP($O16,'Pre_Post mitigation outages'!$B$5:$L$19,11,0),0)*Q16*ICE_VALUE_RES_WTD*0.5</f>
        <v>4838.3640167073918</v>
      </c>
      <c r="AH16" s="8">
        <f>IFERROR(VLOOKUP($O16,'Pre_Post mitigation outages'!$B$5:$L$19,11,0),0)*R16*ICE_VALUE_NONRES_WTD*0.5</f>
        <v>182198.7761209553</v>
      </c>
      <c r="AI16" s="8">
        <f>SUM(AG16:AH16)</f>
        <v>187037.1401376627</v>
      </c>
    </row>
    <row r="17" spans="1:35" x14ac:dyDescent="0.4">
      <c r="A17" s="31" t="s">
        <v>109</v>
      </c>
      <c r="B17" s="31" t="s">
        <v>110</v>
      </c>
      <c r="C17" s="32">
        <v>205534</v>
      </c>
      <c r="D17" s="94" t="s">
        <v>416</v>
      </c>
      <c r="E17" s="94">
        <v>615615</v>
      </c>
      <c r="F17" s="94">
        <v>617660</v>
      </c>
      <c r="G17" s="94" t="s">
        <v>39</v>
      </c>
      <c r="H17" s="94" t="s">
        <v>15</v>
      </c>
      <c r="I17" s="94">
        <v>1.9</v>
      </c>
      <c r="J17" s="94" t="s">
        <v>42</v>
      </c>
      <c r="K17" s="131">
        <v>244</v>
      </c>
      <c r="L17" s="108">
        <v>1400395</v>
      </c>
      <c r="M17" s="33" t="s">
        <v>418</v>
      </c>
      <c r="N17" s="33" t="s">
        <v>418</v>
      </c>
      <c r="O17" s="32" t="s">
        <v>248</v>
      </c>
      <c r="P17" s="32">
        <v>1877</v>
      </c>
      <c r="Q17" s="98">
        <f>VLOOKUP($A17,'Customer Count by class'!$B$5:$M$14,12,0)</f>
        <v>0.83087400681044266</v>
      </c>
      <c r="R17" s="98">
        <f t="shared" si="0"/>
        <v>0.16912599318955734</v>
      </c>
      <c r="S17" s="98">
        <f t="shared" si="1"/>
        <v>1</v>
      </c>
      <c r="T17" s="26">
        <f t="shared" si="2"/>
        <v>0.9</v>
      </c>
      <c r="U17" s="26">
        <f t="shared" si="3"/>
        <v>0.80330442615766917</v>
      </c>
      <c r="V17" s="43">
        <f>VLOOKUP($A17,'Outage by Zone inputs'!$A$4:$E$13,MATCH('Mitigation Projects'!$J48,'Outage by Zone inputs'!$A$3:$E$3,0),0)*Q17*$S17*($K17/SUMIFS($K$4:$K$48,$A$4:$A$48,$A17,$J$4:$J$48,$J17))</f>
        <v>37.238837167845922</v>
      </c>
      <c r="W17" s="43">
        <f>VLOOKUP($A17,'Outage by Zone inputs'!$A$4:$E$13,MATCH('Mitigation Projects'!$J48,'Outage by Zone inputs'!$A$3:$E$3,0),0)*R17*$S17*($K17/SUMIFS($K$4:$K$48,$A$4:$A$48,$A17,$J$4:$J$48,$J17))</f>
        <v>7.5800365273347579</v>
      </c>
      <c r="X17" s="25">
        <f t="shared" si="4"/>
        <v>10.316126718140108</v>
      </c>
      <c r="Y17" s="25">
        <f t="shared" si="5"/>
        <v>2.0998673237744208</v>
      </c>
      <c r="Z17" s="1">
        <f t="shared" si="6"/>
        <v>216.63866108094226</v>
      </c>
      <c r="AA17" s="1">
        <f t="shared" si="7"/>
        <v>8157.9845528636242</v>
      </c>
      <c r="AB17" s="1">
        <f t="shared" si="11"/>
        <v>8374.6232139445674</v>
      </c>
      <c r="AC17" s="25">
        <f>VLOOKUP($A17,'Outage by Zone inputs'!$A$59:$E$68,MATCH('Mitigation Projects'!$J48,'Outage by Zone inputs'!$A$58:$E$58,0),0)*AVG_INCIDENT_PERCENT_NON_STORM</f>
        <v>2.3547831532510397</v>
      </c>
      <c r="AD17" s="25">
        <f t="shared" si="8"/>
        <v>0.34119185830953308</v>
      </c>
      <c r="AE17" s="1">
        <f t="shared" si="9"/>
        <v>161.04255712209962</v>
      </c>
      <c r="AF17" s="1">
        <f t="shared" si="10"/>
        <v>44.612978079760921</v>
      </c>
      <c r="AG17" s="25"/>
      <c r="AH17" s="25"/>
      <c r="AI17" s="25"/>
    </row>
    <row r="18" spans="1:35" x14ac:dyDescent="0.4">
      <c r="A18" s="31" t="s">
        <v>111</v>
      </c>
      <c r="B18" s="31" t="s">
        <v>107</v>
      </c>
      <c r="C18" s="130">
        <v>175351</v>
      </c>
      <c r="D18" s="94" t="s">
        <v>414</v>
      </c>
      <c r="E18" s="94">
        <v>520170</v>
      </c>
      <c r="F18" s="94" t="s">
        <v>144</v>
      </c>
      <c r="G18" s="94" t="s">
        <v>39</v>
      </c>
      <c r="H18" s="94" t="s">
        <v>15</v>
      </c>
      <c r="I18" s="94">
        <v>1.2</v>
      </c>
      <c r="J18" s="94" t="s">
        <v>42</v>
      </c>
      <c r="K18" s="94">
        <v>331</v>
      </c>
      <c r="L18" s="108">
        <v>917484</v>
      </c>
      <c r="M18" s="33" t="s">
        <v>242</v>
      </c>
      <c r="N18" s="33" t="s">
        <v>589</v>
      </c>
      <c r="O18" s="32" t="s">
        <v>108</v>
      </c>
      <c r="P18" s="32">
        <v>792</v>
      </c>
      <c r="Q18" s="98">
        <f>VLOOKUP($A18,'Customer Count by class'!$B$5:$M$14,12,0)</f>
        <v>0.89644970414201186</v>
      </c>
      <c r="R18" s="98">
        <f t="shared" si="0"/>
        <v>0.10355029585798814</v>
      </c>
      <c r="S18" s="98">
        <f t="shared" si="1"/>
        <v>1</v>
      </c>
      <c r="T18" s="26">
        <f t="shared" si="2"/>
        <v>0.9</v>
      </c>
      <c r="U18" s="26">
        <f t="shared" si="3"/>
        <v>0.80330442615766917</v>
      </c>
      <c r="V18" s="43">
        <f>VLOOKUP($A18,'Outage by Zone inputs'!$A$4:$E$13,MATCH('Mitigation Projects'!$J4,'Outage by Zone inputs'!$A$3:$E$3,0),0)*Q18*$S18*($K18/SUMIFS($K$4:$K$48,$A$4:$A$48,$A18,$J$4:$J$48,$J18))</f>
        <v>286.23222370353324</v>
      </c>
      <c r="W18" s="43">
        <f>VLOOKUP($A18,'Outage by Zone inputs'!$A$4:$E$13,MATCH('Mitigation Projects'!$J4,'Outage by Zone inputs'!$A$3:$E$3,0),0)*R18*$S18*($K18/SUMIFS($K$4:$K$48,$A$4:$A$48,$A18,$J$4:$J$48,$J18))</f>
        <v>33.063128150573135</v>
      </c>
      <c r="X18" s="25">
        <f t="shared" si="4"/>
        <v>79.293772714532921</v>
      </c>
      <c r="Y18" s="25">
        <f t="shared" si="5"/>
        <v>9.1593466831968691</v>
      </c>
      <c r="Z18" s="1">
        <f t="shared" si="6"/>
        <v>1665.1692270051913</v>
      </c>
      <c r="AA18" s="1">
        <f t="shared" si="7"/>
        <v>35584.061864219839</v>
      </c>
      <c r="AB18" s="1">
        <f t="shared" si="11"/>
        <v>37249.231091225032</v>
      </c>
      <c r="AC18" s="25">
        <f>VLOOKUP($A18,'Outage by Zone inputs'!$A$59:$E$68,MATCH('Mitigation Projects'!$J4,'Outage by Zone inputs'!$A$58:$E$58,0),0)*AVG_INCIDENT_PERCENT_NON_STORM</f>
        <v>7.0795490566694976</v>
      </c>
      <c r="AD18" s="25">
        <f t="shared" si="8"/>
        <v>4.649465749519055</v>
      </c>
      <c r="AE18" s="1">
        <f t="shared" si="9"/>
        <v>2194.5478337729942</v>
      </c>
      <c r="AF18" s="1">
        <f t="shared" si="10"/>
        <v>607.94684431688029</v>
      </c>
      <c r="AG18" s="8">
        <f>IFERROR(VLOOKUP($O18,'Pre_Post mitigation outages'!$B$5:$L$19,11,0),0)*Q18*ICE_VALUE_RES_WTD</f>
        <v>28940.440033411982</v>
      </c>
      <c r="AH18" s="8">
        <f>IFERROR(VLOOKUP($O18,'Pre_Post mitigation outages'!$B$5:$L$19,11,0),0)*R18*ICE_VALUE_NONRES_WTD</f>
        <v>618446.69708363875</v>
      </c>
      <c r="AI18" s="8">
        <f>SUM(AG18:AH18)</f>
        <v>647387.1371170507</v>
      </c>
    </row>
    <row r="19" spans="1:35" x14ac:dyDescent="0.4">
      <c r="A19" s="31" t="s">
        <v>111</v>
      </c>
      <c r="B19" s="31" t="s">
        <v>107</v>
      </c>
      <c r="C19" s="32">
        <v>201142</v>
      </c>
      <c r="D19" s="94" t="s">
        <v>339</v>
      </c>
      <c r="E19" s="94" t="s">
        <v>418</v>
      </c>
      <c r="F19" s="94" t="s">
        <v>418</v>
      </c>
      <c r="G19" s="94" t="s">
        <v>37</v>
      </c>
      <c r="H19" s="94" t="s">
        <v>16</v>
      </c>
      <c r="I19" s="94">
        <v>1.9</v>
      </c>
      <c r="J19" s="94" t="s">
        <v>44</v>
      </c>
      <c r="K19" s="94">
        <v>122</v>
      </c>
      <c r="L19" s="108">
        <v>1076503</v>
      </c>
      <c r="M19" s="33" t="s">
        <v>418</v>
      </c>
      <c r="N19" s="33" t="s">
        <v>418</v>
      </c>
      <c r="O19" s="32"/>
      <c r="P19" s="32"/>
      <c r="Q19" s="98">
        <f>VLOOKUP($A19,'Customer Count by class'!$B$5:$M$14,12,0)</f>
        <v>0.89644970414201186</v>
      </c>
      <c r="R19" s="98">
        <f t="shared" si="0"/>
        <v>0.10355029585798814</v>
      </c>
      <c r="S19" s="98">
        <f t="shared" si="1"/>
        <v>0.5</v>
      </c>
      <c r="T19" s="26">
        <f t="shared" si="2"/>
        <v>0.98</v>
      </c>
      <c r="U19" s="26">
        <f t="shared" si="3"/>
        <v>0.83359200333362127</v>
      </c>
      <c r="V19" s="43">
        <f>VLOOKUP($A19,'Outage by Zone inputs'!$A$4:$E$13,MATCH('Mitigation Projects'!$J16,'Outage by Zone inputs'!$A$3:$E$3,0),0)*Q19*$S19*($K19/SUMIFS($K$4:$K$48,$A$4:$A$48,$A19,$J$4:$J$48,$J19))</f>
        <v>317.51004450707495</v>
      </c>
      <c r="W19" s="43">
        <f>VLOOKUP($A19,'Outage by Zone inputs'!$A$4:$E$13,MATCH('Mitigation Projects'!$J16,'Outage by Zone inputs'!$A$3:$E$3,0),0)*R19*$S19*($K19/SUMIFS($K$4:$K$48,$A$4:$A$48,$A19,$J$4:$J$48,$J19))</f>
        <v>36.676077748341982</v>
      </c>
      <c r="X19" s="25">
        <f t="shared" si="4"/>
        <v>58.129687109459091</v>
      </c>
      <c r="Y19" s="25">
        <f t="shared" si="5"/>
        <v>6.7146503261751409</v>
      </c>
      <c r="Z19" s="1">
        <f t="shared" si="6"/>
        <v>1220.7234292986409</v>
      </c>
      <c r="AA19" s="1">
        <f t="shared" si="7"/>
        <v>26086.416517190424</v>
      </c>
      <c r="AB19" s="1">
        <f t="shared" si="11"/>
        <v>27307.139946489064</v>
      </c>
      <c r="AC19" s="25">
        <f>VLOOKUP($A19,'Outage by Zone inputs'!$A$59:$E$68,MATCH('Mitigation Projects'!$J16,'Outage by Zone inputs'!$A$58:$E$58,0),0)*AVG_INCIDENT_PERCENT_NON_STORM</f>
        <v>3.2948240521541896</v>
      </c>
      <c r="AD19" s="25">
        <f t="shared" si="8"/>
        <v>1.1165792621189199</v>
      </c>
      <c r="AE19" s="1">
        <f t="shared" si="9"/>
        <v>527.02541172013014</v>
      </c>
      <c r="AF19" s="1">
        <f t="shared" si="10"/>
        <v>96.487726331890499</v>
      </c>
      <c r="AG19" s="25"/>
      <c r="AH19" s="25"/>
      <c r="AI19" s="25"/>
    </row>
    <row r="20" spans="1:35" x14ac:dyDescent="0.4">
      <c r="A20" s="31" t="s">
        <v>111</v>
      </c>
      <c r="B20" s="31" t="s">
        <v>107</v>
      </c>
      <c r="C20" s="32">
        <v>202178</v>
      </c>
      <c r="D20" s="94" t="s">
        <v>343</v>
      </c>
      <c r="E20" s="94">
        <v>521921</v>
      </c>
      <c r="F20" s="94">
        <v>654678</v>
      </c>
      <c r="G20" s="94" t="s">
        <v>39</v>
      </c>
      <c r="H20" s="94" t="s">
        <v>15</v>
      </c>
      <c r="I20" s="94">
        <v>5.5</v>
      </c>
      <c r="J20" s="94" t="s">
        <v>42</v>
      </c>
      <c r="K20" s="94">
        <v>173</v>
      </c>
      <c r="L20" s="108">
        <v>4138361</v>
      </c>
      <c r="M20" s="33" t="s">
        <v>242</v>
      </c>
      <c r="N20" s="33" t="s">
        <v>589</v>
      </c>
      <c r="O20" s="32"/>
      <c r="P20" s="32"/>
      <c r="Q20" s="98">
        <f>VLOOKUP($A20,'Customer Count by class'!$B$5:$M$14,12,0)</f>
        <v>0.89644970414201186</v>
      </c>
      <c r="R20" s="98">
        <f t="shared" si="0"/>
        <v>0.10355029585798814</v>
      </c>
      <c r="S20" s="98">
        <f t="shared" si="1"/>
        <v>1</v>
      </c>
      <c r="T20" s="26">
        <f t="shared" si="2"/>
        <v>0.9</v>
      </c>
      <c r="U20" s="26">
        <f t="shared" si="3"/>
        <v>0.80330442615766917</v>
      </c>
      <c r="V20" s="43">
        <f>VLOOKUP($A20,'Outage by Zone inputs'!$A$4:$E$13,MATCH('Mitigation Projects'!$J21,'Outage by Zone inputs'!$A$3:$E$3,0),0)*Q20*$S20*($K20/SUMIFS($K$4:$K$48,$A$4:$A$48,$A20,$J$4:$J$48,$J20))</f>
        <v>149.60173625592523</v>
      </c>
      <c r="W20" s="43">
        <f>VLOOKUP($A20,'Outage by Zone inputs'!$A$4:$E$13,MATCH('Mitigation Projects'!$J21,'Outage by Zone inputs'!$A$3:$E$3,0),0)*R20*$S20*($K20/SUMIFS($K$4:$K$48,$A$4:$A$48,$A20,$J$4:$J$48,$J20))</f>
        <v>17.2807286104204</v>
      </c>
      <c r="X20" s="25">
        <f t="shared" si="4"/>
        <v>41.443573050193947</v>
      </c>
      <c r="Y20" s="25">
        <f t="shared" si="5"/>
        <v>4.7872114084382424</v>
      </c>
      <c r="Z20" s="1">
        <f t="shared" si="6"/>
        <v>870.31503405407284</v>
      </c>
      <c r="AA20" s="1">
        <f t="shared" si="7"/>
        <v>18598.316321782571</v>
      </c>
      <c r="AB20" s="1">
        <f t="shared" si="11"/>
        <v>19468.631355836646</v>
      </c>
      <c r="AC20" s="25">
        <f>VLOOKUP($A20,'Outage by Zone inputs'!$A$59:$E$68,MATCH('Mitigation Projects'!$J21,'Outage by Zone inputs'!$A$58:$E$58,0),0)*AVG_INCIDENT_PERCENT_NON_STORM</f>
        <v>7.0795490566694976</v>
      </c>
      <c r="AD20" s="25">
        <f t="shared" si="8"/>
        <v>2.4300833071504426</v>
      </c>
      <c r="AE20" s="1">
        <f t="shared" si="9"/>
        <v>1146.9993209750089</v>
      </c>
      <c r="AF20" s="1">
        <f t="shared" si="10"/>
        <v>317.7486527698498</v>
      </c>
      <c r="AG20" s="25"/>
      <c r="AH20" s="25"/>
      <c r="AI20" s="25"/>
    </row>
    <row r="21" spans="1:35" x14ac:dyDescent="0.4">
      <c r="A21" s="31" t="s">
        <v>111</v>
      </c>
      <c r="B21" s="31" t="s">
        <v>107</v>
      </c>
      <c r="C21" s="32">
        <v>204894</v>
      </c>
      <c r="D21" s="94" t="s">
        <v>360</v>
      </c>
      <c r="E21" s="94">
        <v>528262</v>
      </c>
      <c r="F21" s="94">
        <v>0</v>
      </c>
      <c r="G21" s="94" t="s">
        <v>37</v>
      </c>
      <c r="H21" s="94" t="s">
        <v>16</v>
      </c>
      <c r="I21" s="94">
        <v>2.5</v>
      </c>
      <c r="J21" s="94" t="s">
        <v>44</v>
      </c>
      <c r="K21" s="94">
        <v>58</v>
      </c>
      <c r="L21" s="108">
        <v>1445839</v>
      </c>
      <c r="M21" s="33" t="s">
        <v>418</v>
      </c>
      <c r="N21" s="33" t="s">
        <v>418</v>
      </c>
      <c r="O21" s="32"/>
      <c r="P21" s="32"/>
      <c r="Q21" s="98">
        <f>VLOOKUP($A21,'Customer Count by class'!$B$5:$M$14,12,0)</f>
        <v>0.89644970414201186</v>
      </c>
      <c r="R21" s="98">
        <f t="shared" si="0"/>
        <v>0.10355029585798814</v>
      </c>
      <c r="S21" s="98">
        <f t="shared" si="1"/>
        <v>0.5</v>
      </c>
      <c r="T21" s="26">
        <f t="shared" si="2"/>
        <v>0.98</v>
      </c>
      <c r="U21" s="26">
        <f t="shared" si="3"/>
        <v>0.83359200333362127</v>
      </c>
      <c r="V21" s="43">
        <f>VLOOKUP($A21,'Outage by Zone inputs'!$A$4:$E$13,MATCH('Mitigation Projects'!$J38,'Outage by Zone inputs'!$A$3:$E$3,0),0)*Q21*$S21*($K21/SUMIFS($K$4:$K$48,$A$4:$A$48,$A21,$J$4:$J$48,$J21))</f>
        <v>70.217693549023863</v>
      </c>
      <c r="W21" s="43">
        <f>VLOOKUP($A21,'Outage by Zone inputs'!$A$4:$E$13,MATCH('Mitigation Projects'!$J38,'Outage by Zone inputs'!$A$3:$E$3,0),0)*R21*$S21*($K21/SUMIFS($K$4:$K$48,$A$4:$A$48,$A21,$J$4:$J$48,$J21))</f>
        <v>8.1109547003822922</v>
      </c>
      <c r="X21" s="25">
        <f t="shared" si="4"/>
        <v>12.85544387072671</v>
      </c>
      <c r="Y21" s="25">
        <f t="shared" si="5"/>
        <v>1.4849522622951641</v>
      </c>
      <c r="Z21" s="1">
        <f t="shared" si="6"/>
        <v>269.96432128526089</v>
      </c>
      <c r="AA21" s="1">
        <f t="shared" si="7"/>
        <v>5769.0395390167123</v>
      </c>
      <c r="AB21" s="1">
        <f t="shared" si="11"/>
        <v>6039.003860301973</v>
      </c>
      <c r="AC21" s="25">
        <f>VLOOKUP($A21,'Outage by Zone inputs'!$A$59:$E$68,MATCH('Mitigation Projects'!$J38,'Outage by Zone inputs'!$A$58:$E$58,0),0)*AVG_INCIDENT_PERCENT_NON_STORM</f>
        <v>7.0795490566694976</v>
      </c>
      <c r="AD21" s="25">
        <f t="shared" si="8"/>
        <v>1.1405940146856413</v>
      </c>
      <c r="AE21" s="1">
        <f t="shared" si="9"/>
        <v>538.36037493162269</v>
      </c>
      <c r="AF21" s="1">
        <f t="shared" si="10"/>
        <v>98.5629295460257</v>
      </c>
      <c r="AG21" s="25"/>
      <c r="AH21" s="25"/>
      <c r="AI21" s="25"/>
    </row>
    <row r="22" spans="1:35" x14ac:dyDescent="0.4">
      <c r="A22" s="31" t="s">
        <v>112</v>
      </c>
      <c r="B22" s="31" t="s">
        <v>113</v>
      </c>
      <c r="C22" s="32">
        <v>199297</v>
      </c>
      <c r="D22" s="94" t="s">
        <v>331</v>
      </c>
      <c r="E22" s="94">
        <v>554333</v>
      </c>
      <c r="F22" s="94">
        <v>554331</v>
      </c>
      <c r="G22" s="94" t="s">
        <v>39</v>
      </c>
      <c r="H22" s="94" t="s">
        <v>15</v>
      </c>
      <c r="I22" s="94">
        <v>3.3</v>
      </c>
      <c r="J22" s="94" t="s">
        <v>43</v>
      </c>
      <c r="K22" s="94">
        <v>254</v>
      </c>
      <c r="L22" s="108">
        <v>2456234</v>
      </c>
      <c r="M22" s="33" t="s">
        <v>418</v>
      </c>
      <c r="N22" s="33" t="s">
        <v>418</v>
      </c>
      <c r="O22" s="32"/>
      <c r="P22" s="32"/>
      <c r="Q22" s="98">
        <f>VLOOKUP($A22,'Customer Count by class'!$B$5:$M$14,12,0)</f>
        <v>0.89446185997910133</v>
      </c>
      <c r="R22" s="98">
        <f t="shared" si="0"/>
        <v>0.10553814002089867</v>
      </c>
      <c r="S22" s="98">
        <f t="shared" si="1"/>
        <v>1</v>
      </c>
      <c r="T22" s="26">
        <f t="shared" si="2"/>
        <v>0.9</v>
      </c>
      <c r="U22" s="26">
        <f t="shared" si="3"/>
        <v>0.80330442615766917</v>
      </c>
      <c r="V22" s="43">
        <f>VLOOKUP($A22,'Outage by Zone inputs'!$A$4:$E$13,MATCH('Mitigation Projects'!$J6,'Outage by Zone inputs'!$A$3:$E$3,0),0)*Q22*$S22*($K22/SUMIFS($K$4:$K$48,$A$4:$A$48,$A22,$J$4:$J$48,$J22))</f>
        <v>1645.9348927989045</v>
      </c>
      <c r="W22" s="43">
        <f>VLOOKUP($A22,'Outage by Zone inputs'!$A$4:$E$13,MATCH('Mitigation Projects'!$J6,'Outage by Zone inputs'!$A$3:$E$3,0),0)*R22*$S22*($K22/SUMIFS($K$4:$K$48,$A$4:$A$48,$A22,$J$4:$J$48,$J22))</f>
        <v>194.20493478117922</v>
      </c>
      <c r="X22" s="25">
        <f t="shared" si="4"/>
        <v>455.96678670146667</v>
      </c>
      <c r="Y22" s="25">
        <f t="shared" si="5"/>
        <v>53.799819458934756</v>
      </c>
      <c r="Z22" s="1">
        <f t="shared" si="6"/>
        <v>9575.3025207308001</v>
      </c>
      <c r="AA22" s="1">
        <f t="shared" si="7"/>
        <v>209012.29859796152</v>
      </c>
      <c r="AB22" s="1">
        <f t="shared" si="11"/>
        <v>218587.60111869231</v>
      </c>
      <c r="AC22" s="25">
        <f>VLOOKUP($A22,'Outage by Zone inputs'!$A$59:$E$68,MATCH('Mitigation Projects'!$J6,'Outage by Zone inputs'!$A$58:$E$58,0),0)*AVG_INCIDENT_PERCENT_NON_STORM</f>
        <v>39.400316239898757</v>
      </c>
      <c r="AD22" s="25">
        <f t="shared" si="8"/>
        <v>17.557333903393481</v>
      </c>
      <c r="AE22" s="1">
        <f t="shared" si="9"/>
        <v>8287.0616024017236</v>
      </c>
      <c r="AF22" s="1">
        <f t="shared" si="10"/>
        <v>2295.7316638562102</v>
      </c>
      <c r="AG22" s="25"/>
      <c r="AH22" s="25"/>
      <c r="AI22" s="25"/>
    </row>
    <row r="23" spans="1:35" x14ac:dyDescent="0.4">
      <c r="A23" s="31" t="s">
        <v>112</v>
      </c>
      <c r="B23" s="31" t="s">
        <v>113</v>
      </c>
      <c r="C23" s="32">
        <v>199616</v>
      </c>
      <c r="D23" s="94" t="s">
        <v>335</v>
      </c>
      <c r="E23" s="94">
        <v>556104</v>
      </c>
      <c r="F23" s="94">
        <v>0</v>
      </c>
      <c r="G23" s="94" t="s">
        <v>37</v>
      </c>
      <c r="H23" s="94" t="s">
        <v>15</v>
      </c>
      <c r="I23" s="94">
        <v>2.5</v>
      </c>
      <c r="J23" s="94" t="s">
        <v>44</v>
      </c>
      <c r="K23" s="94">
        <v>363</v>
      </c>
      <c r="L23" s="108">
        <v>1258653</v>
      </c>
      <c r="M23" s="33" t="s">
        <v>418</v>
      </c>
      <c r="N23" s="33" t="s">
        <v>418</v>
      </c>
      <c r="O23" s="32"/>
      <c r="P23" s="32"/>
      <c r="Q23" s="98">
        <f>VLOOKUP($A23,'Customer Count by class'!$B$5:$M$14,12,0)</f>
        <v>0.89446185997910133</v>
      </c>
      <c r="R23" s="98">
        <f t="shared" si="0"/>
        <v>0.10553814002089867</v>
      </c>
      <c r="S23" s="98">
        <f t="shared" si="1"/>
        <v>0.5</v>
      </c>
      <c r="T23" s="26">
        <f t="shared" si="2"/>
        <v>0.9</v>
      </c>
      <c r="U23" s="26">
        <f t="shared" si="3"/>
        <v>0.80330442615766917</v>
      </c>
      <c r="V23" s="43">
        <f>VLOOKUP($A23,'Outage by Zone inputs'!$A$4:$E$13,MATCH('Mitigation Projects'!$J12,'Outage by Zone inputs'!$A$3:$E$3,0),0)*Q23*$S23*($K23/SUMIFS($K$4:$K$48,$A$4:$A$48,$A23,$J$4:$J$48,$J23))</f>
        <v>548.60430923396098</v>
      </c>
      <c r="W23" s="43">
        <f>VLOOKUP($A23,'Outage by Zone inputs'!$A$4:$E$13,MATCH('Mitigation Projects'!$J12,'Outage by Zone inputs'!$A$3:$E$3,0),0)*R23*$S23*($K23/SUMIFS($K$4:$K$48,$A$4:$A$48,$A23,$J$4:$J$48,$J23))</f>
        <v>64.730181346530458</v>
      </c>
      <c r="X23" s="25">
        <f t="shared" si="4"/>
        <v>151.97766639883062</v>
      </c>
      <c r="Y23" s="25">
        <f t="shared" si="5"/>
        <v>17.931944283039599</v>
      </c>
      <c r="Z23" s="1">
        <f t="shared" si="6"/>
        <v>3191.5309943754432</v>
      </c>
      <c r="AA23" s="1">
        <f t="shared" si="7"/>
        <v>69665.603539608841</v>
      </c>
      <c r="AB23" s="1">
        <f t="shared" si="11"/>
        <v>72857.134533984281</v>
      </c>
      <c r="AC23" s="25">
        <f>VLOOKUP($A23,'Outage by Zone inputs'!$A$59:$E$68,MATCH('Mitigation Projects'!$J12,'Outage by Zone inputs'!$A$58:$E$58,0),0)*AVG_INCIDENT_PERCENT_NON_STORM</f>
        <v>39.400316239898757</v>
      </c>
      <c r="AD23" s="25">
        <f t="shared" si="8"/>
        <v>5.8520109636183504</v>
      </c>
      <c r="AE23" s="1">
        <f t="shared" si="9"/>
        <v>2762.1491748278613</v>
      </c>
      <c r="AF23" s="1">
        <f t="shared" si="10"/>
        <v>765.18718276558423</v>
      </c>
      <c r="AG23" s="25"/>
      <c r="AH23" s="25"/>
      <c r="AI23" s="25"/>
    </row>
    <row r="24" spans="1:35" x14ac:dyDescent="0.4">
      <c r="A24" s="31" t="s">
        <v>112</v>
      </c>
      <c r="B24" s="31" t="s">
        <v>113</v>
      </c>
      <c r="C24" s="32">
        <v>199621</v>
      </c>
      <c r="D24" s="94" t="s">
        <v>336</v>
      </c>
      <c r="E24" s="94">
        <v>472083</v>
      </c>
      <c r="F24" s="94">
        <v>0</v>
      </c>
      <c r="G24" s="94" t="s">
        <v>37</v>
      </c>
      <c r="H24" s="94" t="s">
        <v>15</v>
      </c>
      <c r="I24" s="94">
        <v>4.75</v>
      </c>
      <c r="J24" s="94" t="s">
        <v>44</v>
      </c>
      <c r="K24" s="94">
        <v>43</v>
      </c>
      <c r="L24" s="108">
        <v>2385224</v>
      </c>
      <c r="M24" s="33" t="s">
        <v>418</v>
      </c>
      <c r="N24" s="33" t="s">
        <v>418</v>
      </c>
      <c r="O24" s="32"/>
      <c r="P24" s="32"/>
      <c r="Q24" s="98">
        <f>VLOOKUP($A24,'Customer Count by class'!$B$5:$M$14,12,0)</f>
        <v>0.89446185997910133</v>
      </c>
      <c r="R24" s="98">
        <f t="shared" si="0"/>
        <v>0.10553814002089867</v>
      </c>
      <c r="S24" s="98">
        <f t="shared" si="1"/>
        <v>0.5</v>
      </c>
      <c r="T24" s="26">
        <f t="shared" si="2"/>
        <v>0.9</v>
      </c>
      <c r="U24" s="26">
        <f t="shared" si="3"/>
        <v>0.80330442615766917</v>
      </c>
      <c r="V24" s="43">
        <f>VLOOKUP($A24,'Outage by Zone inputs'!$A$4:$E$13,MATCH('Mitigation Projects'!$J13,'Outage by Zone inputs'!$A$3:$E$3,0),0)*Q24*$S24*($K24/SUMIFS($K$4:$K$48,$A$4:$A$48,$A24,$J$4:$J$48,$J24))</f>
        <v>64.986185391350745</v>
      </c>
      <c r="W24" s="43">
        <f>VLOOKUP($A24,'Outage by Zone inputs'!$A$4:$E$13,MATCH('Mitigation Projects'!$J13,'Outage by Zone inputs'!$A$3:$E$3,0),0)*R24*$S24*($K24/SUMIFS($K$4:$K$48,$A$4:$A$48,$A24,$J$4:$J$48,$J24))</f>
        <v>7.6677625286523687</v>
      </c>
      <c r="X24" s="25">
        <f t="shared" si="4"/>
        <v>18.002864063773323</v>
      </c>
      <c r="Y24" s="25">
        <f t="shared" si="5"/>
        <v>2.1241697084592364</v>
      </c>
      <c r="Z24" s="1">
        <f t="shared" si="6"/>
        <v>378.0601453392398</v>
      </c>
      <c r="AA24" s="1">
        <f t="shared" si="7"/>
        <v>8252.3993173641338</v>
      </c>
      <c r="AB24" s="1">
        <f t="shared" si="11"/>
        <v>8630.459462703373</v>
      </c>
      <c r="AC24" s="25">
        <f>VLOOKUP($A24,'Outage by Zone inputs'!$A$59:$E$68,MATCH('Mitigation Projects'!$J13,'Outage by Zone inputs'!$A$58:$E$58,0),0)*AVG_INCIDENT_PERCENT_NON_STORM</f>
        <v>39.400316239898757</v>
      </c>
      <c r="AD24" s="25">
        <f t="shared" si="8"/>
        <v>0.69321341993275232</v>
      </c>
      <c r="AE24" s="1">
        <f t="shared" si="9"/>
        <v>327.1967342082591</v>
      </c>
      <c r="AF24" s="1">
        <f t="shared" si="10"/>
        <v>90.642007875813022</v>
      </c>
      <c r="AG24" s="25"/>
      <c r="AH24" s="25"/>
      <c r="AI24" s="25"/>
    </row>
    <row r="25" spans="1:35" x14ac:dyDescent="0.4">
      <c r="A25" s="31" t="s">
        <v>112</v>
      </c>
      <c r="B25" s="31" t="s">
        <v>113</v>
      </c>
      <c r="C25" s="32">
        <v>201143</v>
      </c>
      <c r="D25" s="94" t="s">
        <v>340</v>
      </c>
      <c r="E25" s="94">
        <v>498311</v>
      </c>
      <c r="F25" s="94">
        <v>0</v>
      </c>
      <c r="G25" s="94" t="s">
        <v>37</v>
      </c>
      <c r="H25" s="94" t="s">
        <v>16</v>
      </c>
      <c r="I25" s="94">
        <v>4.25</v>
      </c>
      <c r="J25" s="94" t="s">
        <v>44</v>
      </c>
      <c r="K25" s="94">
        <v>170</v>
      </c>
      <c r="L25" s="108">
        <v>2458013</v>
      </c>
      <c r="M25" s="33" t="s">
        <v>418</v>
      </c>
      <c r="N25" s="33" t="s">
        <v>418</v>
      </c>
      <c r="O25" s="32"/>
      <c r="P25" s="32"/>
      <c r="Q25" s="98">
        <f>VLOOKUP($A25,'Customer Count by class'!$B$5:$M$14,12,0)</f>
        <v>0.89446185997910133</v>
      </c>
      <c r="R25" s="98">
        <f t="shared" si="0"/>
        <v>0.10553814002089867</v>
      </c>
      <c r="S25" s="98">
        <f t="shared" si="1"/>
        <v>0.5</v>
      </c>
      <c r="T25" s="26">
        <f t="shared" si="2"/>
        <v>0.98</v>
      </c>
      <c r="U25" s="26">
        <f t="shared" si="3"/>
        <v>0.83359200333362127</v>
      </c>
      <c r="V25" s="43">
        <f>VLOOKUP($A25,'Outage by Zone inputs'!$A$4:$E$13,MATCH('Mitigation Projects'!$J17,'Outage by Zone inputs'!$A$3:$E$3,0),0)*Q25*$S25*($K25/SUMIFS($K$4:$K$48,$A$4:$A$48,$A25,$J$4:$J$48,$J25))</f>
        <v>416.94248238491258</v>
      </c>
      <c r="W25" s="43">
        <f>VLOOKUP($A25,'Outage by Zone inputs'!$A$4:$E$13,MATCH('Mitigation Projects'!$J17,'Outage by Zone inputs'!$A$3:$E$3,0),0)*R25*$S25*($K25/SUMIFS($K$4:$K$48,$A$4:$A$48,$A25,$J$4:$J$48,$J25))</f>
        <v>49.19531626270583</v>
      </c>
      <c r="X25" s="25">
        <f t="shared" si="4"/>
        <v>76.333761602102854</v>
      </c>
      <c r="Y25" s="25">
        <f t="shared" si="5"/>
        <v>9.0066704694070001</v>
      </c>
      <c r="Z25" s="1">
        <f t="shared" si="6"/>
        <v>1603.00899364416</v>
      </c>
      <c r="AA25" s="1">
        <f t="shared" si="7"/>
        <v>34990.914773646196</v>
      </c>
      <c r="AB25" s="1">
        <f t="shared" si="11"/>
        <v>36593.923767290355</v>
      </c>
      <c r="AC25" s="25">
        <f>VLOOKUP($A25,'Outage by Zone inputs'!$A$59:$E$68,MATCH('Mitigation Projects'!$J17,'Outage by Zone inputs'!$A$58:$E$58,0),0)*AVG_INCIDENT_PERCENT_NON_STORM</f>
        <v>25.522239697781917</v>
      </c>
      <c r="AD25" s="25">
        <f t="shared" si="8"/>
        <v>1.7752785387164181</v>
      </c>
      <c r="AE25" s="1">
        <f t="shared" si="9"/>
        <v>837.93147027414932</v>
      </c>
      <c r="AF25" s="1">
        <f t="shared" si="10"/>
        <v>153.40835677127677</v>
      </c>
      <c r="AG25" s="25"/>
      <c r="AH25" s="25"/>
      <c r="AI25" s="25"/>
    </row>
    <row r="26" spans="1:35" x14ac:dyDescent="0.4">
      <c r="A26" s="31" t="s">
        <v>112</v>
      </c>
      <c r="B26" s="31" t="s">
        <v>113</v>
      </c>
      <c r="C26" s="32">
        <v>201149</v>
      </c>
      <c r="D26" s="94" t="s">
        <v>341</v>
      </c>
      <c r="E26" s="94">
        <v>476653</v>
      </c>
      <c r="F26" s="94">
        <v>0</v>
      </c>
      <c r="G26" s="94" t="s">
        <v>37</v>
      </c>
      <c r="H26" s="94" t="s">
        <v>16</v>
      </c>
      <c r="I26" s="94">
        <v>4.3499999999999996</v>
      </c>
      <c r="J26" s="94" t="s">
        <v>44</v>
      </c>
      <c r="K26" s="94">
        <v>194</v>
      </c>
      <c r="L26" s="108">
        <v>2515767</v>
      </c>
      <c r="M26" s="33" t="s">
        <v>418</v>
      </c>
      <c r="N26" s="33" t="s">
        <v>418</v>
      </c>
      <c r="O26" s="32"/>
      <c r="P26" s="32"/>
      <c r="Q26" s="98">
        <f>VLOOKUP($A26,'Customer Count by class'!$B$5:$M$14,12,0)</f>
        <v>0.89446185997910133</v>
      </c>
      <c r="R26" s="98">
        <f t="shared" si="0"/>
        <v>0.10553814002089867</v>
      </c>
      <c r="S26" s="98">
        <f t="shared" si="1"/>
        <v>0.5</v>
      </c>
      <c r="T26" s="26">
        <f t="shared" si="2"/>
        <v>0.98</v>
      </c>
      <c r="U26" s="26">
        <f t="shared" si="3"/>
        <v>0.83359200333362127</v>
      </c>
      <c r="V26" s="43">
        <f>VLOOKUP($A26,'Outage by Zone inputs'!$A$4:$E$13,MATCH('Mitigation Projects'!$J18,'Outage by Zone inputs'!$A$3:$E$3,0),0)*Q26*$S26*($K26/SUMIFS($K$4:$K$48,$A$4:$A$48,$A26,$J$4:$J$48,$J26))</f>
        <v>475.80495048631201</v>
      </c>
      <c r="W26" s="43">
        <f>VLOOKUP($A26,'Outage by Zone inputs'!$A$4:$E$13,MATCH('Mitigation Projects'!$J18,'Outage by Zone inputs'!$A$3:$E$3,0),0)*R26*$S26*($K26/SUMIFS($K$4:$K$48,$A$4:$A$48,$A26,$J$4:$J$48,$J26))</f>
        <v>56.140537382146654</v>
      </c>
      <c r="X26" s="25">
        <f t="shared" si="4"/>
        <v>87.110292651811505</v>
      </c>
      <c r="Y26" s="25">
        <f t="shared" si="5"/>
        <v>10.278200418029165</v>
      </c>
      <c r="Z26" s="1">
        <f t="shared" si="6"/>
        <v>1829.3161456880416</v>
      </c>
      <c r="AA26" s="1">
        <f t="shared" si="7"/>
        <v>39930.808624043304</v>
      </c>
      <c r="AB26" s="1">
        <f t="shared" si="11"/>
        <v>41760.124769731345</v>
      </c>
      <c r="AC26" s="25">
        <f>VLOOKUP($A26,'Outage by Zone inputs'!$A$59:$E$68,MATCH('Mitigation Projects'!$J18,'Outage by Zone inputs'!$A$58:$E$58,0),0)*AVG_INCIDENT_PERCENT_NON_STORM</f>
        <v>25.522239697781917</v>
      </c>
      <c r="AD26" s="25">
        <f t="shared" si="8"/>
        <v>2.0259060971234417</v>
      </c>
      <c r="AE26" s="1">
        <f t="shared" si="9"/>
        <v>956.22767784226448</v>
      </c>
      <c r="AF26" s="1">
        <f t="shared" si="10"/>
        <v>175.06600713898644</v>
      </c>
      <c r="AG26" s="25"/>
      <c r="AH26" s="25"/>
      <c r="AI26" s="25"/>
    </row>
    <row r="27" spans="1:35" x14ac:dyDescent="0.4">
      <c r="A27" s="31" t="s">
        <v>112</v>
      </c>
      <c r="B27" s="31" t="s">
        <v>113</v>
      </c>
      <c r="C27" s="32">
        <v>203953</v>
      </c>
      <c r="D27" s="94" t="s">
        <v>350</v>
      </c>
      <c r="E27" s="94">
        <v>555745</v>
      </c>
      <c r="F27" s="94">
        <v>555590</v>
      </c>
      <c r="G27" s="94" t="s">
        <v>37</v>
      </c>
      <c r="H27" s="94" t="s">
        <v>16</v>
      </c>
      <c r="I27" s="94">
        <v>2</v>
      </c>
      <c r="J27" s="94" t="s">
        <v>44</v>
      </c>
      <c r="K27" s="94">
        <v>84</v>
      </c>
      <c r="L27" s="108">
        <v>1156671</v>
      </c>
      <c r="M27" s="33" t="s">
        <v>418</v>
      </c>
      <c r="N27" s="33" t="s">
        <v>418</v>
      </c>
      <c r="O27" s="32"/>
      <c r="P27" s="32"/>
      <c r="Q27" s="98">
        <f>VLOOKUP($A27,'Customer Count by class'!$B$5:$M$14,12,0)</f>
        <v>0.89446185997910133</v>
      </c>
      <c r="R27" s="98">
        <f t="shared" si="0"/>
        <v>0.10553814002089867</v>
      </c>
      <c r="S27" s="98">
        <f t="shared" si="1"/>
        <v>0.5</v>
      </c>
      <c r="T27" s="26">
        <f t="shared" si="2"/>
        <v>0.98</v>
      </c>
      <c r="U27" s="26">
        <f t="shared" si="3"/>
        <v>0.83359200333362127</v>
      </c>
      <c r="V27" s="43">
        <f>VLOOKUP($A27,'Outage by Zone inputs'!$A$4:$E$13,MATCH('Mitigation Projects'!$J28,'Outage by Zone inputs'!$A$3:$E$3,0),0)*Q27*$S27*($K27/SUMIFS($K$4:$K$48,$A$4:$A$48,$A27,$J$4:$J$48,$J27))</f>
        <v>126.94975750868517</v>
      </c>
      <c r="W27" s="43">
        <f>VLOOKUP($A27,'Outage by Zone inputs'!$A$4:$E$13,MATCH('Mitigation Projects'!$J28,'Outage by Zone inputs'!$A$3:$E$3,0),0)*R27*$S27*($K27/SUMIFS($K$4:$K$48,$A$4:$A$48,$A27,$J$4:$J$48,$J27))</f>
        <v>14.978884939692998</v>
      </c>
      <c r="X27" s="25">
        <f t="shared" si="4"/>
        <v>23.241940877990519</v>
      </c>
      <c r="Y27" s="25">
        <f t="shared" si="5"/>
        <v>2.7423318092021529</v>
      </c>
      <c r="Z27" s="1">
        <f t="shared" si="6"/>
        <v>488.08075843780091</v>
      </c>
      <c r="AA27" s="1">
        <f t="shared" si="7"/>
        <v>10653.959078750364</v>
      </c>
      <c r="AB27" s="1">
        <f t="shared" si="11"/>
        <v>11142.039837188166</v>
      </c>
      <c r="AC27" s="25">
        <f>VLOOKUP($A27,'Outage by Zone inputs'!$A$59:$E$68,MATCH('Mitigation Projects'!$J28,'Outage by Zone inputs'!$A$58:$E$58,0),0)*AVG_INCIDENT_PERCENT_NON_STORM</f>
        <v>39.400316239898757</v>
      </c>
      <c r="AD27" s="25">
        <f t="shared" si="8"/>
        <v>1.3541843552174695</v>
      </c>
      <c r="AE27" s="1">
        <f t="shared" si="9"/>
        <v>639.17501566264559</v>
      </c>
      <c r="AF27" s="1">
        <f t="shared" si="10"/>
        <v>117.02005751136258</v>
      </c>
      <c r="AG27" s="25"/>
      <c r="AH27" s="25"/>
      <c r="AI27" s="25"/>
    </row>
    <row r="28" spans="1:35" x14ac:dyDescent="0.4">
      <c r="A28" s="31" t="s">
        <v>112</v>
      </c>
      <c r="B28" s="31" t="s">
        <v>113</v>
      </c>
      <c r="C28" s="32">
        <v>203954</v>
      </c>
      <c r="D28" s="94" t="s">
        <v>351</v>
      </c>
      <c r="E28" s="94">
        <v>489476</v>
      </c>
      <c r="F28" s="94">
        <v>0</v>
      </c>
      <c r="G28" s="94" t="s">
        <v>37</v>
      </c>
      <c r="H28" s="94" t="s">
        <v>16</v>
      </c>
      <c r="I28" s="94">
        <v>2.75</v>
      </c>
      <c r="J28" s="94" t="s">
        <v>44</v>
      </c>
      <c r="K28" s="94">
        <v>75</v>
      </c>
      <c r="L28" s="108">
        <v>1590420</v>
      </c>
      <c r="M28" s="33" t="s">
        <v>418</v>
      </c>
      <c r="N28" s="33" t="s">
        <v>418</v>
      </c>
      <c r="O28" s="32"/>
      <c r="P28" s="32"/>
      <c r="Q28" s="98">
        <f>VLOOKUP($A28,'Customer Count by class'!$B$5:$M$14,12,0)</f>
        <v>0.89446185997910133</v>
      </c>
      <c r="R28" s="98">
        <f t="shared" si="0"/>
        <v>0.10553814002089867</v>
      </c>
      <c r="S28" s="98">
        <f t="shared" si="1"/>
        <v>0.5</v>
      </c>
      <c r="T28" s="26">
        <f t="shared" si="2"/>
        <v>0.98</v>
      </c>
      <c r="U28" s="26">
        <f t="shared" si="3"/>
        <v>0.83359200333362127</v>
      </c>
      <c r="V28" s="43">
        <f>VLOOKUP($A28,'Outage by Zone inputs'!$A$4:$E$13,MATCH('Mitigation Projects'!$J29,'Outage by Zone inputs'!$A$3:$E$3,0),0)*Q28*$S28*($K28/SUMIFS($K$4:$K$48,$A$4:$A$48,$A28,$J$4:$J$48,$J28))</f>
        <v>183.94521281687321</v>
      </c>
      <c r="W28" s="43">
        <f>VLOOKUP($A28,'Outage by Zone inputs'!$A$4:$E$13,MATCH('Mitigation Projects'!$J29,'Outage by Zone inputs'!$A$3:$E$3,0),0)*R28*$S28*($K28/SUMIFS($K$4:$K$48,$A$4:$A$48,$A28,$J$4:$J$48,$J28))</f>
        <v>21.703815998252573</v>
      </c>
      <c r="X28" s="25">
        <f t="shared" si="4"/>
        <v>33.676659530339499</v>
      </c>
      <c r="Y28" s="25">
        <f t="shared" si="5"/>
        <v>3.9735310894442648</v>
      </c>
      <c r="Z28" s="1">
        <f t="shared" si="6"/>
        <v>707.20985013712948</v>
      </c>
      <c r="AA28" s="1">
        <f t="shared" si="7"/>
        <v>15437.168282490969</v>
      </c>
      <c r="AB28" s="1">
        <f t="shared" si="11"/>
        <v>16144.378132628099</v>
      </c>
      <c r="AC28" s="25">
        <f>VLOOKUP($A28,'Outage by Zone inputs'!$A$59:$E$68,MATCH('Mitigation Projects'!$J29,'Outage by Zone inputs'!$A$58:$E$58,0),0)*AVG_INCIDENT_PERCENT_NON_STORM</f>
        <v>25.522239697781917</v>
      </c>
      <c r="AD28" s="25">
        <f t="shared" si="8"/>
        <v>0.78321112002194915</v>
      </c>
      <c r="AE28" s="1">
        <f t="shared" si="9"/>
        <v>369.67564865036002</v>
      </c>
      <c r="AF28" s="1">
        <f t="shared" si="10"/>
        <v>67.680157399092707</v>
      </c>
      <c r="AG28" s="25"/>
      <c r="AH28" s="25"/>
      <c r="AI28" s="25"/>
    </row>
    <row r="29" spans="1:35" x14ac:dyDescent="0.4">
      <c r="A29" s="31" t="s">
        <v>112</v>
      </c>
      <c r="B29" s="31" t="s">
        <v>113</v>
      </c>
      <c r="C29" s="32">
        <v>204888</v>
      </c>
      <c r="D29" s="94" t="s">
        <v>355</v>
      </c>
      <c r="E29" s="94" t="s">
        <v>147</v>
      </c>
      <c r="F29" s="94">
        <v>0</v>
      </c>
      <c r="G29" s="94" t="s">
        <v>39</v>
      </c>
      <c r="H29" s="94" t="s">
        <v>15</v>
      </c>
      <c r="I29" s="94">
        <v>5</v>
      </c>
      <c r="J29" s="94" t="s">
        <v>42</v>
      </c>
      <c r="K29" s="94">
        <v>1511</v>
      </c>
      <c r="L29" s="108">
        <v>3762144</v>
      </c>
      <c r="M29" s="33" t="s">
        <v>593</v>
      </c>
      <c r="N29" s="33" t="s">
        <v>594</v>
      </c>
      <c r="O29" s="32" t="s">
        <v>249</v>
      </c>
      <c r="P29" s="141">
        <v>2571</v>
      </c>
      <c r="Q29" s="98">
        <f>VLOOKUP($A29,'Customer Count by class'!$B$5:$M$14,12,0)</f>
        <v>0.89446185997910133</v>
      </c>
      <c r="R29" s="98">
        <f t="shared" si="0"/>
        <v>0.10553814002089867</v>
      </c>
      <c r="S29" s="98">
        <f t="shared" si="1"/>
        <v>1</v>
      </c>
      <c r="T29" s="26">
        <f t="shared" si="2"/>
        <v>0.9</v>
      </c>
      <c r="U29" s="26">
        <f t="shared" si="3"/>
        <v>0.80330442615766917</v>
      </c>
      <c r="V29" s="43">
        <f>VLOOKUP($A29,'Outage by Zone inputs'!$A$4:$E$13,MATCH('Mitigation Projects'!$J33,'Outage by Zone inputs'!$A$3:$E$3,0),0)*Q29*$S29*($K29/SUMIFS($K$4:$K$48,$A$4:$A$48,$A29,$J$4:$J$48,$J29))</f>
        <v>3693.6334208479352</v>
      </c>
      <c r="W29" s="43">
        <f>VLOOKUP($A29,'Outage by Zone inputs'!$A$4:$E$13,MATCH('Mitigation Projects'!$J33,'Outage by Zone inputs'!$A$3:$E$3,0),0)*R29*$S29*($K29/SUMIFS($K$4:$K$48,$A$4:$A$48,$A29,$J$4:$J$48,$J29))</f>
        <v>435.8142237215439</v>
      </c>
      <c r="X29" s="25">
        <f t="shared" si="4"/>
        <v>1023.2325528340001</v>
      </c>
      <c r="Y29" s="25">
        <f t="shared" si="5"/>
        <v>120.73187831335753</v>
      </c>
      <c r="Z29" s="1">
        <f t="shared" si="6"/>
        <v>21487.883609514003</v>
      </c>
      <c r="AA29" s="1">
        <f t="shared" si="7"/>
        <v>469043.34724739398</v>
      </c>
      <c r="AB29" s="1">
        <f t="shared" si="11"/>
        <v>490531.23085690796</v>
      </c>
      <c r="AC29" s="25">
        <f>VLOOKUP($A29,'Outage by Zone inputs'!$A$59:$E$68,MATCH('Mitigation Projects'!$J33,'Outage by Zone inputs'!$A$58:$E$58,0),0)*AVG_INCIDENT_PERCENT_NON_STORM</f>
        <v>39.400316239898757</v>
      </c>
      <c r="AD29" s="25">
        <f t="shared" si="8"/>
        <v>39.400316239898757</v>
      </c>
      <c r="AE29" s="1">
        <f t="shared" si="9"/>
        <v>18596.949265232215</v>
      </c>
      <c r="AF29" s="1">
        <f t="shared" si="10"/>
        <v>5151.8387732206293</v>
      </c>
      <c r="AG29" s="8">
        <f>IFERROR(VLOOKUP($O29,'Pre_Post mitigation outages'!$B$5:$L$19,11,0),0)*Q29*ICE_VALUE_RES_WTD</f>
        <v>15636.775939816414</v>
      </c>
      <c r="AH29" s="8">
        <f>IFERROR(VLOOKUP($O29,'Pre_Post mitigation outages'!$B$5:$L$19,11,0),0)*R29*ICE_VALUE_NONRES_WTD</f>
        <v>341323.78321900679</v>
      </c>
      <c r="AI29" s="8">
        <f>SUM(AG29:AH29)</f>
        <v>356960.55915882322</v>
      </c>
    </row>
    <row r="30" spans="1:35" x14ac:dyDescent="0.4">
      <c r="A30" s="31" t="s">
        <v>112</v>
      </c>
      <c r="B30" s="31" t="s">
        <v>113</v>
      </c>
      <c r="C30" s="32">
        <v>204889</v>
      </c>
      <c r="D30" s="94" t="s">
        <v>356</v>
      </c>
      <c r="E30" s="94">
        <v>554415</v>
      </c>
      <c r="F30" s="94">
        <v>0</v>
      </c>
      <c r="G30" s="94" t="s">
        <v>39</v>
      </c>
      <c r="H30" s="94" t="s">
        <v>15</v>
      </c>
      <c r="I30" s="94">
        <v>4</v>
      </c>
      <c r="J30" s="94" t="s">
        <v>43</v>
      </c>
      <c r="K30" s="94">
        <v>316</v>
      </c>
      <c r="L30" s="108">
        <v>940532</v>
      </c>
      <c r="M30" s="33" t="s">
        <v>418</v>
      </c>
      <c r="N30" s="33" t="s">
        <v>418</v>
      </c>
      <c r="O30" s="32"/>
      <c r="P30" s="32"/>
      <c r="Q30" s="98">
        <f>VLOOKUP($A30,'Customer Count by class'!$B$5:$M$14,12,0)</f>
        <v>0.89446185997910133</v>
      </c>
      <c r="R30" s="98">
        <f t="shared" si="0"/>
        <v>0.10553814002089867</v>
      </c>
      <c r="S30" s="98">
        <f t="shared" si="1"/>
        <v>1</v>
      </c>
      <c r="T30" s="26">
        <f t="shared" si="2"/>
        <v>0.9</v>
      </c>
      <c r="U30" s="26">
        <f t="shared" si="3"/>
        <v>0.80330442615766917</v>
      </c>
      <c r="V30" s="43">
        <f>VLOOKUP($A30,'Outage by Zone inputs'!$A$4:$E$13,MATCH('Mitigation Projects'!$J34,'Outage by Zone inputs'!$A$3:$E$3,0),0)*Q30*$S30*($K30/SUMIFS($K$4:$K$48,$A$4:$A$48,$A30,$J$4:$J$48,$J30))</f>
        <v>948.87750156835307</v>
      </c>
      <c r="W30" s="43">
        <f>VLOOKUP($A30,'Outage by Zone inputs'!$A$4:$E$13,MATCH('Mitigation Projects'!$J34,'Outage by Zone inputs'!$A$3:$E$3,0),0)*R30*$S30*($K30/SUMIFS($K$4:$K$48,$A$4:$A$48,$A30,$J$4:$J$48,$J30))</f>
        <v>111.95867717103235</v>
      </c>
      <c r="X30" s="25">
        <f t="shared" si="4"/>
        <v>262.86375436619329</v>
      </c>
      <c r="Y30" s="25">
        <f t="shared" si="5"/>
        <v>31.015466344609262</v>
      </c>
      <c r="Z30" s="1">
        <f t="shared" si="6"/>
        <v>5520.1388416900591</v>
      </c>
      <c r="AA30" s="1">
        <f t="shared" si="7"/>
        <v>120495.08674880698</v>
      </c>
      <c r="AB30" s="1">
        <f t="shared" si="11"/>
        <v>126015.22559049704</v>
      </c>
      <c r="AC30" s="25">
        <f>VLOOKUP($A30,'Outage by Zone inputs'!$A$59:$E$68,MATCH('Mitigation Projects'!$J34,'Outage by Zone inputs'!$A$58:$E$58,0),0)*AVG_INCIDENT_PERCENT_NON_STORM</f>
        <v>56.67561877188642</v>
      </c>
      <c r="AD30" s="25">
        <f t="shared" si="8"/>
        <v>31.420167599852821</v>
      </c>
      <c r="AE30" s="1">
        <f t="shared" si="9"/>
        <v>14830.319107130532</v>
      </c>
      <c r="AF30" s="1">
        <f t="shared" si="10"/>
        <v>4108.3842250507842</v>
      </c>
      <c r="AG30" s="25"/>
      <c r="AH30" s="25"/>
      <c r="AI30" s="25"/>
    </row>
    <row r="31" spans="1:35" x14ac:dyDescent="0.4">
      <c r="A31" s="31" t="s">
        <v>112</v>
      </c>
      <c r="B31" s="31" t="s">
        <v>113</v>
      </c>
      <c r="C31" s="32">
        <v>204895</v>
      </c>
      <c r="D31" s="94" t="s">
        <v>361</v>
      </c>
      <c r="E31" s="94">
        <v>554546</v>
      </c>
      <c r="F31" s="94">
        <v>0</v>
      </c>
      <c r="G31" s="94" t="s">
        <v>37</v>
      </c>
      <c r="H31" s="94" t="s">
        <v>16</v>
      </c>
      <c r="I31" s="94">
        <v>3.35</v>
      </c>
      <c r="J31" s="94" t="s">
        <v>44</v>
      </c>
      <c r="K31" s="94">
        <v>137</v>
      </c>
      <c r="L31" s="108">
        <v>1958291</v>
      </c>
      <c r="M31" s="33" t="s">
        <v>418</v>
      </c>
      <c r="N31" s="33" t="s">
        <v>418</v>
      </c>
      <c r="O31" s="32"/>
      <c r="P31" s="32"/>
      <c r="Q31" s="98">
        <f>VLOOKUP($A31,'Customer Count by class'!$B$5:$M$14,12,0)</f>
        <v>0.89446185997910133</v>
      </c>
      <c r="R31" s="98">
        <f t="shared" si="0"/>
        <v>0.10553814002089867</v>
      </c>
      <c r="S31" s="98">
        <f t="shared" si="1"/>
        <v>0.5</v>
      </c>
      <c r="T31" s="26">
        <f t="shared" si="2"/>
        <v>0.98</v>
      </c>
      <c r="U31" s="26">
        <f t="shared" si="3"/>
        <v>0.83359200333362127</v>
      </c>
      <c r="V31" s="43">
        <f>VLOOKUP($A31,'Outage by Zone inputs'!$A$4:$E$13,MATCH('Mitigation Projects'!$J39,'Outage by Zone inputs'!$A$3:$E$3,0),0)*Q31*$S31*($K31/SUMIFS($K$4:$K$48,$A$4:$A$48,$A31,$J$4:$J$48,$J31))</f>
        <v>95.943882328037532</v>
      </c>
      <c r="W31" s="43">
        <f>VLOOKUP($A31,'Outage by Zone inputs'!$A$4:$E$13,MATCH('Mitigation Projects'!$J39,'Outage by Zone inputs'!$A$3:$E$3,0),0)*R31*$S31*($K31/SUMIFS($K$4:$K$48,$A$4:$A$48,$A31,$J$4:$J$48,$J31))</f>
        <v>11.320481442910973</v>
      </c>
      <c r="X31" s="25">
        <f t="shared" si="4"/>
        <v>17.565390312152186</v>
      </c>
      <c r="Y31" s="25">
        <f t="shared" si="5"/>
        <v>2.0725518943076766</v>
      </c>
      <c r="Z31" s="1">
        <f t="shared" si="6"/>
        <v>368.87319655519588</v>
      </c>
      <c r="AA31" s="1">
        <f t="shared" si="7"/>
        <v>8051.8641093853239</v>
      </c>
      <c r="AB31" s="1">
        <f t="shared" si="11"/>
        <v>8420.7373059405199</v>
      </c>
      <c r="AC31" s="25">
        <f>VLOOKUP($A31,'Outage by Zone inputs'!$A$59:$E$68,MATCH('Mitigation Projects'!$J39,'Outage by Zone inputs'!$A$58:$E$58,0),0)*AVG_INCIDENT_PERCENT_NON_STORM</f>
        <v>56.67561877188642</v>
      </c>
      <c r="AD31" s="25">
        <f t="shared" si="8"/>
        <v>3.1769884499789032</v>
      </c>
      <c r="AE31" s="1">
        <f t="shared" si="9"/>
        <v>1499.5385483900423</v>
      </c>
      <c r="AF31" s="1">
        <f t="shared" si="10"/>
        <v>274.53527261416548</v>
      </c>
      <c r="AG31" s="25"/>
      <c r="AH31" s="25"/>
      <c r="AI31" s="25"/>
    </row>
    <row r="32" spans="1:35" x14ac:dyDescent="0.4">
      <c r="A32" s="31" t="s">
        <v>112</v>
      </c>
      <c r="B32" s="31" t="s">
        <v>113</v>
      </c>
      <c r="C32" s="32">
        <v>204896</v>
      </c>
      <c r="D32" s="94" t="s">
        <v>362</v>
      </c>
      <c r="E32" s="94">
        <v>555912</v>
      </c>
      <c r="F32" s="94">
        <v>0</v>
      </c>
      <c r="G32" s="94" t="s">
        <v>37</v>
      </c>
      <c r="H32" s="94" t="s">
        <v>16</v>
      </c>
      <c r="I32" s="94">
        <v>3</v>
      </c>
      <c r="J32" s="94" t="s">
        <v>44</v>
      </c>
      <c r="K32" s="94">
        <v>93</v>
      </c>
      <c r="L32" s="108">
        <v>1739649</v>
      </c>
      <c r="M32" s="33" t="s">
        <v>418</v>
      </c>
      <c r="N32" s="33" t="s">
        <v>418</v>
      </c>
      <c r="O32" s="32"/>
      <c r="P32" s="32"/>
      <c r="Q32" s="98">
        <f>VLOOKUP($A32,'Customer Count by class'!$B$5:$M$14,12,0)</f>
        <v>0.89446185997910133</v>
      </c>
      <c r="R32" s="98">
        <f t="shared" si="0"/>
        <v>0.10553814002089867</v>
      </c>
      <c r="S32" s="98">
        <f t="shared" si="1"/>
        <v>0.5</v>
      </c>
      <c r="T32" s="26">
        <f t="shared" si="2"/>
        <v>0.98</v>
      </c>
      <c r="U32" s="26">
        <f t="shared" si="3"/>
        <v>0.83359200333362127</v>
      </c>
      <c r="V32" s="43">
        <f>VLOOKUP($A32,'Outage by Zone inputs'!$A$4:$E$13,MATCH('Mitigation Projects'!$J40,'Outage by Zone inputs'!$A$3:$E$3,0),0)*Q32*$S32*($K32/SUMIFS($K$4:$K$48,$A$4:$A$48,$A32,$J$4:$J$48,$J32))</f>
        <v>140.5515172417586</v>
      </c>
      <c r="W32" s="43">
        <f>VLOOKUP($A32,'Outage by Zone inputs'!$A$4:$E$13,MATCH('Mitigation Projects'!$J40,'Outage by Zone inputs'!$A$3:$E$3,0),0)*R32*$S32*($K32/SUMIFS($K$4:$K$48,$A$4:$A$48,$A32,$J$4:$J$48,$J32))</f>
        <v>16.58376546894582</v>
      </c>
      <c r="X32" s="25">
        <f t="shared" si="4"/>
        <v>25.732148829203791</v>
      </c>
      <c r="Y32" s="25">
        <f t="shared" si="5"/>
        <v>3.0361530744738126</v>
      </c>
      <c r="Z32" s="1">
        <f t="shared" si="6"/>
        <v>540.37512541327965</v>
      </c>
      <c r="AA32" s="1">
        <f t="shared" si="7"/>
        <v>11795.454694330761</v>
      </c>
      <c r="AB32" s="1">
        <f t="shared" si="11"/>
        <v>12335.829819744042</v>
      </c>
      <c r="AC32" s="25">
        <f>VLOOKUP($A32,'Outage by Zone inputs'!$A$59:$E$68,MATCH('Mitigation Projects'!$J40,'Outage by Zone inputs'!$A$58:$E$58,0),0)*AVG_INCIDENT_PERCENT_NON_STORM</f>
        <v>39.400316239898757</v>
      </c>
      <c r="AD32" s="25">
        <f t="shared" si="8"/>
        <v>1.4992755361336272</v>
      </c>
      <c r="AE32" s="1">
        <f t="shared" si="9"/>
        <v>707.65805305507206</v>
      </c>
      <c r="AF32" s="1">
        <f t="shared" si="10"/>
        <v>129.55792081615147</v>
      </c>
      <c r="AG32" s="25"/>
      <c r="AH32" s="25"/>
      <c r="AI32" s="25"/>
    </row>
    <row r="33" spans="1:35" x14ac:dyDescent="0.4">
      <c r="A33" s="31" t="s">
        <v>112</v>
      </c>
      <c r="B33" s="31" t="s">
        <v>113</v>
      </c>
      <c r="C33" s="32">
        <v>204897</v>
      </c>
      <c r="D33" s="94" t="s">
        <v>363</v>
      </c>
      <c r="E33" s="94">
        <v>555716</v>
      </c>
      <c r="F33" s="94">
        <v>556008</v>
      </c>
      <c r="G33" s="94" t="s">
        <v>37</v>
      </c>
      <c r="H33" s="94" t="s">
        <v>16</v>
      </c>
      <c r="I33" s="94">
        <v>1</v>
      </c>
      <c r="J33" s="94" t="s">
        <v>44</v>
      </c>
      <c r="K33" s="94">
        <v>63</v>
      </c>
      <c r="L33" s="108">
        <v>575258</v>
      </c>
      <c r="M33" s="33" t="s">
        <v>418</v>
      </c>
      <c r="N33" s="33" t="s">
        <v>418</v>
      </c>
      <c r="O33" s="32"/>
      <c r="P33" s="32"/>
      <c r="Q33" s="98">
        <f>VLOOKUP($A33,'Customer Count by class'!$B$5:$M$14,12,0)</f>
        <v>0.89446185997910133</v>
      </c>
      <c r="R33" s="98">
        <f t="shared" si="0"/>
        <v>0.10553814002089867</v>
      </c>
      <c r="S33" s="98">
        <f t="shared" si="1"/>
        <v>0.5</v>
      </c>
      <c r="T33" s="26">
        <f t="shared" si="2"/>
        <v>0.98</v>
      </c>
      <c r="U33" s="26">
        <f t="shared" si="3"/>
        <v>0.83359200333362127</v>
      </c>
      <c r="V33" s="43">
        <f>VLOOKUP($A33,'Outage by Zone inputs'!$A$4:$E$13,MATCH('Mitigation Projects'!$J41,'Outage by Zone inputs'!$A$3:$E$3,0),0)*Q33*$S33*($K33/SUMIFS($K$4:$K$48,$A$4:$A$48,$A33,$J$4:$J$48,$J33))</f>
        <v>95.212318131513868</v>
      </c>
      <c r="W33" s="43">
        <f>VLOOKUP($A33,'Outage by Zone inputs'!$A$4:$E$13,MATCH('Mitigation Projects'!$J41,'Outage by Zone inputs'!$A$3:$E$3,0),0)*R33*$S33*($K33/SUMIFS($K$4:$K$48,$A$4:$A$48,$A33,$J$4:$J$48,$J33))</f>
        <v>11.234163704769749</v>
      </c>
      <c r="X33" s="25">
        <f t="shared" si="4"/>
        <v>17.431455658492887</v>
      </c>
      <c r="Y33" s="25">
        <f t="shared" si="5"/>
        <v>2.0567488569016148</v>
      </c>
      <c r="Z33" s="1">
        <f t="shared" si="6"/>
        <v>366.0605688283506</v>
      </c>
      <c r="AA33" s="1">
        <f t="shared" si="7"/>
        <v>7990.4693090627734</v>
      </c>
      <c r="AB33" s="1">
        <f t="shared" si="11"/>
        <v>8356.5298778911238</v>
      </c>
      <c r="AC33" s="25">
        <f>VLOOKUP($A33,'Outage by Zone inputs'!$A$59:$E$68,MATCH('Mitigation Projects'!$J41,'Outage by Zone inputs'!$A$58:$E$58,0),0)*AVG_INCIDENT_PERCENT_NON_STORM</f>
        <v>39.400316239898757</v>
      </c>
      <c r="AD33" s="25">
        <f t="shared" si="8"/>
        <v>1.0156382664131021</v>
      </c>
      <c r="AE33" s="1">
        <f t="shared" si="9"/>
        <v>479.38126174698419</v>
      </c>
      <c r="AF33" s="1">
        <f t="shared" si="10"/>
        <v>87.765043133521928</v>
      </c>
      <c r="AG33" s="25"/>
      <c r="AH33" s="25"/>
      <c r="AI33" s="25"/>
    </row>
    <row r="34" spans="1:35" x14ac:dyDescent="0.4">
      <c r="A34" s="31" t="s">
        <v>115</v>
      </c>
      <c r="B34" s="31" t="s">
        <v>116</v>
      </c>
      <c r="C34" s="32">
        <v>197817</v>
      </c>
      <c r="D34" s="94" t="s">
        <v>330</v>
      </c>
      <c r="E34" s="94">
        <v>620436</v>
      </c>
      <c r="F34" s="94">
        <v>0</v>
      </c>
      <c r="G34" s="94" t="s">
        <v>39</v>
      </c>
      <c r="H34" s="94" t="s">
        <v>15</v>
      </c>
      <c r="I34" s="94">
        <v>2.4</v>
      </c>
      <c r="J34" s="94" t="s">
        <v>43</v>
      </c>
      <c r="K34" s="94">
        <v>1015</v>
      </c>
      <c r="L34" s="108">
        <v>1782012</v>
      </c>
      <c r="M34" s="33" t="s">
        <v>418</v>
      </c>
      <c r="N34" s="33" t="s">
        <v>418</v>
      </c>
      <c r="O34" s="32"/>
      <c r="P34" s="32"/>
      <c r="Q34" s="98">
        <f>VLOOKUP($A34,'Customer Count by class'!$B$5:$M$14,12,0)</f>
        <v>0.85291214215202371</v>
      </c>
      <c r="R34" s="98">
        <f t="shared" si="0"/>
        <v>0.14708785784797629</v>
      </c>
      <c r="S34" s="98">
        <f t="shared" si="1"/>
        <v>1</v>
      </c>
      <c r="T34" s="26">
        <f t="shared" si="2"/>
        <v>0.9</v>
      </c>
      <c r="U34" s="26">
        <f t="shared" si="3"/>
        <v>0.80330442615766917</v>
      </c>
      <c r="V34" s="43">
        <f>VLOOKUP($A34,'Outage by Zone inputs'!$A$4:$E$13,MATCH('Mitigation Projects'!$J5,'Outage by Zone inputs'!$A$3:$E$3,0),0)*Q34*$S34*($K34/SUMIFS($K$4:$K$48,$A$4:$A$48,$A34,$J$4:$J$48,$J34))</f>
        <v>1264.6544543127166</v>
      </c>
      <c r="W34" s="43">
        <f>VLOOKUP($A34,'Outage by Zone inputs'!$A$4:$E$13,MATCH('Mitigation Projects'!$J5,'Outage by Zone inputs'!$A$3:$E$3,0),0)*R34*$S34*($K34/SUMIFS($K$4:$K$48,$A$4:$A$48,$A34,$J$4:$J$48,$J34))</f>
        <v>218.09434455161428</v>
      </c>
      <c r="X34" s="25">
        <f t="shared" si="4"/>
        <v>350.34218567424125</v>
      </c>
      <c r="Y34" s="25">
        <f t="shared" si="5"/>
        <v>60.417807483173547</v>
      </c>
      <c r="Z34" s="1">
        <f t="shared" si="6"/>
        <v>7357.1858991590661</v>
      </c>
      <c r="AA34" s="1">
        <f t="shared" si="7"/>
        <v>234723.18207212922</v>
      </c>
      <c r="AB34" s="1">
        <f t="shared" si="11"/>
        <v>242080.36797128827</v>
      </c>
      <c r="AC34" s="25">
        <f>VLOOKUP($A34,'Outage by Zone inputs'!$A$59:$E$68,MATCH('Mitigation Projects'!$J5,'Outage by Zone inputs'!$A$58:$E$58,0),0)*AVG_INCIDENT_PERCENT_NON_STORM</f>
        <v>19.550453472809956</v>
      </c>
      <c r="AD34" s="25">
        <f t="shared" si="8"/>
        <v>8.7417225880626006</v>
      </c>
      <c r="AE34" s="1">
        <f t="shared" si="9"/>
        <v>4126.093061565547</v>
      </c>
      <c r="AF34" s="1">
        <f t="shared" si="10"/>
        <v>1143.0351243809002</v>
      </c>
      <c r="AG34" s="25"/>
      <c r="AH34" s="25"/>
      <c r="AI34" s="25"/>
    </row>
    <row r="35" spans="1:35" x14ac:dyDescent="0.4">
      <c r="A35" s="31" t="s">
        <v>115</v>
      </c>
      <c r="B35" s="31" t="s">
        <v>116</v>
      </c>
      <c r="C35" s="32">
        <v>199494</v>
      </c>
      <c r="D35" s="94" t="s">
        <v>415</v>
      </c>
      <c r="E35" s="94">
        <v>619216</v>
      </c>
      <c r="F35" s="94">
        <v>620436</v>
      </c>
      <c r="G35" s="94" t="s">
        <v>39</v>
      </c>
      <c r="H35" s="94" t="s">
        <v>15</v>
      </c>
      <c r="I35" s="94">
        <v>3</v>
      </c>
      <c r="J35" s="94" t="s">
        <v>43</v>
      </c>
      <c r="K35" s="94">
        <v>840</v>
      </c>
      <c r="L35" s="108">
        <v>2227005</v>
      </c>
      <c r="M35" s="33" t="s">
        <v>418</v>
      </c>
      <c r="N35" s="33" t="s">
        <v>418</v>
      </c>
      <c r="O35" s="32"/>
      <c r="P35" s="32"/>
      <c r="Q35" s="98">
        <f>VLOOKUP($A35,'Customer Count by class'!$B$5:$M$14,12,0)</f>
        <v>0.85291214215202371</v>
      </c>
      <c r="R35" s="98">
        <f t="shared" si="0"/>
        <v>0.14708785784797629</v>
      </c>
      <c r="S35" s="98">
        <f t="shared" si="1"/>
        <v>1</v>
      </c>
      <c r="T35" s="26">
        <f t="shared" si="2"/>
        <v>0.9</v>
      </c>
      <c r="U35" s="26">
        <f t="shared" si="3"/>
        <v>0.80330442615766917</v>
      </c>
      <c r="V35" s="43">
        <f>VLOOKUP($A35,'Outage by Zone inputs'!$A$4:$E$13,MATCH('Mitigation Projects'!$J9,'Outage by Zone inputs'!$A$3:$E$3,0),0)*Q35*$S35*($K35/SUMIFS($K$4:$K$48,$A$4:$A$48,$A35,$J$4:$J$48,$J35))</f>
        <v>1046.6105828794896</v>
      </c>
      <c r="W35" s="43">
        <f>VLOOKUP($A35,'Outage by Zone inputs'!$A$4:$E$13,MATCH('Mitigation Projects'!$J9,'Outage by Zone inputs'!$A$3:$E$3,0),0)*R35*$S35*($K35/SUMIFS($K$4:$K$48,$A$4:$A$48,$A35,$J$4:$J$48,$J35))</f>
        <v>180.49187135306008</v>
      </c>
      <c r="X35" s="25">
        <f t="shared" si="4"/>
        <v>289.93836055799278</v>
      </c>
      <c r="Y35" s="25">
        <f t="shared" si="5"/>
        <v>50.000944124005684</v>
      </c>
      <c r="Z35" s="1">
        <f t="shared" si="6"/>
        <v>6088.7055717178482</v>
      </c>
      <c r="AA35" s="1">
        <f t="shared" si="7"/>
        <v>194253.6679217621</v>
      </c>
      <c r="AB35" s="1">
        <f t="shared" si="11"/>
        <v>200342.37349347994</v>
      </c>
      <c r="AC35" s="25">
        <f>VLOOKUP($A35,'Outage by Zone inputs'!$A$59:$E$68,MATCH('Mitigation Projects'!$J9,'Outage by Zone inputs'!$A$58:$E$58,0),0)*AVG_INCIDENT_PERCENT_NON_STORM</f>
        <v>19.550453472809956</v>
      </c>
      <c r="AD35" s="25">
        <f t="shared" si="8"/>
        <v>7.2345290383966354</v>
      </c>
      <c r="AE35" s="1">
        <f t="shared" si="9"/>
        <v>3414.6977061232119</v>
      </c>
      <c r="AF35" s="1">
        <f t="shared" si="10"/>
        <v>945.96010293591758</v>
      </c>
      <c r="AG35" s="25"/>
      <c r="AH35" s="25"/>
      <c r="AI35" s="25"/>
    </row>
    <row r="36" spans="1:35" x14ac:dyDescent="0.4">
      <c r="A36" s="31" t="s">
        <v>115</v>
      </c>
      <c r="B36" s="31" t="s">
        <v>116</v>
      </c>
      <c r="C36" s="32">
        <v>204106</v>
      </c>
      <c r="D36" s="94" t="s">
        <v>352</v>
      </c>
      <c r="E36" s="94">
        <v>621447</v>
      </c>
      <c r="F36" s="94">
        <v>618847</v>
      </c>
      <c r="G36" s="94" t="s">
        <v>39</v>
      </c>
      <c r="H36" s="94" t="s">
        <v>15</v>
      </c>
      <c r="I36" s="94">
        <v>1.7</v>
      </c>
      <c r="J36" s="94" t="s">
        <v>43</v>
      </c>
      <c r="K36" s="94">
        <v>415</v>
      </c>
      <c r="L36" s="108">
        <v>1251737</v>
      </c>
      <c r="M36" s="33" t="s">
        <v>418</v>
      </c>
      <c r="N36" s="33" t="s">
        <v>418</v>
      </c>
      <c r="O36" s="32"/>
      <c r="P36" s="32"/>
      <c r="Q36" s="98">
        <f>VLOOKUP($A36,'Customer Count by class'!$B$5:$M$14,12,0)</f>
        <v>0.85291214215202371</v>
      </c>
      <c r="R36" s="98">
        <f t="shared" si="0"/>
        <v>0.14708785784797629</v>
      </c>
      <c r="S36" s="98">
        <f t="shared" si="1"/>
        <v>1</v>
      </c>
      <c r="T36" s="26">
        <f t="shared" si="2"/>
        <v>0.9</v>
      </c>
      <c r="U36" s="26">
        <f t="shared" si="3"/>
        <v>0.80330442615766917</v>
      </c>
      <c r="V36" s="43">
        <f>VLOOKUP($A36,'Outage by Zone inputs'!$A$4:$E$13,MATCH('Mitigation Projects'!$J30,'Outage by Zone inputs'!$A$3:$E$3,0),0)*Q36*$S36*($K36/SUMIFS($K$4:$K$48,$A$4:$A$48,$A36,$J$4:$J$48,$J36))</f>
        <v>453.86917776957739</v>
      </c>
      <c r="W36" s="43">
        <f>VLOOKUP($A36,'Outage by Zone inputs'!$A$4:$E$13,MATCH('Mitigation Projects'!$J30,'Outage by Zone inputs'!$A$3:$E$3,0),0)*R36*$S36*($K36/SUMIFS($K$4:$K$48,$A$4:$A$48,$A36,$J$4:$J$48,$J36))</f>
        <v>78.271420703318313</v>
      </c>
      <c r="X36" s="25">
        <f t="shared" si="4"/>
        <v>125.73357031061825</v>
      </c>
      <c r="Y36" s="25">
        <f t="shared" si="5"/>
        <v>21.683219879956152</v>
      </c>
      <c r="Z36" s="1">
        <f t="shared" si="6"/>
        <v>2640.4049765229834</v>
      </c>
      <c r="AA36" s="1">
        <f t="shared" si="7"/>
        <v>84239.309233629654</v>
      </c>
      <c r="AB36" s="1">
        <f t="shared" si="11"/>
        <v>86879.714210152641</v>
      </c>
      <c r="AC36" s="25">
        <f>VLOOKUP($A36,'Outage by Zone inputs'!$A$59:$E$68,MATCH('Mitigation Projects'!$J30,'Outage by Zone inputs'!$A$58:$E$58,0),0)*AVG_INCIDENT_PERCENT_NON_STORM</f>
        <v>11.022115443775037</v>
      </c>
      <c r="AD36" s="25">
        <f t="shared" si="8"/>
        <v>2.0150563476505026</v>
      </c>
      <c r="AE36" s="1">
        <f t="shared" si="9"/>
        <v>951.1065960910372</v>
      </c>
      <c r="AF36" s="1">
        <f t="shared" si="10"/>
        <v>263.48127154212102</v>
      </c>
      <c r="AG36" s="25"/>
      <c r="AH36" s="25"/>
      <c r="AI36" s="25"/>
    </row>
    <row r="37" spans="1:35" x14ac:dyDescent="0.4">
      <c r="A37" s="31" t="s">
        <v>115</v>
      </c>
      <c r="B37" s="31" t="s">
        <v>116</v>
      </c>
      <c r="C37" s="32">
        <v>204107</v>
      </c>
      <c r="D37" s="94" t="s">
        <v>353</v>
      </c>
      <c r="E37" s="94">
        <v>467089</v>
      </c>
      <c r="F37" s="94">
        <v>620483</v>
      </c>
      <c r="G37" s="94" t="s">
        <v>39</v>
      </c>
      <c r="H37" s="94" t="s">
        <v>15</v>
      </c>
      <c r="I37" s="94">
        <v>1.1200000000000001</v>
      </c>
      <c r="J37" s="94" t="s">
        <v>44</v>
      </c>
      <c r="K37" s="94">
        <v>279</v>
      </c>
      <c r="L37" s="108">
        <v>822502</v>
      </c>
      <c r="M37" s="33" t="s">
        <v>418</v>
      </c>
      <c r="N37" s="33" t="s">
        <v>418</v>
      </c>
      <c r="O37" s="32"/>
      <c r="P37" s="32"/>
      <c r="Q37" s="98">
        <f>VLOOKUP($A37,'Customer Count by class'!$B$5:$M$14,12,0)</f>
        <v>0.85291214215202371</v>
      </c>
      <c r="R37" s="98">
        <f t="shared" si="0"/>
        <v>0.14708785784797629</v>
      </c>
      <c r="S37" s="98">
        <f t="shared" si="1"/>
        <v>0.5</v>
      </c>
      <c r="T37" s="26">
        <f t="shared" si="2"/>
        <v>0.9</v>
      </c>
      <c r="U37" s="26">
        <f t="shared" si="3"/>
        <v>0.80330442615766917</v>
      </c>
      <c r="V37" s="43">
        <f>VLOOKUP($A37,'Outage by Zone inputs'!$A$4:$E$13,MATCH('Mitigation Projects'!$J31,'Outage by Zone inputs'!$A$3:$E$3,0),0)*Q37*$S37*($K37/SUMIFS($K$4:$K$48,$A$4:$A$48,$A37,$J$4:$J$48,$J37))</f>
        <v>326.18847141137996</v>
      </c>
      <c r="W37" s="43">
        <f>VLOOKUP($A37,'Outage by Zone inputs'!$A$4:$E$13,MATCH('Mitigation Projects'!$J31,'Outage by Zone inputs'!$A$3:$E$3,0),0)*R37*$S37*($K37/SUMIFS($K$4:$K$48,$A$4:$A$48,$A37,$J$4:$J$48,$J37))</f>
        <v>56.252410000342131</v>
      </c>
      <c r="X37" s="25">
        <f t="shared" si="4"/>
        <v>90.362692849650699</v>
      </c>
      <c r="Y37" s="25">
        <f t="shared" si="5"/>
        <v>15.583381058562443</v>
      </c>
      <c r="Z37" s="1">
        <f t="shared" si="6"/>
        <v>1897.6165498426647</v>
      </c>
      <c r="AA37" s="1">
        <f t="shared" si="7"/>
        <v>60541.435412515093</v>
      </c>
      <c r="AB37" s="1">
        <f t="shared" si="11"/>
        <v>62439.051962357757</v>
      </c>
      <c r="AC37" s="25">
        <f>VLOOKUP($A37,'Outage by Zone inputs'!$A$59:$E$68,MATCH('Mitigation Projects'!$J31,'Outage by Zone inputs'!$A$58:$E$58,0),0)*AVG_INCIDENT_PERCENT_NON_STORM</f>
        <v>13.007765575535226</v>
      </c>
      <c r="AD37" s="25">
        <f t="shared" si="8"/>
        <v>4.2696077594992099</v>
      </c>
      <c r="AE37" s="1">
        <f t="shared" si="9"/>
        <v>2015.254862483627</v>
      </c>
      <c r="AF37" s="1">
        <f t="shared" si="10"/>
        <v>558.27802670165079</v>
      </c>
      <c r="AG37" s="25"/>
      <c r="AH37" s="25"/>
      <c r="AI37" s="25"/>
    </row>
    <row r="38" spans="1:35" x14ac:dyDescent="0.4">
      <c r="A38" s="31" t="s">
        <v>115</v>
      </c>
      <c r="B38" s="31" t="s">
        <v>116</v>
      </c>
      <c r="C38" s="32">
        <v>204108</v>
      </c>
      <c r="D38" s="94" t="s">
        <v>354</v>
      </c>
      <c r="E38" s="94">
        <v>620828</v>
      </c>
      <c r="F38" s="94">
        <v>620116</v>
      </c>
      <c r="G38" s="94" t="s">
        <v>37</v>
      </c>
      <c r="H38" s="94" t="s">
        <v>16</v>
      </c>
      <c r="I38" s="94">
        <v>2</v>
      </c>
      <c r="J38" s="94" t="s">
        <v>44</v>
      </c>
      <c r="K38" s="94">
        <v>146</v>
      </c>
      <c r="L38" s="108">
        <v>1159766</v>
      </c>
      <c r="M38" s="33" t="s">
        <v>418</v>
      </c>
      <c r="N38" s="33" t="s">
        <v>418</v>
      </c>
      <c r="O38" s="32"/>
      <c r="P38" s="32"/>
      <c r="Q38" s="98">
        <f>VLOOKUP($A38,'Customer Count by class'!$B$5:$M$14,12,0)</f>
        <v>0.85291214215202371</v>
      </c>
      <c r="R38" s="98">
        <f t="shared" si="0"/>
        <v>0.14708785784797629</v>
      </c>
      <c r="S38" s="98">
        <f t="shared" si="1"/>
        <v>0.5</v>
      </c>
      <c r="T38" s="26">
        <f t="shared" si="2"/>
        <v>0.98</v>
      </c>
      <c r="U38" s="26">
        <f t="shared" si="3"/>
        <v>0.83359200333362127</v>
      </c>
      <c r="V38" s="43">
        <f>VLOOKUP($A38,'Outage by Zone inputs'!$A$4:$E$13,MATCH('Mitigation Projects'!$J32,'Outage by Zone inputs'!$A$3:$E$3,0),0)*Q38*$S38*($K38/SUMIFS($K$4:$K$48,$A$4:$A$48,$A38,$J$4:$J$48,$J38))</f>
        <v>170.69360869556081</v>
      </c>
      <c r="W38" s="43">
        <f>VLOOKUP($A38,'Outage by Zone inputs'!$A$4:$E$13,MATCH('Mitigation Projects'!$J32,'Outage by Zone inputs'!$A$3:$E$3,0),0)*R38*$S38*($K38/SUMIFS($K$4:$K$48,$A$4:$A$48,$A38,$J$4:$J$48,$J38))</f>
        <v>29.436745018100179</v>
      </c>
      <c r="X38" s="25">
        <f t="shared" si="4"/>
        <v>31.250558011358596</v>
      </c>
      <c r="Y38" s="25">
        <f t="shared" si="5"/>
        <v>5.389274471866238</v>
      </c>
      <c r="Z38" s="1">
        <f t="shared" si="6"/>
        <v>656.26171823853053</v>
      </c>
      <c r="AA38" s="1">
        <f t="shared" si="7"/>
        <v>20937.331323200335</v>
      </c>
      <c r="AB38" s="1">
        <f t="shared" si="11"/>
        <v>21593.593041438864</v>
      </c>
      <c r="AC38" s="25">
        <f>VLOOKUP($A38,'Outage by Zone inputs'!$A$59:$E$68,MATCH('Mitigation Projects'!$J32,'Outage by Zone inputs'!$A$58:$E$58,0),0)*AVG_INCIDENT_PERCENT_NON_STORM</f>
        <v>13.007765575535226</v>
      </c>
      <c r="AD38" s="25">
        <f t="shared" si="8"/>
        <v>2.2342750282684034</v>
      </c>
      <c r="AE38" s="1">
        <f t="shared" si="9"/>
        <v>1054.5778133426863</v>
      </c>
      <c r="AF38" s="1">
        <f t="shared" si="10"/>
        <v>193.07193388907712</v>
      </c>
      <c r="AG38" s="8"/>
      <c r="AH38" s="8"/>
      <c r="AI38" s="8"/>
    </row>
    <row r="39" spans="1:35" x14ac:dyDescent="0.4">
      <c r="A39" s="31" t="s">
        <v>117</v>
      </c>
      <c r="B39" s="31" t="s">
        <v>118</v>
      </c>
      <c r="C39" s="32">
        <v>204891</v>
      </c>
      <c r="D39" s="94" t="s">
        <v>357</v>
      </c>
      <c r="E39" s="94">
        <v>531232</v>
      </c>
      <c r="F39" s="94">
        <v>652334</v>
      </c>
      <c r="G39" s="94" t="s">
        <v>39</v>
      </c>
      <c r="H39" s="94" t="s">
        <v>15</v>
      </c>
      <c r="I39" s="94">
        <v>3.3</v>
      </c>
      <c r="J39" s="94" t="s">
        <v>43</v>
      </c>
      <c r="K39" s="94">
        <v>544</v>
      </c>
      <c r="L39" s="108">
        <v>2418666</v>
      </c>
      <c r="M39" s="33" t="s">
        <v>418</v>
      </c>
      <c r="N39" s="33" t="s">
        <v>418</v>
      </c>
      <c r="O39" s="32"/>
      <c r="P39" s="32"/>
      <c r="Q39" s="98">
        <f>VLOOKUP($A39,'Customer Count by class'!$B$5:$M$14,12,0)</f>
        <v>0.79882154882154888</v>
      </c>
      <c r="R39" s="98">
        <f t="shared" si="0"/>
        <v>0.20117845117845112</v>
      </c>
      <c r="S39" s="98">
        <f t="shared" si="1"/>
        <v>1</v>
      </c>
      <c r="T39" s="26">
        <f t="shared" si="2"/>
        <v>0.9</v>
      </c>
      <c r="U39" s="26">
        <f t="shared" si="3"/>
        <v>0.80330442615766917</v>
      </c>
      <c r="V39" s="43">
        <f>VLOOKUP($A39,'Outage by Zone inputs'!$A$4:$E$13,MATCH('Mitigation Projects'!$J35,'Outage by Zone inputs'!$A$3:$E$3,0),0)*Q39*$S39*($K39/SUMIFS($K$4:$K$48,$A$4:$A$48,$A39,$J$4:$J$48,$J39))</f>
        <v>1938.269905672882</v>
      </c>
      <c r="W39" s="43">
        <f>VLOOKUP($A39,'Outage by Zone inputs'!$A$4:$E$13,MATCH('Mitigation Projects'!$J35,'Outage by Zone inputs'!$A$3:$E$3,0),0)*R39*$S39*($K39/SUMIFS($K$4:$K$48,$A$4:$A$48,$A39,$J$4:$J$48,$J39))</f>
        <v>488.14173599137899</v>
      </c>
      <c r="X39" s="25">
        <f t="shared" si="4"/>
        <v>536.95119078917139</v>
      </c>
      <c r="Y39" s="25">
        <f t="shared" si="5"/>
        <v>135.22796058863219</v>
      </c>
      <c r="Z39" s="1">
        <f t="shared" si="6"/>
        <v>11275.975006572598</v>
      </c>
      <c r="AA39" s="1">
        <f t="shared" si="7"/>
        <v>525360.62688683602</v>
      </c>
      <c r="AB39" s="1">
        <f t="shared" si="11"/>
        <v>536636.60189340857</v>
      </c>
      <c r="AC39" s="25">
        <f>VLOOKUP($A39,'Outage by Zone inputs'!$A$59:$E$68,MATCH('Mitigation Projects'!$J35,'Outage by Zone inputs'!$A$58:$E$58,0),0)*AVG_INCIDENT_PERCENT_NON_STORM</f>
        <v>11.29956594811059</v>
      </c>
      <c r="AD39" s="25">
        <f t="shared" si="8"/>
        <v>11.29956594811059</v>
      </c>
      <c r="AE39" s="1">
        <f t="shared" si="9"/>
        <v>5333.395127508199</v>
      </c>
      <c r="AF39" s="1">
        <f t="shared" si="10"/>
        <v>1477.4892063706247</v>
      </c>
      <c r="AG39" s="25"/>
      <c r="AH39" s="25"/>
      <c r="AI39" s="25"/>
    </row>
    <row r="40" spans="1:35" x14ac:dyDescent="0.4">
      <c r="A40" s="31" t="s">
        <v>117</v>
      </c>
      <c r="B40" s="31" t="s">
        <v>118</v>
      </c>
      <c r="C40" s="32">
        <v>204902</v>
      </c>
      <c r="D40" s="94" t="s">
        <v>368</v>
      </c>
      <c r="E40" s="94">
        <v>532550</v>
      </c>
      <c r="F40" s="94">
        <v>0</v>
      </c>
      <c r="G40" s="94" t="s">
        <v>37</v>
      </c>
      <c r="H40" s="94" t="s">
        <v>15</v>
      </c>
      <c r="I40" s="94">
        <v>3</v>
      </c>
      <c r="J40" s="94" t="s">
        <v>44</v>
      </c>
      <c r="K40" s="94">
        <v>135</v>
      </c>
      <c r="L40" s="108">
        <v>1510218</v>
      </c>
      <c r="M40" s="33" t="s">
        <v>418</v>
      </c>
      <c r="N40" s="33" t="s">
        <v>418</v>
      </c>
      <c r="O40" s="32"/>
      <c r="P40" s="32"/>
      <c r="Q40" s="98">
        <f>VLOOKUP($A40,'Customer Count by class'!$B$5:$M$14,12,0)</f>
        <v>0.79882154882154888</v>
      </c>
      <c r="R40" s="98">
        <f t="shared" si="0"/>
        <v>0.20117845117845112</v>
      </c>
      <c r="S40" s="98">
        <f t="shared" si="1"/>
        <v>0.5</v>
      </c>
      <c r="T40" s="26">
        <f t="shared" si="2"/>
        <v>0.9</v>
      </c>
      <c r="U40" s="26">
        <f t="shared" si="3"/>
        <v>0.80330442615766917</v>
      </c>
      <c r="V40" s="43">
        <f>VLOOKUP($A40,'Outage by Zone inputs'!$A$4:$E$13,MATCH('Mitigation Projects'!$J46,'Outage by Zone inputs'!$A$3:$E$3,0),0)*Q40*$S40*($K40/SUMIFS($K$4:$K$48,$A$4:$A$48,$A40,$J$4:$J$48,$J40))</f>
        <v>969.13495283644102</v>
      </c>
      <c r="W40" s="43">
        <f>VLOOKUP($A40,'Outage by Zone inputs'!$A$4:$E$13,MATCH('Mitigation Projects'!$J46,'Outage by Zone inputs'!$A$3:$E$3,0),0)*R40*$S40*($K40/SUMIFS($K$4:$K$48,$A$4:$A$48,$A40,$J$4:$J$48,$J40))</f>
        <v>244.0708679956895</v>
      </c>
      <c r="X40" s="25">
        <f t="shared" si="4"/>
        <v>268.4755953945857</v>
      </c>
      <c r="Y40" s="25">
        <f t="shared" si="5"/>
        <v>67.613980294316093</v>
      </c>
      <c r="Z40" s="1">
        <f t="shared" si="6"/>
        <v>5637.9875032862992</v>
      </c>
      <c r="AA40" s="1">
        <f t="shared" si="7"/>
        <v>262680.31344341801</v>
      </c>
      <c r="AB40" s="1">
        <f t="shared" si="11"/>
        <v>268318.30094670429</v>
      </c>
      <c r="AC40" s="25">
        <f>VLOOKUP($A40,'Outage by Zone inputs'!$A$59:$E$68,MATCH('Mitigation Projects'!$J46,'Outage by Zone inputs'!$A$58:$E$58,0),0)*AVG_INCIDENT_PERCENT_NON_STORM</f>
        <v>11.29956594811059</v>
      </c>
      <c r="AD40" s="25">
        <f t="shared" si="8"/>
        <v>5.6497829740552952</v>
      </c>
      <c r="AE40" s="1">
        <f t="shared" si="9"/>
        <v>2666.6975637540995</v>
      </c>
      <c r="AF40" s="1">
        <f t="shared" si="10"/>
        <v>738.74460318531237</v>
      </c>
      <c r="AG40" s="25"/>
      <c r="AH40" s="25"/>
      <c r="AI40" s="25"/>
    </row>
    <row r="41" spans="1:35" x14ac:dyDescent="0.4">
      <c r="A41" s="31" t="s">
        <v>124</v>
      </c>
      <c r="B41" s="31" t="s">
        <v>110</v>
      </c>
      <c r="C41" s="32">
        <v>199309</v>
      </c>
      <c r="D41" s="94" t="s">
        <v>332</v>
      </c>
      <c r="E41" s="94">
        <v>599580</v>
      </c>
      <c r="F41" s="94">
        <v>476994</v>
      </c>
      <c r="G41" s="94" t="s">
        <v>37</v>
      </c>
      <c r="H41" s="94" t="s">
        <v>16</v>
      </c>
      <c r="I41" s="94">
        <v>1.2</v>
      </c>
      <c r="J41" s="94" t="s">
        <v>44</v>
      </c>
      <c r="K41" s="94">
        <v>210</v>
      </c>
      <c r="L41" s="108">
        <v>694311</v>
      </c>
      <c r="M41" s="33" t="s">
        <v>418</v>
      </c>
      <c r="N41" s="33" t="s">
        <v>418</v>
      </c>
      <c r="O41" s="32"/>
      <c r="P41" s="32"/>
      <c r="Q41" s="98">
        <f>VLOOKUP($A41,'Customer Count by class'!$B$5:$M$14,12,0)</f>
        <v>0.8671875</v>
      </c>
      <c r="R41" s="98">
        <f t="shared" si="0"/>
        <v>0.1328125</v>
      </c>
      <c r="S41" s="98">
        <f t="shared" si="1"/>
        <v>0.5</v>
      </c>
      <c r="T41" s="26">
        <f t="shared" si="2"/>
        <v>0.98</v>
      </c>
      <c r="U41" s="26">
        <f t="shared" si="3"/>
        <v>0.83359200333362127</v>
      </c>
      <c r="V41" s="43">
        <f>VLOOKUP($A41,'Outage by Zone inputs'!$A$4:$E$13,MATCH('Mitigation Projects'!$J7,'Outage by Zone inputs'!$A$3:$E$3,0),0)*Q41*$S41*($K41/SUMIFS($K$4:$K$48,$A$4:$A$48,$A41,$J$4:$J$48,$J41))</f>
        <v>832.09287616414372</v>
      </c>
      <c r="W41" s="43">
        <f>VLOOKUP($A41,'Outage by Zone inputs'!$A$4:$E$13,MATCH('Mitigation Projects'!$J7,'Outage by Zone inputs'!$A$3:$E$3,0),0)*R41*$S41*($K41/SUMIFS($K$4:$K$48,$A$4:$A$48,$A41,$J$4:$J$48,$J41))</f>
        <v>127.43764770081481</v>
      </c>
      <c r="X41" s="25">
        <f t="shared" si="4"/>
        <v>152.33942791486641</v>
      </c>
      <c r="Y41" s="25">
        <f t="shared" si="5"/>
        <v>23.331263734709268</v>
      </c>
      <c r="Z41" s="1">
        <f t="shared" si="6"/>
        <v>3199.1279862121946</v>
      </c>
      <c r="AA41" s="1">
        <f t="shared" si="7"/>
        <v>90641.959609345504</v>
      </c>
      <c r="AB41" s="1">
        <f t="shared" si="11"/>
        <v>93841.087595557692</v>
      </c>
      <c r="AC41" s="25">
        <f>VLOOKUP($A41,'Outage by Zone inputs'!$A$59:$E$68,MATCH('Mitigation Projects'!$J7,'Outage by Zone inputs'!$A$58:$E$58,0),0)*AVG_INCIDENT_PERCENT_NON_STORM</f>
        <v>49.49683430725441</v>
      </c>
      <c r="AD41" s="25">
        <f t="shared" si="8"/>
        <v>10.520582190813185</v>
      </c>
      <c r="AE41" s="1">
        <f t="shared" si="9"/>
        <v>4965.7147940638233</v>
      </c>
      <c r="AF41" s="1">
        <f t="shared" si="10"/>
        <v>909.12225376010156</v>
      </c>
      <c r="AG41" s="25"/>
      <c r="AH41" s="25"/>
      <c r="AI41" s="25"/>
    </row>
    <row r="42" spans="1:35" x14ac:dyDescent="0.4">
      <c r="A42" s="31" t="s">
        <v>124</v>
      </c>
      <c r="B42" s="31" t="s">
        <v>110</v>
      </c>
      <c r="C42" s="32">
        <v>199373</v>
      </c>
      <c r="D42" s="94" t="s">
        <v>333</v>
      </c>
      <c r="E42" s="94">
        <v>617377</v>
      </c>
      <c r="F42" s="94">
        <v>476994</v>
      </c>
      <c r="G42" s="94" t="s">
        <v>37</v>
      </c>
      <c r="H42" s="94" t="s">
        <v>16</v>
      </c>
      <c r="I42" s="94">
        <v>1.5</v>
      </c>
      <c r="J42" s="94" t="s">
        <v>44</v>
      </c>
      <c r="K42" s="94">
        <v>135</v>
      </c>
      <c r="L42" s="108">
        <v>867921</v>
      </c>
      <c r="M42" s="33" t="s">
        <v>418</v>
      </c>
      <c r="N42" s="33" t="s">
        <v>418</v>
      </c>
      <c r="O42" s="32"/>
      <c r="P42" s="32"/>
      <c r="Q42" s="98">
        <f>VLOOKUP($A42,'Customer Count by class'!$B$5:$M$14,12,0)</f>
        <v>0.8671875</v>
      </c>
      <c r="R42" s="98">
        <f t="shared" si="0"/>
        <v>0.1328125</v>
      </c>
      <c r="S42" s="98">
        <f t="shared" si="1"/>
        <v>0.5</v>
      </c>
      <c r="T42" s="26">
        <f t="shared" si="2"/>
        <v>0.98</v>
      </c>
      <c r="U42" s="26">
        <f t="shared" si="3"/>
        <v>0.83359200333362127</v>
      </c>
      <c r="V42" s="43">
        <f>VLOOKUP($A42,'Outage by Zone inputs'!$A$4:$E$13,MATCH('Mitigation Projects'!$J8,'Outage by Zone inputs'!$A$3:$E$3,0),0)*Q42*$S42*($K42/SUMIFS($K$4:$K$48,$A$4:$A$48,$A42,$J$4:$J$48,$J42))</f>
        <v>534.91684896266383</v>
      </c>
      <c r="W42" s="43">
        <f>VLOOKUP($A42,'Outage by Zone inputs'!$A$4:$E$13,MATCH('Mitigation Projects'!$J8,'Outage by Zone inputs'!$A$3:$E$3,0),0)*R42*$S42*($K42/SUMIFS($K$4:$K$48,$A$4:$A$48,$A42,$J$4:$J$48,$J42))</f>
        <v>81.924202093380956</v>
      </c>
      <c r="X42" s="25">
        <f t="shared" si="4"/>
        <v>97.932489373842685</v>
      </c>
      <c r="Y42" s="25">
        <f t="shared" si="5"/>
        <v>14.998669543741673</v>
      </c>
      <c r="Z42" s="1">
        <f t="shared" si="6"/>
        <v>2056.5822768506964</v>
      </c>
      <c r="AA42" s="1">
        <f t="shared" si="7"/>
        <v>58269.831177436405</v>
      </c>
      <c r="AB42" s="1">
        <f t="shared" si="11"/>
        <v>60326.413454287103</v>
      </c>
      <c r="AC42" s="25">
        <f>VLOOKUP($A42,'Outage by Zone inputs'!$A$59:$E$68,MATCH('Mitigation Projects'!$J8,'Outage by Zone inputs'!$A$58:$E$58,0),0)*AVG_INCIDENT_PERCENT_NON_STORM</f>
        <v>49.49683430725441</v>
      </c>
      <c r="AD42" s="25">
        <f t="shared" si="8"/>
        <v>6.7632314083799052</v>
      </c>
      <c r="AE42" s="1">
        <f t="shared" si="9"/>
        <v>3192.2452247553151</v>
      </c>
      <c r="AF42" s="1">
        <f t="shared" si="10"/>
        <v>584.43573456006538</v>
      </c>
      <c r="AG42" s="25"/>
      <c r="AH42" s="25"/>
      <c r="AI42" s="25"/>
    </row>
    <row r="43" spans="1:35" x14ac:dyDescent="0.4">
      <c r="A43" s="31" t="s">
        <v>124</v>
      </c>
      <c r="B43" s="31" t="s">
        <v>110</v>
      </c>
      <c r="C43" s="32">
        <v>199498</v>
      </c>
      <c r="D43" s="94" t="s">
        <v>334</v>
      </c>
      <c r="E43" s="94">
        <v>617059</v>
      </c>
      <c r="F43" s="94" t="s">
        <v>145</v>
      </c>
      <c r="G43" s="94" t="s">
        <v>37</v>
      </c>
      <c r="H43" s="94" t="s">
        <v>16</v>
      </c>
      <c r="I43" s="94">
        <v>3</v>
      </c>
      <c r="J43" s="94" t="s">
        <v>44</v>
      </c>
      <c r="K43" s="94">
        <v>107</v>
      </c>
      <c r="L43" s="108">
        <v>1735452</v>
      </c>
      <c r="M43" s="33" t="s">
        <v>418</v>
      </c>
      <c r="N43" s="33" t="s">
        <v>418</v>
      </c>
      <c r="O43" s="32"/>
      <c r="P43" s="32"/>
      <c r="Q43" s="98">
        <f>VLOOKUP($A43,'Customer Count by class'!$B$5:$M$14,12,0)</f>
        <v>0.8671875</v>
      </c>
      <c r="R43" s="98">
        <f t="shared" si="0"/>
        <v>0.1328125</v>
      </c>
      <c r="S43" s="98">
        <f t="shared" si="1"/>
        <v>0.5</v>
      </c>
      <c r="T43" s="26">
        <f t="shared" si="2"/>
        <v>0.98</v>
      </c>
      <c r="U43" s="26">
        <f t="shared" si="3"/>
        <v>0.83359200333362127</v>
      </c>
      <c r="V43" s="43">
        <f>VLOOKUP($A43,'Outage by Zone inputs'!$A$4:$E$13,MATCH('Mitigation Projects'!$J10,'Outage by Zone inputs'!$A$3:$E$3,0),0)*Q43*$S43*($K43/SUMIFS($K$4:$K$48,$A$4:$A$48,$A43,$J$4:$J$48,$J43))</f>
        <v>215.06206702925431</v>
      </c>
      <c r="W43" s="43">
        <f>VLOOKUP($A43,'Outage by Zone inputs'!$A$4:$E$13,MATCH('Mitigation Projects'!$J10,'Outage by Zone inputs'!$A$3:$E$3,0),0)*R43*$S43*($K43/SUMIFS($K$4:$K$48,$A$4:$A$48,$A43,$J$4:$J$48,$J43))</f>
        <v>32.937433689165076</v>
      </c>
      <c r="X43" s="25">
        <f t="shared" si="4"/>
        <v>39.373528119188386</v>
      </c>
      <c r="Y43" s="25">
        <f t="shared" si="5"/>
        <v>6.0301799822180415</v>
      </c>
      <c r="Z43" s="1">
        <f t="shared" si="6"/>
        <v>826.84409050295608</v>
      </c>
      <c r="AA43" s="1">
        <f t="shared" si="7"/>
        <v>23427.249230917092</v>
      </c>
      <c r="AB43" s="1">
        <f t="shared" si="11"/>
        <v>24254.093321420049</v>
      </c>
      <c r="AC43" s="25">
        <f>VLOOKUP($A43,'Outage by Zone inputs'!$A$59:$E$68,MATCH('Mitigation Projects'!$J10,'Outage by Zone inputs'!$A$58:$E$58,0),0)*AVG_INCIDENT_PERCENT_NON_STORM</f>
        <v>25.107585612663954</v>
      </c>
      <c r="AD43" s="25">
        <f t="shared" si="8"/>
        <v>2.7191413568370879</v>
      </c>
      <c r="AE43" s="1">
        <f t="shared" si="9"/>
        <v>1283.4347204271055</v>
      </c>
      <c r="AF43" s="1">
        <f t="shared" si="10"/>
        <v>234.97101907332365</v>
      </c>
      <c r="AG43" s="25"/>
      <c r="AH43" s="25"/>
      <c r="AI43" s="25"/>
    </row>
    <row r="44" spans="1:35" x14ac:dyDescent="0.4">
      <c r="A44" s="31" t="s">
        <v>124</v>
      </c>
      <c r="B44" s="31" t="s">
        <v>110</v>
      </c>
      <c r="C44" s="32">
        <v>199569</v>
      </c>
      <c r="D44" s="94" t="s">
        <v>417</v>
      </c>
      <c r="E44" s="94">
        <v>618225</v>
      </c>
      <c r="F44" s="94">
        <v>618154</v>
      </c>
      <c r="G44" s="94" t="s">
        <v>37</v>
      </c>
      <c r="H44" s="94" t="s">
        <v>16</v>
      </c>
      <c r="I44" s="94">
        <v>1.7</v>
      </c>
      <c r="J44" s="94" t="s">
        <v>44</v>
      </c>
      <c r="K44" s="94">
        <v>42</v>
      </c>
      <c r="L44" s="108">
        <v>978528</v>
      </c>
      <c r="M44" s="33" t="s">
        <v>418</v>
      </c>
      <c r="N44" s="33" t="s">
        <v>418</v>
      </c>
      <c r="O44" s="32"/>
      <c r="P44" s="32"/>
      <c r="Q44" s="98">
        <f>VLOOKUP($A44,'Customer Count by class'!$B$5:$M$14,12,0)</f>
        <v>0.8671875</v>
      </c>
      <c r="R44" s="98">
        <f t="shared" si="0"/>
        <v>0.1328125</v>
      </c>
      <c r="S44" s="98">
        <f t="shared" si="1"/>
        <v>0.5</v>
      </c>
      <c r="T44" s="26">
        <f t="shared" si="2"/>
        <v>0.98</v>
      </c>
      <c r="U44" s="26">
        <f t="shared" si="3"/>
        <v>0.83359200333362127</v>
      </c>
      <c r="V44" s="43">
        <f>VLOOKUP($A44,'Outage by Zone inputs'!$A$4:$E$13,MATCH('Mitigation Projects'!$J11,'Outage by Zone inputs'!$A$3:$E$3,0),0)*Q44*$S44*($K44/SUMIFS($K$4:$K$48,$A$4:$A$48,$A44,$J$4:$J$48,$J44))</f>
        <v>84.416886123632537</v>
      </c>
      <c r="W44" s="43">
        <f>VLOOKUP($A44,'Outage by Zone inputs'!$A$4:$E$13,MATCH('Mitigation Projects'!$J11,'Outage by Zone inputs'!$A$3:$E$3,0),0)*R44*$S44*($K44/SUMIFS($K$4:$K$48,$A$4:$A$48,$A44,$J$4:$J$48,$J44))</f>
        <v>12.928712289204983</v>
      </c>
      <c r="X44" s="25">
        <f t="shared" si="4"/>
        <v>15.455029729027217</v>
      </c>
      <c r="Y44" s="25">
        <f t="shared" si="5"/>
        <v>2.3669865350762405</v>
      </c>
      <c r="Z44" s="1">
        <f t="shared" si="6"/>
        <v>324.55562430957156</v>
      </c>
      <c r="AA44" s="1">
        <f t="shared" si="7"/>
        <v>9195.7426887711936</v>
      </c>
      <c r="AB44" s="1">
        <f t="shared" si="11"/>
        <v>9520.2983130807643</v>
      </c>
      <c r="AC44" s="25">
        <f>VLOOKUP($A44,'Outage by Zone inputs'!$A$59:$E$68,MATCH('Mitigation Projects'!$J11,'Outage by Zone inputs'!$A$58:$E$58,0),0)*AVG_INCIDENT_PERCENT_NON_STORM</f>
        <v>25.107585612663954</v>
      </c>
      <c r="AD44" s="25">
        <f t="shared" si="8"/>
        <v>1.0673265138986701</v>
      </c>
      <c r="AE44" s="1">
        <f t="shared" si="9"/>
        <v>503.77811456017224</v>
      </c>
      <c r="AF44" s="1">
        <f t="shared" si="10"/>
        <v>92.231614963360684</v>
      </c>
      <c r="AG44" s="8"/>
      <c r="AH44" s="8"/>
      <c r="AI44" s="8"/>
    </row>
    <row r="45" spans="1:35" x14ac:dyDescent="0.4">
      <c r="A45" s="31" t="s">
        <v>119</v>
      </c>
      <c r="B45" s="31" t="s">
        <v>116</v>
      </c>
      <c r="C45" s="32">
        <v>203716</v>
      </c>
      <c r="D45" s="94" t="s">
        <v>346</v>
      </c>
      <c r="E45" s="94" t="s">
        <v>144</v>
      </c>
      <c r="F45" s="94">
        <v>0</v>
      </c>
      <c r="G45" s="94" t="s">
        <v>39</v>
      </c>
      <c r="H45" s="94" t="s">
        <v>15</v>
      </c>
      <c r="I45" s="94">
        <v>1.5</v>
      </c>
      <c r="J45" s="94" t="s">
        <v>42</v>
      </c>
      <c r="K45" s="94">
        <v>123</v>
      </c>
      <c r="L45" s="108">
        <v>1110638</v>
      </c>
      <c r="M45" s="33" t="s">
        <v>244</v>
      </c>
      <c r="N45" s="33" t="s">
        <v>591</v>
      </c>
      <c r="O45" s="32" t="s">
        <v>115</v>
      </c>
      <c r="P45" s="32">
        <v>1005</v>
      </c>
      <c r="Q45" s="98">
        <f>VLOOKUP($A45,'Customer Count by class'!$B$5:$M$14,12,0)</f>
        <v>0.85561497326203206</v>
      </c>
      <c r="R45" s="98">
        <f t="shared" si="0"/>
        <v>0.14438502673796794</v>
      </c>
      <c r="S45" s="98">
        <f t="shared" si="1"/>
        <v>1</v>
      </c>
      <c r="T45" s="26">
        <f t="shared" si="2"/>
        <v>0.9</v>
      </c>
      <c r="U45" s="26">
        <f t="shared" si="3"/>
        <v>0.80330442615766917</v>
      </c>
      <c r="V45" s="43">
        <f>VLOOKUP($A45,'Outage by Zone inputs'!$A$4:$E$13,MATCH('Mitigation Projects'!$J24,'Outage by Zone inputs'!$A$3:$E$3,0),0)*Q45*$S45*($K45/SUMIFS($K$4:$K$48,$A$4:$A$48,$A45,$J$4:$J$48,$J45))</f>
        <v>203.4441322232291</v>
      </c>
      <c r="W45" s="43">
        <f>VLOOKUP($A45,'Outage by Zone inputs'!$A$4:$E$13,MATCH('Mitigation Projects'!$J24,'Outage by Zone inputs'!$A$3:$E$3,0),0)*R45*$S45*($K45/SUMIFS($K$4:$K$48,$A$4:$A$48,$A45,$J$4:$J$48,$J45))</f>
        <v>34.331197312669921</v>
      </c>
      <c r="X45" s="25">
        <f t="shared" si="4"/>
        <v>56.359317521575683</v>
      </c>
      <c r="Y45" s="25">
        <f t="shared" si="5"/>
        <v>9.5106348317659002</v>
      </c>
      <c r="Z45" s="1">
        <f t="shared" si="6"/>
        <v>1183.5456679530894</v>
      </c>
      <c r="AA45" s="1">
        <f t="shared" si="7"/>
        <v>36948.816321410523</v>
      </c>
      <c r="AB45" s="1">
        <f t="shared" si="11"/>
        <v>38132.361989363613</v>
      </c>
      <c r="AC45" s="25">
        <f>VLOOKUP($A45,'Outage by Zone inputs'!$A$59:$E$68,MATCH('Mitigation Projects'!$J24,'Outage by Zone inputs'!$A$58:$E$58,0),0)*AVG_INCIDENT_PERCENT_NON_STORM</f>
        <v>14.856349499895304</v>
      </c>
      <c r="AD45" s="25">
        <f t="shared" si="8"/>
        <v>2.1027974551060096</v>
      </c>
      <c r="AE45" s="1">
        <f t="shared" si="9"/>
        <v>992.52039881003657</v>
      </c>
      <c r="AF45" s="1">
        <f t="shared" si="10"/>
        <v>274.95397233574693</v>
      </c>
      <c r="AG45" s="8">
        <f>IFERROR(VLOOKUP($O45,'Pre_Post mitigation outages'!$B$5:$L$19,11,0),0)*Q45*ICE_VALUE_RES_WTD</f>
        <v>37327.91693286485</v>
      </c>
      <c r="AH45" s="8">
        <f>IFERROR(VLOOKUP($O45,'Pre_Post mitigation outages'!$B$5:$L$19,11,0),0)*R45*ICE_VALUE_NONRES_WTD</f>
        <v>1165330.9067478746</v>
      </c>
      <c r="AI45" s="8">
        <f>SUM(AG45:AH45)</f>
        <v>1202658.8236807394</v>
      </c>
    </row>
    <row r="46" spans="1:35" x14ac:dyDescent="0.4">
      <c r="A46" s="31" t="s">
        <v>119</v>
      </c>
      <c r="B46" s="31" t="s">
        <v>116</v>
      </c>
      <c r="C46" s="32">
        <v>203723</v>
      </c>
      <c r="D46" s="94" t="s">
        <v>347</v>
      </c>
      <c r="E46" s="94">
        <v>618564</v>
      </c>
      <c r="F46" s="94">
        <v>619011</v>
      </c>
      <c r="G46" s="94" t="s">
        <v>39</v>
      </c>
      <c r="H46" s="94" t="s">
        <v>15</v>
      </c>
      <c r="I46" s="94">
        <v>0.8</v>
      </c>
      <c r="J46" s="94" t="s">
        <v>43</v>
      </c>
      <c r="K46" s="94">
        <v>830</v>
      </c>
      <c r="L46" s="108">
        <v>587651</v>
      </c>
      <c r="M46" s="33" t="s">
        <v>418</v>
      </c>
      <c r="N46" s="33" t="s">
        <v>418</v>
      </c>
      <c r="O46" s="32"/>
      <c r="P46" s="32"/>
      <c r="Q46" s="98">
        <f>VLOOKUP($A46,'Customer Count by class'!$B$5:$M$14,12,0)</f>
        <v>0.85561497326203206</v>
      </c>
      <c r="R46" s="98">
        <f t="shared" si="0"/>
        <v>0.14438502673796794</v>
      </c>
      <c r="S46" s="98">
        <f t="shared" si="1"/>
        <v>1</v>
      </c>
      <c r="T46" s="26">
        <f t="shared" si="2"/>
        <v>0.9</v>
      </c>
      <c r="U46" s="26">
        <f t="shared" si="3"/>
        <v>0.80330442615766917</v>
      </c>
      <c r="V46" s="43">
        <f>VLOOKUP($A46,'Outage by Zone inputs'!$A$4:$E$13,MATCH('Mitigation Projects'!$J25,'Outage by Zone inputs'!$A$3:$E$3,0),0)*Q46*$S46*($K46/SUMIFS($K$4:$K$48,$A$4:$A$48,$A46,$J$4:$J$48,$J46))</f>
        <v>1437.3410642437893</v>
      </c>
      <c r="W46" s="43">
        <f>VLOOKUP($A46,'Outage by Zone inputs'!$A$4:$E$13,MATCH('Mitigation Projects'!$J25,'Outage by Zone inputs'!$A$3:$E$3,0),0)*R46*$S46*($K46/SUMIFS($K$4:$K$48,$A$4:$A$48,$A46,$J$4:$J$48,$J46))</f>
        <v>242.55130459113951</v>
      </c>
      <c r="X46" s="25">
        <f t="shared" si="4"/>
        <v>398.18086931909977</v>
      </c>
      <c r="Y46" s="25">
        <f t="shared" si="5"/>
        <v>67.193021697598098</v>
      </c>
      <c r="Z46" s="1">
        <f t="shared" si="6"/>
        <v>8361.7982557010946</v>
      </c>
      <c r="AA46" s="1">
        <f t="shared" si="7"/>
        <v>261044.8892951686</v>
      </c>
      <c r="AB46" s="1">
        <f t="shared" si="11"/>
        <v>269406.68755086971</v>
      </c>
      <c r="AC46" s="25">
        <f>VLOOKUP($A46,'Outage by Zone inputs'!$A$59:$E$68,MATCH('Mitigation Projects'!$J25,'Outage by Zone inputs'!$A$58:$E$58,0),0)*AVG_INCIDENT_PERCENT_NON_STORM</f>
        <v>14.856349499895304</v>
      </c>
      <c r="AD46" s="25">
        <f t="shared" si="8"/>
        <v>14.856349499895304</v>
      </c>
      <c r="AE46" s="1">
        <f t="shared" si="9"/>
        <v>7012.1969639505833</v>
      </c>
      <c r="AF46" s="1">
        <f t="shared" si="10"/>
        <v>1942.5609915427974</v>
      </c>
      <c r="AG46" s="25"/>
      <c r="AH46" s="25"/>
      <c r="AI46" s="25"/>
    </row>
    <row r="47" spans="1:35" x14ac:dyDescent="0.4">
      <c r="A47" s="31" t="s">
        <v>119</v>
      </c>
      <c r="B47" s="31" t="s">
        <v>116</v>
      </c>
      <c r="C47" s="32">
        <v>203724</v>
      </c>
      <c r="D47" s="94" t="s">
        <v>348</v>
      </c>
      <c r="E47" s="94">
        <v>653643</v>
      </c>
      <c r="F47" s="94">
        <v>619011</v>
      </c>
      <c r="G47" s="94" t="s">
        <v>39</v>
      </c>
      <c r="H47" s="94" t="s">
        <v>15</v>
      </c>
      <c r="I47" s="94">
        <v>2.15</v>
      </c>
      <c r="J47" s="94" t="s">
        <v>42</v>
      </c>
      <c r="K47" s="94">
        <v>746</v>
      </c>
      <c r="L47" s="108">
        <v>1591909</v>
      </c>
      <c r="M47" s="33" t="s">
        <v>244</v>
      </c>
      <c r="N47" s="33" t="s">
        <v>592</v>
      </c>
      <c r="O47" s="32" t="s">
        <v>250</v>
      </c>
      <c r="P47" s="32">
        <v>722</v>
      </c>
      <c r="Q47" s="98">
        <f>VLOOKUP($A47,'Customer Count by class'!$B$5:$M$14,12,0)</f>
        <v>0.85561497326203206</v>
      </c>
      <c r="R47" s="98">
        <f t="shared" si="0"/>
        <v>0.14438502673796794</v>
      </c>
      <c r="S47" s="98">
        <f t="shared" si="1"/>
        <v>1</v>
      </c>
      <c r="T47" s="26">
        <f t="shared" si="2"/>
        <v>0.9</v>
      </c>
      <c r="U47" s="26">
        <f t="shared" si="3"/>
        <v>0.80330442615766917</v>
      </c>
      <c r="V47" s="43">
        <f>VLOOKUP($A47,'Outage by Zone inputs'!$A$4:$E$13,MATCH('Mitigation Projects'!$J26,'Outage by Zone inputs'!$A$3:$E$3,0),0)*Q47*$S47*($K47/SUMIFS($K$4:$K$48,$A$4:$A$48,$A47,$J$4:$J$48,$J47))</f>
        <v>1233.8969320205604</v>
      </c>
      <c r="W47" s="43">
        <f>VLOOKUP($A47,'Outage by Zone inputs'!$A$4:$E$13,MATCH('Mitigation Projects'!$J26,'Outage by Zone inputs'!$A$3:$E$3,0),0)*R47*$S47*($K47/SUMIFS($K$4:$K$48,$A$4:$A$48,$A47,$J$4:$J$48,$J47))</f>
        <v>208.22010727846961</v>
      </c>
      <c r="X47" s="25">
        <f t="shared" si="4"/>
        <v>341.82155179752408</v>
      </c>
      <c r="Y47" s="25">
        <f t="shared" si="5"/>
        <v>57.682386865832207</v>
      </c>
      <c r="Z47" s="1">
        <f t="shared" si="6"/>
        <v>7178.2525877480057</v>
      </c>
      <c r="AA47" s="1">
        <f t="shared" si="7"/>
        <v>224096.07297375813</v>
      </c>
      <c r="AB47" s="1">
        <f t="shared" si="11"/>
        <v>231274.32556150612</v>
      </c>
      <c r="AC47" s="25">
        <f>VLOOKUP($A47,'Outage by Zone inputs'!$A$59:$E$68,MATCH('Mitigation Projects'!$J26,'Outage by Zone inputs'!$A$58:$E$58,0),0)*AVG_INCIDENT_PERCENT_NON_STORM</f>
        <v>14.856349499895304</v>
      </c>
      <c r="AD47" s="25">
        <f t="shared" si="8"/>
        <v>12.753552044789295</v>
      </c>
      <c r="AE47" s="1">
        <f t="shared" si="9"/>
        <v>6019.6765651405476</v>
      </c>
      <c r="AF47" s="1">
        <f t="shared" si="10"/>
        <v>1667.6070192070508</v>
      </c>
      <c r="AG47" s="8">
        <f>IFERROR(VLOOKUP($O47,'Pre_Post mitigation outages'!$B$5:$L$19,11,0),0)*Q47*ICE_VALUE_RES_WTD</f>
        <v>20684.652078343886</v>
      </c>
      <c r="AH47" s="8">
        <f>IFERROR(VLOOKUP($O47,'Pre_Post mitigation outages'!$B$5:$L$19,11,0),0)*R47*ICE_VALUE_NONRES_WTD</f>
        <v>645748.98207079829</v>
      </c>
      <c r="AI47" s="8">
        <f>SUM(AG47:AH47)</f>
        <v>666433.63414914219</v>
      </c>
    </row>
    <row r="48" spans="1:35" x14ac:dyDescent="0.4">
      <c r="A48" s="31" t="s">
        <v>119</v>
      </c>
      <c r="B48" s="31" t="s">
        <v>116</v>
      </c>
      <c r="C48" s="32">
        <v>203725</v>
      </c>
      <c r="D48" s="94" t="s">
        <v>349</v>
      </c>
      <c r="E48" s="94">
        <v>618564</v>
      </c>
      <c r="F48" s="94">
        <v>0</v>
      </c>
      <c r="G48" s="94" t="s">
        <v>37</v>
      </c>
      <c r="H48" s="94" t="s">
        <v>16</v>
      </c>
      <c r="I48" s="94">
        <v>2.25</v>
      </c>
      <c r="J48" s="94" t="s">
        <v>44</v>
      </c>
      <c r="K48" s="94">
        <v>293</v>
      </c>
      <c r="L48" s="108">
        <v>1304735</v>
      </c>
      <c r="M48" s="33" t="s">
        <v>418</v>
      </c>
      <c r="N48" s="33" t="s">
        <v>418</v>
      </c>
      <c r="O48" s="32"/>
      <c r="P48" s="32"/>
      <c r="Q48" s="98">
        <f>VLOOKUP($A48,'Customer Count by class'!$B$5:$M$14,12,0)</f>
        <v>0.85561497326203206</v>
      </c>
      <c r="R48" s="98">
        <f t="shared" si="0"/>
        <v>0.14438502673796794</v>
      </c>
      <c r="S48" s="98">
        <f t="shared" si="1"/>
        <v>0.5</v>
      </c>
      <c r="T48" s="26">
        <f t="shared" si="2"/>
        <v>0.98</v>
      </c>
      <c r="U48" s="26">
        <f t="shared" si="3"/>
        <v>0.83359200333362127</v>
      </c>
      <c r="V48" s="43">
        <f>VLOOKUP($A48,'Outage by Zone inputs'!$A$4:$E$13,MATCH('Mitigation Projects'!$J27,'Outage by Zone inputs'!$A$3:$E$3,0),0)*Q48*$S48*($K48/SUMIFS($K$4:$K$48,$A$4:$A$48,$A48,$J$4:$J$48,$J48))</f>
        <v>718.67053212189467</v>
      </c>
      <c r="W48" s="43">
        <f>VLOOKUP($A48,'Outage by Zone inputs'!$A$4:$E$13,MATCH('Mitigation Projects'!$J27,'Outage by Zone inputs'!$A$3:$E$3,0),0)*R48*$S48*($K48/SUMIFS($K$4:$K$48,$A$4:$A$48,$A48,$J$4:$J$48,$J48))</f>
        <v>121.27565229556976</v>
      </c>
      <c r="X48" s="25">
        <f t="shared" si="4"/>
        <v>131.57408368573149</v>
      </c>
      <c r="Y48" s="25">
        <f t="shared" si="5"/>
        <v>22.203126621967193</v>
      </c>
      <c r="Z48" s="1">
        <f t="shared" si="6"/>
        <v>2763.0557574003615</v>
      </c>
      <c r="AA48" s="1">
        <f t="shared" si="7"/>
        <v>86259.146926342553</v>
      </c>
      <c r="AB48" s="1">
        <f t="shared" si="11"/>
        <v>89022.202683742915</v>
      </c>
      <c r="AC48" s="25">
        <f>VLOOKUP($A48,'Outage by Zone inputs'!$A$59:$E$68,MATCH('Mitigation Projects'!$J27,'Outage by Zone inputs'!$A$58:$E$58,0),0)*AVG_INCIDENT_PERCENT_NON_STORM</f>
        <v>14.856349499895304</v>
      </c>
      <c r="AD48" s="25">
        <f t="shared" si="8"/>
        <v>7.4281747499476518</v>
      </c>
      <c r="AE48" s="1">
        <f t="shared" si="9"/>
        <v>3506.0984819752916</v>
      </c>
      <c r="AF48" s="1">
        <f t="shared" si="10"/>
        <v>641.89593765003497</v>
      </c>
      <c r="AG48" s="25"/>
      <c r="AH48" s="25"/>
      <c r="AI48" s="25"/>
    </row>
    <row r="49" spans="1:35" x14ac:dyDescent="0.4">
      <c r="A49" s="31"/>
      <c r="B49" s="31"/>
      <c r="C49" s="32"/>
      <c r="D49" s="32"/>
      <c r="E49" s="32"/>
      <c r="F49" s="32"/>
      <c r="G49" s="32"/>
      <c r="H49" s="32"/>
      <c r="I49" s="32"/>
      <c r="J49" s="32"/>
      <c r="K49" s="32"/>
      <c r="L49" s="33"/>
      <c r="M49" s="33"/>
      <c r="N49" s="33"/>
      <c r="O49" s="32"/>
      <c r="P49" s="32"/>
      <c r="Q49" s="98"/>
      <c r="R49" s="98"/>
      <c r="S49" s="98"/>
      <c r="T49" s="26"/>
      <c r="U49" s="26"/>
      <c r="V49" s="1"/>
      <c r="W49" s="1"/>
      <c r="X49" s="25"/>
      <c r="Y49" s="25"/>
      <c r="Z49" s="1"/>
      <c r="AA49" s="1"/>
      <c r="AB49" s="1"/>
      <c r="AC49" s="1"/>
      <c r="AD49" s="25"/>
      <c r="AE49" s="1"/>
      <c r="AF49" s="1"/>
      <c r="AG49" s="1"/>
      <c r="AH49" s="1"/>
      <c r="AI49" s="1"/>
    </row>
    <row r="50" spans="1:35" x14ac:dyDescent="0.4">
      <c r="A50" s="31"/>
      <c r="B50" s="31"/>
      <c r="C50" s="32"/>
      <c r="D50" s="32"/>
      <c r="E50" s="32"/>
      <c r="F50" s="32"/>
      <c r="G50" s="32"/>
      <c r="H50" s="32"/>
      <c r="I50" s="32"/>
      <c r="J50" s="32"/>
      <c r="K50" s="32"/>
      <c r="L50" s="33"/>
      <c r="M50" s="33"/>
      <c r="N50" s="33"/>
      <c r="O50" s="32"/>
      <c r="P50" s="32"/>
      <c r="Q50" s="98"/>
      <c r="R50" s="98"/>
      <c r="S50" s="98"/>
      <c r="T50" s="26"/>
      <c r="U50" s="26"/>
      <c r="V50" s="1"/>
      <c r="W50" s="1"/>
      <c r="X50" s="25"/>
      <c r="Y50" s="25"/>
      <c r="Z50" s="1"/>
      <c r="AA50" s="1"/>
      <c r="AB50" s="1"/>
      <c r="AC50" s="1"/>
      <c r="AD50" s="25"/>
      <c r="AE50" s="1"/>
      <c r="AF50" s="1"/>
      <c r="AG50" s="1"/>
      <c r="AH50" s="1"/>
      <c r="AI50" s="1"/>
    </row>
    <row r="51" spans="1:35" x14ac:dyDescent="0.4">
      <c r="A51" s="31"/>
      <c r="B51" s="31"/>
      <c r="C51" s="32"/>
      <c r="D51" s="32"/>
      <c r="E51" s="32"/>
      <c r="F51" s="32"/>
      <c r="G51" s="32"/>
      <c r="H51" s="32"/>
      <c r="I51" s="32"/>
      <c r="J51" s="32"/>
      <c r="K51" s="32"/>
      <c r="L51" s="33"/>
      <c r="M51" s="33"/>
      <c r="N51" s="33"/>
      <c r="O51" s="32"/>
      <c r="P51" s="32"/>
      <c r="Q51" s="98"/>
      <c r="R51" s="98"/>
      <c r="S51" s="98"/>
      <c r="T51" s="26"/>
      <c r="U51" s="26"/>
      <c r="V51" s="1"/>
      <c r="W51" s="1"/>
      <c r="X51" s="25"/>
      <c r="Y51" s="25"/>
      <c r="Z51" s="1"/>
      <c r="AA51" s="1"/>
      <c r="AB51" s="1"/>
      <c r="AC51" s="1"/>
      <c r="AD51" s="25"/>
      <c r="AE51" s="1"/>
      <c r="AF51" s="1"/>
      <c r="AG51" s="1"/>
      <c r="AH51" s="1"/>
      <c r="AI51" s="1"/>
    </row>
    <row r="52" spans="1:35" x14ac:dyDescent="0.4">
      <c r="A52" s="31" t="str">
        <f>A4</f>
        <v>BV-G43</v>
      </c>
      <c r="B52" s="209">
        <f>SUMIFS($L$4:$L$48,$A$4:$A$48,A52)</f>
        <v>5638387</v>
      </c>
      <c r="C52" s="32"/>
      <c r="D52" s="32"/>
      <c r="E52" s="32"/>
      <c r="F52" s="32"/>
      <c r="G52" s="32"/>
      <c r="H52" s="32"/>
      <c r="I52" s="32"/>
      <c r="J52" s="32"/>
      <c r="K52" s="32"/>
      <c r="L52" s="33"/>
      <c r="M52" s="33"/>
      <c r="N52" s="33"/>
      <c r="O52" s="32"/>
      <c r="P52" s="32"/>
      <c r="Q52" s="98"/>
      <c r="R52" s="98"/>
      <c r="S52" s="98"/>
      <c r="T52" s="26"/>
      <c r="U52" s="26"/>
      <c r="V52" s="1"/>
      <c r="W52" s="1"/>
      <c r="X52" s="25"/>
      <c r="Y52" s="25"/>
      <c r="Z52" s="1"/>
      <c r="AA52" s="1"/>
      <c r="AB52" s="1"/>
      <c r="AC52" s="1"/>
      <c r="AD52" s="25"/>
      <c r="AE52" s="1"/>
      <c r="AF52" s="1"/>
      <c r="AG52" s="1"/>
      <c r="AH52" s="1"/>
      <c r="AI52" s="1"/>
    </row>
    <row r="53" spans="1:35" ht="18.75" customHeight="1" x14ac:dyDescent="0.4">
      <c r="A53" t="str">
        <f>A7</f>
        <v>BV-G44</v>
      </c>
      <c r="B53" s="209">
        <f t="shared" ref="B53:B61" si="12">SUMIFS($L$4:$L$48,$A$4:$A$48,A53)</f>
        <v>7149940</v>
      </c>
    </row>
    <row r="54" spans="1:35" x14ac:dyDescent="0.4">
      <c r="A54" t="str">
        <f>A12</f>
        <v>CH-G11</v>
      </c>
      <c r="B54" s="209">
        <f t="shared" si="12"/>
        <v>5509379</v>
      </c>
      <c r="V54" s="43"/>
      <c r="X54" s="43"/>
    </row>
    <row r="55" spans="1:35" x14ac:dyDescent="0.4">
      <c r="A55" t="str">
        <f>A14</f>
        <v>CS-G34</v>
      </c>
      <c r="B55" s="209">
        <f t="shared" si="12"/>
        <v>7281076</v>
      </c>
      <c r="V55" s="43"/>
      <c r="W55" s="43"/>
      <c r="X55" s="43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x14ac:dyDescent="0.4">
      <c r="A56" t="str">
        <f>A18</f>
        <v>CV-G65</v>
      </c>
      <c r="B56" s="209">
        <f t="shared" si="12"/>
        <v>7578187</v>
      </c>
      <c r="Q56" s="98"/>
      <c r="R56" s="98"/>
      <c r="V56" s="43"/>
      <c r="X56" s="43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x14ac:dyDescent="0.4">
      <c r="A57" t="str">
        <f>A22</f>
        <v>DM-G6</v>
      </c>
      <c r="B57" s="209">
        <f t="shared" si="12"/>
        <v>22796856</v>
      </c>
      <c r="Q57" s="98"/>
      <c r="R57" s="98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x14ac:dyDescent="0.4">
      <c r="A58" t="str">
        <f>A34</f>
        <v>EL-G40</v>
      </c>
      <c r="B58" s="209">
        <f t="shared" si="12"/>
        <v>7243022</v>
      </c>
      <c r="Q58" s="98"/>
      <c r="R58" s="98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x14ac:dyDescent="0.4">
      <c r="A59" t="str">
        <f>A39</f>
        <v>SB-G91</v>
      </c>
      <c r="B59" s="209">
        <f t="shared" si="12"/>
        <v>3928884</v>
      </c>
      <c r="Q59" s="98"/>
      <c r="R59" s="98"/>
    </row>
    <row r="60" spans="1:35" x14ac:dyDescent="0.4">
      <c r="A60" t="str">
        <f>A41</f>
        <v>SH-G35</v>
      </c>
      <c r="B60" s="209">
        <f t="shared" si="12"/>
        <v>4276212</v>
      </c>
      <c r="Q60" s="98"/>
      <c r="R60" s="98"/>
    </row>
    <row r="61" spans="1:35" x14ac:dyDescent="0.4">
      <c r="A61" t="str">
        <f>A45</f>
        <v>TH-G16</v>
      </c>
      <c r="B61" s="209">
        <f t="shared" si="12"/>
        <v>4594933</v>
      </c>
      <c r="Q61" s="98"/>
      <c r="R61" s="98"/>
    </row>
    <row r="62" spans="1:35" x14ac:dyDescent="0.4">
      <c r="Q62" s="98"/>
      <c r="R62" s="98"/>
    </row>
    <row r="63" spans="1:35" x14ac:dyDescent="0.4">
      <c r="Q63" s="98"/>
      <c r="R63" s="98"/>
    </row>
    <row r="64" spans="1:35" x14ac:dyDescent="0.4">
      <c r="Q64" s="98"/>
      <c r="R64" s="98"/>
    </row>
    <row r="65" spans="17:18" x14ac:dyDescent="0.4">
      <c r="Q65" s="98"/>
      <c r="R65" s="98"/>
    </row>
  </sheetData>
  <autoFilter ref="A3:AI52" xr:uid="{66CD3167-8136-4678-88CB-C97C7635C883}">
    <sortState xmlns:xlrd2="http://schemas.microsoft.com/office/spreadsheetml/2017/richdata2" ref="A4:AI52">
      <sortCondition ref="A3:A52"/>
    </sortState>
  </autoFilter>
  <mergeCells count="6">
    <mergeCell ref="AG2:AI2"/>
    <mergeCell ref="V2:W2"/>
    <mergeCell ref="X2:Y2"/>
    <mergeCell ref="Z2:AA2"/>
    <mergeCell ref="Q2:R2"/>
    <mergeCell ref="AC2:AF2"/>
  </mergeCells>
  <pageMargins left="0.7" right="0.7" top="0.75" bottom="0.75" header="0.3" footer="0.3"/>
  <pageSetup scale="46" orientation="portrait" r:id="rId1"/>
  <colBreaks count="3" manualBreakCount="3">
    <brk id="7" max="61" man="1"/>
    <brk id="14" max="61" man="1"/>
    <brk id="24" max="61" man="1"/>
  </colBreaks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A9BEA-7585-4CD5-AD18-CB5B99D42343}">
  <dimension ref="A1:Q15"/>
  <sheetViews>
    <sheetView view="pageBreakPreview" zoomScale="60" zoomScaleNormal="100" workbookViewId="0">
      <selection sqref="A1:R16"/>
    </sheetView>
  </sheetViews>
  <sheetFormatPr defaultRowHeight="18.75" x14ac:dyDescent="0.4"/>
  <cols>
    <col min="16" max="16" width="14.109375" customWidth="1"/>
    <col min="17" max="17" width="10" bestFit="1" customWidth="1"/>
  </cols>
  <sheetData>
    <row r="1" spans="1:17" x14ac:dyDescent="0.4">
      <c r="A1" t="s">
        <v>503</v>
      </c>
    </row>
    <row r="3" spans="1:17" x14ac:dyDescent="0.4">
      <c r="C3" s="148" t="s">
        <v>491</v>
      </c>
      <c r="D3" s="148"/>
      <c r="E3" s="148"/>
      <c r="F3" s="149" t="s">
        <v>492</v>
      </c>
      <c r="G3" s="149"/>
      <c r="H3" s="149"/>
      <c r="I3" s="150" t="s">
        <v>74</v>
      </c>
      <c r="J3" s="150"/>
      <c r="K3" s="150"/>
    </row>
    <row r="4" spans="1:17" ht="19.5" thickBot="1" x14ac:dyDescent="0.45">
      <c r="B4" t="s">
        <v>246</v>
      </c>
      <c r="C4" s="151" t="s">
        <v>257</v>
      </c>
      <c r="D4" s="151" t="s">
        <v>251</v>
      </c>
      <c r="E4" s="152" t="s">
        <v>74</v>
      </c>
      <c r="F4" s="151" t="s">
        <v>257</v>
      </c>
      <c r="G4" s="151" t="s">
        <v>251</v>
      </c>
      <c r="H4" s="152" t="s">
        <v>74</v>
      </c>
      <c r="I4" s="151" t="s">
        <v>257</v>
      </c>
      <c r="J4" s="151" t="s">
        <v>251</v>
      </c>
      <c r="K4" s="152" t="s">
        <v>74</v>
      </c>
      <c r="L4" s="157" t="s">
        <v>493</v>
      </c>
      <c r="M4" s="157" t="s">
        <v>494</v>
      </c>
      <c r="O4" s="204"/>
      <c r="P4" s="204" t="str">
        <f>'FY27 Resiliency Projects'!O12</f>
        <v>sum by circuit</v>
      </c>
      <c r="Q4" t="s">
        <v>614</v>
      </c>
    </row>
    <row r="5" spans="1:17" x14ac:dyDescent="0.4">
      <c r="B5" t="s">
        <v>106</v>
      </c>
      <c r="C5" s="153">
        <v>57</v>
      </c>
      <c r="D5" s="153">
        <v>483</v>
      </c>
      <c r="E5" s="154">
        <v>540</v>
      </c>
      <c r="F5" s="153">
        <v>34</v>
      </c>
      <c r="G5" s="153">
        <v>143</v>
      </c>
      <c r="H5" s="154">
        <v>177</v>
      </c>
      <c r="I5" s="153">
        <v>91</v>
      </c>
      <c r="J5" s="153">
        <v>626</v>
      </c>
      <c r="K5" s="154">
        <v>717</v>
      </c>
      <c r="L5" s="26">
        <f>I5/$K5</f>
        <v>0.12691771269177127</v>
      </c>
      <c r="M5" s="26">
        <f>J5/$K5</f>
        <v>0.87308228730822868</v>
      </c>
      <c r="O5" s="205" t="str">
        <f>'FY27 Resiliency Projects'!N13</f>
        <v>BV-G43</v>
      </c>
      <c r="P5" s="206">
        <f>'FY27 Resiliency Projects'!O13</f>
        <v>5638387</v>
      </c>
      <c r="Q5" s="8">
        <f t="shared" ref="Q5:Q13" si="0">P5/K5</f>
        <v>7863.8591352859139</v>
      </c>
    </row>
    <row r="6" spans="1:17" x14ac:dyDescent="0.4">
      <c r="B6" t="s">
        <v>108</v>
      </c>
      <c r="C6" s="153">
        <v>88</v>
      </c>
      <c r="D6" s="153">
        <v>585</v>
      </c>
      <c r="E6" s="154">
        <v>673</v>
      </c>
      <c r="F6" s="153">
        <v>25</v>
      </c>
      <c r="G6" s="153">
        <v>96</v>
      </c>
      <c r="H6" s="154">
        <v>121</v>
      </c>
      <c r="I6" s="153">
        <v>113</v>
      </c>
      <c r="J6" s="153">
        <v>681</v>
      </c>
      <c r="K6" s="154">
        <v>794</v>
      </c>
      <c r="L6" s="26">
        <f t="shared" ref="L6:L14" si="1">I6/$K6</f>
        <v>0.14231738035264482</v>
      </c>
      <c r="M6" s="26">
        <f t="shared" ref="M6:M14" si="2">J6/$K6</f>
        <v>0.85768261964735515</v>
      </c>
      <c r="O6" s="205" t="str">
        <f>'FY27 Resiliency Projects'!N14</f>
        <v>BV-G44</v>
      </c>
      <c r="P6" s="206">
        <f>'FY27 Resiliency Projects'!O14</f>
        <v>7149940</v>
      </c>
      <c r="Q6" s="8">
        <f t="shared" si="0"/>
        <v>9004.9622166246845</v>
      </c>
    </row>
    <row r="7" spans="1:17" x14ac:dyDescent="0.4">
      <c r="B7" t="s">
        <v>122</v>
      </c>
      <c r="C7" s="153">
        <v>81</v>
      </c>
      <c r="D7" s="153">
        <v>711</v>
      </c>
      <c r="E7" s="154">
        <v>792</v>
      </c>
      <c r="F7" s="153">
        <v>61</v>
      </c>
      <c r="G7" s="153">
        <v>154</v>
      </c>
      <c r="H7" s="154">
        <v>215</v>
      </c>
      <c r="I7" s="153">
        <v>142</v>
      </c>
      <c r="J7" s="153">
        <v>865</v>
      </c>
      <c r="K7" s="154">
        <v>1007</v>
      </c>
      <c r="L7" s="26">
        <f t="shared" si="1"/>
        <v>0.14101290963257199</v>
      </c>
      <c r="M7" s="26">
        <f t="shared" si="2"/>
        <v>0.85898709036742804</v>
      </c>
      <c r="O7" s="205" t="str">
        <f>'FY27 Resiliency Projects'!N21</f>
        <v>CH-G11</v>
      </c>
      <c r="P7" s="206">
        <f>'FY27 Resiliency Projects'!O21</f>
        <v>5509379</v>
      </c>
      <c r="Q7" s="8">
        <f t="shared" si="0"/>
        <v>5471.0814299900694</v>
      </c>
    </row>
    <row r="8" spans="1:17" x14ac:dyDescent="0.4">
      <c r="B8" t="s">
        <v>109</v>
      </c>
      <c r="C8" s="153">
        <v>87</v>
      </c>
      <c r="D8" s="153">
        <v>558</v>
      </c>
      <c r="E8" s="154">
        <v>645</v>
      </c>
      <c r="F8" s="153">
        <v>62</v>
      </c>
      <c r="G8" s="153">
        <v>174</v>
      </c>
      <c r="H8" s="154">
        <v>236</v>
      </c>
      <c r="I8" s="153">
        <v>149</v>
      </c>
      <c r="J8" s="153">
        <v>732</v>
      </c>
      <c r="K8" s="154">
        <v>881</v>
      </c>
      <c r="L8" s="26">
        <f t="shared" si="1"/>
        <v>0.16912599318955732</v>
      </c>
      <c r="M8" s="26">
        <f t="shared" si="2"/>
        <v>0.83087400681044266</v>
      </c>
      <c r="O8" s="205" t="str">
        <f>'FY27 Resiliency Projects'!N15</f>
        <v>CS-G34</v>
      </c>
      <c r="P8" s="206">
        <f>'FY27 Resiliency Projects'!O15</f>
        <v>7281076</v>
      </c>
      <c r="Q8" s="8">
        <f t="shared" si="0"/>
        <v>8264.5584562996592</v>
      </c>
    </row>
    <row r="9" spans="1:17" x14ac:dyDescent="0.4">
      <c r="B9" t="s">
        <v>111</v>
      </c>
      <c r="C9" s="153">
        <v>31</v>
      </c>
      <c r="D9" s="153">
        <v>282</v>
      </c>
      <c r="E9" s="154">
        <v>313</v>
      </c>
      <c r="F9" s="153">
        <v>4</v>
      </c>
      <c r="G9" s="153">
        <v>21</v>
      </c>
      <c r="H9" s="154">
        <v>25</v>
      </c>
      <c r="I9" s="153">
        <v>35</v>
      </c>
      <c r="J9" s="153">
        <v>303</v>
      </c>
      <c r="K9" s="154">
        <v>338</v>
      </c>
      <c r="L9" s="26">
        <f t="shared" si="1"/>
        <v>0.10355029585798817</v>
      </c>
      <c r="M9" s="26">
        <f t="shared" si="2"/>
        <v>0.89644970414201186</v>
      </c>
      <c r="O9" s="205" t="str">
        <f>'FY27 Resiliency Projects'!N16</f>
        <v>CV-G65</v>
      </c>
      <c r="P9" s="206">
        <f>'FY27 Resiliency Projects'!O16</f>
        <v>7578187</v>
      </c>
      <c r="Q9" s="8">
        <f t="shared" si="0"/>
        <v>22420.671597633136</v>
      </c>
    </row>
    <row r="10" spans="1:17" x14ac:dyDescent="0.4">
      <c r="B10" t="s">
        <v>112</v>
      </c>
      <c r="C10" s="153">
        <v>131</v>
      </c>
      <c r="D10" s="153">
        <v>1471</v>
      </c>
      <c r="E10" s="154">
        <v>1602</v>
      </c>
      <c r="F10" s="153">
        <v>71</v>
      </c>
      <c r="G10" s="153">
        <v>241</v>
      </c>
      <c r="H10" s="154">
        <v>312</v>
      </c>
      <c r="I10" s="153">
        <v>202</v>
      </c>
      <c r="J10" s="153">
        <v>1712</v>
      </c>
      <c r="K10" s="154">
        <v>1914</v>
      </c>
      <c r="L10" s="26">
        <f t="shared" si="1"/>
        <v>0.10553814002089865</v>
      </c>
      <c r="M10" s="26">
        <f t="shared" si="2"/>
        <v>0.89446185997910133</v>
      </c>
      <c r="O10" s="205" t="str">
        <f>'FY27 Resiliency Projects'!N17</f>
        <v>DM-G6</v>
      </c>
      <c r="P10" s="206">
        <f>'FY27 Resiliency Projects'!O17</f>
        <v>22796856</v>
      </c>
      <c r="Q10" s="8">
        <f t="shared" si="0"/>
        <v>11910.583072100313</v>
      </c>
    </row>
    <row r="11" spans="1:17" x14ac:dyDescent="0.4">
      <c r="B11" t="s">
        <v>115</v>
      </c>
      <c r="C11" s="153">
        <v>113</v>
      </c>
      <c r="D11" s="153">
        <v>713</v>
      </c>
      <c r="E11" s="154">
        <v>826</v>
      </c>
      <c r="F11" s="153">
        <v>36</v>
      </c>
      <c r="G11" s="153">
        <v>151</v>
      </c>
      <c r="H11" s="154">
        <v>187</v>
      </c>
      <c r="I11" s="153">
        <v>149</v>
      </c>
      <c r="J11" s="153">
        <v>864</v>
      </c>
      <c r="K11" s="154">
        <v>1013</v>
      </c>
      <c r="L11" s="26">
        <f t="shared" si="1"/>
        <v>0.14708785784797632</v>
      </c>
      <c r="M11" s="26">
        <f t="shared" si="2"/>
        <v>0.85291214215202371</v>
      </c>
      <c r="O11" s="205" t="str">
        <f>'FY27 Resiliency Projects'!N18</f>
        <v>EL-G40</v>
      </c>
      <c r="P11" s="206">
        <f>'FY27 Resiliency Projects'!O18</f>
        <v>7243022</v>
      </c>
      <c r="Q11" s="8">
        <f t="shared" si="0"/>
        <v>7150.0710760118463</v>
      </c>
    </row>
    <row r="12" spans="1:17" x14ac:dyDescent="0.4">
      <c r="B12" t="s">
        <v>117</v>
      </c>
      <c r="C12" s="153">
        <v>133</v>
      </c>
      <c r="D12" s="153">
        <v>591</v>
      </c>
      <c r="E12" s="154">
        <v>724</v>
      </c>
      <c r="F12" s="153">
        <v>106</v>
      </c>
      <c r="G12" s="153">
        <v>358</v>
      </c>
      <c r="H12" s="154">
        <v>464</v>
      </c>
      <c r="I12" s="153">
        <v>239</v>
      </c>
      <c r="J12" s="153">
        <v>949</v>
      </c>
      <c r="K12" s="154">
        <v>1188</v>
      </c>
      <c r="L12" s="26">
        <f t="shared" si="1"/>
        <v>0.20117845117845118</v>
      </c>
      <c r="M12" s="26">
        <f t="shared" si="2"/>
        <v>0.79882154882154888</v>
      </c>
      <c r="O12" s="205" t="str">
        <f>'FY27 Resiliency Projects'!N19</f>
        <v>SB-G91</v>
      </c>
      <c r="P12" s="206">
        <f>'FY27 Resiliency Projects'!O19</f>
        <v>3928884</v>
      </c>
      <c r="Q12" s="8">
        <f t="shared" si="0"/>
        <v>3307.1414141414143</v>
      </c>
    </row>
    <row r="13" spans="1:17" x14ac:dyDescent="0.4">
      <c r="B13" t="s">
        <v>124</v>
      </c>
      <c r="C13" s="153">
        <v>115</v>
      </c>
      <c r="D13" s="153">
        <v>971</v>
      </c>
      <c r="E13" s="154">
        <v>1086</v>
      </c>
      <c r="F13" s="153">
        <v>55</v>
      </c>
      <c r="G13" s="153">
        <v>139</v>
      </c>
      <c r="H13" s="154">
        <v>194</v>
      </c>
      <c r="I13" s="153">
        <v>170</v>
      </c>
      <c r="J13" s="153">
        <v>1110</v>
      </c>
      <c r="K13" s="154">
        <v>1280</v>
      </c>
      <c r="L13" s="26">
        <f t="shared" si="1"/>
        <v>0.1328125</v>
      </c>
      <c r="M13" s="26">
        <f t="shared" si="2"/>
        <v>0.8671875</v>
      </c>
      <c r="O13" s="205" t="str">
        <f>'FY27 Resiliency Projects'!N22</f>
        <v>SH-G35</v>
      </c>
      <c r="P13" s="206">
        <f>'FY27 Resiliency Projects'!O22</f>
        <v>4276212</v>
      </c>
      <c r="Q13" s="8">
        <f t="shared" si="0"/>
        <v>3340.7906250000001</v>
      </c>
    </row>
    <row r="14" spans="1:17" ht="19.5" thickBot="1" x14ac:dyDescent="0.45">
      <c r="B14" t="s">
        <v>119</v>
      </c>
      <c r="C14" s="155">
        <v>102</v>
      </c>
      <c r="D14" s="155">
        <v>842</v>
      </c>
      <c r="E14" s="156">
        <v>944</v>
      </c>
      <c r="F14" s="155">
        <v>60</v>
      </c>
      <c r="G14" s="155">
        <v>118</v>
      </c>
      <c r="H14" s="156">
        <v>178</v>
      </c>
      <c r="I14" s="155">
        <v>162</v>
      </c>
      <c r="J14" s="155">
        <v>960</v>
      </c>
      <c r="K14" s="156">
        <v>1122</v>
      </c>
      <c r="L14" s="26">
        <f t="shared" si="1"/>
        <v>0.14438502673796791</v>
      </c>
      <c r="M14" s="26">
        <f t="shared" si="2"/>
        <v>0.85561497326203206</v>
      </c>
      <c r="O14" s="205" t="str">
        <f>'FY27 Resiliency Projects'!N20</f>
        <v>TH-G16</v>
      </c>
      <c r="P14" s="206">
        <f>'FY27 Resiliency Projects'!O20</f>
        <v>4594933</v>
      </c>
      <c r="Q14" s="8">
        <f>P14/K14</f>
        <v>4095.3057040998219</v>
      </c>
    </row>
    <row r="15" spans="1:17" ht="19.5" thickTop="1" x14ac:dyDescent="0.4">
      <c r="C15" s="153">
        <v>938</v>
      </c>
      <c r="D15" s="153">
        <v>7207</v>
      </c>
      <c r="E15" s="154">
        <v>8145</v>
      </c>
      <c r="F15" s="153">
        <v>514</v>
      </c>
      <c r="G15" s="153">
        <v>1595</v>
      </c>
      <c r="H15" s="154">
        <v>2109</v>
      </c>
      <c r="I15" s="153">
        <v>1452</v>
      </c>
      <c r="J15" s="153">
        <v>8802</v>
      </c>
      <c r="K15" s="154">
        <v>10254</v>
      </c>
      <c r="O15" s="38">
        <f>'FY27 Resiliency Projects'!N23</f>
        <v>0</v>
      </c>
      <c r="P15" s="207">
        <f>'FY27 Resiliency Projects'!O23</f>
        <v>75996876</v>
      </c>
    </row>
  </sheetData>
  <pageMargins left="0.7" right="0.7" top="0.75" bottom="0.75" header="0.3" footer="0.3"/>
  <pageSetup scale="4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39A07-8125-4F3A-A183-CBF263A5CD3D}">
  <dimension ref="A1:H33"/>
  <sheetViews>
    <sheetView view="pageBreakPreview" zoomScale="60" zoomScaleNormal="100" workbookViewId="0">
      <selection sqref="A1:J34"/>
    </sheetView>
  </sheetViews>
  <sheetFormatPr defaultRowHeight="18.75" x14ac:dyDescent="0.4"/>
  <sheetData>
    <row r="1" spans="1:8" x14ac:dyDescent="0.4">
      <c r="A1" t="s">
        <v>503</v>
      </c>
    </row>
    <row r="3" spans="1:8" x14ac:dyDescent="0.4">
      <c r="B3" t="s">
        <v>500</v>
      </c>
    </row>
    <row r="4" spans="1:8" x14ac:dyDescent="0.4">
      <c r="B4" t="s">
        <v>246</v>
      </c>
      <c r="C4">
        <v>2020</v>
      </c>
      <c r="D4">
        <v>2021</v>
      </c>
      <c r="E4">
        <v>2022</v>
      </c>
      <c r="F4">
        <v>2023</v>
      </c>
      <c r="G4">
        <v>2024</v>
      </c>
      <c r="H4" t="s">
        <v>501</v>
      </c>
    </row>
    <row r="5" spans="1:8" x14ac:dyDescent="0.4">
      <c r="B5" t="s">
        <v>108</v>
      </c>
      <c r="C5" s="161">
        <v>780</v>
      </c>
      <c r="D5" s="161">
        <v>783</v>
      </c>
      <c r="E5" s="161">
        <v>786</v>
      </c>
      <c r="F5" s="161">
        <v>782</v>
      </c>
      <c r="G5" s="161">
        <v>788</v>
      </c>
      <c r="H5" s="100">
        <f>AVERAGE(C5:G5)</f>
        <v>783.8</v>
      </c>
    </row>
    <row r="6" spans="1:8" x14ac:dyDescent="0.4">
      <c r="B6" t="s">
        <v>122</v>
      </c>
      <c r="C6" s="161">
        <v>1597</v>
      </c>
      <c r="D6" s="161">
        <v>1597</v>
      </c>
      <c r="E6" s="161">
        <v>1624</v>
      </c>
      <c r="F6" s="161">
        <v>1633</v>
      </c>
      <c r="G6" s="161">
        <v>1635</v>
      </c>
      <c r="H6" s="100">
        <f t="shared" ref="H6:H17" si="0">AVERAGE(C6:G6)</f>
        <v>1617.2</v>
      </c>
    </row>
    <row r="7" spans="1:8" x14ac:dyDescent="0.4">
      <c r="B7" t="s">
        <v>111</v>
      </c>
      <c r="C7" s="161">
        <v>321</v>
      </c>
      <c r="D7" s="161">
        <v>317</v>
      </c>
      <c r="E7" s="161">
        <v>322</v>
      </c>
      <c r="F7" s="161">
        <v>331</v>
      </c>
      <c r="G7" s="161">
        <v>333</v>
      </c>
      <c r="H7" s="100">
        <f t="shared" si="0"/>
        <v>324.8</v>
      </c>
    </row>
    <row r="8" spans="1:8" x14ac:dyDescent="0.4">
      <c r="B8" t="s">
        <v>115</v>
      </c>
      <c r="C8" s="161">
        <v>996</v>
      </c>
      <c r="D8" s="161">
        <v>1005</v>
      </c>
      <c r="E8" s="161">
        <v>1009</v>
      </c>
      <c r="F8" s="161">
        <v>1020</v>
      </c>
      <c r="G8" s="161">
        <v>1017</v>
      </c>
      <c r="H8" s="100">
        <f t="shared" si="0"/>
        <v>1009.4</v>
      </c>
    </row>
    <row r="9" spans="1:8" x14ac:dyDescent="0.4">
      <c r="B9" t="s">
        <v>119</v>
      </c>
      <c r="C9" s="161">
        <v>1092</v>
      </c>
      <c r="D9" s="161">
        <v>1114</v>
      </c>
      <c r="E9" s="161">
        <v>1107</v>
      </c>
      <c r="F9" s="161">
        <v>1121</v>
      </c>
      <c r="G9" s="161">
        <v>1121</v>
      </c>
      <c r="H9" s="100">
        <f t="shared" si="0"/>
        <v>1111</v>
      </c>
    </row>
    <row r="10" spans="1:8" x14ac:dyDescent="0.4">
      <c r="B10" t="s">
        <v>124</v>
      </c>
      <c r="C10" s="161">
        <v>1336</v>
      </c>
      <c r="D10" s="161">
        <v>1341</v>
      </c>
      <c r="E10" s="161">
        <v>1358</v>
      </c>
      <c r="F10" s="161">
        <v>1273</v>
      </c>
      <c r="G10" s="161">
        <v>1269</v>
      </c>
      <c r="H10" s="100">
        <f t="shared" si="0"/>
        <v>1315.4</v>
      </c>
    </row>
    <row r="11" spans="1:8" x14ac:dyDescent="0.4">
      <c r="B11" t="s">
        <v>112</v>
      </c>
      <c r="C11" s="161">
        <v>1836</v>
      </c>
      <c r="D11" s="161">
        <v>1851</v>
      </c>
      <c r="E11" s="161">
        <v>1873</v>
      </c>
      <c r="F11" s="161">
        <v>1880</v>
      </c>
      <c r="G11" s="161">
        <v>1919</v>
      </c>
      <c r="H11" s="100">
        <f t="shared" si="0"/>
        <v>1871.8</v>
      </c>
    </row>
    <row r="12" spans="1:8" x14ac:dyDescent="0.4">
      <c r="B12" t="s">
        <v>117</v>
      </c>
      <c r="C12" s="161">
        <v>1178</v>
      </c>
      <c r="D12" s="161">
        <v>1177</v>
      </c>
      <c r="E12" s="161">
        <v>1178</v>
      </c>
      <c r="F12" s="161">
        <v>1177</v>
      </c>
      <c r="G12" s="161">
        <v>1175</v>
      </c>
      <c r="H12" s="100">
        <f t="shared" si="0"/>
        <v>1177</v>
      </c>
    </row>
    <row r="13" spans="1:8" x14ac:dyDescent="0.4">
      <c r="B13" t="s">
        <v>106</v>
      </c>
      <c r="C13" s="161">
        <v>647</v>
      </c>
      <c r="D13" s="161">
        <v>668</v>
      </c>
      <c r="E13" s="161">
        <v>670</v>
      </c>
      <c r="F13" s="161">
        <v>708</v>
      </c>
      <c r="G13" s="161">
        <v>711</v>
      </c>
      <c r="H13" s="100">
        <f t="shared" si="0"/>
        <v>680.8</v>
      </c>
    </row>
    <row r="14" spans="1:8" x14ac:dyDescent="0.4">
      <c r="B14" t="s">
        <v>109</v>
      </c>
      <c r="C14" s="161">
        <v>859</v>
      </c>
      <c r="D14" s="161">
        <v>858</v>
      </c>
      <c r="E14" s="161">
        <v>865</v>
      </c>
      <c r="F14" s="161">
        <v>873</v>
      </c>
      <c r="G14" s="161">
        <v>871</v>
      </c>
      <c r="H14" s="100">
        <f t="shared" si="0"/>
        <v>865.2</v>
      </c>
    </row>
    <row r="15" spans="1:8" x14ac:dyDescent="0.4">
      <c r="B15" t="s">
        <v>250</v>
      </c>
      <c r="C15" s="162">
        <v>704</v>
      </c>
      <c r="D15" s="162">
        <v>707</v>
      </c>
      <c r="E15" s="162">
        <v>708</v>
      </c>
      <c r="F15" s="162">
        <v>715</v>
      </c>
      <c r="G15" s="162">
        <v>731</v>
      </c>
      <c r="H15" s="100">
        <f t="shared" si="0"/>
        <v>713</v>
      </c>
    </row>
    <row r="16" spans="1:8" x14ac:dyDescent="0.4">
      <c r="B16" t="s">
        <v>249</v>
      </c>
      <c r="C16" s="162">
        <v>2615</v>
      </c>
      <c r="D16" s="162">
        <v>2634</v>
      </c>
      <c r="E16" s="162">
        <v>2662</v>
      </c>
      <c r="F16" s="162">
        <v>2743</v>
      </c>
      <c r="G16" s="162">
        <v>2648</v>
      </c>
      <c r="H16" s="100">
        <f t="shared" si="0"/>
        <v>2660.4</v>
      </c>
    </row>
    <row r="17" spans="2:8" x14ac:dyDescent="0.4">
      <c r="B17" t="s">
        <v>248</v>
      </c>
      <c r="C17" s="162">
        <v>1718</v>
      </c>
      <c r="D17" s="162">
        <v>1617</v>
      </c>
      <c r="E17" s="162">
        <v>1755</v>
      </c>
      <c r="F17" s="162">
        <v>1869</v>
      </c>
      <c r="G17" s="162">
        <v>1860</v>
      </c>
      <c r="H17" s="100">
        <f t="shared" si="0"/>
        <v>1763.8</v>
      </c>
    </row>
    <row r="19" spans="2:8" x14ac:dyDescent="0.4">
      <c r="B19" t="s">
        <v>502</v>
      </c>
    </row>
    <row r="20" spans="2:8" x14ac:dyDescent="0.4">
      <c r="B20" t="s">
        <v>246</v>
      </c>
      <c r="C20">
        <v>2020</v>
      </c>
      <c r="D20">
        <v>2021</v>
      </c>
      <c r="E20">
        <v>2022</v>
      </c>
      <c r="F20">
        <v>2023</v>
      </c>
      <c r="G20">
        <v>2024</v>
      </c>
      <c r="H20" t="s">
        <v>501</v>
      </c>
    </row>
    <row r="21" spans="2:8" x14ac:dyDescent="0.4">
      <c r="B21" t="s">
        <v>108</v>
      </c>
      <c r="C21" s="161">
        <v>4788</v>
      </c>
      <c r="D21" s="161">
        <v>5482</v>
      </c>
      <c r="E21" s="161">
        <v>3989</v>
      </c>
      <c r="F21" s="161">
        <v>5788</v>
      </c>
      <c r="G21" s="161">
        <v>5543</v>
      </c>
      <c r="H21" s="100">
        <f>AVERAGE(C21:G21)</f>
        <v>5118</v>
      </c>
    </row>
    <row r="22" spans="2:8" x14ac:dyDescent="0.4">
      <c r="B22" t="s">
        <v>122</v>
      </c>
      <c r="C22" s="161">
        <v>9039</v>
      </c>
      <c r="D22" s="161">
        <v>7623</v>
      </c>
      <c r="E22" s="161">
        <v>10581</v>
      </c>
      <c r="F22" s="161">
        <v>18609</v>
      </c>
      <c r="G22" s="161">
        <v>7913</v>
      </c>
      <c r="H22" s="100">
        <f t="shared" ref="H22:H33" si="1">AVERAGE(C22:G22)</f>
        <v>10753</v>
      </c>
    </row>
    <row r="23" spans="2:8" x14ac:dyDescent="0.4">
      <c r="B23" t="s">
        <v>111</v>
      </c>
      <c r="C23" s="161">
        <v>1314</v>
      </c>
      <c r="D23" s="161">
        <v>1199</v>
      </c>
      <c r="E23" s="161">
        <v>1969</v>
      </c>
      <c r="F23" s="161">
        <v>2082</v>
      </c>
      <c r="G23" s="161">
        <v>1082</v>
      </c>
      <c r="H23" s="100">
        <f t="shared" si="1"/>
        <v>1529.2</v>
      </c>
    </row>
    <row r="24" spans="2:8" x14ac:dyDescent="0.4">
      <c r="B24" t="s">
        <v>115</v>
      </c>
      <c r="C24" s="161">
        <v>10915</v>
      </c>
      <c r="D24" s="161">
        <v>3061</v>
      </c>
      <c r="E24" s="161">
        <v>10712</v>
      </c>
      <c r="F24" s="161">
        <v>6608</v>
      </c>
      <c r="G24" s="161">
        <v>5837</v>
      </c>
      <c r="H24" s="100">
        <f t="shared" si="1"/>
        <v>7426.6</v>
      </c>
    </row>
    <row r="25" spans="2:8" x14ac:dyDescent="0.4">
      <c r="B25" t="s">
        <v>119</v>
      </c>
      <c r="C25" s="161">
        <v>6804</v>
      </c>
      <c r="D25" s="161">
        <v>5046</v>
      </c>
      <c r="E25" s="161">
        <v>7112</v>
      </c>
      <c r="F25" s="161">
        <v>1891</v>
      </c>
      <c r="G25" s="161">
        <v>4542</v>
      </c>
      <c r="H25" s="100">
        <f t="shared" si="1"/>
        <v>5079</v>
      </c>
    </row>
    <row r="26" spans="2:8" x14ac:dyDescent="0.4">
      <c r="B26" t="s">
        <v>124</v>
      </c>
      <c r="C26" s="161">
        <v>7262</v>
      </c>
      <c r="D26" s="161">
        <v>12256</v>
      </c>
      <c r="E26" s="161">
        <v>6043</v>
      </c>
      <c r="F26" s="161">
        <v>4576</v>
      </c>
      <c r="G26" s="161">
        <v>7308</v>
      </c>
      <c r="H26" s="100">
        <f t="shared" si="1"/>
        <v>7489</v>
      </c>
    </row>
    <row r="27" spans="2:8" x14ac:dyDescent="0.4">
      <c r="B27" t="s">
        <v>112</v>
      </c>
      <c r="C27" s="161">
        <v>13987</v>
      </c>
      <c r="D27" s="161">
        <v>9921</v>
      </c>
      <c r="E27" s="161">
        <v>11196</v>
      </c>
      <c r="F27" s="161">
        <v>16260</v>
      </c>
      <c r="G27" s="161">
        <v>11487</v>
      </c>
      <c r="H27" s="100">
        <f t="shared" si="1"/>
        <v>12570.2</v>
      </c>
    </row>
    <row r="28" spans="2:8" x14ac:dyDescent="0.4">
      <c r="B28" t="s">
        <v>117</v>
      </c>
      <c r="C28" s="161">
        <v>5818</v>
      </c>
      <c r="D28" s="161">
        <v>4989</v>
      </c>
      <c r="E28" s="161">
        <v>9348</v>
      </c>
      <c r="F28" s="161">
        <v>4410</v>
      </c>
      <c r="G28" s="161">
        <v>11014</v>
      </c>
      <c r="H28" s="100">
        <f t="shared" si="1"/>
        <v>7115.8</v>
      </c>
    </row>
    <row r="29" spans="2:8" x14ac:dyDescent="0.4">
      <c r="B29" t="s">
        <v>106</v>
      </c>
      <c r="C29" s="161">
        <v>1283</v>
      </c>
      <c r="D29" s="161">
        <v>2244</v>
      </c>
      <c r="E29" s="161">
        <v>4498</v>
      </c>
      <c r="F29" s="161">
        <v>4126</v>
      </c>
      <c r="G29" s="161">
        <v>2944</v>
      </c>
      <c r="H29" s="100">
        <f t="shared" si="1"/>
        <v>3019</v>
      </c>
    </row>
    <row r="30" spans="2:8" x14ac:dyDescent="0.4">
      <c r="B30" t="s">
        <v>109</v>
      </c>
      <c r="C30" s="161">
        <v>3242</v>
      </c>
      <c r="D30" s="161">
        <v>1927</v>
      </c>
      <c r="E30" s="161">
        <v>3779</v>
      </c>
      <c r="F30" s="161">
        <v>4394</v>
      </c>
      <c r="G30" s="161">
        <v>5271</v>
      </c>
      <c r="H30" s="100">
        <f t="shared" si="1"/>
        <v>3722.6</v>
      </c>
    </row>
    <row r="31" spans="2:8" x14ac:dyDescent="0.4">
      <c r="B31" t="s">
        <v>250</v>
      </c>
      <c r="C31" s="161">
        <v>2038</v>
      </c>
      <c r="D31" s="161">
        <v>1053</v>
      </c>
      <c r="E31" s="161">
        <v>4398</v>
      </c>
      <c r="F31" s="161">
        <v>1336</v>
      </c>
      <c r="G31" s="161">
        <v>1318</v>
      </c>
      <c r="H31" s="100">
        <f t="shared" si="1"/>
        <v>2028.6</v>
      </c>
    </row>
    <row r="32" spans="2:8" x14ac:dyDescent="0.4">
      <c r="B32" t="s">
        <v>249</v>
      </c>
      <c r="C32" s="161">
        <v>14229</v>
      </c>
      <c r="D32" s="161">
        <v>21778</v>
      </c>
      <c r="E32" s="161">
        <v>25933</v>
      </c>
      <c r="F32" s="161">
        <v>31550</v>
      </c>
      <c r="G32" s="161">
        <v>22547</v>
      </c>
      <c r="H32" s="100">
        <f t="shared" si="1"/>
        <v>23207.4</v>
      </c>
    </row>
    <row r="33" spans="2:8" x14ac:dyDescent="0.4">
      <c r="B33" t="s">
        <v>248</v>
      </c>
      <c r="C33" s="161">
        <v>6845</v>
      </c>
      <c r="D33" s="161">
        <v>6824</v>
      </c>
      <c r="E33" s="161">
        <v>10358</v>
      </c>
      <c r="F33" s="161">
        <v>4842</v>
      </c>
      <c r="G33" s="161">
        <v>4925</v>
      </c>
      <c r="H33" s="100">
        <f t="shared" si="1"/>
        <v>6758.8</v>
      </c>
    </row>
  </sheetData>
  <pageMargins left="0.7" right="0.7" top="0.75" bottom="0.75" header="0.3" footer="0.3"/>
  <pageSetup scale="86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68818-922B-4EC3-B288-68C30B1D8790}">
  <dimension ref="A2:M47"/>
  <sheetViews>
    <sheetView view="pageBreakPreview" zoomScale="60" zoomScaleNormal="55" workbookViewId="0">
      <selection sqref="A1:P49"/>
    </sheetView>
  </sheetViews>
  <sheetFormatPr defaultRowHeight="18.75" x14ac:dyDescent="0.4"/>
  <cols>
    <col min="2" max="2" width="14.44140625" customWidth="1"/>
    <col min="6" max="11" width="10.33203125" customWidth="1"/>
    <col min="12" max="12" width="11.88671875" customWidth="1"/>
  </cols>
  <sheetData>
    <row r="2" spans="1:13" ht="18.399999999999999" customHeight="1" x14ac:dyDescent="0.4">
      <c r="F2" s="224" t="s">
        <v>312</v>
      </c>
      <c r="G2" s="224"/>
      <c r="H2" s="224"/>
      <c r="I2" s="224"/>
      <c r="J2" s="224"/>
      <c r="K2" s="224"/>
      <c r="L2" s="224"/>
    </row>
    <row r="3" spans="1:13" ht="19.5" x14ac:dyDescent="0.4">
      <c r="B3" s="221" t="s">
        <v>313</v>
      </c>
      <c r="C3" s="222"/>
      <c r="D3" s="223"/>
      <c r="E3" s="54"/>
      <c r="F3" s="220" t="s">
        <v>315</v>
      </c>
      <c r="G3" s="220"/>
      <c r="H3" s="220"/>
      <c r="I3" s="220" t="s">
        <v>314</v>
      </c>
      <c r="J3" s="220"/>
      <c r="K3" s="220"/>
      <c r="L3" s="111"/>
    </row>
    <row r="4" spans="1:13" ht="112.5" x14ac:dyDescent="0.4">
      <c r="A4" s="27" t="s">
        <v>496</v>
      </c>
      <c r="B4" s="129" t="s">
        <v>254</v>
      </c>
      <c r="C4" s="129" t="s">
        <v>310</v>
      </c>
      <c r="D4" s="129" t="s">
        <v>311</v>
      </c>
      <c r="E4" s="160" t="s">
        <v>495</v>
      </c>
      <c r="F4" s="201" t="s">
        <v>251</v>
      </c>
      <c r="G4" s="202" t="s">
        <v>252</v>
      </c>
      <c r="H4" s="202" t="s">
        <v>74</v>
      </c>
      <c r="I4" s="201" t="s">
        <v>251</v>
      </c>
      <c r="J4" s="202" t="s">
        <v>252</v>
      </c>
      <c r="K4" s="202" t="s">
        <v>74</v>
      </c>
      <c r="L4" s="111" t="s">
        <v>316</v>
      </c>
    </row>
    <row r="5" spans="1:13" x14ac:dyDescent="0.4">
      <c r="A5" s="25">
        <f t="shared" ref="A5:A14" si="0">E5/C5</f>
        <v>1.0531727379553468</v>
      </c>
      <c r="B5" s="119" t="s">
        <v>106</v>
      </c>
      <c r="C5" s="119">
        <f>VLOOKUP($B5,'Historical outage summary'!$B$5:$H$17,7,0)</f>
        <v>680.8</v>
      </c>
      <c r="D5" s="119">
        <f>VLOOKUP($B5,'Historical outage summary'!$B$21:$H$33,7,0)*A5</f>
        <v>3179.5284958871921</v>
      </c>
      <c r="E5" s="116">
        <f>VLOOKUP($B5,'Customer Count by class'!$B$5:$K$14,10,0)</f>
        <v>717</v>
      </c>
      <c r="F5" s="43">
        <f>SUMIFS('Mitigation Projects'!V:V,'Mitigation Projects'!$A:$A,'Pre_Post mitigation outages'!$B5)</f>
        <v>878.30335536646135</v>
      </c>
      <c r="G5" s="43">
        <f>SUMIFS('Mitigation Projects'!W:W,'Mitigation Projects'!$A:$A,'Pre_Post mitigation outages'!$B5)</f>
        <v>127.67668584400644</v>
      </c>
      <c r="H5" s="43">
        <f>F5+G5</f>
        <v>1005.9800412104678</v>
      </c>
      <c r="I5" s="43">
        <f>SUMIFS('Mitigation Projects'!X:X,'Mitigation Projects'!$A:$A,'Pre_Post mitigation outages'!$B5)</f>
        <v>173.1126625389561</v>
      </c>
      <c r="J5" s="43">
        <f>SUMIFS('Mitigation Projects'!Y:Y,'Mitigation Projects'!$A:$A,'Pre_Post mitigation outages'!$B5)</f>
        <v>25.164939762052732</v>
      </c>
      <c r="K5" s="43">
        <f>I5+J5</f>
        <v>198.27760230100884</v>
      </c>
      <c r="L5" s="114"/>
      <c r="M5" s="25"/>
    </row>
    <row r="6" spans="1:13" x14ac:dyDescent="0.4">
      <c r="A6" s="25">
        <f t="shared" si="0"/>
        <v>1.013013523858127</v>
      </c>
      <c r="B6" s="119" t="s">
        <v>108</v>
      </c>
      <c r="C6" s="119">
        <f>VLOOKUP($B6,'Historical outage summary'!$B$5:$H$17,7,0)</f>
        <v>783.8</v>
      </c>
      <c r="D6" s="119">
        <f>VLOOKUP($B6,'Historical outage summary'!$B$21:$H$33,7,0)*A6</f>
        <v>5184.6032151058944</v>
      </c>
      <c r="E6" s="116">
        <f>VLOOKUP($B6,'Customer Count by class'!$B$5:$K$14,10,0)</f>
        <v>794</v>
      </c>
      <c r="F6" s="43">
        <f>SUMIFS('Mitigation Projects'!V:V,'Mitigation Projects'!$A:$A,'Pre_Post mitigation outages'!$B6)</f>
        <v>2925.8027624206788</v>
      </c>
      <c r="G6" s="43">
        <f>SUMIFS('Mitigation Projects'!W:W,'Mitigation Projects'!$A:$A,'Pre_Post mitigation outages'!$B6)</f>
        <v>485.48562724454735</v>
      </c>
      <c r="H6" s="43">
        <f t="shared" ref="H6:H14" si="1">F6+G6</f>
        <v>3411.2883896652261</v>
      </c>
      <c r="I6" s="43">
        <f>SUMIFS('Mitigation Projects'!X:X,'Mitigation Projects'!$A:$A,'Pre_Post mitigation outages'!$B6)</f>
        <v>785.32789420292795</v>
      </c>
      <c r="J6" s="43">
        <f>SUMIFS('Mitigation Projects'!Y:Y,'Mitigation Projects'!$A:$A,'Pre_Post mitigation outages'!$B6)</f>
        <v>130.31138332588966</v>
      </c>
      <c r="K6" s="43">
        <f t="shared" ref="K6:K14" si="2">I6+J6</f>
        <v>915.63927752881762</v>
      </c>
      <c r="L6" s="158">
        <f>((D6-H6)+K6)*VLOOKUP(B6,$B$35:$G$41,6,0)</f>
        <v>1537.304531084905</v>
      </c>
      <c r="M6" s="25"/>
    </row>
    <row r="7" spans="1:13" x14ac:dyDescent="0.4">
      <c r="A7" s="25">
        <f t="shared" si="0"/>
        <v>0.62268117734355677</v>
      </c>
      <c r="B7" s="119" t="s">
        <v>122</v>
      </c>
      <c r="C7" s="119">
        <f>VLOOKUP($B7,'Historical outage summary'!$B$5:$H$17,7,0)</f>
        <v>1617.2</v>
      </c>
      <c r="D7" s="119">
        <f>VLOOKUP($B7,'Historical outage summary'!$B$21:$H$33,7,0)*A7</f>
        <v>6695.6906999752655</v>
      </c>
      <c r="E7" s="116">
        <f>VLOOKUP($B7,'Customer Count by class'!$B$5:$K$14,10,0)</f>
        <v>1007</v>
      </c>
      <c r="F7" s="43">
        <f>SUMIFS('Mitigation Projects'!V:V,'Mitigation Projects'!$A:$A,'Pre_Post mitigation outages'!$B7)</f>
        <v>666.9545166330339</v>
      </c>
      <c r="G7" s="43">
        <f>SUMIFS('Mitigation Projects'!W:W,'Mitigation Projects'!$A:$A,'Pre_Post mitigation outages'!$B7)</f>
        <v>109.48848712357315</v>
      </c>
      <c r="H7" s="43">
        <f t="shared" si="1"/>
        <v>776.44300375660703</v>
      </c>
      <c r="I7" s="43">
        <f>SUMIFS('Mitigation Projects'!X:X,'Mitigation Projects'!$A:$A,'Pre_Post mitigation outages'!$B7)</f>
        <v>152.80405494527051</v>
      </c>
      <c r="J7" s="43">
        <f>SUMIFS('Mitigation Projects'!Y:Y,'Mitigation Projects'!$A:$A,'Pre_Post mitigation outages'!$B7)</f>
        <v>25.084596303154225</v>
      </c>
      <c r="K7" s="43">
        <f t="shared" si="2"/>
        <v>177.88865124842474</v>
      </c>
      <c r="L7" s="158"/>
      <c r="M7" s="25"/>
    </row>
    <row r="8" spans="1:13" x14ac:dyDescent="0.4">
      <c r="A8" s="25">
        <f t="shared" si="0"/>
        <v>1.0182616736014793</v>
      </c>
      <c r="B8" s="119" t="s">
        <v>109</v>
      </c>
      <c r="C8" s="119">
        <f>VLOOKUP($B8,'Historical outage summary'!$B$5:$H$17,7,0)</f>
        <v>865.2</v>
      </c>
      <c r="D8" s="119">
        <f>VLOOKUP($B8,'Historical outage summary'!$B$21:$H$33,7,0)*A8</f>
        <v>3790.5809061488667</v>
      </c>
      <c r="E8" s="116">
        <f>VLOOKUP($B8,'Customer Count by class'!$B$5:$K$14,10,0)</f>
        <v>881</v>
      </c>
      <c r="F8" s="43">
        <f>SUMIFS('Mitigation Projects'!V:V,'Mitigation Projects'!$A:$A,'Pre_Post mitigation outages'!$B8)</f>
        <v>1522.2470169519625</v>
      </c>
      <c r="G8" s="43">
        <f>SUMIFS('Mitigation Projects'!W:W,'Mitigation Projects'!$A:$A,'Pre_Post mitigation outages'!$B8)</f>
        <v>309.85629170197046</v>
      </c>
      <c r="H8" s="43">
        <f t="shared" si="1"/>
        <v>1832.1033086539328</v>
      </c>
      <c r="I8" s="43">
        <f>SUMIFS('Mitigation Projects'!X:X,'Mitigation Projects'!$A:$A,'Pre_Post mitigation outages'!$B8)</f>
        <v>409.62951920417339</v>
      </c>
      <c r="J8" s="43">
        <f>SUMIFS('Mitigation Projects'!Y:Y,'Mitigation Projects'!$A:$A,'Pre_Post mitigation outages'!$B8)</f>
        <v>83.380872078445122</v>
      </c>
      <c r="K8" s="43">
        <f t="shared" si="2"/>
        <v>493.01039128261851</v>
      </c>
      <c r="L8" s="158"/>
      <c r="M8" s="25"/>
    </row>
    <row r="9" spans="1:13" x14ac:dyDescent="0.4">
      <c r="A9" s="25">
        <f t="shared" si="0"/>
        <v>1.0406403940886699</v>
      </c>
      <c r="B9" s="119" t="s">
        <v>111</v>
      </c>
      <c r="C9" s="119">
        <f>VLOOKUP($B9,'Historical outage summary'!$B$5:$H$17,7,0)</f>
        <v>324.8</v>
      </c>
      <c r="D9" s="119">
        <f>VLOOKUP($B9,'Historical outage summary'!$B$21:$H$33,7,0)*A9</f>
        <v>1591.347290640394</v>
      </c>
      <c r="E9" s="116">
        <f>VLOOKUP($B9,'Customer Count by class'!$B$5:$K$14,10,0)</f>
        <v>338</v>
      </c>
      <c r="F9" s="43">
        <f>SUMIFS('Mitigation Projects'!V:V,'Mitigation Projects'!$A:$A,'Pre_Post mitigation outages'!$B9)</f>
        <v>823.56169801555734</v>
      </c>
      <c r="G9" s="43">
        <f>SUMIFS('Mitigation Projects'!W:W,'Mitigation Projects'!$A:$A,'Pre_Post mitigation outages'!$B9)</f>
        <v>95.130889209717807</v>
      </c>
      <c r="H9" s="43">
        <f t="shared" si="1"/>
        <v>918.69258722527513</v>
      </c>
      <c r="I9" s="43">
        <f>SUMIFS('Mitigation Projects'!X:X,'Mitigation Projects'!$A:$A,'Pre_Post mitigation outages'!$B9)</f>
        <v>191.72247674491265</v>
      </c>
      <c r="J9" s="43">
        <f>SUMIFS('Mitigation Projects'!Y:Y,'Mitigation Projects'!$A:$A,'Pre_Post mitigation outages'!$B9)</f>
        <v>22.146160680105414</v>
      </c>
      <c r="K9" s="43">
        <f t="shared" si="2"/>
        <v>213.86863742501808</v>
      </c>
      <c r="L9" s="158">
        <f>((D9-H9)+K9)*VLOOKUP(B9,$B$35:$G$41,6,0)</f>
        <v>126.05119769579949</v>
      </c>
      <c r="M9" s="25"/>
    </row>
    <row r="10" spans="1:13" x14ac:dyDescent="0.4">
      <c r="A10" s="25">
        <f t="shared" si="0"/>
        <v>1.0225451437119351</v>
      </c>
      <c r="B10" s="119" t="s">
        <v>112</v>
      </c>
      <c r="C10" s="119">
        <f>VLOOKUP($B10,'Historical outage summary'!$B$5:$H$17,7,0)</f>
        <v>1871.8</v>
      </c>
      <c r="D10" s="119">
        <f>VLOOKUP($B10,'Historical outage summary'!$B$21:$H$33,7,0)*A10</f>
        <v>12853.596965487766</v>
      </c>
      <c r="E10" s="116">
        <f>VLOOKUP($B10,'Customer Count by class'!$B$5:$K$14,10,0)</f>
        <v>1914</v>
      </c>
      <c r="F10" s="43">
        <f>SUMIFS('Mitigation Projects'!V:V,'Mitigation Projects'!$A:$A,'Pre_Post mitigation outages'!$B10)</f>
        <v>8437.3864307385975</v>
      </c>
      <c r="G10" s="43">
        <f>SUMIFS('Mitigation Projects'!W:W,'Mitigation Projects'!$A:$A,'Pre_Post mitigation outages'!$B10)</f>
        <v>995.5327447483628</v>
      </c>
      <c r="H10" s="43">
        <f t="shared" si="1"/>
        <v>9432.9191754869607</v>
      </c>
      <c r="I10" s="43">
        <f>SUMIFS('Mitigation Projects'!X:X,'Mitigation Projects'!$A:$A,'Pre_Post mitigation outages'!$B10)</f>
        <v>2193.1352738263568</v>
      </c>
      <c r="J10" s="43">
        <f>SUMIFS('Mitigation Projects'!Y:Y,'Mitigation Projects'!$A:$A,'Pre_Post mitigation outages'!$B10)</f>
        <v>258.76946572016601</v>
      </c>
      <c r="K10" s="43">
        <f t="shared" si="2"/>
        <v>2451.9047395465227</v>
      </c>
      <c r="L10" s="158"/>
      <c r="M10" s="25"/>
    </row>
    <row r="11" spans="1:13" x14ac:dyDescent="0.4">
      <c r="A11" s="25">
        <f t="shared" si="0"/>
        <v>1.0035664751337428</v>
      </c>
      <c r="B11" s="119" t="s">
        <v>115</v>
      </c>
      <c r="C11" s="119">
        <f>VLOOKUP($B11,'Historical outage summary'!$B$5:$H$17,7,0)</f>
        <v>1009.4</v>
      </c>
      <c r="D11" s="119">
        <f>VLOOKUP($B11,'Historical outage summary'!$B$21:$H$33,7,0)*A11</f>
        <v>7453.0867842282541</v>
      </c>
      <c r="E11" s="116">
        <f>VLOOKUP($B11,'Customer Count by class'!$B$5:$K$14,10,0)</f>
        <v>1013</v>
      </c>
      <c r="F11" s="43">
        <f>SUMIFS('Mitigation Projects'!V:V,'Mitigation Projects'!$A:$A,'Pre_Post mitigation outages'!$B11)</f>
        <v>3262.0162950687245</v>
      </c>
      <c r="G11" s="43">
        <f>SUMIFS('Mitigation Projects'!W:W,'Mitigation Projects'!$A:$A,'Pre_Post mitigation outages'!$B11)</f>
        <v>562.54679162643492</v>
      </c>
      <c r="H11" s="43">
        <f t="shared" si="1"/>
        <v>3824.5630866951597</v>
      </c>
      <c r="I11" s="43">
        <f>SUMIFS('Mitigation Projects'!X:X,'Mitigation Projects'!$A:$A,'Pre_Post mitigation outages'!$B11)</f>
        <v>887.62736740386151</v>
      </c>
      <c r="J11" s="43">
        <f>SUMIFS('Mitigation Projects'!Y:Y,'Mitigation Projects'!$A:$A,'Pre_Post mitigation outages'!$B11)</f>
        <v>153.07462701756407</v>
      </c>
      <c r="K11" s="43">
        <f t="shared" si="2"/>
        <v>1040.7019944214255</v>
      </c>
      <c r="L11" s="158">
        <f>((D11-H11)+K11)*VLOOKUP(B11,$B$35:$G$41,6,0)</f>
        <v>2077.4763292993234</v>
      </c>
      <c r="M11" s="25"/>
    </row>
    <row r="12" spans="1:13" x14ac:dyDescent="0.4">
      <c r="A12" s="25">
        <f t="shared" si="0"/>
        <v>1.0093457943925233</v>
      </c>
      <c r="B12" s="119" t="s">
        <v>117</v>
      </c>
      <c r="C12" s="119">
        <f>VLOOKUP($B12,'Historical outage summary'!$B$5:$H$17,7,0)</f>
        <v>1177</v>
      </c>
      <c r="D12" s="119">
        <f>VLOOKUP($B12,'Historical outage summary'!$B$21:$H$33,7,0)*A12</f>
        <v>7182.3028037383174</v>
      </c>
      <c r="E12" s="116">
        <f>VLOOKUP($B12,'Customer Count by class'!$B$5:$K$14,10,0)</f>
        <v>1188</v>
      </c>
      <c r="F12" s="43">
        <f>SUMIFS('Mitigation Projects'!V:V,'Mitigation Projects'!$A:$A,'Pre_Post mitigation outages'!$B12)</f>
        <v>2907.4048585093233</v>
      </c>
      <c r="G12" s="43">
        <f>SUMIFS('Mitigation Projects'!W:W,'Mitigation Projects'!$A:$A,'Pre_Post mitigation outages'!$B12)</f>
        <v>732.21260398706852</v>
      </c>
      <c r="H12" s="43">
        <f t="shared" si="1"/>
        <v>3639.6174624963919</v>
      </c>
      <c r="I12" s="43">
        <f>SUMIFS('Mitigation Projects'!X:X,'Mitigation Projects'!$A:$A,'Pre_Post mitigation outages'!$B12)</f>
        <v>805.42678618375703</v>
      </c>
      <c r="J12" s="43">
        <f>SUMIFS('Mitigation Projects'!Y:Y,'Mitigation Projects'!$A:$A,'Pre_Post mitigation outages'!$B12)</f>
        <v>202.84194088294828</v>
      </c>
      <c r="K12" s="43">
        <f t="shared" si="2"/>
        <v>1008.2687270667053</v>
      </c>
      <c r="L12" s="158"/>
      <c r="M12" s="25"/>
    </row>
    <row r="13" spans="1:13" x14ac:dyDescent="0.4">
      <c r="A13" s="25">
        <f t="shared" si="0"/>
        <v>0.97308803405808109</v>
      </c>
      <c r="B13" s="119" t="s">
        <v>124</v>
      </c>
      <c r="C13" s="119">
        <f>VLOOKUP($B13,'Historical outage summary'!$B$5:$H$17,7,0)</f>
        <v>1315.4</v>
      </c>
      <c r="D13" s="119">
        <f>VLOOKUP($B13,'Historical outage summary'!$B$21:$H$33,7,0)*A13</f>
        <v>7287.4562870609689</v>
      </c>
      <c r="E13" s="116">
        <f>VLOOKUP($B13,'Customer Count by class'!$B$5:$K$14,10,0)</f>
        <v>1280</v>
      </c>
      <c r="F13" s="43">
        <f>SUMIFS('Mitigation Projects'!V:V,'Mitigation Projects'!$A:$A,'Pre_Post mitigation outages'!$B13)</f>
        <v>1666.4886782796943</v>
      </c>
      <c r="G13" s="43">
        <f>SUMIFS('Mitigation Projects'!W:W,'Mitigation Projects'!$A:$A,'Pre_Post mitigation outages'!$B13)</f>
        <v>255.22799577256583</v>
      </c>
      <c r="H13" s="43">
        <f t="shared" si="1"/>
        <v>1921.7166740522603</v>
      </c>
      <c r="I13" s="43">
        <f>SUMIFS('Mitigation Projects'!X:X,'Mitigation Projects'!$A:$A,'Pre_Post mitigation outages'!$B13)</f>
        <v>305.10047513692467</v>
      </c>
      <c r="J13" s="43">
        <f>SUMIFS('Mitigation Projects'!Y:Y,'Mitigation Projects'!$A:$A,'Pre_Post mitigation outages'!$B13)</f>
        <v>46.727099795745225</v>
      </c>
      <c r="K13" s="43">
        <f t="shared" si="2"/>
        <v>351.8275749326699</v>
      </c>
      <c r="L13" s="158"/>
      <c r="M13" s="25"/>
    </row>
    <row r="14" spans="1:13" x14ac:dyDescent="0.4">
      <c r="A14" s="25">
        <f t="shared" si="0"/>
        <v>1.0099009900990099</v>
      </c>
      <c r="B14" s="119" t="s">
        <v>119</v>
      </c>
      <c r="C14" s="119">
        <f>VLOOKUP($B14,'Historical outage summary'!$B$5:$H$17,7,0)</f>
        <v>1111</v>
      </c>
      <c r="D14" s="119">
        <f>VLOOKUP($B14,'Historical outage summary'!$B$21:$H$33,7,0)*A14</f>
        <v>5129.287128712871</v>
      </c>
      <c r="E14" s="116">
        <f>VLOOKUP($B14,'Customer Count by class'!$B$5:$K$14,10,0)</f>
        <v>1122</v>
      </c>
      <c r="F14" s="43">
        <f>SUMIFS('Mitigation Projects'!V:V,'Mitigation Projects'!$A:$A,'Pre_Post mitigation outages'!$B14)</f>
        <v>3593.3526606094733</v>
      </c>
      <c r="G14" s="43">
        <f>SUMIFS('Mitigation Projects'!W:W,'Mitigation Projects'!$A:$A,'Pre_Post mitigation outages'!$B14)</f>
        <v>606.37826147784881</v>
      </c>
      <c r="H14" s="43">
        <f t="shared" si="1"/>
        <v>4199.7309220873221</v>
      </c>
      <c r="I14" s="43">
        <f>SUMIFS('Mitigation Projects'!X:X,'Mitigation Projects'!$A:$A,'Pre_Post mitigation outages'!$B14)</f>
        <v>927.93582232393101</v>
      </c>
      <c r="J14" s="43">
        <f>SUMIFS('Mitigation Projects'!Y:Y,'Mitigation Projects'!$A:$A,'Pre_Post mitigation outages'!$B14)</f>
        <v>156.58917001716338</v>
      </c>
      <c r="K14" s="43">
        <f t="shared" si="2"/>
        <v>1084.5249923410943</v>
      </c>
      <c r="L14" s="158"/>
      <c r="M14" s="25"/>
    </row>
    <row r="15" spans="1:13" x14ac:dyDescent="0.4">
      <c r="B15" t="s">
        <v>210</v>
      </c>
      <c r="C15" s="43">
        <f>SUM(C5:C14)</f>
        <v>10756.4</v>
      </c>
      <c r="D15" s="43">
        <f>SUM(D5:D14)</f>
        <v>60347.480576985792</v>
      </c>
      <c r="E15" s="116">
        <f>SUM(E5:E14)</f>
        <v>10254</v>
      </c>
      <c r="F15" s="43">
        <f>SUM(F5:F14)</f>
        <v>26683.518272593508</v>
      </c>
      <c r="G15" s="43">
        <f t="shared" ref="G15:K15" si="3">SUM(G5:G14)</f>
        <v>4279.5363787360966</v>
      </c>
      <c r="H15" s="43">
        <f t="shared" si="3"/>
        <v>30963.054651329603</v>
      </c>
      <c r="I15" s="43">
        <f t="shared" si="3"/>
        <v>6831.8223325110721</v>
      </c>
      <c r="J15" s="43">
        <f t="shared" si="3"/>
        <v>1104.090255583234</v>
      </c>
      <c r="K15" s="43">
        <f t="shared" si="3"/>
        <v>7935.9125880943047</v>
      </c>
      <c r="L15" s="117"/>
    </row>
    <row r="16" spans="1:13" x14ac:dyDescent="0.4">
      <c r="A16" s="81"/>
      <c r="B16" s="81" t="s">
        <v>499</v>
      </c>
      <c r="C16" s="81"/>
      <c r="D16" s="81"/>
      <c r="E16" s="81"/>
      <c r="F16" s="81"/>
      <c r="G16" s="81"/>
      <c r="H16" s="113"/>
      <c r="I16" s="81"/>
      <c r="J16" s="81"/>
      <c r="K16" s="113"/>
      <c r="L16" s="159"/>
    </row>
    <row r="17" spans="2:12" x14ac:dyDescent="0.4">
      <c r="B17" t="s">
        <v>249</v>
      </c>
      <c r="C17" s="43">
        <v>2660.4</v>
      </c>
      <c r="D17" s="43">
        <v>23207.4</v>
      </c>
      <c r="K17" s="43">
        <f>D17*(H47/(D17/C17)*G47)</f>
        <v>3409.3570132251098</v>
      </c>
      <c r="L17" s="158">
        <f>K17*G39</f>
        <v>832.46520774389796</v>
      </c>
    </row>
    <row r="18" spans="2:12" x14ac:dyDescent="0.4">
      <c r="B18" t="s">
        <v>250</v>
      </c>
      <c r="C18" s="43">
        <v>713</v>
      </c>
      <c r="D18" s="43">
        <v>2028.6</v>
      </c>
      <c r="K18" s="43"/>
      <c r="L18" s="158">
        <f>D18*G41</f>
        <v>1151.1993865030674</v>
      </c>
    </row>
    <row r="19" spans="2:12" x14ac:dyDescent="0.4">
      <c r="B19" t="s">
        <v>248</v>
      </c>
      <c r="C19" s="43">
        <v>1763.8</v>
      </c>
      <c r="D19" s="43">
        <v>6758.8</v>
      </c>
      <c r="L19" s="158">
        <f>D19*G35</f>
        <v>554.59259676284307</v>
      </c>
    </row>
    <row r="22" spans="2:12" x14ac:dyDescent="0.4">
      <c r="B22" t="s">
        <v>601</v>
      </c>
    </row>
    <row r="23" spans="2:12" x14ac:dyDescent="0.4">
      <c r="B23" t="s">
        <v>600</v>
      </c>
    </row>
    <row r="24" spans="2:12" x14ac:dyDescent="0.4">
      <c r="B24" t="s">
        <v>246</v>
      </c>
      <c r="C24" t="s">
        <v>42</v>
      </c>
      <c r="D24" t="s">
        <v>43</v>
      </c>
      <c r="E24" t="s">
        <v>44</v>
      </c>
      <c r="F24" t="s">
        <v>247</v>
      </c>
      <c r="G24" t="s">
        <v>74</v>
      </c>
    </row>
    <row r="25" spans="2:12" x14ac:dyDescent="0.4">
      <c r="B25" t="s">
        <v>248</v>
      </c>
      <c r="C25">
        <v>2915</v>
      </c>
      <c r="D25">
        <v>23724</v>
      </c>
      <c r="E25">
        <v>8078</v>
      </c>
      <c r="F25">
        <v>808</v>
      </c>
      <c r="G25">
        <f t="shared" ref="G25:G31" si="4">SUM(C25:F25)</f>
        <v>35525</v>
      </c>
    </row>
    <row r="26" spans="2:12" x14ac:dyDescent="0.4">
      <c r="B26" t="s">
        <v>108</v>
      </c>
      <c r="C26">
        <v>10412</v>
      </c>
      <c r="D26">
        <v>2459</v>
      </c>
      <c r="E26">
        <v>4986</v>
      </c>
      <c r="F26">
        <v>355</v>
      </c>
      <c r="G26">
        <f t="shared" si="4"/>
        <v>18212</v>
      </c>
    </row>
    <row r="27" spans="2:12" x14ac:dyDescent="0.4">
      <c r="B27" t="s">
        <v>109</v>
      </c>
      <c r="C27">
        <v>884</v>
      </c>
      <c r="D27">
        <v>16051</v>
      </c>
      <c r="E27">
        <v>1529</v>
      </c>
      <c r="F27">
        <v>273</v>
      </c>
      <c r="G27">
        <f t="shared" si="4"/>
        <v>18737</v>
      </c>
    </row>
    <row r="28" spans="2:12" x14ac:dyDescent="0.4">
      <c r="B28" t="s">
        <v>111</v>
      </c>
      <c r="C28">
        <v>1029</v>
      </c>
      <c r="D28">
        <v>3724</v>
      </c>
      <c r="E28">
        <v>2211</v>
      </c>
      <c r="F28">
        <v>273</v>
      </c>
      <c r="G28">
        <f t="shared" si="4"/>
        <v>7237</v>
      </c>
    </row>
    <row r="29" spans="2:12" x14ac:dyDescent="0.4">
      <c r="B29" t="s">
        <v>249</v>
      </c>
      <c r="C29">
        <v>27258</v>
      </c>
      <c r="D29">
        <v>69791</v>
      </c>
      <c r="E29">
        <v>13882</v>
      </c>
      <c r="F29">
        <v>704</v>
      </c>
      <c r="G29">
        <f t="shared" si="4"/>
        <v>111635</v>
      </c>
    </row>
    <row r="30" spans="2:12" x14ac:dyDescent="0.4">
      <c r="B30" t="s">
        <v>115</v>
      </c>
      <c r="C30">
        <v>13351</v>
      </c>
      <c r="D30">
        <v>7527</v>
      </c>
      <c r="E30">
        <v>8883</v>
      </c>
      <c r="F30">
        <v>246</v>
      </c>
      <c r="G30">
        <f t="shared" si="4"/>
        <v>30007</v>
      </c>
    </row>
    <row r="31" spans="2:12" x14ac:dyDescent="0.4">
      <c r="B31" t="s">
        <v>250</v>
      </c>
      <c r="C31">
        <v>5735</v>
      </c>
      <c r="D31">
        <v>1548</v>
      </c>
      <c r="E31">
        <v>2806</v>
      </c>
      <c r="F31">
        <v>17</v>
      </c>
      <c r="G31">
        <f t="shared" si="4"/>
        <v>10106</v>
      </c>
    </row>
    <row r="33" spans="2:10" x14ac:dyDescent="0.4">
      <c r="B33" t="s">
        <v>602</v>
      </c>
    </row>
    <row r="34" spans="2:10" x14ac:dyDescent="0.4">
      <c r="B34" t="s">
        <v>246</v>
      </c>
      <c r="C34" t="s">
        <v>42</v>
      </c>
      <c r="D34" t="s">
        <v>43</v>
      </c>
      <c r="E34" t="s">
        <v>44</v>
      </c>
      <c r="F34" t="s">
        <v>247</v>
      </c>
      <c r="G34" t="s">
        <v>253</v>
      </c>
    </row>
    <row r="35" spans="2:10" ht="16.149999999999999" customHeight="1" x14ac:dyDescent="0.4">
      <c r="B35" t="s">
        <v>248</v>
      </c>
      <c r="C35">
        <v>2915</v>
      </c>
      <c r="E35">
        <v>0</v>
      </c>
      <c r="G35" s="26">
        <f t="shared" ref="G35:G41" si="5">C35/G25</f>
        <v>8.205489092188599E-2</v>
      </c>
    </row>
    <row r="36" spans="2:10" x14ac:dyDescent="0.4">
      <c r="B36" t="s">
        <v>108</v>
      </c>
      <c r="C36">
        <v>10412</v>
      </c>
      <c r="F36">
        <v>2</v>
      </c>
      <c r="G36" s="26">
        <f t="shared" si="5"/>
        <v>0.57171095980672082</v>
      </c>
    </row>
    <row r="37" spans="2:10" x14ac:dyDescent="0.4">
      <c r="B37" t="s">
        <v>109</v>
      </c>
      <c r="E37">
        <v>86</v>
      </c>
      <c r="G37" s="26">
        <f t="shared" si="5"/>
        <v>0</v>
      </c>
    </row>
    <row r="38" spans="2:10" x14ac:dyDescent="0.4">
      <c r="B38" t="s">
        <v>111</v>
      </c>
      <c r="C38">
        <v>1029</v>
      </c>
      <c r="G38" s="26">
        <f t="shared" si="5"/>
        <v>0.14218598866933813</v>
      </c>
    </row>
    <row r="39" spans="2:10" x14ac:dyDescent="0.4">
      <c r="B39" t="s">
        <v>249</v>
      </c>
      <c r="C39">
        <v>27258</v>
      </c>
      <c r="F39">
        <v>0</v>
      </c>
      <c r="G39" s="26">
        <f t="shared" si="5"/>
        <v>0.24417073498454786</v>
      </c>
    </row>
    <row r="40" spans="2:10" x14ac:dyDescent="0.4">
      <c r="B40" t="s">
        <v>115</v>
      </c>
      <c r="C40">
        <v>13351</v>
      </c>
      <c r="D40">
        <v>0</v>
      </c>
      <c r="E40">
        <v>0</v>
      </c>
      <c r="F40">
        <v>0</v>
      </c>
      <c r="G40" s="26">
        <f t="shared" si="5"/>
        <v>0.44492951644616258</v>
      </c>
    </row>
    <row r="41" spans="2:10" x14ac:dyDescent="0.4">
      <c r="B41" t="s">
        <v>250</v>
      </c>
      <c r="C41">
        <v>5735</v>
      </c>
      <c r="D41">
        <v>618</v>
      </c>
      <c r="E41">
        <v>0</v>
      </c>
      <c r="G41" s="26">
        <f t="shared" si="5"/>
        <v>0.56748466257668717</v>
      </c>
    </row>
    <row r="43" spans="2:10" x14ac:dyDescent="0.4">
      <c r="B43" t="s">
        <v>318</v>
      </c>
    </row>
    <row r="44" spans="2:10" x14ac:dyDescent="0.4">
      <c r="B44" t="s">
        <v>62</v>
      </c>
      <c r="C44" t="s">
        <v>497</v>
      </c>
      <c r="E44" t="s">
        <v>22</v>
      </c>
      <c r="F44" t="s">
        <v>227</v>
      </c>
      <c r="G44" t="s">
        <v>317</v>
      </c>
      <c r="H44" t="s">
        <v>498</v>
      </c>
      <c r="I44" t="s">
        <v>410</v>
      </c>
    </row>
    <row r="45" spans="2:10" x14ac:dyDescent="0.4">
      <c r="B45" t="s">
        <v>15</v>
      </c>
      <c r="C45" s="97">
        <v>0.40312406127966366</v>
      </c>
      <c r="D45" s="97"/>
      <c r="E45" s="26">
        <f>APPLICABILITY_SCORE_OH</f>
        <v>0.80330442615766917</v>
      </c>
      <c r="F45" s="26">
        <f>EFF_SCORE_OH</f>
        <v>0.9</v>
      </c>
      <c r="G45" s="99">
        <f>1-(E45*F45)</f>
        <v>0.27702601645809777</v>
      </c>
      <c r="H45" s="99"/>
    </row>
    <row r="46" spans="2:10" x14ac:dyDescent="0.4">
      <c r="B46" t="s">
        <v>16</v>
      </c>
      <c r="C46" s="97">
        <v>0.5968759387203364</v>
      </c>
      <c r="D46" s="97"/>
      <c r="E46" s="26">
        <f>APPLICABILITY_SCORE_UG</f>
        <v>0.83359200333362127</v>
      </c>
      <c r="F46" s="26">
        <f>EFF_SCORE_UG</f>
        <v>0.98</v>
      </c>
      <c r="G46" s="99">
        <f>1-(E46*F46)</f>
        <v>0.18307983673305117</v>
      </c>
      <c r="H46" s="99"/>
    </row>
    <row r="47" spans="2:10" x14ac:dyDescent="0.4">
      <c r="B47" t="s">
        <v>319</v>
      </c>
      <c r="G47" s="28">
        <f>SUMPRODUCT(C45:C46,G45:G46)/SUM(C45:C46)</f>
        <v>0.22095180224552116</v>
      </c>
      <c r="H47" s="34">
        <v>5.8</v>
      </c>
      <c r="I47" s="25">
        <f>H47*G47</f>
        <v>1.2815204530240227</v>
      </c>
      <c r="J47" t="s">
        <v>599</v>
      </c>
    </row>
  </sheetData>
  <sortState xmlns:xlrd2="http://schemas.microsoft.com/office/spreadsheetml/2017/richdata2" ref="B19:B24">
    <sortCondition ref="B19:B24"/>
  </sortState>
  <mergeCells count="4">
    <mergeCell ref="F3:H3"/>
    <mergeCell ref="I3:K3"/>
    <mergeCell ref="B3:D3"/>
    <mergeCell ref="F2:L2"/>
  </mergeCells>
  <pageMargins left="0.7" right="0.7" top="0.75" bottom="0.75" header="0.3" footer="0.3"/>
  <pageSetup scale="48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2A7CA-F6B7-4F5F-90DF-D155DD221727}">
  <dimension ref="A2:G81"/>
  <sheetViews>
    <sheetView view="pageBreakPreview" zoomScale="60" zoomScaleNormal="40" workbookViewId="0">
      <selection activeCell="I83" sqref="A1:I83"/>
    </sheetView>
  </sheetViews>
  <sheetFormatPr defaultRowHeight="18.75" x14ac:dyDescent="0.4"/>
  <cols>
    <col min="2" max="2" width="10.109375" bestFit="1" customWidth="1"/>
    <col min="3" max="3" width="9.21875" bestFit="1" customWidth="1"/>
    <col min="4" max="5" width="10.109375" bestFit="1" customWidth="1"/>
    <col min="13" max="13" width="9.77734375" bestFit="1" customWidth="1"/>
    <col min="14" max="14" width="8.77734375" customWidth="1"/>
  </cols>
  <sheetData>
    <row r="2" spans="1:6" x14ac:dyDescent="0.4">
      <c r="A2" s="145" t="s">
        <v>488</v>
      </c>
      <c r="B2" s="145"/>
      <c r="C2" s="145"/>
      <c r="D2" s="145"/>
      <c r="E2" s="145"/>
      <c r="F2" s="145"/>
    </row>
    <row r="3" spans="1:6" x14ac:dyDescent="0.4">
      <c r="A3" s="145" t="s">
        <v>246</v>
      </c>
      <c r="B3" s="145" t="s">
        <v>42</v>
      </c>
      <c r="C3" s="145" t="s">
        <v>43</v>
      </c>
      <c r="D3" s="145" t="s">
        <v>44</v>
      </c>
      <c r="E3" s="145" t="s">
        <v>247</v>
      </c>
      <c r="F3" s="145" t="s">
        <v>74</v>
      </c>
    </row>
    <row r="4" spans="1:6" x14ac:dyDescent="0.4">
      <c r="A4" s="145" t="s">
        <v>106</v>
      </c>
      <c r="B4" s="147">
        <f>VLOOKUP($A4,'Pre_Post mitigation outages'!$B$5:$D$14,3,0)*B31</f>
        <v>2270.4094317151407</v>
      </c>
      <c r="C4" s="147">
        <f>VLOOKUP($A4,'Pre_Post mitigation outages'!$B$5:$D$14,3,0)*C31</f>
        <v>150.11723351352364</v>
      </c>
      <c r="D4" s="147">
        <f>VLOOKUP($A4,'Pre_Post mitigation outages'!$B$5:$D$14,3,0)*D31</f>
        <v>698.72748689930995</v>
      </c>
      <c r="E4" s="147">
        <f>VLOOKUP($A4,'Pre_Post mitigation outages'!$B$5:$D$14,3,0)*E31</f>
        <v>60.274343759217821</v>
      </c>
      <c r="F4" s="146">
        <f>SUM(B4:E4)</f>
        <v>3179.5284958871925</v>
      </c>
    </row>
    <row r="5" spans="1:6" x14ac:dyDescent="0.4">
      <c r="A5" s="145" t="s">
        <v>108</v>
      </c>
      <c r="B5" s="147">
        <f>VLOOKUP($A5,'Pre_Post mitigation outages'!$B$5:$D$14,3,0)*B32</f>
        <v>2964.0944803252014</v>
      </c>
      <c r="C5" s="147">
        <f>VLOOKUP($A5,'Pre_Post mitigation outages'!$B$5:$D$14,3,0)*C32</f>
        <v>700.02961266996454</v>
      </c>
      <c r="D5" s="147">
        <f>VLOOKUP($A5,'Pre_Post mitigation outages'!$B$5:$D$14,3,0)*D32</f>
        <v>1419.4175066175044</v>
      </c>
      <c r="E5" s="147">
        <f>VLOOKUP($A5,'Pre_Post mitigation outages'!$B$5:$D$14,3,0)*E32</f>
        <v>101.06161549322384</v>
      </c>
      <c r="F5" s="147">
        <f t="shared" ref="F5:F13" si="0">SUM(B5:E5)</f>
        <v>5184.6032151058944</v>
      </c>
    </row>
    <row r="6" spans="1:6" x14ac:dyDescent="0.4">
      <c r="A6" s="145" t="s">
        <v>122</v>
      </c>
      <c r="B6" s="147">
        <f>VLOOKUP($A6,'Pre_Post mitigation outages'!$B$5:$D$14,3,0)*B33</f>
        <v>4381.6337352613773</v>
      </c>
      <c r="C6" s="147">
        <f>VLOOKUP($A6,'Pre_Post mitigation outages'!$B$5:$D$14,3,0)*C33</f>
        <v>680.6318062091874</v>
      </c>
      <c r="D6" s="147">
        <f>VLOOKUP($A6,'Pre_Post mitigation outages'!$B$5:$D$14,3,0)*D33</f>
        <v>1552.8860075132141</v>
      </c>
      <c r="E6" s="147">
        <f>VLOOKUP($A6,'Pre_Post mitigation outages'!$B$5:$D$14,3,0)*E33</f>
        <v>80.539150991486792</v>
      </c>
      <c r="F6" s="147">
        <f t="shared" si="0"/>
        <v>6695.6906999752664</v>
      </c>
    </row>
    <row r="7" spans="1:6" x14ac:dyDescent="0.4">
      <c r="A7" s="145" t="s">
        <v>109</v>
      </c>
      <c r="B7" s="147">
        <f>VLOOKUP($A7,'Pre_Post mitigation outages'!$B$5:$D$14,3,0)*B34</f>
        <v>2954.4560790627124</v>
      </c>
      <c r="C7" s="147">
        <f>VLOOKUP($A7,'Pre_Post mitigation outages'!$B$5:$D$14,3,0)*C34</f>
        <v>471.57197482163673</v>
      </c>
      <c r="D7" s="147">
        <f>VLOOKUP($A7,'Pre_Post mitigation outages'!$B$5:$D$14,3,0)*D34</f>
        <v>309.32370206018135</v>
      </c>
      <c r="E7" s="147">
        <f>VLOOKUP($A7,'Pre_Post mitigation outages'!$B$5:$D$14,3,0)*E34</f>
        <v>55.229150204335838</v>
      </c>
      <c r="F7" s="146">
        <f t="shared" si="0"/>
        <v>3790.5809061488662</v>
      </c>
    </row>
    <row r="8" spans="1:6" x14ac:dyDescent="0.4">
      <c r="A8" s="145" t="s">
        <v>111</v>
      </c>
      <c r="B8" s="147">
        <f>VLOOKUP($A8,'Pre_Post mitigation outages'!$B$5:$D$14,3,0)*B35</f>
        <v>1045.1393771471319</v>
      </c>
      <c r="C8" s="147">
        <f>VLOOKUP($A8,'Pre_Post mitigation outages'!$B$5:$D$14,3,0)*C35</f>
        <v>0</v>
      </c>
      <c r="D8" s="147">
        <f>VLOOKUP($A8,'Pre_Post mitigation outages'!$B$5:$D$14,3,0)*D35</f>
        <v>486.17781672045203</v>
      </c>
      <c r="E8" s="147">
        <f>VLOOKUP($A8,'Pre_Post mitigation outages'!$B$5:$D$14,3,0)*E35</f>
        <v>60.030096772810218</v>
      </c>
      <c r="F8" s="146">
        <f t="shared" si="0"/>
        <v>1591.347290640394</v>
      </c>
    </row>
    <row r="9" spans="1:6" x14ac:dyDescent="0.4">
      <c r="A9" s="145" t="s">
        <v>112</v>
      </c>
      <c r="B9" s="147">
        <f>VLOOKUP($A9,'Pre_Post mitigation outages'!$B$5:$D$14,3,0)*B36</f>
        <v>6701.4163523222323</v>
      </c>
      <c r="C9" s="147">
        <f>VLOOKUP($A9,'Pre_Post mitigation outages'!$B$5:$D$14,3,0)*C36</f>
        <v>1913.5336135488915</v>
      </c>
      <c r="D9" s="147">
        <f>VLOOKUP($A9,'Pre_Post mitigation outages'!$B$5:$D$14,3,0)*D36</f>
        <v>4129.4476445694791</v>
      </c>
      <c r="E9" s="147">
        <f>VLOOKUP($A9,'Pre_Post mitigation outages'!$B$5:$D$14,3,0)*E36</f>
        <v>109.19935504716199</v>
      </c>
      <c r="F9" s="146">
        <f t="shared" si="0"/>
        <v>12853.596965487764</v>
      </c>
    </row>
    <row r="10" spans="1:6" x14ac:dyDescent="0.4">
      <c r="A10" s="145" t="s">
        <v>115</v>
      </c>
      <c r="B10" s="147">
        <f>VLOOKUP($A10,'Pre_Post mitigation outages'!$B$5:$D$14,3,0)*B37</f>
        <v>3316.0982989379618</v>
      </c>
      <c r="C10" s="147">
        <f>VLOOKUP($A10,'Pre_Post mitigation outages'!$B$5:$D$14,3,0)*C37</f>
        <v>2910.7449603216223</v>
      </c>
      <c r="D10" s="147">
        <f>VLOOKUP($A10,'Pre_Post mitigation outages'!$B$5:$D$14,3,0)*D37</f>
        <v>1165.1424702507661</v>
      </c>
      <c r="E10" s="147">
        <f>VLOOKUP($A10,'Pre_Post mitigation outages'!$B$5:$D$14,3,0)*E37</f>
        <v>61.101054717904169</v>
      </c>
      <c r="F10" s="146">
        <f t="shared" si="0"/>
        <v>7453.0867842282541</v>
      </c>
    </row>
    <row r="11" spans="1:6" x14ac:dyDescent="0.4">
      <c r="A11" s="145" t="s">
        <v>117</v>
      </c>
      <c r="B11" s="147">
        <f>VLOOKUP($A11,'Pre_Post mitigation outages'!$B$5:$D$14,3,0)*B38</f>
        <v>3824.4384750340605</v>
      </c>
      <c r="C11" s="147">
        <f>VLOOKUP($A11,'Pre_Post mitigation outages'!$B$5:$D$14,3,0)*C38</f>
        <v>2426.411641664261</v>
      </c>
      <c r="D11" s="147">
        <f>VLOOKUP($A11,'Pre_Post mitigation outages'!$B$5:$D$14,3,0)*D38</f>
        <v>837.3465751515497</v>
      </c>
      <c r="E11" s="147">
        <f>VLOOKUP($A11,'Pre_Post mitigation outages'!$B$5:$D$14,3,0)*E38</f>
        <v>94.106111888446179</v>
      </c>
      <c r="F11" s="146">
        <f t="shared" si="0"/>
        <v>7182.3028037383174</v>
      </c>
    </row>
    <row r="12" spans="1:6" x14ac:dyDescent="0.4">
      <c r="A12" s="145" t="s">
        <v>124</v>
      </c>
      <c r="B12" s="147">
        <f>VLOOKUP($A12,'Pre_Post mitigation outages'!$B$5:$D$14,3,0)*B39</f>
        <v>4514.3626551360903</v>
      </c>
      <c r="C12" s="147">
        <f>VLOOKUP($A12,'Pre_Post mitigation outages'!$B$5:$D$14,3,0)*C39</f>
        <v>308.23706311502815</v>
      </c>
      <c r="D12" s="147">
        <f>VLOOKUP($A12,'Pre_Post mitigation outages'!$B$5:$D$14,3,0)*D39</f>
        <v>2289.9393150448445</v>
      </c>
      <c r="E12" s="147">
        <f>VLOOKUP($A12,'Pre_Post mitigation outages'!$B$5:$D$14,3,0)*E39</f>
        <v>174.91725376500582</v>
      </c>
      <c r="F12" s="147">
        <f t="shared" si="0"/>
        <v>7287.4562870609689</v>
      </c>
    </row>
    <row r="13" spans="1:6" x14ac:dyDescent="0.4">
      <c r="A13" s="145" t="s">
        <v>119</v>
      </c>
      <c r="B13" s="147">
        <f>VLOOKUP($A13,'Pre_Post mitigation outages'!$B$5:$D$14,3,0)*B40</f>
        <v>2566.7715068363109</v>
      </c>
      <c r="C13" s="147">
        <f>VLOOKUP($A13,'Pre_Post mitigation outages'!$B$5:$D$14,3,0)*C40</f>
        <v>810.27320872586938</v>
      </c>
      <c r="D13" s="147">
        <f>VLOOKUP($A13,'Pre_Post mitigation outages'!$B$5:$D$14,3,0)*D40</f>
        <v>1679.8923688349289</v>
      </c>
      <c r="E13" s="147">
        <f>VLOOKUP($A13,'Pre_Post mitigation outages'!$B$5:$D$14,3,0)*E40</f>
        <v>72.350044315761892</v>
      </c>
      <c r="F13" s="146">
        <f t="shared" si="0"/>
        <v>5129.287128712871</v>
      </c>
    </row>
    <row r="15" spans="1:6" x14ac:dyDescent="0.4">
      <c r="A15" t="s">
        <v>472</v>
      </c>
    </row>
    <row r="16" spans="1:6" x14ac:dyDescent="0.4">
      <c r="A16" t="s">
        <v>246</v>
      </c>
      <c r="B16" t="s">
        <v>42</v>
      </c>
      <c r="C16" t="s">
        <v>43</v>
      </c>
      <c r="D16" t="s">
        <v>44</v>
      </c>
      <c r="E16" t="s">
        <v>247</v>
      </c>
      <c r="F16" t="s">
        <v>74</v>
      </c>
    </row>
    <row r="17" spans="1:6" x14ac:dyDescent="0.4">
      <c r="A17" t="s">
        <v>106</v>
      </c>
      <c r="B17">
        <v>9982</v>
      </c>
      <c r="C17">
        <v>660</v>
      </c>
      <c r="D17">
        <v>3072</v>
      </c>
      <c r="E17">
        <v>265</v>
      </c>
      <c r="F17">
        <f>SUM(B17:E17)</f>
        <v>13979</v>
      </c>
    </row>
    <row r="18" spans="1:6" x14ac:dyDescent="0.4">
      <c r="A18" t="s">
        <v>108</v>
      </c>
      <c r="B18">
        <v>10412</v>
      </c>
      <c r="C18">
        <v>2459</v>
      </c>
      <c r="D18">
        <v>4986</v>
      </c>
      <c r="E18">
        <v>355</v>
      </c>
      <c r="F18">
        <f t="shared" ref="F18:F26" si="1">SUM(B18:E18)</f>
        <v>18212</v>
      </c>
    </row>
    <row r="19" spans="1:6" x14ac:dyDescent="0.4">
      <c r="A19" t="s">
        <v>122</v>
      </c>
      <c r="B19">
        <v>28834</v>
      </c>
      <c r="C19">
        <v>4479</v>
      </c>
      <c r="D19">
        <v>10219</v>
      </c>
      <c r="E19">
        <v>530</v>
      </c>
      <c r="F19">
        <f t="shared" si="1"/>
        <v>44062</v>
      </c>
    </row>
    <row r="20" spans="1:6" x14ac:dyDescent="0.4">
      <c r="A20" t="s">
        <v>109</v>
      </c>
      <c r="B20">
        <v>14604</v>
      </c>
      <c r="C20">
        <v>2331</v>
      </c>
      <c r="D20">
        <v>1529</v>
      </c>
      <c r="E20">
        <v>273</v>
      </c>
      <c r="F20">
        <f t="shared" si="1"/>
        <v>18737</v>
      </c>
    </row>
    <row r="21" spans="1:6" x14ac:dyDescent="0.4">
      <c r="A21" t="s">
        <v>111</v>
      </c>
      <c r="B21">
        <v>4753</v>
      </c>
      <c r="C21">
        <v>0</v>
      </c>
      <c r="D21">
        <v>2211</v>
      </c>
      <c r="E21">
        <v>273</v>
      </c>
      <c r="F21">
        <f t="shared" si="1"/>
        <v>7237</v>
      </c>
    </row>
    <row r="22" spans="1:6" x14ac:dyDescent="0.4">
      <c r="A22" t="s">
        <v>112</v>
      </c>
      <c r="B22">
        <v>28966</v>
      </c>
      <c r="C22">
        <v>8271</v>
      </c>
      <c r="D22">
        <v>17849</v>
      </c>
      <c r="E22">
        <v>472</v>
      </c>
      <c r="F22">
        <f t="shared" si="1"/>
        <v>55558</v>
      </c>
    </row>
    <row r="23" spans="1:6" x14ac:dyDescent="0.4">
      <c r="A23" t="s">
        <v>115</v>
      </c>
      <c r="B23">
        <v>13351</v>
      </c>
      <c r="C23">
        <v>11719</v>
      </c>
      <c r="D23">
        <v>4691</v>
      </c>
      <c r="E23">
        <v>246</v>
      </c>
      <c r="F23">
        <f t="shared" si="1"/>
        <v>30007</v>
      </c>
    </row>
    <row r="24" spans="1:6" x14ac:dyDescent="0.4">
      <c r="A24" t="s">
        <v>117</v>
      </c>
      <c r="B24">
        <v>13533</v>
      </c>
      <c r="C24">
        <v>8586</v>
      </c>
      <c r="D24">
        <v>2963</v>
      </c>
      <c r="E24">
        <v>333</v>
      </c>
      <c r="F24">
        <f t="shared" si="1"/>
        <v>25415</v>
      </c>
    </row>
    <row r="25" spans="1:6" x14ac:dyDescent="0.4">
      <c r="A25" t="s">
        <v>124</v>
      </c>
      <c r="B25">
        <v>21705</v>
      </c>
      <c r="C25">
        <v>1482</v>
      </c>
      <c r="D25">
        <v>11010</v>
      </c>
      <c r="E25">
        <v>841</v>
      </c>
      <c r="F25">
        <f t="shared" si="1"/>
        <v>35038</v>
      </c>
    </row>
    <row r="26" spans="1:6" x14ac:dyDescent="0.4">
      <c r="A26" t="s">
        <v>119</v>
      </c>
      <c r="B26">
        <v>10856</v>
      </c>
      <c r="C26">
        <v>3427</v>
      </c>
      <c r="D26">
        <v>7105</v>
      </c>
      <c r="E26">
        <v>306</v>
      </c>
      <c r="F26">
        <f t="shared" si="1"/>
        <v>21694</v>
      </c>
    </row>
    <row r="27" spans="1:6" x14ac:dyDescent="0.4">
      <c r="A27" t="s">
        <v>74</v>
      </c>
      <c r="B27">
        <f>SUM(B17:B26)</f>
        <v>156996</v>
      </c>
      <c r="C27">
        <f t="shared" ref="C27:F27" si="2">SUM(C17:C26)</f>
        <v>43414</v>
      </c>
      <c r="D27">
        <f t="shared" si="2"/>
        <v>65635</v>
      </c>
      <c r="E27">
        <f t="shared" si="2"/>
        <v>3894</v>
      </c>
      <c r="F27">
        <f t="shared" si="2"/>
        <v>269939</v>
      </c>
    </row>
    <row r="29" spans="1:6" x14ac:dyDescent="0.4">
      <c r="A29" t="s">
        <v>473</v>
      </c>
    </row>
    <row r="30" spans="1:6" x14ac:dyDescent="0.4">
      <c r="A30" t="s">
        <v>246</v>
      </c>
      <c r="B30" t="s">
        <v>42</v>
      </c>
      <c r="C30" t="s">
        <v>43</v>
      </c>
      <c r="D30" t="s">
        <v>44</v>
      </c>
      <c r="E30" t="s">
        <v>247</v>
      </c>
      <c r="F30" t="s">
        <v>74</v>
      </c>
    </row>
    <row r="31" spans="1:6" x14ac:dyDescent="0.4">
      <c r="A31" t="s">
        <v>106</v>
      </c>
      <c r="B31" s="98">
        <f>B17/$F17</f>
        <v>0.71407110665998996</v>
      </c>
      <c r="C31" s="98">
        <f t="shared" ref="C31:F31" si="3">C17/$F17</f>
        <v>4.7213677659346164E-2</v>
      </c>
      <c r="D31" s="98">
        <f t="shared" si="3"/>
        <v>0.21975820874168395</v>
      </c>
      <c r="E31" s="98">
        <f t="shared" si="3"/>
        <v>1.8957006938979899E-2</v>
      </c>
      <c r="F31" s="98">
        <f t="shared" si="3"/>
        <v>1</v>
      </c>
    </row>
    <row r="32" spans="1:6" x14ac:dyDescent="0.4">
      <c r="A32" t="s">
        <v>108</v>
      </c>
      <c r="B32" s="98">
        <f t="shared" ref="B32:F32" si="4">B18/$F18</f>
        <v>0.57171095980672082</v>
      </c>
      <c r="C32" s="98">
        <f t="shared" si="4"/>
        <v>0.13502086536349658</v>
      </c>
      <c r="D32" s="98">
        <f t="shared" si="4"/>
        <v>0.27377553261585769</v>
      </c>
      <c r="E32" s="98">
        <f t="shared" si="4"/>
        <v>1.9492642213924886E-2</v>
      </c>
      <c r="F32" s="98">
        <f t="shared" si="4"/>
        <v>1</v>
      </c>
    </row>
    <row r="33" spans="1:7" x14ac:dyDescent="0.4">
      <c r="A33" t="s">
        <v>122</v>
      </c>
      <c r="B33" s="98">
        <f t="shared" ref="B33:F33" si="5">B19/$F19</f>
        <v>0.65439607825337021</v>
      </c>
      <c r="C33" s="98">
        <f t="shared" si="5"/>
        <v>0.10165221733012574</v>
      </c>
      <c r="D33" s="98">
        <f t="shared" si="5"/>
        <v>0.23192319912850076</v>
      </c>
      <c r="E33" s="98">
        <f t="shared" si="5"/>
        <v>1.2028505288003269E-2</v>
      </c>
      <c r="F33" s="98">
        <f t="shared" si="5"/>
        <v>1</v>
      </c>
    </row>
    <row r="34" spans="1:7" x14ac:dyDescent="0.4">
      <c r="A34" t="s">
        <v>109</v>
      </c>
      <c r="B34" s="98">
        <f t="shared" ref="B34:F34" si="6">B20/$F20</f>
        <v>0.77942039814271225</v>
      </c>
      <c r="C34" s="98">
        <f t="shared" si="6"/>
        <v>0.12440625500346907</v>
      </c>
      <c r="D34" s="98">
        <f t="shared" si="6"/>
        <v>8.1603244916475429E-2</v>
      </c>
      <c r="E34" s="98">
        <f t="shared" si="6"/>
        <v>1.4570101937343224E-2</v>
      </c>
      <c r="F34" s="98">
        <f t="shared" si="6"/>
        <v>1</v>
      </c>
    </row>
    <row r="35" spans="1:7" x14ac:dyDescent="0.4">
      <c r="A35" t="s">
        <v>111</v>
      </c>
      <c r="B35" s="98">
        <f t="shared" ref="B35:F35" si="7">B21/$F21</f>
        <v>0.65676385242503799</v>
      </c>
      <c r="C35" s="98">
        <f t="shared" si="7"/>
        <v>0</v>
      </c>
      <c r="D35" s="98">
        <f t="shared" si="7"/>
        <v>0.30551333425452537</v>
      </c>
      <c r="E35" s="98">
        <f t="shared" si="7"/>
        <v>3.7722813320436643E-2</v>
      </c>
      <c r="F35" s="98">
        <f t="shared" si="7"/>
        <v>1</v>
      </c>
    </row>
    <row r="36" spans="1:7" x14ac:dyDescent="0.4">
      <c r="A36" t="s">
        <v>112</v>
      </c>
      <c r="B36" s="98">
        <f t="shared" ref="B36:F36" si="8">B22/$F22</f>
        <v>0.52136505993736271</v>
      </c>
      <c r="C36" s="98">
        <f t="shared" si="8"/>
        <v>0.14887144965621513</v>
      </c>
      <c r="D36" s="98">
        <f t="shared" si="8"/>
        <v>0.32126786421397457</v>
      </c>
      <c r="E36" s="98">
        <f t="shared" si="8"/>
        <v>8.4956261924475328E-3</v>
      </c>
      <c r="F36" s="98">
        <f t="shared" si="8"/>
        <v>1</v>
      </c>
    </row>
    <row r="37" spans="1:7" x14ac:dyDescent="0.4">
      <c r="A37" t="s">
        <v>115</v>
      </c>
      <c r="B37" s="98">
        <f t="shared" ref="B37:F37" si="9">B23/$F23</f>
        <v>0.44492951644616258</v>
      </c>
      <c r="C37" s="98">
        <f t="shared" si="9"/>
        <v>0.39054220681840907</v>
      </c>
      <c r="D37" s="98">
        <f t="shared" si="9"/>
        <v>0.15633018962242143</v>
      </c>
      <c r="E37" s="98">
        <f t="shared" si="9"/>
        <v>8.1980871130069646E-3</v>
      </c>
      <c r="F37" s="98">
        <f t="shared" si="9"/>
        <v>1</v>
      </c>
    </row>
    <row r="38" spans="1:7" x14ac:dyDescent="0.4">
      <c r="A38" t="s">
        <v>117</v>
      </c>
      <c r="B38" s="98">
        <f t="shared" ref="B38:F38" si="10">B24/$F24</f>
        <v>0.53248081841432227</v>
      </c>
      <c r="C38" s="98">
        <f t="shared" si="10"/>
        <v>0.33783198898288413</v>
      </c>
      <c r="D38" s="98">
        <f t="shared" si="10"/>
        <v>0.11658469407830022</v>
      </c>
      <c r="E38" s="98">
        <f t="shared" si="10"/>
        <v>1.3102498524493409E-2</v>
      </c>
      <c r="F38" s="98">
        <f t="shared" si="10"/>
        <v>1</v>
      </c>
    </row>
    <row r="39" spans="1:7" x14ac:dyDescent="0.4">
      <c r="A39" t="s">
        <v>124</v>
      </c>
      <c r="B39" s="98">
        <f t="shared" ref="B39:F39" si="11">B25/$F25</f>
        <v>0.61947028940007987</v>
      </c>
      <c r="C39" s="98">
        <f t="shared" si="11"/>
        <v>4.2296934756550032E-2</v>
      </c>
      <c r="D39" s="98">
        <f t="shared" si="11"/>
        <v>0.31423026428449113</v>
      </c>
      <c r="E39" s="98">
        <f t="shared" si="11"/>
        <v>2.400251155887893E-2</v>
      </c>
      <c r="F39" s="98">
        <f t="shared" si="11"/>
        <v>1</v>
      </c>
    </row>
    <row r="40" spans="1:7" x14ac:dyDescent="0.4">
      <c r="A40" t="s">
        <v>119</v>
      </c>
      <c r="B40" s="26">
        <f t="shared" ref="B40:F40" si="12">B26/$F26</f>
        <v>0.50041486125195911</v>
      </c>
      <c r="C40" s="26">
        <f t="shared" si="12"/>
        <v>0.1579699456070803</v>
      </c>
      <c r="D40" s="26">
        <f t="shared" si="12"/>
        <v>0.32750991057435236</v>
      </c>
      <c r="E40" s="26">
        <f t="shared" si="12"/>
        <v>1.410528256660828E-2</v>
      </c>
      <c r="F40" s="26">
        <f t="shared" si="12"/>
        <v>1</v>
      </c>
    </row>
    <row r="41" spans="1:7" x14ac:dyDescent="0.4">
      <c r="A41" t="s">
        <v>74</v>
      </c>
      <c r="B41" s="26">
        <f t="shared" ref="B41:F41" si="13">B27/$F27</f>
        <v>0.58159806474796161</v>
      </c>
      <c r="C41" s="26">
        <f t="shared" si="13"/>
        <v>0.16082892801707052</v>
      </c>
      <c r="D41" s="26">
        <f t="shared" si="13"/>
        <v>0.24314752592252323</v>
      </c>
      <c r="E41" s="26">
        <f t="shared" si="13"/>
        <v>1.4425481312444663E-2</v>
      </c>
      <c r="F41" s="26">
        <f t="shared" si="13"/>
        <v>1</v>
      </c>
    </row>
    <row r="42" spans="1:7" x14ac:dyDescent="0.4">
      <c r="B42" s="26"/>
      <c r="C42" s="26"/>
      <c r="D42" s="26"/>
      <c r="E42" s="26"/>
    </row>
    <row r="43" spans="1:7" x14ac:dyDescent="0.4">
      <c r="A43" t="s">
        <v>490</v>
      </c>
      <c r="B43" s="26"/>
      <c r="C43" s="26"/>
      <c r="D43" s="26"/>
      <c r="E43" s="26"/>
    </row>
    <row r="44" spans="1:7" x14ac:dyDescent="0.4">
      <c r="A44" t="s">
        <v>487</v>
      </c>
    </row>
    <row r="45" spans="1:7" x14ac:dyDescent="0.4">
      <c r="A45" t="s">
        <v>254</v>
      </c>
      <c r="B45">
        <v>2020</v>
      </c>
      <c r="C45">
        <v>2021</v>
      </c>
      <c r="D45">
        <v>2022</v>
      </c>
      <c r="E45">
        <v>2023</v>
      </c>
      <c r="F45">
        <v>2024</v>
      </c>
      <c r="G45" t="s">
        <v>255</v>
      </c>
    </row>
    <row r="46" spans="1:7" x14ac:dyDescent="0.4">
      <c r="A46" t="s">
        <v>106</v>
      </c>
      <c r="B46">
        <v>36</v>
      </c>
      <c r="C46">
        <v>34</v>
      </c>
      <c r="D46">
        <v>64</v>
      </c>
      <c r="E46">
        <v>78</v>
      </c>
      <c r="F46">
        <v>57</v>
      </c>
      <c r="G46">
        <f t="shared" ref="G46:G55" si="14">AVERAGE(B46:F46)</f>
        <v>53.8</v>
      </c>
    </row>
    <row r="47" spans="1:7" x14ac:dyDescent="0.4">
      <c r="A47" t="s">
        <v>108</v>
      </c>
      <c r="B47">
        <v>82</v>
      </c>
      <c r="C47">
        <v>73</v>
      </c>
      <c r="D47">
        <v>68</v>
      </c>
      <c r="E47">
        <v>92</v>
      </c>
      <c r="F47">
        <v>75</v>
      </c>
      <c r="G47">
        <f t="shared" si="14"/>
        <v>78</v>
      </c>
    </row>
    <row r="48" spans="1:7" x14ac:dyDescent="0.4">
      <c r="A48" t="s">
        <v>122</v>
      </c>
      <c r="B48">
        <v>125</v>
      </c>
      <c r="C48">
        <v>162</v>
      </c>
      <c r="D48">
        <v>167</v>
      </c>
      <c r="E48">
        <v>210</v>
      </c>
      <c r="F48">
        <v>138</v>
      </c>
      <c r="G48">
        <f t="shared" si="14"/>
        <v>160.4</v>
      </c>
    </row>
    <row r="49" spans="1:7" x14ac:dyDescent="0.4">
      <c r="A49" t="s">
        <v>109</v>
      </c>
      <c r="B49">
        <v>42</v>
      </c>
      <c r="C49">
        <v>41</v>
      </c>
      <c r="D49">
        <v>64</v>
      </c>
      <c r="E49">
        <v>55</v>
      </c>
      <c r="F49">
        <v>62</v>
      </c>
      <c r="G49">
        <f t="shared" si="14"/>
        <v>52.8</v>
      </c>
    </row>
    <row r="50" spans="1:7" x14ac:dyDescent="0.4">
      <c r="A50" t="s">
        <v>111</v>
      </c>
      <c r="B50">
        <v>41</v>
      </c>
      <c r="C50">
        <v>46</v>
      </c>
      <c r="D50">
        <v>38</v>
      </c>
      <c r="E50">
        <v>57</v>
      </c>
      <c r="F50">
        <v>30</v>
      </c>
      <c r="G50">
        <f t="shared" si="14"/>
        <v>42.4</v>
      </c>
    </row>
    <row r="51" spans="1:7" x14ac:dyDescent="0.4">
      <c r="A51" t="s">
        <v>112</v>
      </c>
      <c r="B51">
        <v>207</v>
      </c>
      <c r="C51">
        <v>225</v>
      </c>
      <c r="D51">
        <v>186</v>
      </c>
      <c r="E51">
        <v>301</v>
      </c>
      <c r="F51">
        <v>203</v>
      </c>
      <c r="G51">
        <f t="shared" si="14"/>
        <v>224.4</v>
      </c>
    </row>
    <row r="52" spans="1:7" x14ac:dyDescent="0.4">
      <c r="A52" t="s">
        <v>115</v>
      </c>
      <c r="B52">
        <v>90</v>
      </c>
      <c r="C52">
        <v>46</v>
      </c>
      <c r="D52">
        <v>101</v>
      </c>
      <c r="E52">
        <v>88</v>
      </c>
      <c r="F52">
        <v>77</v>
      </c>
      <c r="G52">
        <f t="shared" si="14"/>
        <v>80.400000000000006</v>
      </c>
    </row>
    <row r="53" spans="1:7" x14ac:dyDescent="0.4">
      <c r="A53" t="s">
        <v>117</v>
      </c>
      <c r="B53">
        <v>39</v>
      </c>
      <c r="C53">
        <v>64</v>
      </c>
      <c r="D53">
        <v>55</v>
      </c>
      <c r="E53">
        <v>69</v>
      </c>
      <c r="F53">
        <v>79</v>
      </c>
      <c r="G53">
        <f t="shared" si="14"/>
        <v>61.2</v>
      </c>
    </row>
    <row r="54" spans="1:7" x14ac:dyDescent="0.4">
      <c r="A54" t="s">
        <v>124</v>
      </c>
      <c r="B54">
        <v>115</v>
      </c>
      <c r="C54">
        <v>118</v>
      </c>
      <c r="D54">
        <v>174</v>
      </c>
      <c r="E54">
        <v>161</v>
      </c>
      <c r="F54">
        <v>163</v>
      </c>
      <c r="G54">
        <f t="shared" si="14"/>
        <v>146.19999999999999</v>
      </c>
    </row>
    <row r="55" spans="1:7" x14ac:dyDescent="0.4">
      <c r="A55" t="s">
        <v>119</v>
      </c>
      <c r="B55">
        <v>80</v>
      </c>
      <c r="C55">
        <v>66</v>
      </c>
      <c r="D55">
        <v>121</v>
      </c>
      <c r="E55">
        <v>69</v>
      </c>
      <c r="F55">
        <v>79</v>
      </c>
      <c r="G55">
        <f t="shared" si="14"/>
        <v>83</v>
      </c>
    </row>
    <row r="57" spans="1:7" x14ac:dyDescent="0.4">
      <c r="A57" t="s">
        <v>471</v>
      </c>
    </row>
    <row r="58" spans="1:7" x14ac:dyDescent="0.4">
      <c r="A58" t="s">
        <v>254</v>
      </c>
      <c r="B58" t="s">
        <v>42</v>
      </c>
      <c r="C58" t="s">
        <v>43</v>
      </c>
      <c r="D58" t="s">
        <v>44</v>
      </c>
      <c r="E58" t="s">
        <v>247</v>
      </c>
      <c r="F58" t="s">
        <v>74</v>
      </c>
      <c r="G58" s="54" t="s">
        <v>237</v>
      </c>
    </row>
    <row r="59" spans="1:7" x14ac:dyDescent="0.4">
      <c r="A59" t="s">
        <v>106</v>
      </c>
      <c r="B59" s="25">
        <f t="shared" ref="B59:E68" si="15">$G46*B72</f>
        <v>38.417025538307456</v>
      </c>
      <c r="C59" s="25">
        <f t="shared" si="15"/>
        <v>2.5400958580728235</v>
      </c>
      <c r="D59" s="25">
        <f t="shared" si="15"/>
        <v>11.822991630302596</v>
      </c>
      <c r="E59" s="25">
        <f t="shared" si="15"/>
        <v>1.0198869733171185</v>
      </c>
      <c r="F59" s="25">
        <f>SUM(B59:E59)</f>
        <v>53.8</v>
      </c>
      <c r="G59" s="89">
        <f t="shared" ref="G59:G68" si="16">F59-G46</f>
        <v>0</v>
      </c>
    </row>
    <row r="60" spans="1:7" x14ac:dyDescent="0.4">
      <c r="A60" t="s">
        <v>108</v>
      </c>
      <c r="B60" s="25">
        <f t="shared" si="15"/>
        <v>44.593454864924226</v>
      </c>
      <c r="C60" s="25">
        <f t="shared" si="15"/>
        <v>10.531627498352734</v>
      </c>
      <c r="D60" s="25">
        <f t="shared" si="15"/>
        <v>21.3544915440369</v>
      </c>
      <c r="E60" s="25">
        <f t="shared" si="15"/>
        <v>1.520426092686141</v>
      </c>
      <c r="F60" s="25">
        <f t="shared" ref="F60:F68" si="17">SUM(B60:E60)</f>
        <v>78</v>
      </c>
      <c r="G60" s="89">
        <f t="shared" si="16"/>
        <v>0</v>
      </c>
    </row>
    <row r="61" spans="1:7" x14ac:dyDescent="0.4">
      <c r="A61" t="s">
        <v>122</v>
      </c>
      <c r="B61" s="25">
        <f t="shared" si="15"/>
        <v>41.794571285915303</v>
      </c>
      <c r="C61" s="25">
        <f t="shared" si="15"/>
        <v>79.475575325677454</v>
      </c>
      <c r="D61" s="25">
        <f t="shared" si="15"/>
        <v>37.200481140211522</v>
      </c>
      <c r="E61" s="25">
        <f t="shared" si="15"/>
        <v>1.9293722481957245</v>
      </c>
      <c r="F61" s="25">
        <f t="shared" si="17"/>
        <v>160.4</v>
      </c>
      <c r="G61" s="89">
        <f t="shared" si="16"/>
        <v>0</v>
      </c>
    </row>
    <row r="62" spans="1:7" x14ac:dyDescent="0.4">
      <c r="A62" t="s">
        <v>109</v>
      </c>
      <c r="B62" s="25">
        <f t="shared" si="15"/>
        <v>2.4910711426589098</v>
      </c>
      <c r="C62" s="25">
        <f t="shared" si="15"/>
        <v>45.230976143459465</v>
      </c>
      <c r="D62" s="25">
        <f t="shared" si="15"/>
        <v>4.3086513315899024</v>
      </c>
      <c r="E62" s="25">
        <f t="shared" si="15"/>
        <v>0.76930138229172218</v>
      </c>
      <c r="F62" s="25">
        <f t="shared" si="17"/>
        <v>52.8</v>
      </c>
      <c r="G62" s="89">
        <f t="shared" si="16"/>
        <v>0</v>
      </c>
    </row>
    <row r="63" spans="1:7" x14ac:dyDescent="0.4">
      <c r="A63" t="s">
        <v>111</v>
      </c>
      <c r="B63" s="25">
        <f t="shared" si="15"/>
        <v>6.028685919579936</v>
      </c>
      <c r="C63" s="25">
        <f t="shared" si="15"/>
        <v>21.818101423241675</v>
      </c>
      <c r="D63" s="25">
        <f t="shared" si="15"/>
        <v>12.953765372391874</v>
      </c>
      <c r="E63" s="25">
        <f t="shared" si="15"/>
        <v>1.5994472847865135</v>
      </c>
      <c r="F63" s="25">
        <f t="shared" si="17"/>
        <v>42.4</v>
      </c>
      <c r="G63" s="89">
        <f t="shared" si="16"/>
        <v>0</v>
      </c>
    </row>
    <row r="64" spans="1:7" x14ac:dyDescent="0.4">
      <c r="A64" t="s">
        <v>112</v>
      </c>
      <c r="B64" s="25">
        <f t="shared" si="15"/>
        <v>46.699175636272003</v>
      </c>
      <c r="C64" s="25">
        <f t="shared" si="15"/>
        <v>103.70189711652688</v>
      </c>
      <c r="D64" s="25">
        <f t="shared" si="15"/>
        <v>72.092508729615901</v>
      </c>
      <c r="E64" s="25">
        <f t="shared" si="15"/>
        <v>1.9064185175852264</v>
      </c>
      <c r="F64" s="25">
        <f t="shared" si="17"/>
        <v>224.4</v>
      </c>
      <c r="G64" s="89">
        <f t="shared" si="16"/>
        <v>0</v>
      </c>
    </row>
    <row r="65" spans="1:7" x14ac:dyDescent="0.4">
      <c r="A65" t="s">
        <v>115</v>
      </c>
      <c r="B65" s="25">
        <f t="shared" si="15"/>
        <v>35.772333122271476</v>
      </c>
      <c r="C65" s="25">
        <f t="shared" si="15"/>
        <v>20.167654214016732</v>
      </c>
      <c r="D65" s="25">
        <f t="shared" si="15"/>
        <v>23.800886459826042</v>
      </c>
      <c r="E65" s="25">
        <f t="shared" si="15"/>
        <v>0.65912620388576004</v>
      </c>
      <c r="F65" s="25">
        <f t="shared" si="17"/>
        <v>80.40000000000002</v>
      </c>
      <c r="G65" s="89">
        <f t="shared" si="16"/>
        <v>0</v>
      </c>
    </row>
    <row r="66" spans="1:7" x14ac:dyDescent="0.4">
      <c r="A66" t="s">
        <v>117</v>
      </c>
      <c r="B66" s="25">
        <f t="shared" si="15"/>
        <v>32.587826086956525</v>
      </c>
      <c r="C66" s="25">
        <f t="shared" si="15"/>
        <v>20.67531772575251</v>
      </c>
      <c r="D66" s="25">
        <f t="shared" si="15"/>
        <v>7.1349832775919735</v>
      </c>
      <c r="E66" s="25">
        <f t="shared" si="15"/>
        <v>0.80187290969899672</v>
      </c>
      <c r="F66" s="25">
        <f t="shared" si="17"/>
        <v>61.2</v>
      </c>
      <c r="G66" s="89">
        <f t="shared" si="16"/>
        <v>0</v>
      </c>
    </row>
    <row r="67" spans="1:7" x14ac:dyDescent="0.4">
      <c r="A67" t="s">
        <v>124</v>
      </c>
      <c r="B67" s="25">
        <f t="shared" si="15"/>
        <v>90.566556310291674</v>
      </c>
      <c r="C67" s="25">
        <f t="shared" si="15"/>
        <v>6.1838118614076141</v>
      </c>
      <c r="D67" s="25">
        <f t="shared" si="15"/>
        <v>45.940464638392598</v>
      </c>
      <c r="E67" s="25">
        <f t="shared" si="15"/>
        <v>3.5091671899080992</v>
      </c>
      <c r="F67" s="25">
        <f t="shared" si="17"/>
        <v>146.19999999999999</v>
      </c>
      <c r="G67" s="89">
        <f t="shared" si="16"/>
        <v>0</v>
      </c>
    </row>
    <row r="68" spans="1:7" x14ac:dyDescent="0.4">
      <c r="A68" t="s">
        <v>119</v>
      </c>
      <c r="B68" s="25">
        <f t="shared" si="15"/>
        <v>41.534433483912608</v>
      </c>
      <c r="C68" s="25">
        <f t="shared" si="15"/>
        <v>13.111505485387665</v>
      </c>
      <c r="D68" s="25">
        <f t="shared" si="15"/>
        <v>27.183322577671245</v>
      </c>
      <c r="E68" s="25">
        <f t="shared" si="15"/>
        <v>1.1707384530284872</v>
      </c>
      <c r="F68" s="25">
        <f t="shared" si="17"/>
        <v>83.000000000000014</v>
      </c>
      <c r="G68" s="89">
        <f t="shared" si="16"/>
        <v>0</v>
      </c>
    </row>
    <row r="70" spans="1:7" x14ac:dyDescent="0.4">
      <c r="A70" t="s">
        <v>489</v>
      </c>
    </row>
    <row r="71" spans="1:7" x14ac:dyDescent="0.4">
      <c r="A71" t="s">
        <v>246</v>
      </c>
      <c r="B71" t="s">
        <v>42</v>
      </c>
      <c r="C71" t="s">
        <v>43</v>
      </c>
      <c r="D71" t="s">
        <v>44</v>
      </c>
      <c r="E71" t="s">
        <v>247</v>
      </c>
      <c r="F71" t="s">
        <v>74</v>
      </c>
    </row>
    <row r="72" spans="1:7" x14ac:dyDescent="0.4">
      <c r="A72" t="s">
        <v>106</v>
      </c>
      <c r="B72" s="98">
        <v>0.71407110665998996</v>
      </c>
      <c r="C72" s="98">
        <v>4.7213677659346164E-2</v>
      </c>
      <c r="D72" s="98">
        <v>0.21975820874168395</v>
      </c>
      <c r="E72" s="98">
        <v>1.8957006938979899E-2</v>
      </c>
      <c r="F72" s="97">
        <f>SUM(B72:E72)</f>
        <v>1</v>
      </c>
    </row>
    <row r="73" spans="1:7" x14ac:dyDescent="0.4">
      <c r="A73" t="s">
        <v>108</v>
      </c>
      <c r="B73" s="98">
        <v>0.57171095980672082</v>
      </c>
      <c r="C73" s="98">
        <v>0.13502086536349658</v>
      </c>
      <c r="D73" s="98">
        <v>0.27377553261585769</v>
      </c>
      <c r="E73" s="98">
        <v>1.9492642213924886E-2</v>
      </c>
      <c r="F73" s="97">
        <f t="shared" ref="F73:F81" si="18">SUM(B73:E73)</f>
        <v>0.99999999999999989</v>
      </c>
    </row>
    <row r="74" spans="1:7" x14ac:dyDescent="0.4">
      <c r="A74" t="s">
        <v>122</v>
      </c>
      <c r="B74" s="98">
        <v>0.26056465888974628</v>
      </c>
      <c r="C74" s="98">
        <v>0.49548363669374973</v>
      </c>
      <c r="D74" s="98">
        <v>0.23192319912850076</v>
      </c>
      <c r="E74" s="98">
        <v>1.2028505288003269E-2</v>
      </c>
      <c r="F74" s="97">
        <f t="shared" si="18"/>
        <v>1</v>
      </c>
    </row>
    <row r="75" spans="1:7" x14ac:dyDescent="0.4">
      <c r="A75" t="s">
        <v>109</v>
      </c>
      <c r="B75" s="98">
        <v>4.7179377701873297E-2</v>
      </c>
      <c r="C75" s="98">
        <v>0.85664727544430808</v>
      </c>
      <c r="D75" s="98">
        <v>8.1603244916475429E-2</v>
      </c>
      <c r="E75" s="98">
        <v>1.4570101937343224E-2</v>
      </c>
      <c r="F75" s="97">
        <f t="shared" si="18"/>
        <v>1</v>
      </c>
    </row>
    <row r="76" spans="1:7" x14ac:dyDescent="0.4">
      <c r="A76" t="s">
        <v>111</v>
      </c>
      <c r="B76" s="98">
        <v>0.14218598866933813</v>
      </c>
      <c r="C76" s="98">
        <v>0.51457786375569992</v>
      </c>
      <c r="D76" s="98">
        <v>0.30551333425452537</v>
      </c>
      <c r="E76" s="98">
        <v>3.7722813320436643E-2</v>
      </c>
      <c r="F76" s="97">
        <f t="shared" si="18"/>
        <v>1</v>
      </c>
    </row>
    <row r="77" spans="1:7" x14ac:dyDescent="0.4">
      <c r="A77" t="s">
        <v>112</v>
      </c>
      <c r="B77" s="98">
        <v>0.20810684329889484</v>
      </c>
      <c r="C77" s="98">
        <v>0.46212966629468305</v>
      </c>
      <c r="D77" s="98">
        <v>0.32126786421397457</v>
      </c>
      <c r="E77" s="98">
        <v>8.4956261924475328E-3</v>
      </c>
      <c r="F77" s="97">
        <f t="shared" si="18"/>
        <v>0.99999999999999989</v>
      </c>
    </row>
    <row r="78" spans="1:7" x14ac:dyDescent="0.4">
      <c r="A78" t="s">
        <v>115</v>
      </c>
      <c r="B78" s="98">
        <v>0.44492951644616258</v>
      </c>
      <c r="C78" s="98">
        <v>0.25084147032359116</v>
      </c>
      <c r="D78" s="98">
        <v>0.2960309261172393</v>
      </c>
      <c r="E78" s="98">
        <v>8.1980871130069646E-3</v>
      </c>
      <c r="F78" s="97">
        <f t="shared" si="18"/>
        <v>1</v>
      </c>
    </row>
    <row r="79" spans="1:7" x14ac:dyDescent="0.4">
      <c r="A79" t="s">
        <v>117</v>
      </c>
      <c r="B79" s="98">
        <v>0.53248081841432227</v>
      </c>
      <c r="C79" s="98">
        <v>0.33783198898288413</v>
      </c>
      <c r="D79" s="98">
        <v>0.11658469407830022</v>
      </c>
      <c r="E79" s="98">
        <v>1.3102498524493409E-2</v>
      </c>
      <c r="F79" s="97">
        <f t="shared" si="18"/>
        <v>1</v>
      </c>
    </row>
    <row r="80" spans="1:7" x14ac:dyDescent="0.4">
      <c r="A80" t="s">
        <v>124</v>
      </c>
      <c r="B80" s="98">
        <v>0.61947028940007987</v>
      </c>
      <c r="C80" s="98">
        <v>4.2296934756550032E-2</v>
      </c>
      <c r="D80" s="98">
        <v>0.31423026428449113</v>
      </c>
      <c r="E80" s="98">
        <v>2.400251155887893E-2</v>
      </c>
      <c r="F80" s="97">
        <f t="shared" si="18"/>
        <v>1</v>
      </c>
    </row>
    <row r="81" spans="1:6" x14ac:dyDescent="0.4">
      <c r="A81" t="s">
        <v>119</v>
      </c>
      <c r="B81" s="98">
        <v>0.50041486125195911</v>
      </c>
      <c r="C81" s="98">
        <v>0.1579699456070803</v>
      </c>
      <c r="D81" s="98">
        <v>0.32750991057435236</v>
      </c>
      <c r="E81" s="98">
        <v>1.410528256660828E-2</v>
      </c>
      <c r="F81" s="97">
        <f t="shared" si="18"/>
        <v>1.0000000000000002</v>
      </c>
    </row>
  </sheetData>
  <pageMargins left="0.7" right="0.7" top="0.75" bottom="0.75" header="0.3" footer="0.3"/>
  <pageSetup scale="91" orientation="portrait" r:id="rId1"/>
  <rowBreaks count="1" manualBreakCount="1">
    <brk id="41" max="8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11CA3-15D6-4921-BE5B-1119A88B2112}">
  <dimension ref="A1:L33"/>
  <sheetViews>
    <sheetView view="pageBreakPreview" zoomScale="60" zoomScaleNormal="100" workbookViewId="0">
      <selection sqref="A1:K21"/>
    </sheetView>
  </sheetViews>
  <sheetFormatPr defaultRowHeight="18.75" x14ac:dyDescent="0.4"/>
  <cols>
    <col min="2" max="2" width="11.5546875" customWidth="1"/>
    <col min="3" max="3" width="13.88671875" bestFit="1" customWidth="1"/>
    <col min="4" max="5" width="12.77734375" bestFit="1" customWidth="1"/>
    <col min="6" max="6" width="15.88671875" bestFit="1" customWidth="1"/>
    <col min="7" max="7" width="12.77734375" bestFit="1" customWidth="1"/>
    <col min="9" max="9" width="10.77734375" customWidth="1"/>
    <col min="10" max="12" width="11.77734375" customWidth="1"/>
    <col min="18" max="18" width="10.77734375" customWidth="1"/>
    <col min="21" max="21" width="10.5546875" bestFit="1" customWidth="1"/>
  </cols>
  <sheetData>
    <row r="1" spans="1:3" ht="22.5" x14ac:dyDescent="0.45">
      <c r="A1" t="s">
        <v>503</v>
      </c>
      <c r="B1" s="144"/>
    </row>
    <row r="2" spans="1:3" x14ac:dyDescent="0.4">
      <c r="B2" t="s">
        <v>504</v>
      </c>
    </row>
    <row r="3" spans="1:3" x14ac:dyDescent="0.4">
      <c r="B3" t="s">
        <v>137</v>
      </c>
      <c r="C3" t="s">
        <v>486</v>
      </c>
    </row>
    <row r="4" spans="1:3" x14ac:dyDescent="0.4">
      <c r="A4">
        <v>2015</v>
      </c>
      <c r="B4" t="s">
        <v>474</v>
      </c>
      <c r="C4" s="1">
        <v>27537114.861039199</v>
      </c>
    </row>
    <row r="5" spans="1:3" x14ac:dyDescent="0.4">
      <c r="A5">
        <v>2016</v>
      </c>
      <c r="B5" t="s">
        <v>475</v>
      </c>
      <c r="C5" s="1">
        <v>11697637.960648742</v>
      </c>
    </row>
    <row r="6" spans="1:3" x14ac:dyDescent="0.4">
      <c r="A6">
        <v>2017</v>
      </c>
      <c r="B6" t="s">
        <v>476</v>
      </c>
      <c r="C6" s="1">
        <v>12386807.802710999</v>
      </c>
    </row>
    <row r="7" spans="1:3" x14ac:dyDescent="0.4">
      <c r="A7">
        <v>2018</v>
      </c>
      <c r="B7" t="s">
        <v>477</v>
      </c>
      <c r="C7" s="1">
        <v>26496658.973437775</v>
      </c>
    </row>
    <row r="8" spans="1:3" x14ac:dyDescent="0.4">
      <c r="A8">
        <v>2019</v>
      </c>
      <c r="B8" t="s">
        <v>478</v>
      </c>
      <c r="C8" s="1">
        <v>21906251.861921772</v>
      </c>
    </row>
    <row r="9" spans="1:3" x14ac:dyDescent="0.4">
      <c r="A9">
        <v>2020</v>
      </c>
      <c r="B9" t="s">
        <v>479</v>
      </c>
      <c r="C9" s="1">
        <v>18304389.059480436</v>
      </c>
    </row>
    <row r="10" spans="1:3" x14ac:dyDescent="0.4">
      <c r="A10">
        <v>2021</v>
      </c>
      <c r="B10" t="s">
        <v>480</v>
      </c>
      <c r="C10" s="1">
        <v>8040813.4070189381</v>
      </c>
    </row>
    <row r="11" spans="1:3" x14ac:dyDescent="0.4">
      <c r="A11">
        <v>2022</v>
      </c>
      <c r="B11" t="s">
        <v>481</v>
      </c>
      <c r="C11" s="1">
        <v>10879927.124674492</v>
      </c>
    </row>
    <row r="12" spans="1:3" x14ac:dyDescent="0.4">
      <c r="A12">
        <v>2023</v>
      </c>
      <c r="B12" t="s">
        <v>482</v>
      </c>
      <c r="C12" s="1">
        <v>57052868.684597</v>
      </c>
    </row>
    <row r="13" spans="1:3" x14ac:dyDescent="0.4">
      <c r="A13">
        <v>2024</v>
      </c>
      <c r="B13" t="s">
        <v>483</v>
      </c>
      <c r="C13" s="1">
        <v>48476310.323518001</v>
      </c>
    </row>
    <row r="15" spans="1:3" x14ac:dyDescent="0.4">
      <c r="B15" t="s">
        <v>259</v>
      </c>
      <c r="C15" s="1">
        <f>AVERAGE(C4:C13)</f>
        <v>24277878.005904738</v>
      </c>
    </row>
    <row r="16" spans="1:3" x14ac:dyDescent="0.4">
      <c r="B16" t="s">
        <v>484</v>
      </c>
      <c r="C16" s="1">
        <f>SLOPE(C4:C13,A4:A13)</f>
        <v>2663245.8868973739</v>
      </c>
    </row>
    <row r="22" spans="6:12" x14ac:dyDescent="0.4">
      <c r="J22" s="1"/>
      <c r="K22" s="1"/>
      <c r="L22" s="1"/>
    </row>
    <row r="23" spans="6:12" x14ac:dyDescent="0.4">
      <c r="F23" s="1"/>
      <c r="J23" s="1"/>
      <c r="K23" s="1"/>
      <c r="L23" s="1"/>
    </row>
    <row r="24" spans="6:12" x14ac:dyDescent="0.4">
      <c r="F24" s="1"/>
      <c r="G24" s="1"/>
      <c r="J24" s="1"/>
      <c r="K24" s="1"/>
      <c r="L24" s="1"/>
    </row>
    <row r="25" spans="6:12" x14ac:dyDescent="0.4">
      <c r="F25" s="1"/>
      <c r="G25" s="1"/>
      <c r="J25" s="1"/>
      <c r="K25" s="1"/>
      <c r="L25" s="1"/>
    </row>
    <row r="26" spans="6:12" x14ac:dyDescent="0.4">
      <c r="F26" s="1"/>
      <c r="G26" s="1"/>
      <c r="J26" s="1"/>
      <c r="K26" s="1"/>
      <c r="L26" s="1"/>
    </row>
    <row r="27" spans="6:12" x14ac:dyDescent="0.4">
      <c r="F27" s="1"/>
      <c r="G27" s="1"/>
      <c r="J27" s="1"/>
      <c r="K27" s="1"/>
      <c r="L27" s="1"/>
    </row>
    <row r="28" spans="6:12" x14ac:dyDescent="0.4">
      <c r="F28" s="1"/>
      <c r="G28" s="1"/>
      <c r="J28" s="1"/>
      <c r="K28" s="1"/>
      <c r="L28" s="1"/>
    </row>
    <row r="29" spans="6:12" x14ac:dyDescent="0.4">
      <c r="F29" s="1"/>
      <c r="G29" s="1"/>
      <c r="J29" s="1"/>
      <c r="K29" s="1"/>
      <c r="L29" s="1"/>
    </row>
    <row r="30" spans="6:12" x14ac:dyDescent="0.4">
      <c r="F30" s="1"/>
      <c r="G30" s="1"/>
      <c r="J30" s="1"/>
      <c r="K30" s="1"/>
      <c r="L30" s="1"/>
    </row>
    <row r="31" spans="6:12" x14ac:dyDescent="0.4">
      <c r="F31" s="1"/>
      <c r="G31" s="1"/>
      <c r="J31" s="1"/>
      <c r="K31" s="1"/>
      <c r="L31" s="1"/>
    </row>
    <row r="32" spans="6:12" x14ac:dyDescent="0.4">
      <c r="F32" s="1"/>
      <c r="G32" s="1"/>
      <c r="J32" s="1"/>
      <c r="K32" s="1"/>
      <c r="L32" s="1"/>
    </row>
    <row r="33" spans="6:7" x14ac:dyDescent="0.4">
      <c r="F33" s="1"/>
      <c r="G33" s="1"/>
    </row>
  </sheetData>
  <pageMargins left="0.7" right="0.7" top="0.75" bottom="0.75" header="0.3" footer="0.3"/>
  <pageSetup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722ED-8AEE-4319-8FD7-40C169041B35}">
  <dimension ref="A1:T47"/>
  <sheetViews>
    <sheetView view="pageBreakPreview" topLeftCell="A14" zoomScale="60" zoomScaleNormal="70" workbookViewId="0">
      <selection activeCell="A16" sqref="A16:E20"/>
    </sheetView>
  </sheetViews>
  <sheetFormatPr defaultRowHeight="18.75" x14ac:dyDescent="0.4"/>
  <cols>
    <col min="1" max="1" width="12.5546875" customWidth="1"/>
    <col min="2" max="2" width="14.21875" customWidth="1"/>
    <col min="3" max="4" width="17.21875" customWidth="1"/>
    <col min="5" max="6" width="15.77734375" customWidth="1"/>
    <col min="7" max="7" width="15.21875" customWidth="1"/>
    <col min="8" max="9" width="12.77734375" customWidth="1"/>
    <col min="10" max="10" width="14.21875" customWidth="1"/>
    <col min="11" max="11" width="28.21875" customWidth="1"/>
    <col min="12" max="14" width="14.21875" customWidth="1"/>
    <col min="15" max="15" width="12.88671875" customWidth="1"/>
    <col min="16" max="16" width="13.21875" customWidth="1"/>
    <col min="17" max="19" width="12.77734375" customWidth="1"/>
    <col min="20" max="26" width="15.44140625" customWidth="1"/>
  </cols>
  <sheetData>
    <row r="1" spans="1:20" x14ac:dyDescent="0.4">
      <c r="A1" t="s">
        <v>604</v>
      </c>
      <c r="L1" t="s">
        <v>612</v>
      </c>
    </row>
    <row r="2" spans="1:20" ht="92.65" customHeight="1" x14ac:dyDescent="0.4">
      <c r="A2" s="46" t="s">
        <v>62</v>
      </c>
      <c r="B2" s="121" t="s">
        <v>419</v>
      </c>
      <c r="C2" s="46" t="s">
        <v>371</v>
      </c>
      <c r="D2" s="46" t="s">
        <v>372</v>
      </c>
      <c r="E2" s="118" t="s">
        <v>374</v>
      </c>
      <c r="F2" s="118" t="s">
        <v>385</v>
      </c>
      <c r="G2" s="118" t="s">
        <v>386</v>
      </c>
      <c r="H2" s="118" t="s">
        <v>387</v>
      </c>
      <c r="I2" s="118" t="s">
        <v>373</v>
      </c>
    </row>
    <row r="3" spans="1:20" x14ac:dyDescent="0.4">
      <c r="A3" s="19" t="s">
        <v>377</v>
      </c>
      <c r="B3" s="19" t="s">
        <v>72</v>
      </c>
      <c r="C3" s="20">
        <f>Results!D3</f>
        <v>1003129.1000000001</v>
      </c>
      <c r="D3" s="20">
        <f>Results!E3</f>
        <v>12461947.854001954</v>
      </c>
      <c r="E3" s="20">
        <f>Results!G3</f>
        <v>9657187.1671729069</v>
      </c>
      <c r="F3" s="20">
        <f>Results!I3</f>
        <v>1998373.1225748861</v>
      </c>
      <c r="G3" s="20">
        <f>Results!H3</f>
        <v>716777.08642508287</v>
      </c>
      <c r="H3" s="20">
        <f>Results!M3</f>
        <v>89610.477829077659</v>
      </c>
      <c r="I3" s="20">
        <f>Results!J3</f>
        <v>0</v>
      </c>
      <c r="T3" s="8"/>
    </row>
    <row r="4" spans="1:20" x14ac:dyDescent="0.4">
      <c r="A4" s="19" t="s">
        <v>377</v>
      </c>
      <c r="B4" s="19" t="s">
        <v>73</v>
      </c>
      <c r="C4" s="20">
        <f>Results!D4</f>
        <v>3612272.3000000003</v>
      </c>
      <c r="D4" s="20">
        <f>Results!E4</f>
        <v>44825609.399445303</v>
      </c>
      <c r="E4" s="20">
        <f>Results!G4</f>
        <v>34775573.453002363</v>
      </c>
      <c r="F4" s="20">
        <f>Results!I4</f>
        <v>7196150.4015203658</v>
      </c>
      <c r="G4" s="20">
        <f>Results!H4</f>
        <v>1843859.6528990103</v>
      </c>
      <c r="H4" s="20">
        <f>Results!M4</f>
        <v>1010025.8920235659</v>
      </c>
      <c r="I4" s="20">
        <f>Results!J4</f>
        <v>0</v>
      </c>
      <c r="T4" s="8"/>
    </row>
    <row r="5" spans="1:20" x14ac:dyDescent="0.4">
      <c r="A5" s="19" t="s">
        <v>378</v>
      </c>
      <c r="B5" s="19" t="s">
        <v>72</v>
      </c>
      <c r="C5" s="20">
        <f>Results!D5</f>
        <v>2984286.2</v>
      </c>
      <c r="D5" s="20">
        <f>Results!E5</f>
        <v>37488972.476144463</v>
      </c>
      <c r="E5" s="20">
        <f>Results!G5</f>
        <v>28729911.6273381</v>
      </c>
      <c r="F5" s="20">
        <f>Results!I5</f>
        <v>5945114.4744491382</v>
      </c>
      <c r="G5" s="20">
        <f>Results!H5</f>
        <v>1499383.5858388315</v>
      </c>
      <c r="H5" s="20">
        <f>Results!M5</f>
        <v>240736.68005491162</v>
      </c>
      <c r="I5" s="20">
        <f>Results!J5</f>
        <v>1073826.108463479</v>
      </c>
      <c r="T5" s="8"/>
    </row>
    <row r="6" spans="1:20" x14ac:dyDescent="0.4">
      <c r="A6" s="48" t="s">
        <v>74</v>
      </c>
      <c r="B6" s="48"/>
      <c r="C6" s="49">
        <f>Results!D6</f>
        <v>7599687.6000000006</v>
      </c>
      <c r="D6" s="49">
        <f>Results!E6</f>
        <v>94776529.729591727</v>
      </c>
      <c r="E6" s="49">
        <f>Results!G6</f>
        <v>73162672.247513369</v>
      </c>
      <c r="F6" s="49">
        <f>Results!I6</f>
        <v>15139637.998544391</v>
      </c>
      <c r="G6" s="49">
        <f>Results!H6</f>
        <v>4060020.3251629248</v>
      </c>
      <c r="H6" s="49">
        <f>Results!M6</f>
        <v>1340373.0499075553</v>
      </c>
      <c r="I6" s="49">
        <f>Results!J6</f>
        <v>1073826.108463479</v>
      </c>
      <c r="T6" s="8"/>
    </row>
    <row r="8" spans="1:20" x14ac:dyDescent="0.4">
      <c r="A8" t="s">
        <v>605</v>
      </c>
    </row>
    <row r="9" spans="1:20" ht="93.75" x14ac:dyDescent="0.4">
      <c r="A9" s="46" t="s">
        <v>62</v>
      </c>
      <c r="B9" s="121" t="s">
        <v>419</v>
      </c>
      <c r="C9" s="46" t="s">
        <v>371</v>
      </c>
      <c r="D9" s="46" t="s">
        <v>372</v>
      </c>
      <c r="E9" s="118" t="s">
        <v>374</v>
      </c>
      <c r="F9" s="118" t="s">
        <v>385</v>
      </c>
      <c r="G9" s="118" t="s">
        <v>386</v>
      </c>
      <c r="H9" s="118" t="s">
        <v>387</v>
      </c>
      <c r="I9" s="118" t="s">
        <v>373</v>
      </c>
    </row>
    <row r="10" spans="1:20" x14ac:dyDescent="0.4">
      <c r="A10" s="19" t="s">
        <v>377</v>
      </c>
      <c r="B10" s="19" t="s">
        <v>72</v>
      </c>
      <c r="C10" s="20">
        <f>Results!D10</f>
        <v>10031291</v>
      </c>
      <c r="D10" s="20">
        <f>Results!E10</f>
        <v>14185830.088687932</v>
      </c>
      <c r="E10" s="20">
        <f>Results!G10</f>
        <v>11525963.186905544</v>
      </c>
      <c r="F10" s="20">
        <f>Results!I10</f>
        <v>2398181.5586287291</v>
      </c>
      <c r="G10" s="20">
        <f>Results!H10</f>
        <v>194607.7913592351</v>
      </c>
      <c r="H10" s="20">
        <f>Results!M10</f>
        <v>67077.551794423896</v>
      </c>
      <c r="I10" s="20">
        <f>Results!J10</f>
        <v>0</v>
      </c>
    </row>
    <row r="11" spans="1:20" x14ac:dyDescent="0.4">
      <c r="A11" s="19" t="s">
        <v>377</v>
      </c>
      <c r="B11" s="19" t="s">
        <v>73</v>
      </c>
      <c r="C11" s="20">
        <f>Results!D11</f>
        <v>36122723</v>
      </c>
      <c r="D11" s="20">
        <f>Results!E11</f>
        <v>51146501.716700673</v>
      </c>
      <c r="E11" s="20">
        <f>Results!G11</f>
        <v>41505044.11733105</v>
      </c>
      <c r="F11" s="20">
        <f>Results!I11</f>
        <v>8635862.3377642948</v>
      </c>
      <c r="G11" s="20">
        <f>Results!H11</f>
        <v>500615.13045393239</v>
      </c>
      <c r="H11" s="20">
        <f>Results!M11</f>
        <v>504980.1311513994</v>
      </c>
      <c r="I11" s="20">
        <f>Results!J11</f>
        <v>0</v>
      </c>
    </row>
    <row r="12" spans="1:20" x14ac:dyDescent="0.4">
      <c r="A12" s="19" t="s">
        <v>378</v>
      </c>
      <c r="B12" s="19" t="s">
        <v>72</v>
      </c>
      <c r="C12" s="20">
        <f>Results!D12</f>
        <v>29842862</v>
      </c>
      <c r="D12" s="20">
        <f>Results!E12</f>
        <v>41972359.489804462</v>
      </c>
      <c r="E12" s="20">
        <f>Results!G12</f>
        <v>34289477.675794885</v>
      </c>
      <c r="F12" s="20">
        <f>Results!I12</f>
        <v>7134535.4556160467</v>
      </c>
      <c r="G12" s="20">
        <f>Results!H12</f>
        <v>102448.81696737897</v>
      </c>
      <c r="H12" s="20">
        <f>Results!M12</f>
        <v>119579.87756047287</v>
      </c>
      <c r="I12" s="20">
        <f>Results!J12</f>
        <v>326317.66386567516</v>
      </c>
    </row>
    <row r="13" spans="1:20" x14ac:dyDescent="0.4">
      <c r="A13" s="48" t="s">
        <v>74</v>
      </c>
      <c r="B13" s="48"/>
      <c r="C13" s="49">
        <f>Results!D13</f>
        <v>75996876</v>
      </c>
      <c r="D13" s="49">
        <f>Results!E13</f>
        <v>107304691.29519308</v>
      </c>
      <c r="E13" s="49">
        <f>Results!G13</f>
        <v>87320484.980031475</v>
      </c>
      <c r="F13" s="49">
        <f>Results!I13</f>
        <v>18168579.352009069</v>
      </c>
      <c r="G13" s="49">
        <f>Results!H13</f>
        <v>797671.73878054647</v>
      </c>
      <c r="H13" s="49">
        <f>Results!M13</f>
        <v>691637.56050629611</v>
      </c>
      <c r="I13" s="49">
        <f>Results!J13</f>
        <v>326317.66386567516</v>
      </c>
    </row>
    <row r="14" spans="1:20" x14ac:dyDescent="0.4">
      <c r="C14" s="8"/>
      <c r="D14" s="8"/>
      <c r="E14" s="92"/>
      <c r="F14" s="8"/>
      <c r="G14" s="8"/>
    </row>
    <row r="15" spans="1:20" x14ac:dyDescent="0.4">
      <c r="A15" t="s">
        <v>608</v>
      </c>
      <c r="L15" t="s">
        <v>611</v>
      </c>
    </row>
    <row r="16" spans="1:20" ht="80.650000000000006" customHeight="1" x14ac:dyDescent="0.4">
      <c r="A16" s="121" t="s">
        <v>62</v>
      </c>
      <c r="B16" s="121" t="s">
        <v>419</v>
      </c>
      <c r="C16" s="122" t="s">
        <v>379</v>
      </c>
      <c r="D16" s="122" t="s">
        <v>380</v>
      </c>
      <c r="E16" s="122" t="s">
        <v>381</v>
      </c>
    </row>
    <row r="17" spans="1:8" ht="19.5" x14ac:dyDescent="0.4">
      <c r="A17" s="123" t="s">
        <v>377</v>
      </c>
      <c r="B17" s="19" t="s">
        <v>72</v>
      </c>
      <c r="C17" s="124">
        <f>Results!G18</f>
        <v>546814.03001641715</v>
      </c>
      <c r="D17" s="124">
        <f>Results!D18</f>
        <v>2268584.4557864806</v>
      </c>
      <c r="E17" s="125">
        <f>C17/D17</f>
        <v>0.24103754595587484</v>
      </c>
    </row>
    <row r="18" spans="1:8" ht="19.5" x14ac:dyDescent="0.4">
      <c r="A18" s="123" t="s">
        <v>377</v>
      </c>
      <c r="B18" s="19" t="s">
        <v>73</v>
      </c>
      <c r="C18" s="124">
        <f>Results!G19</f>
        <v>2494993.2458314248</v>
      </c>
      <c r="D18" s="124">
        <f>Results!D19</f>
        <v>8169182.6005726159</v>
      </c>
      <c r="E18" s="125">
        <f t="shared" ref="E18:E20" si="0">C18/D18</f>
        <v>0.30541528667219892</v>
      </c>
    </row>
    <row r="19" spans="1:8" ht="19.5" x14ac:dyDescent="0.4">
      <c r="A19" s="123" t="s">
        <v>378</v>
      </c>
      <c r="B19" s="19" t="s">
        <v>72</v>
      </c>
      <c r="C19" s="124">
        <f>Results!G20</f>
        <v>2415161.6062812274</v>
      </c>
      <c r="D19" s="124">
        <f>Results!D20</f>
        <v>6748987.0296236929</v>
      </c>
      <c r="E19" s="125">
        <f t="shared" si="0"/>
        <v>0.35785542269976639</v>
      </c>
    </row>
    <row r="20" spans="1:8" ht="19.5" x14ac:dyDescent="0.4">
      <c r="A20" s="126" t="s">
        <v>74</v>
      </c>
      <c r="B20" s="126"/>
      <c r="C20" s="127">
        <f>Results!G21</f>
        <v>5456968.8821290694</v>
      </c>
      <c r="D20" s="127">
        <f>Results!D21</f>
        <v>17186754.085982792</v>
      </c>
      <c r="E20" s="128">
        <f t="shared" si="0"/>
        <v>0.31751015083061407</v>
      </c>
    </row>
    <row r="21" spans="1:8" ht="19.5" x14ac:dyDescent="0.4">
      <c r="A21" s="132"/>
      <c r="B21" s="132"/>
      <c r="C21" s="133"/>
      <c r="D21" s="133"/>
      <c r="E21" s="134"/>
    </row>
    <row r="22" spans="1:8" ht="19.5" x14ac:dyDescent="0.4">
      <c r="A22" t="s">
        <v>609</v>
      </c>
      <c r="E22" s="134"/>
    </row>
    <row r="23" spans="1:8" ht="78" x14ac:dyDescent="0.4">
      <c r="A23" s="121" t="s">
        <v>62</v>
      </c>
      <c r="B23" s="122" t="s">
        <v>379</v>
      </c>
      <c r="C23" s="122" t="s">
        <v>380</v>
      </c>
      <c r="D23" s="122" t="s">
        <v>375</v>
      </c>
      <c r="E23" s="134"/>
    </row>
    <row r="24" spans="1:8" ht="19.5" x14ac:dyDescent="0.4">
      <c r="A24" s="123" t="s">
        <v>412</v>
      </c>
      <c r="B24" s="124">
        <f>Results!D27</f>
        <v>6454954.0606147414</v>
      </c>
      <c r="C24" s="124">
        <f>Results!C27</f>
        <v>5941546.1689316221</v>
      </c>
      <c r="D24" s="125">
        <f>B24/C24</f>
        <v>1.086409812713016</v>
      </c>
      <c r="E24" s="134"/>
    </row>
    <row r="25" spans="1:8" ht="19.5" x14ac:dyDescent="0.4">
      <c r="A25" s="132"/>
      <c r="B25" s="132"/>
      <c r="C25" s="133"/>
      <c r="D25" s="133"/>
      <c r="E25" s="134"/>
    </row>
    <row r="26" spans="1:8" x14ac:dyDescent="0.4">
      <c r="A26" s="145" t="s">
        <v>603</v>
      </c>
    </row>
    <row r="27" spans="1:8" ht="58.5" x14ac:dyDescent="0.4">
      <c r="A27" s="121" t="s">
        <v>62</v>
      </c>
      <c r="B27" s="121" t="s">
        <v>419</v>
      </c>
      <c r="C27" s="122" t="s">
        <v>388</v>
      </c>
      <c r="D27" s="122" t="s">
        <v>389</v>
      </c>
      <c r="E27" s="122" t="s">
        <v>390</v>
      </c>
      <c r="F27" s="122" t="s">
        <v>391</v>
      </c>
      <c r="G27" s="122" t="s">
        <v>392</v>
      </c>
      <c r="H27" s="122" t="s">
        <v>393</v>
      </c>
    </row>
    <row r="28" spans="1:8" ht="19.5" x14ac:dyDescent="0.4">
      <c r="A28" s="123" t="s">
        <v>377</v>
      </c>
      <c r="B28" s="19" t="s">
        <v>72</v>
      </c>
      <c r="C28" s="124">
        <f>Results!H18</f>
        <v>522169.29506584781</v>
      </c>
      <c r="D28" s="124">
        <f>Results!M18</f>
        <v>22532.926034653763</v>
      </c>
      <c r="E28" s="124">
        <f>Results!I18</f>
        <v>0</v>
      </c>
      <c r="F28" s="124">
        <f>SUM(Results!J18:K18)</f>
        <v>0</v>
      </c>
      <c r="G28" s="124">
        <f>SUM(Results!N18:O18)</f>
        <v>0</v>
      </c>
      <c r="H28" s="124">
        <f>Results!L18</f>
        <v>2111.808915915547</v>
      </c>
    </row>
    <row r="29" spans="1:8" ht="19.5" x14ac:dyDescent="0.4">
      <c r="A29" s="123" t="s">
        <v>377</v>
      </c>
      <c r="B29" s="19" t="s">
        <v>73</v>
      </c>
      <c r="C29" s="124">
        <f>Results!H19</f>
        <v>1343244.522445078</v>
      </c>
      <c r="D29" s="124">
        <f>Results!M19</f>
        <v>505045.76087216655</v>
      </c>
      <c r="E29" s="124">
        <f>Results!I19</f>
        <v>0</v>
      </c>
      <c r="F29" s="124">
        <f>SUM(Results!J19:K19)</f>
        <v>0</v>
      </c>
      <c r="G29" s="124">
        <f>SUM(Results!N19:O19)</f>
        <v>0</v>
      </c>
      <c r="H29" s="124">
        <f>Results!L19</f>
        <v>646702.96251418022</v>
      </c>
    </row>
    <row r="30" spans="1:8" ht="19.5" x14ac:dyDescent="0.4">
      <c r="A30" s="123" t="s">
        <v>378</v>
      </c>
      <c r="B30" s="19" t="s">
        <v>72</v>
      </c>
      <c r="C30" s="124">
        <f>Results!H20</f>
        <v>1396934.7688714524</v>
      </c>
      <c r="D30" s="124">
        <f>Results!M20</f>
        <v>121156.80249443874</v>
      </c>
      <c r="E30" s="124">
        <f>Results!I20</f>
        <v>747508.44459780375</v>
      </c>
      <c r="F30" s="124">
        <f>SUM(Results!J20:K20)</f>
        <v>0</v>
      </c>
      <c r="G30" s="124">
        <f>SUM(Results!N20:O20)</f>
        <v>0</v>
      </c>
      <c r="H30" s="124">
        <f>Results!L20</f>
        <v>149561.59031753245</v>
      </c>
    </row>
    <row r="31" spans="1:8" ht="19.5" x14ac:dyDescent="0.4">
      <c r="A31" s="126" t="s">
        <v>74</v>
      </c>
      <c r="B31" s="126"/>
      <c r="C31" s="127">
        <f>Results!H21</f>
        <v>3262348.5863823779</v>
      </c>
      <c r="D31" s="127">
        <f>Results!M21</f>
        <v>648735.48940125899</v>
      </c>
      <c r="E31" s="127">
        <f>Results!I21</f>
        <v>747508.44459780375</v>
      </c>
      <c r="F31" s="127">
        <f>SUM(Results!J21:K21)</f>
        <v>0</v>
      </c>
      <c r="G31" s="127">
        <f>SUM(Results!N21:O21)</f>
        <v>0</v>
      </c>
      <c r="H31" s="127">
        <f>Results!L21</f>
        <v>798376.36174762819</v>
      </c>
    </row>
    <row r="32" spans="1:8" x14ac:dyDescent="0.4">
      <c r="C32" s="26"/>
      <c r="D32" s="26"/>
      <c r="E32" s="26"/>
      <c r="F32" s="26"/>
      <c r="G32" s="26"/>
      <c r="H32" s="26"/>
    </row>
    <row r="33" spans="1:10" x14ac:dyDescent="0.4">
      <c r="A33" t="s">
        <v>606</v>
      </c>
    </row>
    <row r="34" spans="1:10" ht="56.25" x14ac:dyDescent="0.4">
      <c r="A34" s="47" t="s">
        <v>382</v>
      </c>
      <c r="B34" s="47" t="s">
        <v>395</v>
      </c>
      <c r="C34" s="86" t="s">
        <v>397</v>
      </c>
      <c r="D34" s="86" t="s">
        <v>398</v>
      </c>
      <c r="E34" s="86" t="s">
        <v>399</v>
      </c>
      <c r="F34" s="86" t="s">
        <v>400</v>
      </c>
      <c r="G34" s="86" t="s">
        <v>401</v>
      </c>
    </row>
    <row r="35" spans="1:10" x14ac:dyDescent="0.4">
      <c r="A35" s="19" t="s">
        <v>412</v>
      </c>
      <c r="B35" s="20">
        <f>SUM(C35:G35)</f>
        <v>5941546.1689316221</v>
      </c>
      <c r="C35" s="20">
        <f>Benefits_Mitigation!F59</f>
        <v>5614596.5995169161</v>
      </c>
      <c r="D35" s="20">
        <f>Benefits_Mitigation!F60</f>
        <v>28341.43068557711</v>
      </c>
      <c r="E35" s="20">
        <f>Benefits_Mitigation!F61</f>
        <v>10355.195189159142</v>
      </c>
      <c r="F35" s="20">
        <f>Benefits_Mitigation!F62</f>
        <v>67326.943412187597</v>
      </c>
      <c r="G35" s="20">
        <f>Benefits_Mitigation!F63</f>
        <v>220926.00012778252</v>
      </c>
    </row>
    <row r="37" spans="1:10" x14ac:dyDescent="0.4">
      <c r="A37" t="s">
        <v>607</v>
      </c>
    </row>
    <row r="38" spans="1:10" ht="75" x14ac:dyDescent="0.4">
      <c r="A38" s="47" t="s">
        <v>79</v>
      </c>
      <c r="B38" s="47" t="s">
        <v>396</v>
      </c>
      <c r="C38" s="86" t="s">
        <v>406</v>
      </c>
      <c r="D38" s="86" t="s">
        <v>405</v>
      </c>
      <c r="E38" s="86" t="s">
        <v>404</v>
      </c>
      <c r="F38" s="86" t="s">
        <v>403</v>
      </c>
      <c r="G38" s="86" t="s">
        <v>402</v>
      </c>
      <c r="H38" s="86" t="s">
        <v>407</v>
      </c>
      <c r="I38" s="86" t="s">
        <v>408</v>
      </c>
      <c r="J38" s="86" t="s">
        <v>409</v>
      </c>
    </row>
    <row r="39" spans="1:10" x14ac:dyDescent="0.4">
      <c r="A39" s="19" t="s">
        <v>412</v>
      </c>
      <c r="B39" s="20">
        <f>SUM(C39:J39)</f>
        <v>6454954.0606147386</v>
      </c>
      <c r="C39" s="20">
        <f>Benefits_Mitigation!F72</f>
        <v>1923548.71820258</v>
      </c>
      <c r="D39" s="20">
        <f>Benefits_Mitigation!F73</f>
        <v>3237562.817118193</v>
      </c>
      <c r="E39" s="20">
        <f>Benefits_Mitigation!F71</f>
        <v>274641.59923947277</v>
      </c>
      <c r="F39" s="20">
        <f>Benefits_Mitigation!F67</f>
        <v>459063.74237102212</v>
      </c>
      <c r="G39" s="20">
        <f>Benefits_Mitigation!F69</f>
        <v>220926.00012778252</v>
      </c>
      <c r="H39" s="20">
        <f>Benefits_Mitigation!F70</f>
        <v>183704.57776381608</v>
      </c>
      <c r="I39" s="20">
        <f>Benefits_Mitigation!F68</f>
        <v>21599.958487819997</v>
      </c>
      <c r="J39" s="20">
        <f>Benefits_Mitigation!F74</f>
        <v>133906.64730405295</v>
      </c>
    </row>
    <row r="40" spans="1:10" x14ac:dyDescent="0.4">
      <c r="B40" s="8"/>
    </row>
    <row r="42" spans="1:10" x14ac:dyDescent="0.4">
      <c r="A42" t="s">
        <v>610</v>
      </c>
    </row>
    <row r="43" spans="1:10" ht="19.5" x14ac:dyDescent="0.4">
      <c r="A43" s="46" t="s">
        <v>62</v>
      </c>
      <c r="B43" s="121" t="s">
        <v>419</v>
      </c>
      <c r="C43" s="46" t="s">
        <v>383</v>
      </c>
      <c r="D43" s="46" t="s">
        <v>384</v>
      </c>
    </row>
    <row r="44" spans="1:10" x14ac:dyDescent="0.4">
      <c r="A44" s="19" t="s">
        <v>377</v>
      </c>
      <c r="B44" s="19" t="s">
        <v>72</v>
      </c>
      <c r="C44" s="21">
        <f>Distance_OH_1PH</f>
        <v>19.95</v>
      </c>
      <c r="D44" s="22">
        <f>Results!D10</f>
        <v>10031291</v>
      </c>
    </row>
    <row r="45" spans="1:10" x14ac:dyDescent="0.4">
      <c r="A45" s="19" t="s">
        <v>377</v>
      </c>
      <c r="B45" s="19" t="s">
        <v>73</v>
      </c>
      <c r="C45" s="21">
        <f>Distance_OH_3PH</f>
        <v>51.319999999999993</v>
      </c>
      <c r="D45" s="22">
        <f>Results!D11</f>
        <v>36122723</v>
      </c>
    </row>
    <row r="46" spans="1:10" x14ac:dyDescent="0.4">
      <c r="A46" s="19" t="s">
        <v>378</v>
      </c>
      <c r="B46" s="19" t="s">
        <v>72</v>
      </c>
      <c r="C46" s="21">
        <f>Distance_UG_1PH</f>
        <v>49.600000000000009</v>
      </c>
      <c r="D46" s="22">
        <f>Results!D12</f>
        <v>29842862</v>
      </c>
    </row>
    <row r="47" spans="1:10" x14ac:dyDescent="0.4">
      <c r="A47" s="48" t="s">
        <v>74</v>
      </c>
      <c r="B47" s="48"/>
      <c r="C47" s="66">
        <f>SUM(C44:C46)</f>
        <v>120.87</v>
      </c>
      <c r="D47" s="65">
        <f>Results!D13</f>
        <v>75996876</v>
      </c>
    </row>
  </sheetData>
  <sortState xmlns:xlrd2="http://schemas.microsoft.com/office/spreadsheetml/2017/richdata2" ref="A34:D44">
    <sortCondition ref="D34:D44"/>
  </sortState>
  <pageMargins left="0.7" right="0.7" top="0.75" bottom="0.75" header="0.3" footer="0.3"/>
  <pageSetup scale="27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95836-6EE8-4B79-9FD9-298F1DEFDDCD}">
  <dimension ref="A1:P575"/>
  <sheetViews>
    <sheetView view="pageBreakPreview" zoomScale="60" zoomScaleNormal="55" workbookViewId="0">
      <selection activeCell="AD24" sqref="AD24"/>
    </sheetView>
  </sheetViews>
  <sheetFormatPr defaultRowHeight="18.75" x14ac:dyDescent="0.4"/>
  <cols>
    <col min="2" max="2" width="11.77734375" bestFit="1" customWidth="1"/>
    <col min="5" max="5" width="11.109375" bestFit="1" customWidth="1"/>
    <col min="6" max="6" width="10.77734375" bestFit="1" customWidth="1"/>
    <col min="9" max="9" width="10.77734375" bestFit="1" customWidth="1"/>
    <col min="10" max="12" width="10.77734375" customWidth="1"/>
    <col min="13" max="13" width="13.21875" bestFit="1" customWidth="1"/>
    <col min="14" max="14" width="9.21875" style="53"/>
    <col min="15" max="16" width="11.77734375" customWidth="1"/>
  </cols>
  <sheetData>
    <row r="1" spans="1:16" x14ac:dyDescent="0.4">
      <c r="A1" t="s">
        <v>258</v>
      </c>
    </row>
    <row r="2" spans="1:16" x14ac:dyDescent="0.4">
      <c r="A2" t="s">
        <v>463</v>
      </c>
    </row>
    <row r="3" spans="1:16" x14ac:dyDescent="0.4">
      <c r="A3" t="s">
        <v>460</v>
      </c>
      <c r="B3" t="s">
        <v>464</v>
      </c>
      <c r="M3" t="s">
        <v>576</v>
      </c>
      <c r="O3" s="197"/>
      <c r="P3" s="197"/>
    </row>
    <row r="4" spans="1:16" ht="47.25" x14ac:dyDescent="0.4">
      <c r="A4" t="s">
        <v>260</v>
      </c>
      <c r="B4" s="25">
        <v>14.987035404505379</v>
      </c>
      <c r="M4" t="s">
        <v>58</v>
      </c>
      <c r="N4" s="53" t="s">
        <v>547</v>
      </c>
      <c r="O4" s="198" t="s">
        <v>574</v>
      </c>
      <c r="P4" s="198" t="s">
        <v>575</v>
      </c>
    </row>
    <row r="5" spans="1:16" x14ac:dyDescent="0.4">
      <c r="A5" t="s">
        <v>261</v>
      </c>
      <c r="B5" s="25">
        <v>3.4639782482626278</v>
      </c>
      <c r="M5">
        <v>2024</v>
      </c>
      <c r="N5" s="53">
        <v>45444</v>
      </c>
      <c r="O5" s="199">
        <v>47.5</v>
      </c>
      <c r="P5" s="199">
        <v>35.6</v>
      </c>
    </row>
    <row r="6" spans="1:16" x14ac:dyDescent="0.4">
      <c r="A6" t="s">
        <v>262</v>
      </c>
      <c r="B6" s="25">
        <v>0.28648114964119253</v>
      </c>
      <c r="M6">
        <v>2024</v>
      </c>
      <c r="N6" s="53">
        <v>45474</v>
      </c>
      <c r="O6" s="199">
        <v>72.150000000000006</v>
      </c>
      <c r="P6" s="199">
        <v>47.25</v>
      </c>
    </row>
    <row r="7" spans="1:16" x14ac:dyDescent="0.4">
      <c r="M7">
        <v>2024</v>
      </c>
      <c r="N7" s="53">
        <v>45505</v>
      </c>
      <c r="O7" s="199">
        <v>59.150000000000006</v>
      </c>
      <c r="P7" s="199">
        <v>38.049999999999997</v>
      </c>
    </row>
    <row r="8" spans="1:16" x14ac:dyDescent="0.4">
      <c r="A8" t="s">
        <v>465</v>
      </c>
      <c r="M8">
        <v>2024</v>
      </c>
      <c r="N8" s="53">
        <v>45536</v>
      </c>
      <c r="O8" s="199">
        <v>46</v>
      </c>
      <c r="P8" s="199">
        <v>34.4</v>
      </c>
    </row>
    <row r="9" spans="1:16" x14ac:dyDescent="0.4">
      <c r="A9" t="s">
        <v>58</v>
      </c>
      <c r="B9" t="s">
        <v>263</v>
      </c>
      <c r="C9" t="s">
        <v>264</v>
      </c>
      <c r="D9" t="s">
        <v>265</v>
      </c>
      <c r="E9" t="s">
        <v>376</v>
      </c>
      <c r="F9" t="s">
        <v>153</v>
      </c>
      <c r="M9">
        <v>2024</v>
      </c>
      <c r="N9" s="53">
        <v>45566</v>
      </c>
      <c r="O9" s="199">
        <v>44.5</v>
      </c>
      <c r="P9" s="199">
        <v>32.85</v>
      </c>
    </row>
    <row r="10" spans="1:16" x14ac:dyDescent="0.4">
      <c r="A10">
        <v>2027</v>
      </c>
      <c r="B10" s="91">
        <f>AVERAGEIFS(O$36:O$419,$M$36:$M$419,$A10)</f>
        <v>67.137500000000003</v>
      </c>
      <c r="C10" s="91">
        <f>AVERAGEIFS(P$36:P$419,$M$36:$M$419,$A10)</f>
        <v>53.720833333333331</v>
      </c>
      <c r="D10" s="91">
        <f>AVERAGE(B10:C10)</f>
        <v>60.429166666666667</v>
      </c>
      <c r="E10" s="13">
        <f>-PMT(AVG_POST_TAX_RATE,31,F10)</f>
        <v>71.784637134227495</v>
      </c>
      <c r="F10" s="13">
        <f>NPV(AVG_POST_TAX_RATE,D11:D41)</f>
        <v>951.62251602047229</v>
      </c>
      <c r="M10">
        <v>2024</v>
      </c>
      <c r="N10" s="53">
        <v>45597</v>
      </c>
      <c r="O10" s="199">
        <v>67</v>
      </c>
      <c r="P10" s="199">
        <v>58.85</v>
      </c>
    </row>
    <row r="11" spans="1:16" x14ac:dyDescent="0.4">
      <c r="A11">
        <v>2028</v>
      </c>
      <c r="B11" s="91">
        <f t="shared" ref="B11:B41" si="0">AVERAGEIFS(O$36:O$419,$M$36:$M$419,$A11)</f>
        <v>65.266395788528257</v>
      </c>
      <c r="C11" s="91">
        <f t="shared" ref="C11:C41" si="1">AVERAGEIFS(P$36:P$419,$M$36:$M$419,$A11)</f>
        <v>54.421966533230126</v>
      </c>
      <c r="D11" s="91">
        <f t="shared" ref="D11:D41" si="2">AVERAGE(B11:C11)</f>
        <v>59.844181160879188</v>
      </c>
      <c r="E11" s="92"/>
      <c r="M11">
        <v>2024</v>
      </c>
      <c r="N11" s="53">
        <v>45627</v>
      </c>
      <c r="O11" s="199">
        <v>113.75</v>
      </c>
      <c r="P11" s="199">
        <v>103.1</v>
      </c>
    </row>
    <row r="12" spans="1:16" x14ac:dyDescent="0.4">
      <c r="A12">
        <v>2029</v>
      </c>
      <c r="B12" s="91">
        <f t="shared" si="0"/>
        <v>66.222399222550237</v>
      </c>
      <c r="C12" s="91">
        <f t="shared" si="1"/>
        <v>55.437832331997306</v>
      </c>
      <c r="D12" s="91">
        <f t="shared" si="2"/>
        <v>60.830115777273775</v>
      </c>
      <c r="E12" s="92"/>
      <c r="M12">
        <v>2025</v>
      </c>
      <c r="N12" s="53">
        <v>45658</v>
      </c>
      <c r="O12" s="199">
        <v>111.75</v>
      </c>
      <c r="P12" s="199">
        <v>102</v>
      </c>
    </row>
    <row r="13" spans="1:16" x14ac:dyDescent="0.4">
      <c r="A13">
        <v>2030</v>
      </c>
      <c r="B13" s="91">
        <f t="shared" si="0"/>
        <v>65.248423740442476</v>
      </c>
      <c r="C13" s="91">
        <f t="shared" si="1"/>
        <v>54.304746805059331</v>
      </c>
      <c r="D13" s="91">
        <f t="shared" si="2"/>
        <v>59.776585272750907</v>
      </c>
      <c r="E13" s="92"/>
      <c r="M13">
        <v>2025</v>
      </c>
      <c r="N13" s="53">
        <v>45689</v>
      </c>
      <c r="O13" s="199">
        <v>101.5</v>
      </c>
      <c r="P13" s="199">
        <v>91.5</v>
      </c>
    </row>
    <row r="14" spans="1:16" x14ac:dyDescent="0.4">
      <c r="A14">
        <v>2031</v>
      </c>
      <c r="B14" s="91">
        <f t="shared" si="0"/>
        <v>66.191498085723566</v>
      </c>
      <c r="C14" s="91">
        <f t="shared" si="1"/>
        <v>54.976691894298419</v>
      </c>
      <c r="D14" s="91">
        <f t="shared" si="2"/>
        <v>60.584094990010996</v>
      </c>
      <c r="E14" s="92"/>
      <c r="M14">
        <v>2025</v>
      </c>
      <c r="N14" s="53">
        <v>45717</v>
      </c>
      <c r="O14" s="199">
        <v>59</v>
      </c>
      <c r="P14" s="199">
        <v>51</v>
      </c>
    </row>
    <row r="15" spans="1:16" x14ac:dyDescent="0.4">
      <c r="A15">
        <v>2032</v>
      </c>
      <c r="B15" s="91">
        <f t="shared" si="0"/>
        <v>68.481447174804799</v>
      </c>
      <c r="C15" s="91">
        <f t="shared" si="1"/>
        <v>55.985863824868403</v>
      </c>
      <c r="D15" s="91">
        <f t="shared" si="2"/>
        <v>62.233655499836601</v>
      </c>
      <c r="E15" s="92"/>
      <c r="M15">
        <v>2025</v>
      </c>
      <c r="N15" s="53">
        <v>45748</v>
      </c>
      <c r="O15" s="199">
        <v>46.25</v>
      </c>
      <c r="P15" s="199">
        <v>38</v>
      </c>
    </row>
    <row r="16" spans="1:16" x14ac:dyDescent="0.4">
      <c r="A16">
        <v>2033</v>
      </c>
      <c r="B16" s="91">
        <f t="shared" si="0"/>
        <v>69.721331685716351</v>
      </c>
      <c r="C16" s="91">
        <f t="shared" si="1"/>
        <v>57.383355453132459</v>
      </c>
      <c r="D16" s="91">
        <f t="shared" si="2"/>
        <v>63.552343569424409</v>
      </c>
      <c r="M16">
        <v>2025</v>
      </c>
      <c r="N16" s="53">
        <v>45778</v>
      </c>
      <c r="O16" s="199">
        <v>41.75</v>
      </c>
      <c r="P16" s="199">
        <v>35</v>
      </c>
    </row>
    <row r="17" spans="1:16" x14ac:dyDescent="0.4">
      <c r="A17">
        <v>2034</v>
      </c>
      <c r="B17" s="91">
        <f t="shared" si="0"/>
        <v>71.115758319430682</v>
      </c>
      <c r="C17" s="91">
        <f t="shared" si="1"/>
        <v>58.531022562195119</v>
      </c>
      <c r="D17" s="91">
        <f t="shared" si="2"/>
        <v>64.823390440812901</v>
      </c>
      <c r="M17">
        <v>2025</v>
      </c>
      <c r="N17" s="53">
        <v>45809</v>
      </c>
      <c r="O17" s="199">
        <v>51.5</v>
      </c>
      <c r="P17" s="199">
        <v>38.75</v>
      </c>
    </row>
    <row r="18" spans="1:16" x14ac:dyDescent="0.4">
      <c r="A18">
        <v>2035</v>
      </c>
      <c r="B18" s="91">
        <f t="shared" si="0"/>
        <v>72.538073485819311</v>
      </c>
      <c r="C18" s="91">
        <f t="shared" si="1"/>
        <v>59.701643013439025</v>
      </c>
      <c r="D18" s="91">
        <f t="shared" si="2"/>
        <v>66.119858249629175</v>
      </c>
      <c r="M18">
        <v>2025</v>
      </c>
      <c r="N18" s="53">
        <v>45839</v>
      </c>
      <c r="O18" s="199">
        <v>71.25</v>
      </c>
      <c r="P18" s="199">
        <v>47.25</v>
      </c>
    </row>
    <row r="19" spans="1:16" x14ac:dyDescent="0.4">
      <c r="A19">
        <v>2036</v>
      </c>
      <c r="B19" s="91">
        <f t="shared" si="0"/>
        <v>73.988834955535665</v>
      </c>
      <c r="C19" s="91">
        <f t="shared" si="1"/>
        <v>60.895675873707795</v>
      </c>
      <c r="D19" s="91">
        <f t="shared" si="2"/>
        <v>67.442255414621727</v>
      </c>
      <c r="M19">
        <v>2025</v>
      </c>
      <c r="N19" s="53">
        <v>45870</v>
      </c>
      <c r="O19" s="199">
        <v>63</v>
      </c>
      <c r="P19" s="199">
        <v>42</v>
      </c>
    </row>
    <row r="20" spans="1:16" x14ac:dyDescent="0.4">
      <c r="A20">
        <v>2037</v>
      </c>
      <c r="B20" s="91">
        <f t="shared" si="0"/>
        <v>75.468611654646381</v>
      </c>
      <c r="C20" s="91">
        <f t="shared" si="1"/>
        <v>62.113589391181954</v>
      </c>
      <c r="D20" s="91">
        <f t="shared" si="2"/>
        <v>68.791100522914164</v>
      </c>
      <c r="M20">
        <v>2025</v>
      </c>
      <c r="N20" s="53">
        <v>45901</v>
      </c>
      <c r="O20" s="199">
        <v>49</v>
      </c>
      <c r="P20" s="199">
        <v>36.5</v>
      </c>
    </row>
    <row r="21" spans="1:16" x14ac:dyDescent="0.4">
      <c r="A21">
        <v>2038</v>
      </c>
      <c r="B21" s="91">
        <f t="shared" si="0"/>
        <v>76.977983887739313</v>
      </c>
      <c r="C21" s="91">
        <f t="shared" si="1"/>
        <v>63.355861179005586</v>
      </c>
      <c r="D21" s="91">
        <f t="shared" si="2"/>
        <v>70.166922533372457</v>
      </c>
      <c r="M21">
        <v>2025</v>
      </c>
      <c r="N21" s="53">
        <v>45931</v>
      </c>
      <c r="O21" s="199">
        <v>43.75</v>
      </c>
      <c r="P21" s="199">
        <v>35.75</v>
      </c>
    </row>
    <row r="22" spans="1:16" x14ac:dyDescent="0.4">
      <c r="A22">
        <v>2039</v>
      </c>
      <c r="B22" s="91">
        <f t="shared" si="0"/>
        <v>78.517543565494108</v>
      </c>
      <c r="C22" s="91">
        <f t="shared" si="1"/>
        <v>64.622978402585701</v>
      </c>
      <c r="D22" s="91">
        <f t="shared" si="2"/>
        <v>71.570260984039905</v>
      </c>
      <c r="M22">
        <v>2025</v>
      </c>
      <c r="N22" s="53">
        <v>45962</v>
      </c>
      <c r="O22" s="199">
        <v>60.5</v>
      </c>
      <c r="P22" s="199">
        <v>53</v>
      </c>
    </row>
    <row r="23" spans="1:16" x14ac:dyDescent="0.4">
      <c r="A23">
        <v>2040</v>
      </c>
      <c r="B23" s="91">
        <f t="shared" si="0"/>
        <v>80.087894436803992</v>
      </c>
      <c r="C23" s="91">
        <f t="shared" si="1"/>
        <v>65.915437970637413</v>
      </c>
      <c r="D23" s="91">
        <f t="shared" si="2"/>
        <v>73.001666203720703</v>
      </c>
      <c r="M23">
        <v>2025</v>
      </c>
      <c r="N23" s="53">
        <v>45992</v>
      </c>
      <c r="O23" s="199">
        <v>91.5</v>
      </c>
      <c r="P23" s="199">
        <v>81.75</v>
      </c>
    </row>
    <row r="24" spans="1:16" x14ac:dyDescent="0.4">
      <c r="A24">
        <v>2041</v>
      </c>
      <c r="B24" s="91">
        <f t="shared" si="0"/>
        <v>81.689652325540052</v>
      </c>
      <c r="C24" s="91">
        <f t="shared" si="1"/>
        <v>67.233746730050171</v>
      </c>
      <c r="D24" s="91">
        <f t="shared" si="2"/>
        <v>74.461699527795105</v>
      </c>
      <c r="M24">
        <v>2026</v>
      </c>
      <c r="N24" s="53">
        <v>46023</v>
      </c>
      <c r="O24" s="199">
        <v>133</v>
      </c>
      <c r="P24" s="199">
        <v>121.45</v>
      </c>
    </row>
    <row r="25" spans="1:16" x14ac:dyDescent="0.4">
      <c r="A25">
        <v>2042</v>
      </c>
      <c r="B25" s="91">
        <f t="shared" si="0"/>
        <v>83.32344537205087</v>
      </c>
      <c r="C25" s="91">
        <f t="shared" si="1"/>
        <v>68.578421664651174</v>
      </c>
      <c r="D25" s="91">
        <f t="shared" si="2"/>
        <v>75.950933518351022</v>
      </c>
      <c r="M25">
        <v>2026</v>
      </c>
      <c r="N25" s="53">
        <v>46054</v>
      </c>
      <c r="O25" s="199">
        <v>112.5</v>
      </c>
      <c r="P25" s="199">
        <v>103.7</v>
      </c>
    </row>
    <row r="26" spans="1:16" x14ac:dyDescent="0.4">
      <c r="A26">
        <v>2043</v>
      </c>
      <c r="B26" s="91">
        <f t="shared" si="0"/>
        <v>84.989914279491884</v>
      </c>
      <c r="C26" s="91">
        <f t="shared" si="1"/>
        <v>69.949990097944195</v>
      </c>
      <c r="D26" s="91">
        <f t="shared" si="2"/>
        <v>77.46995218871804</v>
      </c>
      <c r="M26">
        <v>2026</v>
      </c>
      <c r="N26" s="53">
        <v>46082</v>
      </c>
      <c r="O26" s="199">
        <v>65.5</v>
      </c>
      <c r="P26" s="199">
        <v>58.15</v>
      </c>
    </row>
    <row r="27" spans="1:16" x14ac:dyDescent="0.4">
      <c r="A27">
        <v>2044</v>
      </c>
      <c r="B27" s="91">
        <f t="shared" si="0"/>
        <v>86.689712565081706</v>
      </c>
      <c r="C27" s="91">
        <f t="shared" si="1"/>
        <v>71.34898989990306</v>
      </c>
      <c r="D27" s="91">
        <f t="shared" si="2"/>
        <v>79.019351232492383</v>
      </c>
      <c r="M27">
        <v>2026</v>
      </c>
      <c r="N27" s="53">
        <v>46113</v>
      </c>
      <c r="O27" s="199">
        <v>47.35</v>
      </c>
      <c r="P27" s="199">
        <v>38.25</v>
      </c>
    </row>
    <row r="28" spans="1:16" x14ac:dyDescent="0.4">
      <c r="A28">
        <v>2045</v>
      </c>
      <c r="B28" s="91">
        <f t="shared" si="0"/>
        <v>88.423506816383352</v>
      </c>
      <c r="C28" s="91">
        <f t="shared" si="1"/>
        <v>72.775969697901132</v>
      </c>
      <c r="D28" s="91">
        <f t="shared" si="2"/>
        <v>80.599738257142235</v>
      </c>
      <c r="M28">
        <v>2026</v>
      </c>
      <c r="N28" s="53">
        <v>46143</v>
      </c>
      <c r="O28" s="199">
        <v>40.5</v>
      </c>
      <c r="P28" s="199">
        <v>32.15</v>
      </c>
    </row>
    <row r="29" spans="1:16" x14ac:dyDescent="0.4">
      <c r="A29">
        <v>2046</v>
      </c>
      <c r="B29" s="91">
        <f t="shared" si="0"/>
        <v>90.191976952711002</v>
      </c>
      <c r="C29" s="91">
        <f t="shared" si="1"/>
        <v>74.23148909185916</v>
      </c>
      <c r="D29" s="91">
        <f t="shared" si="2"/>
        <v>82.211733022285074</v>
      </c>
      <c r="M29">
        <v>2026</v>
      </c>
      <c r="N29" s="53">
        <v>46174</v>
      </c>
      <c r="O29" s="199">
        <v>51.5</v>
      </c>
      <c r="P29" s="199">
        <v>37.15</v>
      </c>
    </row>
    <row r="30" spans="1:16" x14ac:dyDescent="0.4">
      <c r="A30">
        <v>2047</v>
      </c>
      <c r="B30" s="91">
        <f t="shared" si="0"/>
        <v>91.99581649176524</v>
      </c>
      <c r="C30" s="91">
        <f t="shared" si="1"/>
        <v>75.716118873696345</v>
      </c>
      <c r="D30" s="91">
        <f t="shared" si="2"/>
        <v>83.855967682730792</v>
      </c>
      <c r="M30">
        <v>2026</v>
      </c>
      <c r="N30" s="53">
        <v>46204</v>
      </c>
      <c r="O30" s="199">
        <v>72.5</v>
      </c>
      <c r="P30" s="199">
        <v>48.75</v>
      </c>
    </row>
    <row r="31" spans="1:16" x14ac:dyDescent="0.4">
      <c r="A31">
        <v>2048</v>
      </c>
      <c r="B31" s="91">
        <f t="shared" si="0"/>
        <v>93.835732821600516</v>
      </c>
      <c r="C31" s="91">
        <f t="shared" si="1"/>
        <v>77.230441251170248</v>
      </c>
      <c r="D31" s="91">
        <f t="shared" si="2"/>
        <v>85.533087036385382</v>
      </c>
      <c r="M31">
        <v>2026</v>
      </c>
      <c r="N31" s="53">
        <v>46235</v>
      </c>
      <c r="O31" s="199">
        <v>62</v>
      </c>
      <c r="P31" s="199">
        <v>38.5</v>
      </c>
    </row>
    <row r="32" spans="1:16" x14ac:dyDescent="0.4">
      <c r="A32">
        <v>2049</v>
      </c>
      <c r="B32" s="91">
        <f t="shared" si="0"/>
        <v>95.71244747803253</v>
      </c>
      <c r="C32" s="91">
        <f t="shared" si="1"/>
        <v>78.775050076193665</v>
      </c>
      <c r="D32" s="91">
        <f t="shared" si="2"/>
        <v>87.243748777113098</v>
      </c>
      <c r="M32">
        <v>2026</v>
      </c>
      <c r="N32" s="53">
        <v>46266</v>
      </c>
      <c r="O32" s="199">
        <v>48.25</v>
      </c>
      <c r="P32" s="199">
        <v>35.15</v>
      </c>
    </row>
    <row r="33" spans="1:16" x14ac:dyDescent="0.4">
      <c r="A33">
        <v>2050</v>
      </c>
      <c r="B33" s="91">
        <f t="shared" si="0"/>
        <v>97.626696427593217</v>
      </c>
      <c r="C33" s="91">
        <f t="shared" si="1"/>
        <v>80.350551077717526</v>
      </c>
      <c r="D33" s="91">
        <f t="shared" si="2"/>
        <v>88.988623752655371</v>
      </c>
      <c r="M33">
        <v>2026</v>
      </c>
      <c r="N33" s="53">
        <v>46296</v>
      </c>
      <c r="O33" s="199">
        <v>44</v>
      </c>
      <c r="P33" s="199">
        <v>34.5</v>
      </c>
    </row>
    <row r="34" spans="1:16" x14ac:dyDescent="0.4">
      <c r="A34">
        <v>2051</v>
      </c>
      <c r="B34" s="91">
        <f t="shared" si="0"/>
        <v>99.579230356145061</v>
      </c>
      <c r="C34" s="91">
        <f t="shared" si="1"/>
        <v>81.957562099271897</v>
      </c>
      <c r="D34" s="91">
        <f t="shared" si="2"/>
        <v>90.768396227708479</v>
      </c>
      <c r="M34">
        <v>2026</v>
      </c>
      <c r="N34" s="53">
        <v>46327</v>
      </c>
      <c r="O34" s="199">
        <v>57.9</v>
      </c>
      <c r="P34" s="199">
        <v>50.9</v>
      </c>
    </row>
    <row r="35" spans="1:16" x14ac:dyDescent="0.4">
      <c r="A35">
        <v>2052</v>
      </c>
      <c r="B35" s="91">
        <f t="shared" si="0"/>
        <v>101.57081496326795</v>
      </c>
      <c r="C35" s="91">
        <f t="shared" si="1"/>
        <v>83.596713341257328</v>
      </c>
      <c r="D35" s="91">
        <f t="shared" si="2"/>
        <v>92.583764152262631</v>
      </c>
      <c r="M35">
        <v>2026</v>
      </c>
      <c r="N35" s="53">
        <v>46357</v>
      </c>
      <c r="O35" s="199">
        <v>86.65</v>
      </c>
      <c r="P35" s="199">
        <v>75.900000000000006</v>
      </c>
    </row>
    <row r="36" spans="1:16" x14ac:dyDescent="0.4">
      <c r="A36">
        <v>2053</v>
      </c>
      <c r="B36" s="91">
        <f t="shared" si="0"/>
        <v>103.60223126253334</v>
      </c>
      <c r="C36" s="91">
        <f t="shared" si="1"/>
        <v>85.268647608082475</v>
      </c>
      <c r="D36" s="91">
        <f t="shared" si="2"/>
        <v>94.435439435307899</v>
      </c>
      <c r="M36">
        <v>2027</v>
      </c>
      <c r="N36" s="53">
        <v>46388</v>
      </c>
      <c r="O36" s="199">
        <v>132.25</v>
      </c>
      <c r="P36" s="199">
        <v>122.25</v>
      </c>
    </row>
    <row r="37" spans="1:16" x14ac:dyDescent="0.4">
      <c r="A37">
        <v>2054</v>
      </c>
      <c r="B37" s="91">
        <f t="shared" si="0"/>
        <v>105.67427588778399</v>
      </c>
      <c r="C37" s="91">
        <f t="shared" si="1"/>
        <v>86.974020560244114</v>
      </c>
      <c r="D37" s="91">
        <f t="shared" si="2"/>
        <v>96.324148224014053</v>
      </c>
      <c r="M37">
        <v>2027</v>
      </c>
      <c r="N37" s="53">
        <v>46419</v>
      </c>
      <c r="O37" s="199">
        <v>111.75</v>
      </c>
      <c r="P37" s="199">
        <v>101.75</v>
      </c>
    </row>
    <row r="38" spans="1:16" x14ac:dyDescent="0.4">
      <c r="A38">
        <v>2055</v>
      </c>
      <c r="B38" s="91">
        <f t="shared" si="0"/>
        <v>107.78776140553965</v>
      </c>
      <c r="C38" s="91">
        <f t="shared" si="1"/>
        <v>88.713500971449022</v>
      </c>
      <c r="D38" s="91">
        <f t="shared" si="2"/>
        <v>98.250631188494339</v>
      </c>
      <c r="M38">
        <v>2027</v>
      </c>
      <c r="N38" s="53">
        <v>46447</v>
      </c>
      <c r="O38" s="199">
        <v>65</v>
      </c>
      <c r="P38" s="199">
        <v>57</v>
      </c>
    </row>
    <row r="39" spans="1:16" x14ac:dyDescent="0.4">
      <c r="A39">
        <v>2056</v>
      </c>
      <c r="B39" s="91">
        <f t="shared" si="0"/>
        <v>109.94351663365046</v>
      </c>
      <c r="C39" s="91">
        <f t="shared" si="1"/>
        <v>90.487770990877991</v>
      </c>
      <c r="D39" s="91">
        <f t="shared" si="2"/>
        <v>100.21564381226423</v>
      </c>
      <c r="M39">
        <v>2027</v>
      </c>
      <c r="N39" s="53">
        <v>46478</v>
      </c>
      <c r="O39" s="199">
        <v>45.85</v>
      </c>
      <c r="P39" s="199">
        <v>35.35</v>
      </c>
    </row>
    <row r="40" spans="1:16" x14ac:dyDescent="0.4">
      <c r="A40">
        <v>2057</v>
      </c>
      <c r="B40" s="91">
        <f t="shared" si="0"/>
        <v>112.14238696632349</v>
      </c>
      <c r="C40" s="91">
        <f t="shared" si="1"/>
        <v>92.297526410695539</v>
      </c>
      <c r="D40" s="91">
        <f t="shared" si="2"/>
        <v>102.21995668850951</v>
      </c>
      <c r="M40">
        <v>2027</v>
      </c>
      <c r="N40" s="53">
        <v>46508</v>
      </c>
      <c r="O40" s="199">
        <v>39</v>
      </c>
      <c r="P40" s="199">
        <v>27.5</v>
      </c>
    </row>
    <row r="41" spans="1:16" x14ac:dyDescent="0.4">
      <c r="A41">
        <v>2058</v>
      </c>
      <c r="B41" s="91">
        <f t="shared" si="0"/>
        <v>114.38523470564992</v>
      </c>
      <c r="C41" s="91">
        <f t="shared" si="1"/>
        <v>94.14347693890943</v>
      </c>
      <c r="D41" s="91">
        <f t="shared" si="2"/>
        <v>104.26435582227967</v>
      </c>
      <c r="M41">
        <v>2027</v>
      </c>
      <c r="N41" s="53">
        <v>46539</v>
      </c>
      <c r="O41" s="199">
        <v>50</v>
      </c>
      <c r="P41" s="199">
        <v>35.25</v>
      </c>
    </row>
    <row r="42" spans="1:16" x14ac:dyDescent="0.4">
      <c r="M42">
        <v>2027</v>
      </c>
      <c r="N42" s="53">
        <v>46569</v>
      </c>
      <c r="O42" s="199">
        <v>71</v>
      </c>
      <c r="P42" s="199">
        <v>46.25</v>
      </c>
    </row>
    <row r="43" spans="1:16" x14ac:dyDescent="0.4">
      <c r="A43" t="s">
        <v>266</v>
      </c>
      <c r="M43">
        <v>2027</v>
      </c>
      <c r="N43" s="53">
        <v>46600</v>
      </c>
      <c r="O43" s="199">
        <v>60.5</v>
      </c>
      <c r="P43" s="199">
        <v>35.75</v>
      </c>
    </row>
    <row r="44" spans="1:16" x14ac:dyDescent="0.4">
      <c r="A44" t="s">
        <v>466</v>
      </c>
      <c r="M44">
        <v>2027</v>
      </c>
      <c r="N44" s="53">
        <v>46631</v>
      </c>
      <c r="O44" s="199">
        <v>46.75</v>
      </c>
      <c r="P44" s="199">
        <v>33.75</v>
      </c>
    </row>
    <row r="45" spans="1:16" x14ac:dyDescent="0.4">
      <c r="M45">
        <v>2027</v>
      </c>
      <c r="N45" s="53">
        <v>46661</v>
      </c>
      <c r="O45" s="199">
        <v>42.5</v>
      </c>
      <c r="P45" s="199">
        <v>29.75</v>
      </c>
    </row>
    <row r="46" spans="1:16" x14ac:dyDescent="0.4">
      <c r="M46">
        <v>2027</v>
      </c>
      <c r="N46" s="53">
        <v>46692</v>
      </c>
      <c r="O46" s="199">
        <v>56.15</v>
      </c>
      <c r="P46" s="199">
        <v>46.15</v>
      </c>
    </row>
    <row r="47" spans="1:16" x14ac:dyDescent="0.4">
      <c r="M47">
        <v>2027</v>
      </c>
      <c r="N47" s="53">
        <v>46722</v>
      </c>
      <c r="O47" s="199">
        <v>84.9</v>
      </c>
      <c r="P47" s="199">
        <v>73.900000000000006</v>
      </c>
    </row>
    <row r="48" spans="1:16" x14ac:dyDescent="0.4">
      <c r="M48">
        <v>2028</v>
      </c>
      <c r="N48" s="53">
        <v>46753</v>
      </c>
      <c r="O48" s="199">
        <v>145.95085910730066</v>
      </c>
      <c r="P48" s="199">
        <v>119.0084910916747</v>
      </c>
    </row>
    <row r="49" spans="13:16" x14ac:dyDescent="0.4">
      <c r="M49">
        <v>2028</v>
      </c>
      <c r="N49" s="53">
        <v>46784</v>
      </c>
      <c r="O49" s="199">
        <v>137.23772661315482</v>
      </c>
      <c r="P49" s="199">
        <v>110.45819711062136</v>
      </c>
    </row>
    <row r="50" spans="13:16" x14ac:dyDescent="0.4">
      <c r="M50">
        <v>2028</v>
      </c>
      <c r="N50" s="53">
        <v>46813</v>
      </c>
      <c r="O50" s="199">
        <v>54.756062901466954</v>
      </c>
      <c r="P50" s="199">
        <v>48.302979630890917</v>
      </c>
    </row>
    <row r="51" spans="13:16" x14ac:dyDescent="0.4">
      <c r="M51">
        <v>2028</v>
      </c>
      <c r="N51" s="53">
        <v>46844</v>
      </c>
      <c r="O51" s="199">
        <v>38.896144999347385</v>
      </c>
      <c r="P51" s="199">
        <v>33.08110427920542</v>
      </c>
    </row>
    <row r="52" spans="13:16" x14ac:dyDescent="0.4">
      <c r="M52">
        <v>2028</v>
      </c>
      <c r="N52" s="53">
        <v>46874</v>
      </c>
      <c r="O52" s="199">
        <v>34.86592023709639</v>
      </c>
      <c r="P52" s="199">
        <v>29.056783660603685</v>
      </c>
    </row>
    <row r="53" spans="13:16" x14ac:dyDescent="0.4">
      <c r="M53">
        <v>2028</v>
      </c>
      <c r="N53" s="53">
        <v>46905</v>
      </c>
      <c r="O53" s="199">
        <v>38.591273962898669</v>
      </c>
      <c r="P53" s="199">
        <v>31.398103154021808</v>
      </c>
    </row>
    <row r="54" spans="13:16" x14ac:dyDescent="0.4">
      <c r="M54">
        <v>2028</v>
      </c>
      <c r="N54" s="53">
        <v>46935</v>
      </c>
      <c r="O54" s="199">
        <v>47.825279329152274</v>
      </c>
      <c r="P54" s="199">
        <v>36.086030620624157</v>
      </c>
    </row>
    <row r="55" spans="13:16" x14ac:dyDescent="0.4">
      <c r="M55">
        <v>2028</v>
      </c>
      <c r="N55" s="53">
        <v>46966</v>
      </c>
      <c r="O55" s="199">
        <v>42.527704673613371</v>
      </c>
      <c r="P55" s="199">
        <v>35.618866460297923</v>
      </c>
    </row>
    <row r="56" spans="13:16" x14ac:dyDescent="0.4">
      <c r="M56">
        <v>2028</v>
      </c>
      <c r="N56" s="53">
        <v>46997</v>
      </c>
      <c r="O56" s="199">
        <v>36.45641696181989</v>
      </c>
      <c r="P56" s="199">
        <v>30.700131763180075</v>
      </c>
    </row>
    <row r="57" spans="13:16" x14ac:dyDescent="0.4">
      <c r="M57">
        <v>2028</v>
      </c>
      <c r="N57" s="53">
        <v>47027</v>
      </c>
      <c r="O57" s="199">
        <v>36.960612587984883</v>
      </c>
      <c r="P57" s="199">
        <v>31.586619058467182</v>
      </c>
    </row>
    <row r="58" spans="13:16" x14ac:dyDescent="0.4">
      <c r="M58">
        <v>2028</v>
      </c>
      <c r="N58" s="53">
        <v>47058</v>
      </c>
      <c r="O58" s="199">
        <v>58.913126142268212</v>
      </c>
      <c r="P58" s="199">
        <v>51.641975599155771</v>
      </c>
    </row>
    <row r="59" spans="13:16" x14ac:dyDescent="0.4">
      <c r="M59">
        <v>2028</v>
      </c>
      <c r="N59" s="53">
        <v>47088</v>
      </c>
      <c r="O59" s="199">
        <v>110.21562194623567</v>
      </c>
      <c r="P59" s="199">
        <v>96.124315970018543</v>
      </c>
    </row>
    <row r="60" spans="13:16" x14ac:dyDescent="0.4">
      <c r="M60">
        <v>2029</v>
      </c>
      <c r="N60" s="53">
        <v>47119</v>
      </c>
      <c r="O60" s="199">
        <v>149.7753644548342</v>
      </c>
      <c r="P60" s="199">
        <v>122.94784423982885</v>
      </c>
    </row>
    <row r="61" spans="13:16" x14ac:dyDescent="0.4">
      <c r="M61">
        <v>2029</v>
      </c>
      <c r="N61" s="53">
        <v>47150</v>
      </c>
      <c r="O61" s="199">
        <v>143.35731504435324</v>
      </c>
      <c r="P61" s="199">
        <v>117.43033774311489</v>
      </c>
    </row>
    <row r="62" spans="13:16" x14ac:dyDescent="0.4">
      <c r="M62">
        <v>2029</v>
      </c>
      <c r="N62" s="53">
        <v>47178</v>
      </c>
      <c r="O62" s="199">
        <v>58.026796436365181</v>
      </c>
      <c r="P62" s="199">
        <v>50.785333529921701</v>
      </c>
    </row>
    <row r="63" spans="13:16" x14ac:dyDescent="0.4">
      <c r="M63">
        <v>2029</v>
      </c>
      <c r="N63" s="53">
        <v>47209</v>
      </c>
      <c r="O63" s="199">
        <v>38.631876264778924</v>
      </c>
      <c r="P63" s="199">
        <v>32.591783166892263</v>
      </c>
    </row>
    <row r="64" spans="13:16" x14ac:dyDescent="0.4">
      <c r="M64">
        <v>2029</v>
      </c>
      <c r="N64" s="53">
        <v>47239</v>
      </c>
      <c r="O64" s="199">
        <v>33.722314050372503</v>
      </c>
      <c r="P64" s="199">
        <v>28.307469269859535</v>
      </c>
    </row>
    <row r="65" spans="13:16" x14ac:dyDescent="0.4">
      <c r="M65">
        <v>2029</v>
      </c>
      <c r="N65" s="53">
        <v>47270</v>
      </c>
      <c r="O65" s="199">
        <v>37.834272887901847</v>
      </c>
      <c r="P65" s="199">
        <v>31.143184498823011</v>
      </c>
    </row>
    <row r="66" spans="13:16" x14ac:dyDescent="0.4">
      <c r="M66">
        <v>2029</v>
      </c>
      <c r="N66" s="53">
        <v>47300</v>
      </c>
      <c r="O66" s="199">
        <v>44.140079243513654</v>
      </c>
      <c r="P66" s="199">
        <v>33.28952552761519</v>
      </c>
    </row>
    <row r="67" spans="13:16" x14ac:dyDescent="0.4">
      <c r="M67">
        <v>2029</v>
      </c>
      <c r="N67" s="53">
        <v>47331</v>
      </c>
      <c r="O67" s="199">
        <v>41.156716288654962</v>
      </c>
      <c r="P67" s="199">
        <v>34.195734948730419</v>
      </c>
    </row>
    <row r="68" spans="13:16" x14ac:dyDescent="0.4">
      <c r="M68">
        <v>2029</v>
      </c>
      <c r="N68" s="53">
        <v>47362</v>
      </c>
      <c r="O68" s="199">
        <v>35.083608934418557</v>
      </c>
      <c r="P68" s="199">
        <v>29.734401854228938</v>
      </c>
    </row>
    <row r="69" spans="13:16" x14ac:dyDescent="0.4">
      <c r="M69">
        <v>2029</v>
      </c>
      <c r="N69" s="53">
        <v>47392</v>
      </c>
      <c r="O69" s="199">
        <v>35.769516986677438</v>
      </c>
      <c r="P69" s="199">
        <v>30.096133215816369</v>
      </c>
    </row>
    <row r="70" spans="13:16" x14ac:dyDescent="0.4">
      <c r="M70">
        <v>2029</v>
      </c>
      <c r="N70" s="53">
        <v>47423</v>
      </c>
      <c r="O70" s="199">
        <v>63.315837154193353</v>
      </c>
      <c r="P70" s="199">
        <v>54.890879903671518</v>
      </c>
    </row>
    <row r="71" spans="13:16" x14ac:dyDescent="0.4">
      <c r="M71">
        <v>2029</v>
      </c>
      <c r="N71" s="53">
        <v>47453</v>
      </c>
      <c r="O71" s="199">
        <v>113.85509292453895</v>
      </c>
      <c r="P71" s="199">
        <v>99.841360085465041</v>
      </c>
    </row>
    <row r="72" spans="13:16" x14ac:dyDescent="0.4">
      <c r="M72">
        <v>2030</v>
      </c>
      <c r="N72" s="53">
        <v>47484</v>
      </c>
      <c r="O72" s="199">
        <v>148.44201298016057</v>
      </c>
      <c r="P72" s="199">
        <v>121.3324769149224</v>
      </c>
    </row>
    <row r="73" spans="13:16" x14ac:dyDescent="0.4">
      <c r="M73">
        <v>2030</v>
      </c>
      <c r="N73" s="53">
        <v>47515</v>
      </c>
      <c r="O73" s="199">
        <v>138.70930103444078</v>
      </c>
      <c r="P73" s="199">
        <v>112.87424251914564</v>
      </c>
    </row>
    <row r="74" spans="13:16" x14ac:dyDescent="0.4">
      <c r="M74">
        <v>2030</v>
      </c>
      <c r="N74" s="53">
        <v>47543</v>
      </c>
      <c r="O74" s="199">
        <v>56.452141163368594</v>
      </c>
      <c r="P74" s="199">
        <v>49.52262728032369</v>
      </c>
    </row>
    <row r="75" spans="13:16" x14ac:dyDescent="0.4">
      <c r="M75">
        <v>2030</v>
      </c>
      <c r="N75" s="53">
        <v>47574</v>
      </c>
      <c r="O75" s="199">
        <v>38.373653374886757</v>
      </c>
      <c r="P75" s="199">
        <v>32.754460902346935</v>
      </c>
    </row>
    <row r="76" spans="13:16" x14ac:dyDescent="0.4">
      <c r="M76">
        <v>2030</v>
      </c>
      <c r="N76" s="53">
        <v>47604</v>
      </c>
      <c r="O76" s="199">
        <v>33.568685012477971</v>
      </c>
      <c r="P76" s="199">
        <v>27.858674088919411</v>
      </c>
    </row>
    <row r="77" spans="13:16" x14ac:dyDescent="0.4">
      <c r="M77">
        <v>2030</v>
      </c>
      <c r="N77" s="53">
        <v>47635</v>
      </c>
      <c r="O77" s="199">
        <v>38.332915869706376</v>
      </c>
      <c r="P77" s="199">
        <v>31.147264283832239</v>
      </c>
    </row>
    <row r="78" spans="13:16" x14ac:dyDescent="0.4">
      <c r="M78">
        <v>2030</v>
      </c>
      <c r="N78" s="53">
        <v>47665</v>
      </c>
      <c r="O78" s="199">
        <v>43.102178049382303</v>
      </c>
      <c r="P78" s="199">
        <v>32.792479125392518</v>
      </c>
    </row>
    <row r="79" spans="13:16" x14ac:dyDescent="0.4">
      <c r="M79">
        <v>2030</v>
      </c>
      <c r="N79" s="53">
        <v>47696</v>
      </c>
      <c r="O79" s="199">
        <v>40.755876312089519</v>
      </c>
      <c r="P79" s="199">
        <v>33.977043052657066</v>
      </c>
    </row>
    <row r="80" spans="13:16" x14ac:dyDescent="0.4">
      <c r="M80">
        <v>2030</v>
      </c>
      <c r="N80" s="53">
        <v>47727</v>
      </c>
      <c r="O80" s="199">
        <v>34.215840702535345</v>
      </c>
      <c r="P80" s="199">
        <v>29.290951486160548</v>
      </c>
    </row>
    <row r="81" spans="13:16" x14ac:dyDescent="0.4">
      <c r="M81">
        <v>2030</v>
      </c>
      <c r="N81" s="53">
        <v>47757</v>
      </c>
      <c r="O81" s="199">
        <v>34.976320753051539</v>
      </c>
      <c r="P81" s="199">
        <v>28.972931932651292</v>
      </c>
    </row>
    <row r="82" spans="13:16" x14ac:dyDescent="0.4">
      <c r="M82">
        <v>2030</v>
      </c>
      <c r="N82" s="53">
        <v>47788</v>
      </c>
      <c r="O82" s="199">
        <v>61.768164757069194</v>
      </c>
      <c r="P82" s="199">
        <v>54.609599107479376</v>
      </c>
    </row>
    <row r="83" spans="13:16" x14ac:dyDescent="0.4">
      <c r="M83">
        <v>2030</v>
      </c>
      <c r="N83" s="53">
        <v>47818</v>
      </c>
      <c r="O83" s="199">
        <v>114.28399487614064</v>
      </c>
      <c r="P83" s="199">
        <v>96.524210966880943</v>
      </c>
    </row>
    <row r="84" spans="13:16" x14ac:dyDescent="0.4">
      <c r="M84">
        <v>2031</v>
      </c>
      <c r="N84" s="53">
        <v>47849</v>
      </c>
      <c r="O84" s="199">
        <v>148.45164641465621</v>
      </c>
      <c r="P84" s="199">
        <v>119.65766705147665</v>
      </c>
    </row>
    <row r="85" spans="13:16" x14ac:dyDescent="0.4">
      <c r="M85">
        <v>2031</v>
      </c>
      <c r="N85" s="53">
        <v>47880</v>
      </c>
      <c r="O85" s="199">
        <v>139.70924679063086</v>
      </c>
      <c r="P85" s="199">
        <v>115.03172263241649</v>
      </c>
    </row>
    <row r="86" spans="13:16" x14ac:dyDescent="0.4">
      <c r="M86">
        <v>2031</v>
      </c>
      <c r="N86" s="53">
        <v>47908</v>
      </c>
      <c r="O86" s="199">
        <v>58.570210617535722</v>
      </c>
      <c r="P86" s="199">
        <v>51.17539591073384</v>
      </c>
    </row>
    <row r="87" spans="13:16" x14ac:dyDescent="0.4">
      <c r="M87">
        <v>2031</v>
      </c>
      <c r="N87" s="53">
        <v>47939</v>
      </c>
      <c r="O87" s="199">
        <v>37.940641318828099</v>
      </c>
      <c r="P87" s="199">
        <v>32.320353791184971</v>
      </c>
    </row>
    <row r="88" spans="13:16" x14ac:dyDescent="0.4">
      <c r="M88">
        <v>2031</v>
      </c>
      <c r="N88" s="53">
        <v>47969</v>
      </c>
      <c r="O88" s="199">
        <v>33.620165238256398</v>
      </c>
      <c r="P88" s="199">
        <v>28.227805297281478</v>
      </c>
    </row>
    <row r="89" spans="13:16" x14ac:dyDescent="0.4">
      <c r="M89">
        <v>2031</v>
      </c>
      <c r="N89" s="53">
        <v>48000</v>
      </c>
      <c r="O89" s="199">
        <v>39.125556587500249</v>
      </c>
      <c r="P89" s="199">
        <v>31.812940799075196</v>
      </c>
    </row>
    <row r="90" spans="13:16" x14ac:dyDescent="0.4">
      <c r="M90">
        <v>2031</v>
      </c>
      <c r="N90" s="53">
        <v>48030</v>
      </c>
      <c r="O90" s="199">
        <v>43.599832774711388</v>
      </c>
      <c r="P90" s="199">
        <v>33.587406381289405</v>
      </c>
    </row>
    <row r="91" spans="13:16" x14ac:dyDescent="0.4">
      <c r="M91">
        <v>2031</v>
      </c>
      <c r="N91" s="53">
        <v>48061</v>
      </c>
      <c r="O91" s="199">
        <v>43.283279673893254</v>
      </c>
      <c r="P91" s="199">
        <v>35.42264406663319</v>
      </c>
    </row>
    <row r="92" spans="13:16" x14ac:dyDescent="0.4">
      <c r="M92">
        <v>2031</v>
      </c>
      <c r="N92" s="53">
        <v>48092</v>
      </c>
      <c r="O92" s="199">
        <v>35.698248807410231</v>
      </c>
      <c r="P92" s="199">
        <v>29.851339443361933</v>
      </c>
    </row>
    <row r="93" spans="13:16" x14ac:dyDescent="0.4">
      <c r="M93">
        <v>2031</v>
      </c>
      <c r="N93" s="53">
        <v>48122</v>
      </c>
      <c r="O93" s="199">
        <v>36.472443949499954</v>
      </c>
      <c r="P93" s="199">
        <v>29.952406780278604</v>
      </c>
    </row>
    <row r="94" spans="13:16" x14ac:dyDescent="0.4">
      <c r="M94">
        <v>2031</v>
      </c>
      <c r="N94" s="53">
        <v>48153</v>
      </c>
      <c r="O94" s="199">
        <v>63.434875239750092</v>
      </c>
      <c r="P94" s="199">
        <v>55.746833200652461</v>
      </c>
    </row>
    <row r="95" spans="13:16" x14ac:dyDescent="0.4">
      <c r="M95">
        <v>2031</v>
      </c>
      <c r="N95" s="53">
        <v>48183</v>
      </c>
      <c r="O95" s="199">
        <v>114.39182961601038</v>
      </c>
      <c r="P95" s="199">
        <v>96.933787377196808</v>
      </c>
    </row>
    <row r="96" spans="13:16" x14ac:dyDescent="0.4">
      <c r="M96">
        <v>2032</v>
      </c>
      <c r="N96" s="53">
        <v>48214</v>
      </c>
      <c r="O96" s="199">
        <v>149.57799236153821</v>
      </c>
      <c r="P96" s="199">
        <v>119.59450869801707</v>
      </c>
    </row>
    <row r="97" spans="13:16" x14ac:dyDescent="0.4">
      <c r="M97">
        <v>2032</v>
      </c>
      <c r="N97" s="53">
        <v>48245</v>
      </c>
      <c r="O97" s="199">
        <v>144.11629584832122</v>
      </c>
      <c r="P97" s="199">
        <v>114.31258978301516</v>
      </c>
    </row>
    <row r="98" spans="13:16" x14ac:dyDescent="0.4">
      <c r="M98">
        <v>2032</v>
      </c>
      <c r="N98" s="53">
        <v>48274</v>
      </c>
      <c r="O98" s="199">
        <v>58.042005594483896</v>
      </c>
      <c r="P98" s="199">
        <v>50.609248861803103</v>
      </c>
    </row>
    <row r="99" spans="13:16" x14ac:dyDescent="0.4">
      <c r="M99">
        <v>2032</v>
      </c>
      <c r="N99" s="53">
        <v>48305</v>
      </c>
      <c r="O99" s="199">
        <v>39.336761369862018</v>
      </c>
      <c r="P99" s="199">
        <v>32.990890385913268</v>
      </c>
    </row>
    <row r="100" spans="13:16" x14ac:dyDescent="0.4">
      <c r="M100">
        <v>2032</v>
      </c>
      <c r="N100" s="53">
        <v>48335</v>
      </c>
      <c r="O100" s="199">
        <v>33.968078981605828</v>
      </c>
      <c r="P100" s="199">
        <v>28.352727163473766</v>
      </c>
    </row>
    <row r="101" spans="13:16" x14ac:dyDescent="0.4">
      <c r="M101">
        <v>2032</v>
      </c>
      <c r="N101" s="53">
        <v>48366</v>
      </c>
      <c r="O101" s="199">
        <v>39.154761128731089</v>
      </c>
      <c r="P101" s="199">
        <v>32.647085555818933</v>
      </c>
    </row>
    <row r="102" spans="13:16" x14ac:dyDescent="0.4">
      <c r="M102">
        <v>2032</v>
      </c>
      <c r="N102" s="53">
        <v>48396</v>
      </c>
      <c r="O102" s="199">
        <v>46.366882918197938</v>
      </c>
      <c r="P102" s="199">
        <v>36.18743279002198</v>
      </c>
    </row>
    <row r="103" spans="13:16" x14ac:dyDescent="0.4">
      <c r="M103">
        <v>2032</v>
      </c>
      <c r="N103" s="53">
        <v>48427</v>
      </c>
      <c r="O103" s="199">
        <v>47.293934441040271</v>
      </c>
      <c r="P103" s="199">
        <v>38.084416227630818</v>
      </c>
    </row>
    <row r="104" spans="13:16" x14ac:dyDescent="0.4">
      <c r="M104">
        <v>2032</v>
      </c>
      <c r="N104" s="53">
        <v>48458</v>
      </c>
      <c r="O104" s="199">
        <v>38.676786036849172</v>
      </c>
      <c r="P104" s="199">
        <v>32.846766564823241</v>
      </c>
    </row>
    <row r="105" spans="13:16" x14ac:dyDescent="0.4">
      <c r="M105">
        <v>2032</v>
      </c>
      <c r="N105" s="53">
        <v>48488</v>
      </c>
      <c r="O105" s="199">
        <v>40.078180368623059</v>
      </c>
      <c r="P105" s="199">
        <v>32.410077690622337</v>
      </c>
    </row>
    <row r="106" spans="13:16" x14ac:dyDescent="0.4">
      <c r="M106">
        <v>2032</v>
      </c>
      <c r="N106" s="53">
        <v>48519</v>
      </c>
      <c r="O106" s="199">
        <v>65.346820048373047</v>
      </c>
      <c r="P106" s="199">
        <v>58.160122446225543</v>
      </c>
    </row>
    <row r="107" spans="13:16" x14ac:dyDescent="0.4">
      <c r="M107">
        <v>2032</v>
      </c>
      <c r="N107" s="53">
        <v>48549</v>
      </c>
      <c r="O107" s="199">
        <v>119.81886700003194</v>
      </c>
      <c r="P107" s="199">
        <v>95.634499731055669</v>
      </c>
    </row>
    <row r="108" spans="13:16" x14ac:dyDescent="0.4">
      <c r="M108">
        <v>2033</v>
      </c>
      <c r="N108" s="53">
        <v>48580</v>
      </c>
      <c r="O108" s="199">
        <v>154.56373072483413</v>
      </c>
      <c r="P108" s="199">
        <v>122.77887375670474</v>
      </c>
    </row>
    <row r="109" spans="13:16" x14ac:dyDescent="0.4">
      <c r="M109">
        <v>2033</v>
      </c>
      <c r="N109" s="53">
        <v>48611</v>
      </c>
      <c r="O109" s="199">
        <v>144.05189623564479</v>
      </c>
      <c r="P109" s="199">
        <v>115.31260819837635</v>
      </c>
    </row>
    <row r="110" spans="13:16" x14ac:dyDescent="0.4">
      <c r="M110">
        <v>2033</v>
      </c>
      <c r="N110" s="53">
        <v>48639</v>
      </c>
      <c r="O110" s="199">
        <v>59.75937298742636</v>
      </c>
      <c r="P110" s="199">
        <v>52.001119525416605</v>
      </c>
    </row>
    <row r="111" spans="13:16" x14ac:dyDescent="0.4">
      <c r="M111">
        <v>2033</v>
      </c>
      <c r="N111" s="53">
        <v>48670</v>
      </c>
      <c r="O111" s="199">
        <v>39.849309883510649</v>
      </c>
      <c r="P111" s="199">
        <v>33.616043507678292</v>
      </c>
    </row>
    <row r="112" spans="13:16" x14ac:dyDescent="0.4">
      <c r="M112">
        <v>2033</v>
      </c>
      <c r="N112" s="53">
        <v>48700</v>
      </c>
      <c r="O112" s="199">
        <v>32.502935355736952</v>
      </c>
      <c r="P112" s="199">
        <v>27.724967080540424</v>
      </c>
    </row>
    <row r="113" spans="13:16" x14ac:dyDescent="0.4">
      <c r="M113">
        <v>2033</v>
      </c>
      <c r="N113" s="53">
        <v>48731</v>
      </c>
      <c r="O113" s="199">
        <v>39.757028413108536</v>
      </c>
      <c r="P113" s="199">
        <v>33.398438892884222</v>
      </c>
    </row>
    <row r="114" spans="13:16" x14ac:dyDescent="0.4">
      <c r="M114">
        <v>2033</v>
      </c>
      <c r="N114" s="53">
        <v>48761</v>
      </c>
      <c r="O114" s="199">
        <v>48.27726021307658</v>
      </c>
      <c r="P114" s="199">
        <v>38.280902815669585</v>
      </c>
    </row>
    <row r="115" spans="13:16" x14ac:dyDescent="0.4">
      <c r="M115">
        <v>2033</v>
      </c>
      <c r="N115" s="53">
        <v>48792</v>
      </c>
      <c r="O115" s="199">
        <v>48.717728694043842</v>
      </c>
      <c r="P115" s="199">
        <v>38.657279736881051</v>
      </c>
    </row>
    <row r="116" spans="13:16" x14ac:dyDescent="0.4">
      <c r="M116">
        <v>2033</v>
      </c>
      <c r="N116" s="53">
        <v>48823</v>
      </c>
      <c r="O116" s="199">
        <v>39.495757445117633</v>
      </c>
      <c r="P116" s="199">
        <v>34.01709143954686</v>
      </c>
    </row>
    <row r="117" spans="13:16" x14ac:dyDescent="0.4">
      <c r="M117">
        <v>2033</v>
      </c>
      <c r="N117" s="53">
        <v>48853</v>
      </c>
      <c r="O117" s="199">
        <v>43.120064143761937</v>
      </c>
      <c r="P117" s="199">
        <v>34.569944687268311</v>
      </c>
    </row>
    <row r="118" spans="13:16" x14ac:dyDescent="0.4">
      <c r="M118">
        <v>2033</v>
      </c>
      <c r="N118" s="53">
        <v>48884</v>
      </c>
      <c r="O118" s="199">
        <v>67.126566157845218</v>
      </c>
      <c r="P118" s="199">
        <v>58.649170529785813</v>
      </c>
    </row>
    <row r="119" spans="13:16" x14ac:dyDescent="0.4">
      <c r="M119">
        <v>2033</v>
      </c>
      <c r="N119" s="53">
        <v>48914</v>
      </c>
      <c r="O119" s="199">
        <v>119.43432997448956</v>
      </c>
      <c r="P119" s="199">
        <v>99.593825266837328</v>
      </c>
    </row>
    <row r="120" spans="13:16" x14ac:dyDescent="0.4">
      <c r="M120">
        <v>2034</v>
      </c>
      <c r="N120" s="53">
        <v>48945</v>
      </c>
      <c r="O120" s="115">
        <v>157.65500533933081</v>
      </c>
      <c r="P120" s="115">
        <v>125.23445123183883</v>
      </c>
    </row>
    <row r="121" spans="13:16" x14ac:dyDescent="0.4">
      <c r="M121">
        <v>2034</v>
      </c>
      <c r="N121" s="53">
        <v>48976</v>
      </c>
      <c r="O121" s="115">
        <v>146.93293416035769</v>
      </c>
      <c r="P121" s="115">
        <v>117.61886036234388</v>
      </c>
    </row>
    <row r="122" spans="13:16" x14ac:dyDescent="0.4">
      <c r="M122">
        <v>2034</v>
      </c>
      <c r="N122" s="53">
        <v>49004</v>
      </c>
      <c r="O122" s="115">
        <v>60.954560447174892</v>
      </c>
      <c r="P122" s="115">
        <v>53.041141915924939</v>
      </c>
    </row>
    <row r="123" spans="13:16" x14ac:dyDescent="0.4">
      <c r="M123">
        <v>2034</v>
      </c>
      <c r="N123" s="53">
        <v>49035</v>
      </c>
      <c r="O123" s="115">
        <v>40.646296081180864</v>
      </c>
      <c r="P123" s="115">
        <v>34.288364377831861</v>
      </c>
    </row>
    <row r="124" spans="13:16" x14ac:dyDescent="0.4">
      <c r="M124">
        <v>2034</v>
      </c>
      <c r="N124" s="53">
        <v>49065</v>
      </c>
      <c r="O124" s="115">
        <v>33.15299406285169</v>
      </c>
      <c r="P124" s="115">
        <v>28.279466422151234</v>
      </c>
    </row>
    <row r="125" spans="13:16" x14ac:dyDescent="0.4">
      <c r="M125">
        <v>2034</v>
      </c>
      <c r="N125" s="53">
        <v>49096</v>
      </c>
      <c r="O125" s="115">
        <v>40.552168981370706</v>
      </c>
      <c r="P125" s="115">
        <v>34.06640767074191</v>
      </c>
    </row>
    <row r="126" spans="13:16" x14ac:dyDescent="0.4">
      <c r="M126">
        <v>2034</v>
      </c>
      <c r="N126" s="53">
        <v>49126</v>
      </c>
      <c r="O126" s="115">
        <v>49.242805417338111</v>
      </c>
      <c r="P126" s="115">
        <v>39.046520871982977</v>
      </c>
    </row>
    <row r="127" spans="13:16" x14ac:dyDescent="0.4">
      <c r="M127">
        <v>2034</v>
      </c>
      <c r="N127" s="53">
        <v>49157</v>
      </c>
      <c r="O127" s="115">
        <v>49.692083267924723</v>
      </c>
      <c r="P127" s="115">
        <v>39.430425331618672</v>
      </c>
    </row>
    <row r="128" spans="13:16" x14ac:dyDescent="0.4">
      <c r="M128">
        <v>2034</v>
      </c>
      <c r="N128" s="53">
        <v>49188</v>
      </c>
      <c r="O128" s="115">
        <v>40.285672594019985</v>
      </c>
      <c r="P128" s="115">
        <v>34.697433268337797</v>
      </c>
    </row>
    <row r="129" spans="13:16" x14ac:dyDescent="0.4">
      <c r="M129">
        <v>2034</v>
      </c>
      <c r="N129" s="53">
        <v>49218</v>
      </c>
      <c r="O129" s="115">
        <v>43.982465426637177</v>
      </c>
      <c r="P129" s="115">
        <v>35.261343581013676</v>
      </c>
    </row>
    <row r="130" spans="13:16" x14ac:dyDescent="0.4">
      <c r="M130">
        <v>2034</v>
      </c>
      <c r="N130" s="53">
        <v>49249</v>
      </c>
      <c r="O130" s="115">
        <v>68.469097481002123</v>
      </c>
      <c r="P130" s="115">
        <v>59.822153940381533</v>
      </c>
    </row>
    <row r="131" spans="13:16" x14ac:dyDescent="0.4">
      <c r="M131">
        <v>2034</v>
      </c>
      <c r="N131" s="53">
        <v>49279</v>
      </c>
      <c r="O131" s="115">
        <v>121.82301657397934</v>
      </c>
      <c r="P131" s="115">
        <v>101.58570177217408</v>
      </c>
    </row>
    <row r="132" spans="13:16" x14ac:dyDescent="0.4">
      <c r="M132">
        <v>2035</v>
      </c>
      <c r="N132" s="53">
        <v>49310</v>
      </c>
      <c r="O132" s="115">
        <v>160.80810544611742</v>
      </c>
      <c r="P132" s="115">
        <v>127.73914025647561</v>
      </c>
    </row>
    <row r="133" spans="13:16" x14ac:dyDescent="0.4">
      <c r="M133">
        <v>2035</v>
      </c>
      <c r="N133" s="53">
        <v>49341</v>
      </c>
      <c r="O133" s="115">
        <v>149.87159284356483</v>
      </c>
      <c r="P133" s="115">
        <v>119.97123756959076</v>
      </c>
    </row>
    <row r="134" spans="13:16" x14ac:dyDescent="0.4">
      <c r="M134">
        <v>2035</v>
      </c>
      <c r="N134" s="53">
        <v>49369</v>
      </c>
      <c r="O134" s="115">
        <v>62.173651656118388</v>
      </c>
      <c r="P134" s="115">
        <v>54.101964754243433</v>
      </c>
    </row>
    <row r="135" spans="13:16" x14ac:dyDescent="0.4">
      <c r="M135">
        <v>2035</v>
      </c>
      <c r="N135" s="53">
        <v>49400</v>
      </c>
      <c r="O135" s="115">
        <v>41.459222002804481</v>
      </c>
      <c r="P135" s="115">
        <v>34.974131665388498</v>
      </c>
    </row>
    <row r="136" spans="13:16" x14ac:dyDescent="0.4">
      <c r="M136">
        <v>2035</v>
      </c>
      <c r="N136" s="53">
        <v>49430</v>
      </c>
      <c r="O136" s="115">
        <v>33.816053944108724</v>
      </c>
      <c r="P136" s="115">
        <v>28.845055750594256</v>
      </c>
    </row>
    <row r="137" spans="13:16" x14ac:dyDescent="0.4">
      <c r="M137">
        <v>2035</v>
      </c>
      <c r="N137" s="53">
        <v>49461</v>
      </c>
      <c r="O137" s="115">
        <v>41.363212360998119</v>
      </c>
      <c r="P137" s="115">
        <v>34.747735824156742</v>
      </c>
    </row>
    <row r="138" spans="13:16" x14ac:dyDescent="0.4">
      <c r="M138">
        <v>2035</v>
      </c>
      <c r="N138" s="53">
        <v>49491</v>
      </c>
      <c r="O138" s="115">
        <v>50.227661525684873</v>
      </c>
      <c r="P138" s="115">
        <v>39.827451289422633</v>
      </c>
    </row>
    <row r="139" spans="13:16" x14ac:dyDescent="0.4">
      <c r="M139">
        <v>2035</v>
      </c>
      <c r="N139" s="53">
        <v>49522</v>
      </c>
      <c r="O139" s="115">
        <v>50.685924933283211</v>
      </c>
      <c r="P139" s="115">
        <v>40.219033838251043</v>
      </c>
    </row>
    <row r="140" spans="13:16" x14ac:dyDescent="0.4">
      <c r="M140">
        <v>2035</v>
      </c>
      <c r="N140" s="53">
        <v>49553</v>
      </c>
      <c r="O140" s="115">
        <v>41.091386045900386</v>
      </c>
      <c r="P140" s="115">
        <v>35.391381933704551</v>
      </c>
    </row>
    <row r="141" spans="13:16" x14ac:dyDescent="0.4">
      <c r="M141">
        <v>2035</v>
      </c>
      <c r="N141" s="53">
        <v>49583</v>
      </c>
      <c r="O141" s="115">
        <v>44.862114735169918</v>
      </c>
      <c r="P141" s="115">
        <v>35.966570452633952</v>
      </c>
    </row>
    <row r="142" spans="13:16" x14ac:dyDescent="0.4">
      <c r="M142">
        <v>2035</v>
      </c>
      <c r="N142" s="53">
        <v>49614</v>
      </c>
      <c r="O142" s="115">
        <v>69.838479430622158</v>
      </c>
      <c r="P142" s="115">
        <v>61.018597019189158</v>
      </c>
    </row>
    <row r="143" spans="13:16" x14ac:dyDescent="0.4">
      <c r="M143">
        <v>2035</v>
      </c>
      <c r="N143" s="53">
        <v>49644</v>
      </c>
      <c r="O143" s="115">
        <v>124.25947690545894</v>
      </c>
      <c r="P143" s="115">
        <v>103.61741580761756</v>
      </c>
    </row>
    <row r="144" spans="13:16" x14ac:dyDescent="0.4">
      <c r="M144">
        <v>2036</v>
      </c>
      <c r="N144" s="53">
        <v>49675</v>
      </c>
      <c r="O144" s="115">
        <v>164.02426755503976</v>
      </c>
      <c r="P144" s="115">
        <v>130.29392306160511</v>
      </c>
    </row>
    <row r="145" spans="13:16" x14ac:dyDescent="0.4">
      <c r="M145">
        <v>2036</v>
      </c>
      <c r="N145" s="53">
        <v>49706</v>
      </c>
      <c r="O145" s="115">
        <v>152.86902470043611</v>
      </c>
      <c r="P145" s="115">
        <v>122.37066232098256</v>
      </c>
    </row>
    <row r="146" spans="13:16" x14ac:dyDescent="0.4">
      <c r="M146">
        <v>2036</v>
      </c>
      <c r="N146" s="53">
        <v>49735</v>
      </c>
      <c r="O146" s="115">
        <v>63.417124689240751</v>
      </c>
      <c r="P146" s="115">
        <v>55.184004049328301</v>
      </c>
    </row>
    <row r="147" spans="13:16" x14ac:dyDescent="0.4">
      <c r="M147">
        <v>2036</v>
      </c>
      <c r="N147" s="53">
        <v>49766</v>
      </c>
      <c r="O147" s="115">
        <v>42.28840644286057</v>
      </c>
      <c r="P147" s="115">
        <v>35.673614298696265</v>
      </c>
    </row>
    <row r="148" spans="13:16" x14ac:dyDescent="0.4">
      <c r="M148">
        <v>2036</v>
      </c>
      <c r="N148" s="53">
        <v>49796</v>
      </c>
      <c r="O148" s="115">
        <v>34.492375022990899</v>
      </c>
      <c r="P148" s="115">
        <v>29.421956865606141</v>
      </c>
    </row>
    <row r="149" spans="13:16" x14ac:dyDescent="0.4">
      <c r="M149">
        <v>2036</v>
      </c>
      <c r="N149" s="53">
        <v>49827</v>
      </c>
      <c r="O149" s="115">
        <v>42.190476608218077</v>
      </c>
      <c r="P149" s="115">
        <v>35.44269054063988</v>
      </c>
    </row>
    <row r="150" spans="13:16" x14ac:dyDescent="0.4">
      <c r="M150">
        <v>2036</v>
      </c>
      <c r="N150" s="53">
        <v>49857</v>
      </c>
      <c r="O150" s="115">
        <v>51.232214756198566</v>
      </c>
      <c r="P150" s="115">
        <v>40.624000315211084</v>
      </c>
    </row>
    <row r="151" spans="13:16" x14ac:dyDescent="0.4">
      <c r="M151">
        <v>2036</v>
      </c>
      <c r="N151" s="53">
        <v>49888</v>
      </c>
      <c r="O151" s="115">
        <v>51.699643431948871</v>
      </c>
      <c r="P151" s="115">
        <v>41.023414515016064</v>
      </c>
    </row>
    <row r="152" spans="13:16" x14ac:dyDescent="0.4">
      <c r="M152">
        <v>2036</v>
      </c>
      <c r="N152" s="53">
        <v>49919</v>
      </c>
      <c r="O152" s="115">
        <v>41.913213766818387</v>
      </c>
      <c r="P152" s="115">
        <v>36.099209572378641</v>
      </c>
    </row>
    <row r="153" spans="13:16" x14ac:dyDescent="0.4">
      <c r="M153">
        <v>2036</v>
      </c>
      <c r="N153" s="53">
        <v>49949</v>
      </c>
      <c r="O153" s="115">
        <v>45.759357029873314</v>
      </c>
      <c r="P153" s="115">
        <v>36.685901861686631</v>
      </c>
    </row>
    <row r="154" spans="13:16" x14ac:dyDescent="0.4">
      <c r="M154">
        <v>2036</v>
      </c>
      <c r="N154" s="53">
        <v>49980</v>
      </c>
      <c r="O154" s="115">
        <v>71.235249019234601</v>
      </c>
      <c r="P154" s="115">
        <v>62.238968959572937</v>
      </c>
    </row>
    <row r="155" spans="13:16" x14ac:dyDescent="0.4">
      <c r="M155">
        <v>2036</v>
      </c>
      <c r="N155" s="53">
        <v>50010</v>
      </c>
      <c r="O155" s="115">
        <v>126.74466644356811</v>
      </c>
      <c r="P155" s="115">
        <v>105.6897641237699</v>
      </c>
    </row>
    <row r="156" spans="13:16" x14ac:dyDescent="0.4">
      <c r="M156">
        <v>2037</v>
      </c>
      <c r="N156" s="53">
        <v>50041</v>
      </c>
      <c r="O156" s="115">
        <v>167.30475290614058</v>
      </c>
      <c r="P156" s="115">
        <v>132.89980152283724</v>
      </c>
    </row>
    <row r="157" spans="13:16" x14ac:dyDescent="0.4">
      <c r="M157">
        <v>2037</v>
      </c>
      <c r="N157" s="53">
        <v>50072</v>
      </c>
      <c r="O157" s="115">
        <v>155.92640519444487</v>
      </c>
      <c r="P157" s="115">
        <v>124.81807556740222</v>
      </c>
    </row>
    <row r="158" spans="13:16" x14ac:dyDescent="0.4">
      <c r="M158">
        <v>2037</v>
      </c>
      <c r="N158" s="53">
        <v>50100</v>
      </c>
      <c r="O158" s="115">
        <v>64.685467183025565</v>
      </c>
      <c r="P158" s="115">
        <v>56.287684130314872</v>
      </c>
    </row>
    <row r="159" spans="13:16" x14ac:dyDescent="0.4">
      <c r="M159">
        <v>2037</v>
      </c>
      <c r="N159" s="53">
        <v>50131</v>
      </c>
      <c r="O159" s="115">
        <v>43.134174571717779</v>
      </c>
      <c r="P159" s="115">
        <v>36.387086584670186</v>
      </c>
    </row>
    <row r="160" spans="13:16" x14ac:dyDescent="0.4">
      <c r="M160">
        <v>2037</v>
      </c>
      <c r="N160" s="53">
        <v>50161</v>
      </c>
      <c r="O160" s="115">
        <v>35.182222523450719</v>
      </c>
      <c r="P160" s="115">
        <v>30.010396002918263</v>
      </c>
    </row>
    <row r="161" spans="13:16" x14ac:dyDescent="0.4">
      <c r="M161">
        <v>2037</v>
      </c>
      <c r="N161" s="53">
        <v>50192</v>
      </c>
      <c r="O161" s="115">
        <v>43.034286140382441</v>
      </c>
      <c r="P161" s="115">
        <v>36.151544351452678</v>
      </c>
    </row>
    <row r="162" spans="13:16" x14ac:dyDescent="0.4">
      <c r="M162">
        <v>2037</v>
      </c>
      <c r="N162" s="53">
        <v>50222</v>
      </c>
      <c r="O162" s="115">
        <v>52.256859051322543</v>
      </c>
      <c r="P162" s="115">
        <v>41.436480321515312</v>
      </c>
    </row>
    <row r="163" spans="13:16" x14ac:dyDescent="0.4">
      <c r="M163">
        <v>2037</v>
      </c>
      <c r="N163" s="53">
        <v>50253</v>
      </c>
      <c r="O163" s="115">
        <v>52.733636300587854</v>
      </c>
      <c r="P163" s="115">
        <v>41.84388280531639</v>
      </c>
    </row>
    <row r="164" spans="13:16" x14ac:dyDescent="0.4">
      <c r="M164">
        <v>2037</v>
      </c>
      <c r="N164" s="53">
        <v>50284</v>
      </c>
      <c r="O164" s="115">
        <v>42.751478042154758</v>
      </c>
      <c r="P164" s="115">
        <v>36.821193763826216</v>
      </c>
    </row>
    <row r="165" spans="13:16" x14ac:dyDescent="0.4">
      <c r="M165">
        <v>2037</v>
      </c>
      <c r="N165" s="53">
        <v>50314</v>
      </c>
      <c r="O165" s="115">
        <v>46.674544170470782</v>
      </c>
      <c r="P165" s="115">
        <v>37.419619898920359</v>
      </c>
    </row>
    <row r="166" spans="13:16" x14ac:dyDescent="0.4">
      <c r="M166">
        <v>2037</v>
      </c>
      <c r="N166" s="53">
        <v>50345</v>
      </c>
      <c r="O166" s="115">
        <v>72.659953999619304</v>
      </c>
      <c r="P166" s="115">
        <v>63.4837483387644</v>
      </c>
    </row>
    <row r="167" spans="13:16" x14ac:dyDescent="0.4">
      <c r="M167">
        <v>2037</v>
      </c>
      <c r="N167" s="53">
        <v>50375</v>
      </c>
      <c r="O167" s="115">
        <v>129.27955977243948</v>
      </c>
      <c r="P167" s="115">
        <v>107.8035594062453</v>
      </c>
    </row>
    <row r="168" spans="13:16" x14ac:dyDescent="0.4">
      <c r="M168">
        <v>2038</v>
      </c>
      <c r="N168" s="53">
        <v>50406</v>
      </c>
      <c r="O168" s="115">
        <v>170.65084796426339</v>
      </c>
      <c r="P168" s="115">
        <v>135.55779755329397</v>
      </c>
    </row>
    <row r="169" spans="13:16" x14ac:dyDescent="0.4">
      <c r="M169">
        <v>2038</v>
      </c>
      <c r="N169" s="53">
        <v>50437</v>
      </c>
      <c r="O169" s="115">
        <v>159.04493329833375</v>
      </c>
      <c r="P169" s="115">
        <v>127.31443707875027</v>
      </c>
    </row>
    <row r="170" spans="13:16" x14ac:dyDescent="0.4">
      <c r="M170">
        <v>2038</v>
      </c>
      <c r="N170" s="53">
        <v>50465</v>
      </c>
      <c r="O170" s="115">
        <v>65.979176526686075</v>
      </c>
      <c r="P170" s="115">
        <v>57.413437812921167</v>
      </c>
    </row>
    <row r="171" spans="13:16" x14ac:dyDescent="0.4">
      <c r="M171">
        <v>2038</v>
      </c>
      <c r="N171" s="53">
        <v>50496</v>
      </c>
      <c r="O171" s="115">
        <v>43.996858063152139</v>
      </c>
      <c r="P171" s="115">
        <v>37.114828316363592</v>
      </c>
    </row>
    <row r="172" spans="13:16" x14ac:dyDescent="0.4">
      <c r="M172">
        <v>2038</v>
      </c>
      <c r="N172" s="53">
        <v>50526</v>
      </c>
      <c r="O172" s="115">
        <v>35.885866973919732</v>
      </c>
      <c r="P172" s="115">
        <v>30.61060392297663</v>
      </c>
    </row>
    <row r="173" spans="13:16" x14ac:dyDescent="0.4">
      <c r="M173">
        <v>2038</v>
      </c>
      <c r="N173" s="53">
        <v>50557</v>
      </c>
      <c r="O173" s="115">
        <v>43.894971863190094</v>
      </c>
      <c r="P173" s="115">
        <v>36.874575238481732</v>
      </c>
    </row>
    <row r="174" spans="13:16" x14ac:dyDescent="0.4">
      <c r="M174">
        <v>2038</v>
      </c>
      <c r="N174" s="53">
        <v>50587</v>
      </c>
      <c r="O174" s="115">
        <v>53.301996232348998</v>
      </c>
      <c r="P174" s="115">
        <v>42.265209927945619</v>
      </c>
    </row>
    <row r="175" spans="13:16" x14ac:dyDescent="0.4">
      <c r="M175">
        <v>2038</v>
      </c>
      <c r="N175" s="53">
        <v>50618</v>
      </c>
      <c r="O175" s="115">
        <v>53.788309026599613</v>
      </c>
      <c r="P175" s="115">
        <v>42.680760461422715</v>
      </c>
    </row>
    <row r="176" spans="13:16" x14ac:dyDescent="0.4">
      <c r="M176">
        <v>2038</v>
      </c>
      <c r="N176" s="53">
        <v>50649</v>
      </c>
      <c r="O176" s="115">
        <v>43.606507602997858</v>
      </c>
      <c r="P176" s="115">
        <v>37.557617639102745</v>
      </c>
    </row>
    <row r="177" spans="13:16" x14ac:dyDescent="0.4">
      <c r="M177">
        <v>2038</v>
      </c>
      <c r="N177" s="53">
        <v>50679</v>
      </c>
      <c r="O177" s="115">
        <v>47.608035053880201</v>
      </c>
      <c r="P177" s="115">
        <v>38.168012296898773</v>
      </c>
    </row>
    <row r="178" spans="13:16" x14ac:dyDescent="0.4">
      <c r="M178">
        <v>2038</v>
      </c>
      <c r="N178" s="53">
        <v>50710</v>
      </c>
      <c r="O178" s="115">
        <v>74.113153079611692</v>
      </c>
      <c r="P178" s="115">
        <v>64.753423305539698</v>
      </c>
    </row>
    <row r="179" spans="13:16" x14ac:dyDescent="0.4">
      <c r="M179">
        <v>2038</v>
      </c>
      <c r="N179" s="53">
        <v>50740</v>
      </c>
      <c r="O179" s="115">
        <v>131.86515096788827</v>
      </c>
      <c r="P179" s="115">
        <v>109.95963059437021</v>
      </c>
    </row>
    <row r="180" spans="13:16" x14ac:dyDescent="0.4">
      <c r="M180">
        <v>2039</v>
      </c>
      <c r="N180" s="53">
        <v>50771</v>
      </c>
      <c r="O180" s="115">
        <v>174.06386492354866</v>
      </c>
      <c r="P180" s="115">
        <v>138.26895350435987</v>
      </c>
    </row>
    <row r="181" spans="13:16" x14ac:dyDescent="0.4">
      <c r="M181">
        <v>2039</v>
      </c>
      <c r="N181" s="53">
        <v>50802</v>
      </c>
      <c r="O181" s="115">
        <v>162.22583196430045</v>
      </c>
      <c r="P181" s="115">
        <v>129.86072582032529</v>
      </c>
    </row>
    <row r="182" spans="13:16" x14ac:dyDescent="0.4">
      <c r="M182">
        <v>2039</v>
      </c>
      <c r="N182" s="53">
        <v>50830</v>
      </c>
      <c r="O182" s="115">
        <v>67.298760057219809</v>
      </c>
      <c r="P182" s="115">
        <v>58.561706569179599</v>
      </c>
    </row>
    <row r="183" spans="13:16" x14ac:dyDescent="0.4">
      <c r="M183">
        <v>2039</v>
      </c>
      <c r="N183" s="53">
        <v>50861</v>
      </c>
      <c r="O183" s="115">
        <v>44.876795224415183</v>
      </c>
      <c r="P183" s="115">
        <v>37.857124882690869</v>
      </c>
    </row>
    <row r="184" spans="13:16" x14ac:dyDescent="0.4">
      <c r="M184">
        <v>2039</v>
      </c>
      <c r="N184" s="53">
        <v>50891</v>
      </c>
      <c r="O184" s="115">
        <v>36.60358431339813</v>
      </c>
      <c r="P184" s="115">
        <v>31.222816001436165</v>
      </c>
    </row>
    <row r="185" spans="13:16" x14ac:dyDescent="0.4">
      <c r="M185">
        <v>2039</v>
      </c>
      <c r="N185" s="53">
        <v>50922</v>
      </c>
      <c r="O185" s="115">
        <v>44.7728713004539</v>
      </c>
      <c r="P185" s="115">
        <v>37.612066743251368</v>
      </c>
    </row>
    <row r="186" spans="13:16" x14ac:dyDescent="0.4">
      <c r="M186">
        <v>2039</v>
      </c>
      <c r="N186" s="53">
        <v>50952</v>
      </c>
      <c r="O186" s="115">
        <v>54.368036156995977</v>
      </c>
      <c r="P186" s="115">
        <v>43.110514126504533</v>
      </c>
    </row>
    <row r="187" spans="13:16" x14ac:dyDescent="0.4">
      <c r="M187">
        <v>2039</v>
      </c>
      <c r="N187" s="53">
        <v>50983</v>
      </c>
      <c r="O187" s="115">
        <v>54.864075207131606</v>
      </c>
      <c r="P187" s="115">
        <v>43.534375670651173</v>
      </c>
    </row>
    <row r="188" spans="13:16" x14ac:dyDescent="0.4">
      <c r="M188">
        <v>2039</v>
      </c>
      <c r="N188" s="53">
        <v>51014</v>
      </c>
      <c r="O188" s="115">
        <v>44.478637755057818</v>
      </c>
      <c r="P188" s="115">
        <v>38.308769991884802</v>
      </c>
    </row>
    <row r="189" spans="13:16" x14ac:dyDescent="0.4">
      <c r="M189">
        <v>2039</v>
      </c>
      <c r="N189" s="53">
        <v>51044</v>
      </c>
      <c r="O189" s="115">
        <v>48.560195754957803</v>
      </c>
      <c r="P189" s="115">
        <v>38.931372542836748</v>
      </c>
    </row>
    <row r="190" spans="13:16" x14ac:dyDescent="0.4">
      <c r="M190">
        <v>2039</v>
      </c>
      <c r="N190" s="53">
        <v>51075</v>
      </c>
      <c r="O190" s="115">
        <v>75.595416141203927</v>
      </c>
      <c r="P190" s="115">
        <v>66.04849177165049</v>
      </c>
    </row>
    <row r="191" spans="13:16" x14ac:dyDescent="0.4">
      <c r="M191">
        <v>2039</v>
      </c>
      <c r="N191" s="53">
        <v>51105</v>
      </c>
      <c r="O191" s="115">
        <v>134.50245398724604</v>
      </c>
      <c r="P191" s="115">
        <v>112.15882320625762</v>
      </c>
    </row>
    <row r="192" spans="13:16" x14ac:dyDescent="0.4">
      <c r="M192">
        <v>2040</v>
      </c>
      <c r="N192" s="53">
        <v>51136</v>
      </c>
      <c r="O192" s="115">
        <v>177.54514222201959</v>
      </c>
      <c r="P192" s="115">
        <v>141.03433257444703</v>
      </c>
    </row>
    <row r="193" spans="13:16" x14ac:dyDescent="0.4">
      <c r="M193">
        <v>2040</v>
      </c>
      <c r="N193" s="53">
        <v>51167</v>
      </c>
      <c r="O193" s="115">
        <v>165.47034860358642</v>
      </c>
      <c r="P193" s="115">
        <v>132.45794033673175</v>
      </c>
    </row>
    <row r="194" spans="13:16" x14ac:dyDescent="0.4">
      <c r="M194">
        <v>2040</v>
      </c>
      <c r="N194" s="53">
        <v>51196</v>
      </c>
      <c r="O194" s="115">
        <v>68.644735258364193</v>
      </c>
      <c r="P194" s="115">
        <v>59.732940700563177</v>
      </c>
    </row>
    <row r="195" spans="13:16" x14ac:dyDescent="0.4">
      <c r="M195">
        <v>2040</v>
      </c>
      <c r="N195" s="53">
        <v>51227</v>
      </c>
      <c r="O195" s="115">
        <v>45.774331128903476</v>
      </c>
      <c r="P195" s="115">
        <v>38.614267380344678</v>
      </c>
    </row>
    <row r="196" spans="13:16" x14ac:dyDescent="0.4">
      <c r="M196">
        <v>2040</v>
      </c>
      <c r="N196" s="53">
        <v>51257</v>
      </c>
      <c r="O196" s="115">
        <v>37.335655999666081</v>
      </c>
      <c r="P196" s="115">
        <v>31.847272321464882</v>
      </c>
    </row>
    <row r="197" spans="13:16" x14ac:dyDescent="0.4">
      <c r="M197">
        <v>2040</v>
      </c>
      <c r="N197" s="53">
        <v>51288</v>
      </c>
      <c r="O197" s="115">
        <v>45.668328726462967</v>
      </c>
      <c r="P197" s="115">
        <v>38.364308078116387</v>
      </c>
    </row>
    <row r="198" spans="13:16" x14ac:dyDescent="0.4">
      <c r="M198">
        <v>2040</v>
      </c>
      <c r="N198" s="53">
        <v>51318</v>
      </c>
      <c r="O198" s="115">
        <v>55.455396880135886</v>
      </c>
      <c r="P198" s="115">
        <v>43.972724409034612</v>
      </c>
    </row>
    <row r="199" spans="13:16" x14ac:dyDescent="0.4">
      <c r="M199">
        <v>2040</v>
      </c>
      <c r="N199" s="53">
        <v>51349</v>
      </c>
      <c r="O199" s="115">
        <v>55.961356711274227</v>
      </c>
      <c r="P199" s="115">
        <v>44.40506318406419</v>
      </c>
    </row>
    <row r="200" spans="13:16" x14ac:dyDescent="0.4">
      <c r="M200">
        <v>2040</v>
      </c>
      <c r="N200" s="53">
        <v>51380</v>
      </c>
      <c r="O200" s="115">
        <v>45.36821051015896</v>
      </c>
      <c r="P200" s="115">
        <v>39.074945391722487</v>
      </c>
    </row>
    <row r="201" spans="13:16" x14ac:dyDescent="0.4">
      <c r="M201">
        <v>2040</v>
      </c>
      <c r="N201" s="53">
        <v>51410</v>
      </c>
      <c r="O201" s="115">
        <v>49.531399670056949</v>
      </c>
      <c r="P201" s="115">
        <v>39.709999993693472</v>
      </c>
    </row>
    <row r="202" spans="13:16" x14ac:dyDescent="0.4">
      <c r="M202">
        <v>2040</v>
      </c>
      <c r="N202" s="53">
        <v>51441</v>
      </c>
      <c r="O202" s="115">
        <v>77.107324464027982</v>
      </c>
      <c r="P202" s="115">
        <v>67.36946160708348</v>
      </c>
    </row>
    <row r="203" spans="13:16" x14ac:dyDescent="0.4">
      <c r="M203">
        <v>2040</v>
      </c>
      <c r="N203" s="53">
        <v>51471</v>
      </c>
      <c r="O203" s="115">
        <v>137.19250306699092</v>
      </c>
      <c r="P203" s="115">
        <v>114.40199967038275</v>
      </c>
    </row>
    <row r="204" spans="13:16" x14ac:dyDescent="0.4">
      <c r="M204">
        <v>2041</v>
      </c>
      <c r="N204" s="53">
        <v>51502</v>
      </c>
      <c r="O204" s="115">
        <v>181.09604506645999</v>
      </c>
      <c r="P204" s="115">
        <v>143.85501922593599</v>
      </c>
    </row>
    <row r="205" spans="13:16" x14ac:dyDescent="0.4">
      <c r="M205">
        <v>2041</v>
      </c>
      <c r="N205" s="53">
        <v>51533</v>
      </c>
      <c r="O205" s="115">
        <v>168.77975557565816</v>
      </c>
      <c r="P205" s="115">
        <v>135.1070991434664</v>
      </c>
    </row>
    <row r="206" spans="13:16" x14ac:dyDescent="0.4">
      <c r="M206">
        <v>2041</v>
      </c>
      <c r="N206" s="53">
        <v>51561</v>
      </c>
      <c r="O206" s="115">
        <v>70.017629963531476</v>
      </c>
      <c r="P206" s="115">
        <v>60.927599514574446</v>
      </c>
    </row>
    <row r="207" spans="13:16" x14ac:dyDescent="0.4">
      <c r="M207">
        <v>2041</v>
      </c>
      <c r="N207" s="53">
        <v>51592</v>
      </c>
      <c r="O207" s="115">
        <v>46.689817751481549</v>
      </c>
      <c r="P207" s="115">
        <v>39.386552727951575</v>
      </c>
    </row>
    <row r="208" spans="13:16" x14ac:dyDescent="0.4">
      <c r="M208">
        <v>2041</v>
      </c>
      <c r="N208" s="53">
        <v>51622</v>
      </c>
      <c r="O208" s="115">
        <v>38.082369119659411</v>
      </c>
      <c r="P208" s="115">
        <v>32.484217767894179</v>
      </c>
    </row>
    <row r="209" spans="13:16" x14ac:dyDescent="0.4">
      <c r="M209">
        <v>2041</v>
      </c>
      <c r="N209" s="53">
        <v>51653</v>
      </c>
      <c r="O209" s="115">
        <v>46.58169530099223</v>
      </c>
      <c r="P209" s="115">
        <v>39.131594239678719</v>
      </c>
    </row>
    <row r="210" spans="13:16" x14ac:dyDescent="0.4">
      <c r="M210">
        <v>2041</v>
      </c>
      <c r="N210" s="53">
        <v>51683</v>
      </c>
      <c r="O210" s="115">
        <v>56.564504817738609</v>
      </c>
      <c r="P210" s="115">
        <v>44.85217889721531</v>
      </c>
    </row>
    <row r="211" spans="13:16" x14ac:dyDescent="0.4">
      <c r="M211">
        <v>2041</v>
      </c>
      <c r="N211" s="53">
        <v>51714</v>
      </c>
      <c r="O211" s="115">
        <v>57.080583845499717</v>
      </c>
      <c r="P211" s="115">
        <v>45.293164447745475</v>
      </c>
    </row>
    <row r="212" spans="13:16" x14ac:dyDescent="0.4">
      <c r="M212">
        <v>2041</v>
      </c>
      <c r="N212" s="53">
        <v>51745</v>
      </c>
      <c r="O212" s="115">
        <v>46.275574720362144</v>
      </c>
      <c r="P212" s="115">
        <v>39.856444299556941</v>
      </c>
    </row>
    <row r="213" spans="13:16" x14ac:dyDescent="0.4">
      <c r="M213">
        <v>2041</v>
      </c>
      <c r="N213" s="53">
        <v>51775</v>
      </c>
      <c r="O213" s="115">
        <v>50.522027663458097</v>
      </c>
      <c r="P213" s="115">
        <v>40.504199993567347</v>
      </c>
    </row>
    <row r="214" spans="13:16" x14ac:dyDescent="0.4">
      <c r="M214">
        <v>2041</v>
      </c>
      <c r="N214" s="53">
        <v>51806</v>
      </c>
      <c r="O214" s="115">
        <v>78.649470953308551</v>
      </c>
      <c r="P214" s="115">
        <v>68.71685083922516</v>
      </c>
    </row>
    <row r="215" spans="13:16" x14ac:dyDescent="0.4">
      <c r="M215">
        <v>2041</v>
      </c>
      <c r="N215" s="53">
        <v>51836</v>
      </c>
      <c r="O215" s="115">
        <v>139.93635312833075</v>
      </c>
      <c r="P215" s="115">
        <v>116.69003966379042</v>
      </c>
    </row>
    <row r="216" spans="13:16" x14ac:dyDescent="0.4">
      <c r="M216">
        <v>2042</v>
      </c>
      <c r="N216" s="53">
        <v>51867</v>
      </c>
      <c r="O216" s="115">
        <v>184.71796596778921</v>
      </c>
      <c r="P216" s="115">
        <v>146.7321196104547</v>
      </c>
    </row>
    <row r="217" spans="13:16" x14ac:dyDescent="0.4">
      <c r="M217">
        <v>2042</v>
      </c>
      <c r="N217" s="53">
        <v>51898</v>
      </c>
      <c r="O217" s="115">
        <v>172.15535068717134</v>
      </c>
      <c r="P217" s="115">
        <v>137.80924112633573</v>
      </c>
    </row>
    <row r="218" spans="13:16" x14ac:dyDescent="0.4">
      <c r="M218">
        <v>2042</v>
      </c>
      <c r="N218" s="53">
        <v>51926</v>
      </c>
      <c r="O218" s="115">
        <v>71.417982562802109</v>
      </c>
      <c r="P218" s="115">
        <v>62.146151504865934</v>
      </c>
    </row>
    <row r="219" spans="13:16" x14ac:dyDescent="0.4">
      <c r="M219">
        <v>2042</v>
      </c>
      <c r="N219" s="53">
        <v>51957</v>
      </c>
      <c r="O219" s="115">
        <v>47.623614106511177</v>
      </c>
      <c r="P219" s="115">
        <v>40.174283782510606</v>
      </c>
    </row>
    <row r="220" spans="13:16" x14ac:dyDescent="0.4">
      <c r="M220">
        <v>2042</v>
      </c>
      <c r="N220" s="53">
        <v>51987</v>
      </c>
      <c r="O220" s="115">
        <v>38.844016502052597</v>
      </c>
      <c r="P220" s="115">
        <v>33.133902123252064</v>
      </c>
    </row>
    <row r="221" spans="13:16" x14ac:dyDescent="0.4">
      <c r="M221">
        <v>2042</v>
      </c>
      <c r="N221" s="53">
        <v>52018</v>
      </c>
      <c r="O221" s="115">
        <v>47.513329207012077</v>
      </c>
      <c r="P221" s="115">
        <v>39.914226124472293</v>
      </c>
    </row>
    <row r="222" spans="13:16" x14ac:dyDescent="0.4">
      <c r="M222">
        <v>2042</v>
      </c>
      <c r="N222" s="53">
        <v>52048</v>
      </c>
      <c r="O222" s="115">
        <v>57.695794914093376</v>
      </c>
      <c r="P222" s="115">
        <v>45.749222475159613</v>
      </c>
    </row>
    <row r="223" spans="13:16" x14ac:dyDescent="0.4">
      <c r="M223">
        <v>2042</v>
      </c>
      <c r="N223" s="53">
        <v>52079</v>
      </c>
      <c r="O223" s="115">
        <v>58.222195522409713</v>
      </c>
      <c r="P223" s="115">
        <v>46.199027736700387</v>
      </c>
    </row>
    <row r="224" spans="13:16" x14ac:dyDescent="0.4">
      <c r="M224">
        <v>2042</v>
      </c>
      <c r="N224" s="53">
        <v>52110</v>
      </c>
      <c r="O224" s="115">
        <v>47.20108621476939</v>
      </c>
      <c r="P224" s="115">
        <v>40.653573185548076</v>
      </c>
    </row>
    <row r="225" spans="13:16" x14ac:dyDescent="0.4">
      <c r="M225">
        <v>2042</v>
      </c>
      <c r="N225" s="53">
        <v>52140</v>
      </c>
      <c r="O225" s="115">
        <v>51.53246821672726</v>
      </c>
      <c r="P225" s="115">
        <v>41.314283993438693</v>
      </c>
    </row>
    <row r="226" spans="13:16" x14ac:dyDescent="0.4">
      <c r="M226">
        <v>2042</v>
      </c>
      <c r="N226" s="53">
        <v>52171</v>
      </c>
      <c r="O226" s="115">
        <v>80.222460372374726</v>
      </c>
      <c r="P226" s="115">
        <v>70.091187856009668</v>
      </c>
    </row>
    <row r="227" spans="13:16" x14ac:dyDescent="0.4">
      <c r="M227">
        <v>2042</v>
      </c>
      <c r="N227" s="53">
        <v>52201</v>
      </c>
      <c r="O227" s="115">
        <v>142.73508019089738</v>
      </c>
      <c r="P227" s="115">
        <v>119.02384045706623</v>
      </c>
    </row>
    <row r="228" spans="13:16" x14ac:dyDescent="0.4">
      <c r="M228">
        <v>2043</v>
      </c>
      <c r="N228" s="53">
        <v>52232</v>
      </c>
      <c r="O228" s="115">
        <v>188.41232528714499</v>
      </c>
      <c r="P228" s="115">
        <v>149.6667620026638</v>
      </c>
    </row>
    <row r="229" spans="13:16" x14ac:dyDescent="0.4">
      <c r="M229">
        <v>2043</v>
      </c>
      <c r="N229" s="53">
        <v>52263</v>
      </c>
      <c r="O229" s="115">
        <v>175.59845770091476</v>
      </c>
      <c r="P229" s="115">
        <v>140.56542594886247</v>
      </c>
    </row>
    <row r="230" spans="13:16" x14ac:dyDescent="0.4">
      <c r="M230">
        <v>2043</v>
      </c>
      <c r="N230" s="53">
        <v>52291</v>
      </c>
      <c r="O230" s="115">
        <v>72.846342214058154</v>
      </c>
      <c r="P230" s="115">
        <v>63.389074534963257</v>
      </c>
    </row>
    <row r="231" spans="13:16" x14ac:dyDescent="0.4">
      <c r="M231">
        <v>2043</v>
      </c>
      <c r="N231" s="53">
        <v>52322</v>
      </c>
      <c r="O231" s="115">
        <v>48.576086388641407</v>
      </c>
      <c r="P231" s="115">
        <v>40.977769458160822</v>
      </c>
    </row>
    <row r="232" spans="13:16" x14ac:dyDescent="0.4">
      <c r="M232">
        <v>2043</v>
      </c>
      <c r="N232" s="53">
        <v>52352</v>
      </c>
      <c r="O232" s="115">
        <v>39.620896832093649</v>
      </c>
      <c r="P232" s="115">
        <v>33.79658016571711</v>
      </c>
    </row>
    <row r="233" spans="13:16" x14ac:dyDescent="0.4">
      <c r="M233">
        <v>2043</v>
      </c>
      <c r="N233" s="53">
        <v>52383</v>
      </c>
      <c r="O233" s="115">
        <v>48.463595791152315</v>
      </c>
      <c r="P233" s="115">
        <v>40.712510646961739</v>
      </c>
    </row>
    <row r="234" spans="13:16" x14ac:dyDescent="0.4">
      <c r="M234">
        <v>2043</v>
      </c>
      <c r="N234" s="53">
        <v>52413</v>
      </c>
      <c r="O234" s="115">
        <v>58.84971081237525</v>
      </c>
      <c r="P234" s="115">
        <v>46.664206924662807</v>
      </c>
    </row>
    <row r="235" spans="13:16" x14ac:dyDescent="0.4">
      <c r="M235">
        <v>2043</v>
      </c>
      <c r="N235" s="53">
        <v>52444</v>
      </c>
      <c r="O235" s="115">
        <v>59.386639432857912</v>
      </c>
      <c r="P235" s="115">
        <v>47.123008291434395</v>
      </c>
    </row>
    <row r="236" spans="13:16" x14ac:dyDescent="0.4">
      <c r="M236">
        <v>2043</v>
      </c>
      <c r="N236" s="53">
        <v>52475</v>
      </c>
      <c r="O236" s="115">
        <v>48.145107939064779</v>
      </c>
      <c r="P236" s="115">
        <v>41.466644649259038</v>
      </c>
    </row>
    <row r="237" spans="13:16" x14ac:dyDescent="0.4">
      <c r="M237">
        <v>2043</v>
      </c>
      <c r="N237" s="53">
        <v>52505</v>
      </c>
      <c r="O237" s="115">
        <v>52.563117581061803</v>
      </c>
      <c r="P237" s="115">
        <v>42.140569673307468</v>
      </c>
    </row>
    <row r="238" spans="13:16" x14ac:dyDescent="0.4">
      <c r="M238">
        <v>2043</v>
      </c>
      <c r="N238" s="53">
        <v>52536</v>
      </c>
      <c r="O238" s="115">
        <v>81.826909579822228</v>
      </c>
      <c r="P238" s="115">
        <v>71.493011613129852</v>
      </c>
    </row>
    <row r="239" spans="13:16" x14ac:dyDescent="0.4">
      <c r="M239">
        <v>2043</v>
      </c>
      <c r="N239" s="53">
        <v>52566</v>
      </c>
      <c r="O239" s="115">
        <v>145.58978179471532</v>
      </c>
      <c r="P239" s="115">
        <v>121.40431726620756</v>
      </c>
    </row>
    <row r="240" spans="13:16" x14ac:dyDescent="0.4">
      <c r="M240">
        <v>2044</v>
      </c>
      <c r="N240" s="53">
        <v>52597</v>
      </c>
      <c r="O240" s="115">
        <v>192.18057179288786</v>
      </c>
      <c r="P240" s="115">
        <v>152.66009724271706</v>
      </c>
    </row>
    <row r="241" spans="13:16" x14ac:dyDescent="0.4">
      <c r="M241">
        <v>2044</v>
      </c>
      <c r="N241" s="53">
        <v>52628</v>
      </c>
      <c r="O241" s="115">
        <v>179.11042685493302</v>
      </c>
      <c r="P241" s="115">
        <v>143.37673446783967</v>
      </c>
    </row>
    <row r="242" spans="13:16" x14ac:dyDescent="0.4">
      <c r="M242">
        <v>2044</v>
      </c>
      <c r="N242" s="53">
        <v>52657</v>
      </c>
      <c r="O242" s="115">
        <v>74.303269058339296</v>
      </c>
      <c r="P242" s="115">
        <v>64.656856025662506</v>
      </c>
    </row>
    <row r="243" spans="13:16" x14ac:dyDescent="0.4">
      <c r="M243">
        <v>2044</v>
      </c>
      <c r="N243" s="53">
        <v>52688</v>
      </c>
      <c r="O243" s="115">
        <v>49.547608116414224</v>
      </c>
      <c r="P243" s="115">
        <v>41.797324847324028</v>
      </c>
    </row>
    <row r="244" spans="13:16" x14ac:dyDescent="0.4">
      <c r="M244">
        <v>2044</v>
      </c>
      <c r="N244" s="53">
        <v>52718</v>
      </c>
      <c r="O244" s="115">
        <v>40.413314768735518</v>
      </c>
      <c r="P244" s="115">
        <v>34.472511769031442</v>
      </c>
    </row>
    <row r="245" spans="13:16" x14ac:dyDescent="0.4">
      <c r="M245">
        <v>2044</v>
      </c>
      <c r="N245" s="53">
        <v>52749</v>
      </c>
      <c r="O245" s="115">
        <v>49.432867706975358</v>
      </c>
      <c r="P245" s="115">
        <v>41.526760859900968</v>
      </c>
    </row>
    <row r="246" spans="13:16" x14ac:dyDescent="0.4">
      <c r="M246">
        <v>2044</v>
      </c>
      <c r="N246" s="53">
        <v>52779</v>
      </c>
      <c r="O246" s="115">
        <v>60.026705028622743</v>
      </c>
      <c r="P246" s="115">
        <v>47.597491063156056</v>
      </c>
    </row>
    <row r="247" spans="13:16" x14ac:dyDescent="0.4">
      <c r="M247">
        <v>2044</v>
      </c>
      <c r="N247" s="53">
        <v>52810</v>
      </c>
      <c r="O247" s="115">
        <v>60.574372221515056</v>
      </c>
      <c r="P247" s="115">
        <v>48.065468457263073</v>
      </c>
    </row>
    <row r="248" spans="13:16" x14ac:dyDescent="0.4">
      <c r="M248">
        <v>2044</v>
      </c>
      <c r="N248" s="53">
        <v>52841</v>
      </c>
      <c r="O248" s="115">
        <v>49.108010097846062</v>
      </c>
      <c r="P248" s="115">
        <v>42.295977542244216</v>
      </c>
    </row>
    <row r="249" spans="13:16" x14ac:dyDescent="0.4">
      <c r="M249">
        <v>2044</v>
      </c>
      <c r="N249" s="53">
        <v>52871</v>
      </c>
      <c r="O249" s="115">
        <v>53.614379932683029</v>
      </c>
      <c r="P249" s="115">
        <v>42.98338106677361</v>
      </c>
    </row>
    <row r="250" spans="13:16" x14ac:dyDescent="0.4">
      <c r="M250">
        <v>2044</v>
      </c>
      <c r="N250" s="53">
        <v>52902</v>
      </c>
      <c r="O250" s="115">
        <v>83.463447771418657</v>
      </c>
      <c r="P250" s="115">
        <v>72.922871845392436</v>
      </c>
    </row>
    <row r="251" spans="13:16" x14ac:dyDescent="0.4">
      <c r="M251">
        <v>2044</v>
      </c>
      <c r="N251" s="53">
        <v>52932</v>
      </c>
      <c r="O251" s="115">
        <v>148.50157743060961</v>
      </c>
      <c r="P251" s="115">
        <v>123.83240361153169</v>
      </c>
    </row>
    <row r="252" spans="13:16" x14ac:dyDescent="0.4">
      <c r="M252">
        <v>2045</v>
      </c>
      <c r="N252" s="53">
        <v>52963</v>
      </c>
      <c r="O252" s="115">
        <v>196.02418322874564</v>
      </c>
      <c r="P252" s="115">
        <v>155.71329918757141</v>
      </c>
    </row>
    <row r="253" spans="13:16" x14ac:dyDescent="0.4">
      <c r="M253">
        <v>2045</v>
      </c>
      <c r="N253" s="53">
        <v>52994</v>
      </c>
      <c r="O253" s="115">
        <v>182.69263539203172</v>
      </c>
      <c r="P253" s="115">
        <v>146.2442691571965</v>
      </c>
    </row>
    <row r="254" spans="13:16" x14ac:dyDescent="0.4">
      <c r="M254">
        <v>2045</v>
      </c>
      <c r="N254" s="53">
        <v>53022</v>
      </c>
      <c r="O254" s="115">
        <v>75.789334439506092</v>
      </c>
      <c r="P254" s="115">
        <v>65.949993146175771</v>
      </c>
    </row>
    <row r="255" spans="13:16" x14ac:dyDescent="0.4">
      <c r="M255">
        <v>2045</v>
      </c>
      <c r="N255" s="53">
        <v>53053</v>
      </c>
      <c r="O255" s="115">
        <v>50.538560278742516</v>
      </c>
      <c r="P255" s="115">
        <v>42.633271344270518</v>
      </c>
    </row>
    <row r="256" spans="13:16" x14ac:dyDescent="0.4">
      <c r="M256">
        <v>2045</v>
      </c>
      <c r="N256" s="53">
        <v>53083</v>
      </c>
      <c r="O256" s="115">
        <v>41.221581064110232</v>
      </c>
      <c r="P256" s="115">
        <v>35.161962004412075</v>
      </c>
    </row>
    <row r="257" spans="13:16" x14ac:dyDescent="0.4">
      <c r="M257">
        <v>2045</v>
      </c>
      <c r="N257" s="53">
        <v>53114</v>
      </c>
      <c r="O257" s="115">
        <v>50.42152506111487</v>
      </c>
      <c r="P257" s="115">
        <v>42.357296077098994</v>
      </c>
    </row>
    <row r="258" spans="13:16" x14ac:dyDescent="0.4">
      <c r="M258">
        <v>2045</v>
      </c>
      <c r="N258" s="53">
        <v>53144</v>
      </c>
      <c r="O258" s="115">
        <v>61.227239129195212</v>
      </c>
      <c r="P258" s="115">
        <v>48.549440884419184</v>
      </c>
    </row>
    <row r="259" spans="13:16" x14ac:dyDescent="0.4">
      <c r="M259">
        <v>2045</v>
      </c>
      <c r="N259" s="53">
        <v>53175</v>
      </c>
      <c r="O259" s="115">
        <v>61.785859665945367</v>
      </c>
      <c r="P259" s="115">
        <v>49.026777826408342</v>
      </c>
    </row>
    <row r="260" spans="13:16" x14ac:dyDescent="0.4">
      <c r="M260">
        <v>2045</v>
      </c>
      <c r="N260" s="53">
        <v>53206</v>
      </c>
      <c r="O260" s="115">
        <v>50.090170299802992</v>
      </c>
      <c r="P260" s="115">
        <v>43.141897093089106</v>
      </c>
    </row>
    <row r="261" spans="13:16" x14ac:dyDescent="0.4">
      <c r="M261">
        <v>2045</v>
      </c>
      <c r="N261" s="53">
        <v>53236</v>
      </c>
      <c r="O261" s="115">
        <v>54.686667531336703</v>
      </c>
      <c r="P261" s="115">
        <v>43.843048688109093</v>
      </c>
    </row>
    <row r="262" spans="13:16" x14ac:dyDescent="0.4">
      <c r="M262">
        <v>2045</v>
      </c>
      <c r="N262" s="53">
        <v>53267</v>
      </c>
      <c r="O262" s="115">
        <v>85.132716726847036</v>
      </c>
      <c r="P262" s="115">
        <v>74.3813292823003</v>
      </c>
    </row>
    <row r="263" spans="13:16" x14ac:dyDescent="0.4">
      <c r="M263">
        <v>2045</v>
      </c>
      <c r="N263" s="53">
        <v>53297</v>
      </c>
      <c r="O263" s="115">
        <v>151.47160897922183</v>
      </c>
      <c r="P263" s="115">
        <v>126.30905168376233</v>
      </c>
    </row>
    <row r="264" spans="13:16" x14ac:dyDescent="0.4">
      <c r="M264">
        <v>2046</v>
      </c>
      <c r="N264" s="53">
        <v>53328</v>
      </c>
      <c r="O264" s="115">
        <v>199.94466689332054</v>
      </c>
      <c r="P264" s="115">
        <v>158.82756517132285</v>
      </c>
    </row>
    <row r="265" spans="13:16" x14ac:dyDescent="0.4">
      <c r="M265">
        <v>2046</v>
      </c>
      <c r="N265" s="53">
        <v>53359</v>
      </c>
      <c r="O265" s="115">
        <v>186.34648809987232</v>
      </c>
      <c r="P265" s="115">
        <v>149.16915454034043</v>
      </c>
    </row>
    <row r="266" spans="13:16" x14ac:dyDescent="0.4">
      <c r="M266">
        <v>2046</v>
      </c>
      <c r="N266" s="53">
        <v>53387</v>
      </c>
      <c r="O266" s="115">
        <v>77.305121128296221</v>
      </c>
      <c r="P266" s="115">
        <v>67.268993009099276</v>
      </c>
    </row>
    <row r="267" spans="13:16" x14ac:dyDescent="0.4">
      <c r="M267">
        <v>2046</v>
      </c>
      <c r="N267" s="53">
        <v>53418</v>
      </c>
      <c r="O267" s="115">
        <v>51.549331484317364</v>
      </c>
      <c r="P267" s="115">
        <v>43.48593677115592</v>
      </c>
    </row>
    <row r="268" spans="13:16" x14ac:dyDescent="0.4">
      <c r="M268">
        <v>2046</v>
      </c>
      <c r="N268" s="53">
        <v>53448</v>
      </c>
      <c r="O268" s="115">
        <v>42.046012685392434</v>
      </c>
      <c r="P268" s="115">
        <v>35.865201244500319</v>
      </c>
    </row>
    <row r="269" spans="13:16" x14ac:dyDescent="0.4">
      <c r="M269">
        <v>2046</v>
      </c>
      <c r="N269" s="53">
        <v>53479</v>
      </c>
      <c r="O269" s="115">
        <v>51.429955562337163</v>
      </c>
      <c r="P269" s="115">
        <v>43.204441998640974</v>
      </c>
    </row>
    <row r="270" spans="13:16" x14ac:dyDescent="0.4">
      <c r="M270">
        <v>2046</v>
      </c>
      <c r="N270" s="53">
        <v>53509</v>
      </c>
      <c r="O270" s="115">
        <v>62.45178391177911</v>
      </c>
      <c r="P270" s="115">
        <v>49.520429702107563</v>
      </c>
    </row>
    <row r="271" spans="13:16" x14ac:dyDescent="0.4">
      <c r="M271">
        <v>2046</v>
      </c>
      <c r="N271" s="53">
        <v>53540</v>
      </c>
      <c r="O271" s="115">
        <v>63.021576859264272</v>
      </c>
      <c r="P271" s="115">
        <v>50.007313382936509</v>
      </c>
    </row>
    <row r="272" spans="13:16" x14ac:dyDescent="0.4">
      <c r="M272">
        <v>2046</v>
      </c>
      <c r="N272" s="53">
        <v>53571</v>
      </c>
      <c r="O272" s="115">
        <v>51.091973705799049</v>
      </c>
      <c r="P272" s="115">
        <v>44.004735034950883</v>
      </c>
    </row>
    <row r="273" spans="13:16" x14ac:dyDescent="0.4">
      <c r="M273">
        <v>2046</v>
      </c>
      <c r="N273" s="53">
        <v>53601</v>
      </c>
      <c r="O273" s="115">
        <v>55.78040088196343</v>
      </c>
      <c r="P273" s="115">
        <v>44.71990966187127</v>
      </c>
    </row>
    <row r="274" spans="13:16" x14ac:dyDescent="0.4">
      <c r="M274">
        <v>2046</v>
      </c>
      <c r="N274" s="53">
        <v>53632</v>
      </c>
      <c r="O274" s="115">
        <v>86.835371061383981</v>
      </c>
      <c r="P274" s="115">
        <v>75.868955867946312</v>
      </c>
    </row>
    <row r="275" spans="13:16" x14ac:dyDescent="0.4">
      <c r="M275">
        <v>2046</v>
      </c>
      <c r="N275" s="53">
        <v>53662</v>
      </c>
      <c r="O275" s="115">
        <v>154.50104115880626</v>
      </c>
      <c r="P275" s="115">
        <v>128.83523271743758</v>
      </c>
    </row>
    <row r="276" spans="13:16" x14ac:dyDescent="0.4">
      <c r="M276">
        <v>2047</v>
      </c>
      <c r="N276" s="53">
        <v>53693</v>
      </c>
      <c r="O276" s="115">
        <v>203.94356023118698</v>
      </c>
      <c r="P276" s="115">
        <v>162.00411647474931</v>
      </c>
    </row>
    <row r="277" spans="13:16" x14ac:dyDescent="0.4">
      <c r="M277">
        <v>2047</v>
      </c>
      <c r="N277" s="53">
        <v>53724</v>
      </c>
      <c r="O277" s="115">
        <v>190.07341786186979</v>
      </c>
      <c r="P277" s="115">
        <v>152.15253763114725</v>
      </c>
    </row>
    <row r="278" spans="13:16" x14ac:dyDescent="0.4">
      <c r="M278">
        <v>2047</v>
      </c>
      <c r="N278" s="53">
        <v>53752</v>
      </c>
      <c r="O278" s="115">
        <v>78.851223550862144</v>
      </c>
      <c r="P278" s="115">
        <v>68.614372869281269</v>
      </c>
    </row>
    <row r="279" spans="13:16" x14ac:dyDescent="0.4">
      <c r="M279">
        <v>2047</v>
      </c>
      <c r="N279" s="53">
        <v>53783</v>
      </c>
      <c r="O279" s="115">
        <v>52.580318114003717</v>
      </c>
      <c r="P279" s="115">
        <v>44.355655506579048</v>
      </c>
    </row>
    <row r="280" spans="13:16" x14ac:dyDescent="0.4">
      <c r="M280">
        <v>2047</v>
      </c>
      <c r="N280" s="53">
        <v>53813</v>
      </c>
      <c r="O280" s="115">
        <v>42.886932939100291</v>
      </c>
      <c r="P280" s="115">
        <v>36.582505269390325</v>
      </c>
    </row>
    <row r="281" spans="13:16" x14ac:dyDescent="0.4">
      <c r="M281">
        <v>2047</v>
      </c>
      <c r="N281" s="53">
        <v>53844</v>
      </c>
      <c r="O281" s="115">
        <v>52.458554673583912</v>
      </c>
      <c r="P281" s="115">
        <v>44.068530838613796</v>
      </c>
    </row>
    <row r="282" spans="13:16" x14ac:dyDescent="0.4">
      <c r="M282">
        <v>2047</v>
      </c>
      <c r="N282" s="53">
        <v>53874</v>
      </c>
      <c r="O282" s="115">
        <v>63.700819590014696</v>
      </c>
      <c r="P282" s="115">
        <v>50.510838296149721</v>
      </c>
    </row>
    <row r="283" spans="13:16" x14ac:dyDescent="0.4">
      <c r="M283">
        <v>2047</v>
      </c>
      <c r="N283" s="53">
        <v>53905</v>
      </c>
      <c r="O283" s="115">
        <v>64.282008396449569</v>
      </c>
      <c r="P283" s="115">
        <v>51.007459650595244</v>
      </c>
    </row>
    <row r="284" spans="13:16" x14ac:dyDescent="0.4">
      <c r="M284">
        <v>2047</v>
      </c>
      <c r="N284" s="53">
        <v>53936</v>
      </c>
      <c r="O284" s="115">
        <v>52.113813179915034</v>
      </c>
      <c r="P284" s="115">
        <v>44.884829735649909</v>
      </c>
    </row>
    <row r="285" spans="13:16" x14ac:dyDescent="0.4">
      <c r="M285">
        <v>2047</v>
      </c>
      <c r="N285" s="53">
        <v>53966</v>
      </c>
      <c r="O285" s="115">
        <v>56.896008899602705</v>
      </c>
      <c r="P285" s="115">
        <v>45.614307855108699</v>
      </c>
    </row>
    <row r="286" spans="13:16" x14ac:dyDescent="0.4">
      <c r="M286">
        <v>2047</v>
      </c>
      <c r="N286" s="53">
        <v>53997</v>
      </c>
      <c r="O286" s="115">
        <v>88.572078482611659</v>
      </c>
      <c r="P286" s="115">
        <v>77.38633498530524</v>
      </c>
    </row>
    <row r="287" spans="13:16" x14ac:dyDescent="0.4">
      <c r="M287">
        <v>2047</v>
      </c>
      <c r="N287" s="53">
        <v>54027</v>
      </c>
      <c r="O287" s="115">
        <v>157.59106198198239</v>
      </c>
      <c r="P287" s="115">
        <v>131.41193737178634</v>
      </c>
    </row>
    <row r="288" spans="13:16" x14ac:dyDescent="0.4">
      <c r="M288">
        <v>2048</v>
      </c>
      <c r="N288" s="53">
        <v>54058</v>
      </c>
      <c r="O288" s="115">
        <v>208.02243143581066</v>
      </c>
      <c r="P288" s="115">
        <v>165.24419880424423</v>
      </c>
    </row>
    <row r="289" spans="13:16" x14ac:dyDescent="0.4">
      <c r="M289">
        <v>2048</v>
      </c>
      <c r="N289" s="53">
        <v>54089</v>
      </c>
      <c r="O289" s="115">
        <v>193.87488621910714</v>
      </c>
      <c r="P289" s="115">
        <v>155.19558838377014</v>
      </c>
    </row>
    <row r="290" spans="13:16" x14ac:dyDescent="0.4">
      <c r="M290">
        <v>2048</v>
      </c>
      <c r="N290" s="53">
        <v>54118</v>
      </c>
      <c r="O290" s="115">
        <v>80.428248021879369</v>
      </c>
      <c r="P290" s="115">
        <v>69.986660326666879</v>
      </c>
    </row>
    <row r="291" spans="13:16" x14ac:dyDescent="0.4">
      <c r="M291">
        <v>2048</v>
      </c>
      <c r="N291" s="53">
        <v>54149</v>
      </c>
      <c r="O291" s="115">
        <v>53.631924476283778</v>
      </c>
      <c r="P291" s="115">
        <v>45.242768616710613</v>
      </c>
    </row>
    <row r="292" spans="13:16" x14ac:dyDescent="0.4">
      <c r="M292">
        <v>2048</v>
      </c>
      <c r="N292" s="53">
        <v>54179</v>
      </c>
      <c r="O292" s="115">
        <v>43.744671597882281</v>
      </c>
      <c r="P292" s="115">
        <v>37.314155374778124</v>
      </c>
    </row>
    <row r="293" spans="13:16" x14ac:dyDescent="0.4">
      <c r="M293">
        <v>2048</v>
      </c>
      <c r="N293" s="53">
        <v>54210</v>
      </c>
      <c r="O293" s="115">
        <v>53.507725767055575</v>
      </c>
      <c r="P293" s="115">
        <v>44.949901455386055</v>
      </c>
    </row>
    <row r="294" spans="13:16" x14ac:dyDescent="0.4">
      <c r="M294">
        <v>2048</v>
      </c>
      <c r="N294" s="53">
        <v>54240</v>
      </c>
      <c r="O294" s="115">
        <v>64.974835981814977</v>
      </c>
      <c r="P294" s="115">
        <v>51.521055062072705</v>
      </c>
    </row>
    <row r="295" spans="13:16" x14ac:dyDescent="0.4">
      <c r="M295">
        <v>2048</v>
      </c>
      <c r="N295" s="53">
        <v>54271</v>
      </c>
      <c r="O295" s="115">
        <v>65.56764856437853</v>
      </c>
      <c r="P295" s="115">
        <v>52.027608843607133</v>
      </c>
    </row>
    <row r="296" spans="13:16" x14ac:dyDescent="0.4">
      <c r="M296">
        <v>2048</v>
      </c>
      <c r="N296" s="53">
        <v>54302</v>
      </c>
      <c r="O296" s="115">
        <v>53.156089443513324</v>
      </c>
      <c r="P296" s="115">
        <v>45.782526330362892</v>
      </c>
    </row>
    <row r="297" spans="13:16" x14ac:dyDescent="0.4">
      <c r="M297">
        <v>2048</v>
      </c>
      <c r="N297" s="53">
        <v>54332</v>
      </c>
      <c r="O297" s="115">
        <v>58.033929077594742</v>
      </c>
      <c r="P297" s="115">
        <v>46.526594012210857</v>
      </c>
    </row>
    <row r="298" spans="13:16" x14ac:dyDescent="0.4">
      <c r="M298">
        <v>2048</v>
      </c>
      <c r="N298" s="53">
        <v>54363</v>
      </c>
      <c r="O298" s="115">
        <v>90.34352005226387</v>
      </c>
      <c r="P298" s="115">
        <v>78.934061685011315</v>
      </c>
    </row>
    <row r="299" spans="13:16" x14ac:dyDescent="0.4">
      <c r="M299">
        <v>2048</v>
      </c>
      <c r="N299" s="53">
        <v>54393</v>
      </c>
      <c r="O299" s="115">
        <v>160.74288322162201</v>
      </c>
      <c r="P299" s="115">
        <v>134.04017611922202</v>
      </c>
    </row>
    <row r="300" spans="13:16" x14ac:dyDescent="0.4">
      <c r="M300">
        <v>2049</v>
      </c>
      <c r="N300" s="53">
        <v>54424</v>
      </c>
      <c r="O300" s="115">
        <v>212.18288006452693</v>
      </c>
      <c r="P300" s="115">
        <v>168.54908278032917</v>
      </c>
    </row>
    <row r="301" spans="13:16" x14ac:dyDescent="0.4">
      <c r="M301">
        <v>2049</v>
      </c>
      <c r="N301" s="53">
        <v>54455</v>
      </c>
      <c r="O301" s="115">
        <v>197.75238394348932</v>
      </c>
      <c r="P301" s="115">
        <v>158.29950015144559</v>
      </c>
    </row>
    <row r="302" spans="13:16" x14ac:dyDescent="0.4">
      <c r="M302">
        <v>2049</v>
      </c>
      <c r="N302" s="53">
        <v>54483</v>
      </c>
      <c r="O302" s="115">
        <v>82.036812982316974</v>
      </c>
      <c r="P302" s="115">
        <v>71.386393533200234</v>
      </c>
    </row>
    <row r="303" spans="13:16" x14ac:dyDescent="0.4">
      <c r="M303">
        <v>2049</v>
      </c>
      <c r="N303" s="53">
        <v>54514</v>
      </c>
      <c r="O303" s="115">
        <v>54.704562965809465</v>
      </c>
      <c r="P303" s="115">
        <v>46.147623989044838</v>
      </c>
    </row>
    <row r="304" spans="13:16" x14ac:dyDescent="0.4">
      <c r="M304">
        <v>2049</v>
      </c>
      <c r="N304" s="53">
        <v>54544</v>
      </c>
      <c r="O304" s="115">
        <v>44.619565029839933</v>
      </c>
      <c r="P304" s="115">
        <v>38.060438482273696</v>
      </c>
    </row>
    <row r="305" spans="13:16" x14ac:dyDescent="0.4">
      <c r="M305">
        <v>2049</v>
      </c>
      <c r="N305" s="53">
        <v>54575</v>
      </c>
      <c r="O305" s="115">
        <v>54.577880282396698</v>
      </c>
      <c r="P305" s="115">
        <v>45.848899484493785</v>
      </c>
    </row>
    <row r="306" spans="13:16" x14ac:dyDescent="0.4">
      <c r="M306">
        <v>2049</v>
      </c>
      <c r="N306" s="53">
        <v>54605</v>
      </c>
      <c r="O306" s="115">
        <v>66.274332701451286</v>
      </c>
      <c r="P306" s="115">
        <v>52.551476163314163</v>
      </c>
    </row>
    <row r="307" spans="13:16" x14ac:dyDescent="0.4">
      <c r="M307">
        <v>2049</v>
      </c>
      <c r="N307" s="53">
        <v>54636</v>
      </c>
      <c r="O307" s="115">
        <v>66.87900153566612</v>
      </c>
      <c r="P307" s="115">
        <v>53.06816102047928</v>
      </c>
    </row>
    <row r="308" spans="13:16" x14ac:dyDescent="0.4">
      <c r="M308">
        <v>2049</v>
      </c>
      <c r="N308" s="53">
        <v>54667</v>
      </c>
      <c r="O308" s="115">
        <v>54.2192112323836</v>
      </c>
      <c r="P308" s="115">
        <v>46.698176856970157</v>
      </c>
    </row>
    <row r="309" spans="13:16" x14ac:dyDescent="0.4">
      <c r="M309">
        <v>2049</v>
      </c>
      <c r="N309" s="53">
        <v>54697</v>
      </c>
      <c r="O309" s="115">
        <v>59.194607659146648</v>
      </c>
      <c r="P309" s="115">
        <v>47.457125892455089</v>
      </c>
    </row>
    <row r="310" spans="13:16" x14ac:dyDescent="0.4">
      <c r="M310">
        <v>2049</v>
      </c>
      <c r="N310" s="53">
        <v>54728</v>
      </c>
      <c r="O310" s="115">
        <v>92.150390453309171</v>
      </c>
      <c r="P310" s="115">
        <v>80.512742918711567</v>
      </c>
    </row>
    <row r="311" spans="13:16" x14ac:dyDescent="0.4">
      <c r="M311">
        <v>2049</v>
      </c>
      <c r="N311" s="53">
        <v>54758</v>
      </c>
      <c r="O311" s="115">
        <v>163.95774088605447</v>
      </c>
      <c r="P311" s="115">
        <v>136.7209796416065</v>
      </c>
    </row>
    <row r="312" spans="13:16" x14ac:dyDescent="0.4">
      <c r="M312">
        <v>2050</v>
      </c>
      <c r="N312" s="53">
        <v>54789</v>
      </c>
      <c r="O312" s="115">
        <v>216.42653766581748</v>
      </c>
      <c r="P312" s="115">
        <v>171.92006443593576</v>
      </c>
    </row>
    <row r="313" spans="13:16" x14ac:dyDescent="0.4">
      <c r="M313">
        <v>2050</v>
      </c>
      <c r="N313" s="53">
        <v>54820</v>
      </c>
      <c r="O313" s="115">
        <v>201.70743162235911</v>
      </c>
      <c r="P313" s="115">
        <v>161.46549015447451</v>
      </c>
    </row>
    <row r="314" spans="13:16" x14ac:dyDescent="0.4">
      <c r="M314">
        <v>2050</v>
      </c>
      <c r="N314" s="53">
        <v>54848</v>
      </c>
      <c r="O314" s="115">
        <v>83.67754924196332</v>
      </c>
      <c r="P314" s="115">
        <v>72.814121403864235</v>
      </c>
    </row>
    <row r="315" spans="13:16" x14ac:dyDescent="0.4">
      <c r="M315">
        <v>2050</v>
      </c>
      <c r="N315" s="53">
        <v>54879</v>
      </c>
      <c r="O315" s="115">
        <v>55.798654225125652</v>
      </c>
      <c r="P315" s="115">
        <v>47.070576468825735</v>
      </c>
    </row>
    <row r="316" spans="13:16" x14ac:dyDescent="0.4">
      <c r="M316">
        <v>2050</v>
      </c>
      <c r="N316" s="53">
        <v>54909</v>
      </c>
      <c r="O316" s="115">
        <v>45.511956330436739</v>
      </c>
      <c r="P316" s="115">
        <v>38.821647251919167</v>
      </c>
    </row>
    <row r="317" spans="13:16" x14ac:dyDescent="0.4">
      <c r="M317">
        <v>2050</v>
      </c>
      <c r="N317" s="53">
        <v>54940</v>
      </c>
      <c r="O317" s="115">
        <v>55.669437888044634</v>
      </c>
      <c r="P317" s="115">
        <v>46.765877474183668</v>
      </c>
    </row>
    <row r="318" spans="13:16" x14ac:dyDescent="0.4">
      <c r="M318">
        <v>2050</v>
      </c>
      <c r="N318" s="53">
        <v>54970</v>
      </c>
      <c r="O318" s="115">
        <v>67.599819355480321</v>
      </c>
      <c r="P318" s="115">
        <v>53.602505686580457</v>
      </c>
    </row>
    <row r="319" spans="13:16" x14ac:dyDescent="0.4">
      <c r="M319">
        <v>2050</v>
      </c>
      <c r="N319" s="53">
        <v>55001</v>
      </c>
      <c r="O319" s="115">
        <v>68.216581566379446</v>
      </c>
      <c r="P319" s="115">
        <v>54.129524240888877</v>
      </c>
    </row>
    <row r="320" spans="13:16" x14ac:dyDescent="0.4">
      <c r="M320">
        <v>2050</v>
      </c>
      <c r="N320" s="53">
        <v>55032</v>
      </c>
      <c r="O320" s="115">
        <v>55.303595457031278</v>
      </c>
      <c r="P320" s="115">
        <v>47.63214039410957</v>
      </c>
    </row>
    <row r="321" spans="13:16" x14ac:dyDescent="0.4">
      <c r="M321">
        <v>2050</v>
      </c>
      <c r="N321" s="53">
        <v>55062</v>
      </c>
      <c r="O321" s="115">
        <v>60.378499812329586</v>
      </c>
      <c r="P321" s="115">
        <v>48.406268410304193</v>
      </c>
    </row>
    <row r="322" spans="13:16" x14ac:dyDescent="0.4">
      <c r="M322">
        <v>2050</v>
      </c>
      <c r="N322" s="53">
        <v>55093</v>
      </c>
      <c r="O322" s="115">
        <v>93.993398262375351</v>
      </c>
      <c r="P322" s="115">
        <v>82.1229977770858</v>
      </c>
    </row>
    <row r="323" spans="13:16" x14ac:dyDescent="0.4">
      <c r="M323">
        <v>2050</v>
      </c>
      <c r="N323" s="53">
        <v>55123</v>
      </c>
      <c r="O323" s="115">
        <v>167.23689570377556</v>
      </c>
      <c r="P323" s="115">
        <v>139.45539923443863</v>
      </c>
    </row>
    <row r="324" spans="13:16" x14ac:dyDescent="0.4">
      <c r="M324">
        <v>2051</v>
      </c>
      <c r="N324" s="53">
        <v>55154</v>
      </c>
      <c r="O324" s="115">
        <v>220.75506841913381</v>
      </c>
      <c r="P324" s="115">
        <v>175.35846572465445</v>
      </c>
    </row>
    <row r="325" spans="13:16" x14ac:dyDescent="0.4">
      <c r="M325">
        <v>2051</v>
      </c>
      <c r="N325" s="53">
        <v>55185</v>
      </c>
      <c r="O325" s="115">
        <v>205.74158025480628</v>
      </c>
      <c r="P325" s="115">
        <v>164.69479995756396</v>
      </c>
    </row>
    <row r="326" spans="13:16" x14ac:dyDescent="0.4">
      <c r="M326">
        <v>2051</v>
      </c>
      <c r="N326" s="53">
        <v>55213</v>
      </c>
      <c r="O326" s="115">
        <v>85.351100226802572</v>
      </c>
      <c r="P326" s="115">
        <v>74.270403831941508</v>
      </c>
    </row>
    <row r="327" spans="13:16" x14ac:dyDescent="0.4">
      <c r="M327">
        <v>2051</v>
      </c>
      <c r="N327" s="53">
        <v>55244</v>
      </c>
      <c r="O327" s="115">
        <v>56.914627309628159</v>
      </c>
      <c r="P327" s="115">
        <v>48.011987998202244</v>
      </c>
    </row>
    <row r="328" spans="13:16" x14ac:dyDescent="0.4">
      <c r="M328">
        <v>2051</v>
      </c>
      <c r="N328" s="53">
        <v>55274</v>
      </c>
      <c r="O328" s="115">
        <v>46.422195457045468</v>
      </c>
      <c r="P328" s="115">
        <v>39.598080196957547</v>
      </c>
    </row>
    <row r="329" spans="13:16" x14ac:dyDescent="0.4">
      <c r="M329">
        <v>2051</v>
      </c>
      <c r="N329" s="53">
        <v>55305</v>
      </c>
      <c r="O329" s="115">
        <v>56.782826645805521</v>
      </c>
      <c r="P329" s="115">
        <v>47.701195023667331</v>
      </c>
    </row>
    <row r="330" spans="13:16" x14ac:dyDescent="0.4">
      <c r="M330">
        <v>2051</v>
      </c>
      <c r="N330" s="53">
        <v>55335</v>
      </c>
      <c r="O330" s="115">
        <v>68.951815742589915</v>
      </c>
      <c r="P330" s="115">
        <v>54.674555800312056</v>
      </c>
    </row>
    <row r="331" spans="13:16" x14ac:dyDescent="0.4">
      <c r="M331">
        <v>2051</v>
      </c>
      <c r="N331" s="53">
        <v>55366</v>
      </c>
      <c r="O331" s="115">
        <v>69.580913197707034</v>
      </c>
      <c r="P331" s="115">
        <v>55.212114725706641</v>
      </c>
    </row>
    <row r="332" spans="13:16" x14ac:dyDescent="0.4">
      <c r="M332">
        <v>2051</v>
      </c>
      <c r="N332" s="53">
        <v>55397</v>
      </c>
      <c r="O332" s="115">
        <v>56.409667366171895</v>
      </c>
      <c r="P332" s="115">
        <v>48.584783201991755</v>
      </c>
    </row>
    <row r="333" spans="13:16" x14ac:dyDescent="0.4">
      <c r="M333">
        <v>2051</v>
      </c>
      <c r="N333" s="53">
        <v>55427</v>
      </c>
      <c r="O333" s="115">
        <v>61.58606980857617</v>
      </c>
      <c r="P333" s="115">
        <v>49.374393778510267</v>
      </c>
    </row>
    <row r="334" spans="13:16" x14ac:dyDescent="0.4">
      <c r="M334">
        <v>2051</v>
      </c>
      <c r="N334" s="53">
        <v>55458</v>
      </c>
      <c r="O334" s="115">
        <v>95.87326622762285</v>
      </c>
      <c r="P334" s="115">
        <v>83.76545773262751</v>
      </c>
    </row>
    <row r="335" spans="13:16" x14ac:dyDescent="0.4">
      <c r="M335">
        <v>2051</v>
      </c>
      <c r="N335" s="53">
        <v>55488</v>
      </c>
      <c r="O335" s="115">
        <v>170.58163361785105</v>
      </c>
      <c r="P335" s="115">
        <v>142.2445072191274</v>
      </c>
    </row>
    <row r="336" spans="13:16" x14ac:dyDescent="0.4">
      <c r="M336">
        <v>2052</v>
      </c>
      <c r="N336" s="53">
        <v>55519</v>
      </c>
      <c r="O336" s="115">
        <v>225.17016978751647</v>
      </c>
      <c r="P336" s="115">
        <v>178.86563503914755</v>
      </c>
    </row>
    <row r="337" spans="13:16" x14ac:dyDescent="0.4">
      <c r="M337">
        <v>2052</v>
      </c>
      <c r="N337" s="53">
        <v>55550</v>
      </c>
      <c r="O337" s="115">
        <v>209.85641185990241</v>
      </c>
      <c r="P337" s="115">
        <v>167.98869595671525</v>
      </c>
    </row>
    <row r="338" spans="13:16" x14ac:dyDescent="0.4">
      <c r="M338">
        <v>2052</v>
      </c>
      <c r="N338" s="53">
        <v>55579</v>
      </c>
      <c r="O338" s="115">
        <v>87.058122231338629</v>
      </c>
      <c r="P338" s="115">
        <v>75.755811908580341</v>
      </c>
    </row>
    <row r="339" spans="13:16" x14ac:dyDescent="0.4">
      <c r="M339">
        <v>2052</v>
      </c>
      <c r="N339" s="53">
        <v>55610</v>
      </c>
      <c r="O339" s="115">
        <v>58.052919855820726</v>
      </c>
      <c r="P339" s="115">
        <v>48.972227758166291</v>
      </c>
    </row>
    <row r="340" spans="13:16" x14ac:dyDescent="0.4">
      <c r="M340">
        <v>2052</v>
      </c>
      <c r="N340" s="53">
        <v>55640</v>
      </c>
      <c r="O340" s="115">
        <v>47.350639366186371</v>
      </c>
      <c r="P340" s="115">
        <v>40.390041800896697</v>
      </c>
    </row>
    <row r="341" spans="13:16" x14ac:dyDescent="0.4">
      <c r="M341">
        <v>2052</v>
      </c>
      <c r="N341" s="53">
        <v>55671</v>
      </c>
      <c r="O341" s="115">
        <v>57.91848317872163</v>
      </c>
      <c r="P341" s="115">
        <v>48.655218924140677</v>
      </c>
    </row>
    <row r="342" spans="13:16" x14ac:dyDescent="0.4">
      <c r="M342">
        <v>2052</v>
      </c>
      <c r="N342" s="53">
        <v>55701</v>
      </c>
      <c r="O342" s="115">
        <v>70.330852057441717</v>
      </c>
      <c r="P342" s="115">
        <v>55.768046916318298</v>
      </c>
    </row>
    <row r="343" spans="13:16" x14ac:dyDescent="0.4">
      <c r="M343">
        <v>2052</v>
      </c>
      <c r="N343" s="53">
        <v>55732</v>
      </c>
      <c r="O343" s="115">
        <v>70.972531461661163</v>
      </c>
      <c r="P343" s="115">
        <v>56.316357020220778</v>
      </c>
    </row>
    <row r="344" spans="13:16" x14ac:dyDescent="0.4">
      <c r="M344">
        <v>2052</v>
      </c>
      <c r="N344" s="53">
        <v>55763</v>
      </c>
      <c r="O344" s="115">
        <v>57.537860713495334</v>
      </c>
      <c r="P344" s="115">
        <v>49.556478866031583</v>
      </c>
    </row>
    <row r="345" spans="13:16" x14ac:dyDescent="0.4">
      <c r="M345">
        <v>2052</v>
      </c>
      <c r="N345" s="53">
        <v>55793</v>
      </c>
      <c r="O345" s="115">
        <v>62.817791204747692</v>
      </c>
      <c r="P345" s="115">
        <v>50.361881654080477</v>
      </c>
    </row>
    <row r="346" spans="13:16" x14ac:dyDescent="0.4">
      <c r="M346">
        <v>2052</v>
      </c>
      <c r="N346" s="53">
        <v>55824</v>
      </c>
      <c r="O346" s="115">
        <v>97.790731552175302</v>
      </c>
      <c r="P346" s="115">
        <v>85.440766887280049</v>
      </c>
    </row>
    <row r="347" spans="13:16" x14ac:dyDescent="0.4">
      <c r="M347">
        <v>2052</v>
      </c>
      <c r="N347" s="53">
        <v>55854</v>
      </c>
      <c r="O347" s="115">
        <v>173.99326629020808</v>
      </c>
      <c r="P347" s="115">
        <v>145.08939736350993</v>
      </c>
    </row>
    <row r="348" spans="13:16" x14ac:dyDescent="0.4">
      <c r="M348">
        <v>2053</v>
      </c>
      <c r="N348" s="53">
        <v>55885</v>
      </c>
      <c r="O348" s="115">
        <v>229.67357318326683</v>
      </c>
      <c r="P348" s="115">
        <v>182.4429477399305</v>
      </c>
    </row>
    <row r="349" spans="13:16" x14ac:dyDescent="0.4">
      <c r="M349">
        <v>2053</v>
      </c>
      <c r="N349" s="53">
        <v>55916</v>
      </c>
      <c r="O349" s="115">
        <v>214.05354009710047</v>
      </c>
      <c r="P349" s="115">
        <v>171.34846987584956</v>
      </c>
    </row>
    <row r="350" spans="13:16" x14ac:dyDescent="0.4">
      <c r="M350">
        <v>2053</v>
      </c>
      <c r="N350" s="53">
        <v>55944</v>
      </c>
      <c r="O350" s="115">
        <v>88.79928467596541</v>
      </c>
      <c r="P350" s="115">
        <v>77.270928146751956</v>
      </c>
    </row>
    <row r="351" spans="13:16" x14ac:dyDescent="0.4">
      <c r="M351">
        <v>2053</v>
      </c>
      <c r="N351" s="53">
        <v>55975</v>
      </c>
      <c r="O351" s="115">
        <v>59.213978252937146</v>
      </c>
      <c r="P351" s="115">
        <v>49.951672313329617</v>
      </c>
    </row>
    <row r="352" spans="13:16" x14ac:dyDescent="0.4">
      <c r="M352">
        <v>2053</v>
      </c>
      <c r="N352" s="53">
        <v>56005</v>
      </c>
      <c r="O352" s="115">
        <v>48.297652153510107</v>
      </c>
      <c r="P352" s="115">
        <v>41.197842636914636</v>
      </c>
    </row>
    <row r="353" spans="13:16" x14ac:dyDescent="0.4">
      <c r="M353">
        <v>2053</v>
      </c>
      <c r="N353" s="53">
        <v>56036</v>
      </c>
      <c r="O353" s="115">
        <v>59.07685284229607</v>
      </c>
      <c r="P353" s="115">
        <v>49.6283233026235</v>
      </c>
    </row>
    <row r="354" spans="13:16" x14ac:dyDescent="0.4">
      <c r="M354">
        <v>2053</v>
      </c>
      <c r="N354" s="53">
        <v>56066</v>
      </c>
      <c r="O354" s="115">
        <v>71.737469098590552</v>
      </c>
      <c r="P354" s="115">
        <v>56.883407854644666</v>
      </c>
    </row>
    <row r="355" spans="13:16" x14ac:dyDescent="0.4">
      <c r="M355">
        <v>2053</v>
      </c>
      <c r="N355" s="53">
        <v>56097</v>
      </c>
      <c r="O355" s="115">
        <v>72.391982090894402</v>
      </c>
      <c r="P355" s="115">
        <v>57.442684160625198</v>
      </c>
    </row>
    <row r="356" spans="13:16" x14ac:dyDescent="0.4">
      <c r="M356">
        <v>2053</v>
      </c>
      <c r="N356" s="53">
        <v>56128</v>
      </c>
      <c r="O356" s="115">
        <v>58.688617927765243</v>
      </c>
      <c r="P356" s="115">
        <v>50.547608443352225</v>
      </c>
    </row>
    <row r="357" spans="13:16" x14ac:dyDescent="0.4">
      <c r="M357">
        <v>2053</v>
      </c>
      <c r="N357" s="53">
        <v>56158</v>
      </c>
      <c r="O357" s="115">
        <v>64.07414702884266</v>
      </c>
      <c r="P357" s="115">
        <v>51.369119287162086</v>
      </c>
    </row>
    <row r="358" spans="13:16" x14ac:dyDescent="0.4">
      <c r="M358">
        <v>2053</v>
      </c>
      <c r="N358" s="53">
        <v>56189</v>
      </c>
      <c r="O358" s="115">
        <v>99.746546183218825</v>
      </c>
      <c r="P358" s="115">
        <v>87.149582225025668</v>
      </c>
    </row>
    <row r="359" spans="13:16" x14ac:dyDescent="0.4">
      <c r="M359">
        <v>2053</v>
      </c>
      <c r="N359" s="53">
        <v>56219</v>
      </c>
      <c r="O359" s="115">
        <v>177.47313161601227</v>
      </c>
      <c r="P359" s="115">
        <v>147.99118531078014</v>
      </c>
    </row>
    <row r="360" spans="13:16" x14ac:dyDescent="0.4">
      <c r="M360">
        <v>2054</v>
      </c>
      <c r="N360" s="53">
        <v>56250</v>
      </c>
      <c r="O360" s="115">
        <v>234.26704464693213</v>
      </c>
      <c r="P360" s="115">
        <v>186.09180669472909</v>
      </c>
    </row>
    <row r="361" spans="13:16" x14ac:dyDescent="0.4">
      <c r="M361">
        <v>2054</v>
      </c>
      <c r="N361" s="53">
        <v>56281</v>
      </c>
      <c r="O361" s="115">
        <v>218.33461089904245</v>
      </c>
      <c r="P361" s="115">
        <v>174.77543927336654</v>
      </c>
    </row>
    <row r="362" spans="13:16" x14ac:dyDescent="0.4">
      <c r="M362">
        <v>2054</v>
      </c>
      <c r="N362" s="53">
        <v>56309</v>
      </c>
      <c r="O362" s="115">
        <v>90.575270369484699</v>
      </c>
      <c r="P362" s="115">
        <v>78.816346709686997</v>
      </c>
    </row>
    <row r="363" spans="13:16" x14ac:dyDescent="0.4">
      <c r="M363">
        <v>2054</v>
      </c>
      <c r="N363" s="53">
        <v>56340</v>
      </c>
      <c r="O363" s="115">
        <v>60.398257817995884</v>
      </c>
      <c r="P363" s="115">
        <v>50.950705759596204</v>
      </c>
    </row>
    <row r="364" spans="13:16" x14ac:dyDescent="0.4">
      <c r="M364">
        <v>2054</v>
      </c>
      <c r="N364" s="53">
        <v>56370</v>
      </c>
      <c r="O364" s="115">
        <v>49.263605196580308</v>
      </c>
      <c r="P364" s="115">
        <v>42.021799489652928</v>
      </c>
    </row>
    <row r="365" spans="13:16" x14ac:dyDescent="0.4">
      <c r="M365">
        <v>2054</v>
      </c>
      <c r="N365" s="53">
        <v>56401</v>
      </c>
      <c r="O365" s="115">
        <v>60.258389899141989</v>
      </c>
      <c r="P365" s="115">
        <v>50.620889768675966</v>
      </c>
    </row>
    <row r="366" spans="13:16" x14ac:dyDescent="0.4">
      <c r="M366">
        <v>2054</v>
      </c>
      <c r="N366" s="53">
        <v>56431</v>
      </c>
      <c r="O366" s="115">
        <v>73.172218480562364</v>
      </c>
      <c r="P366" s="115">
        <v>58.021076011737556</v>
      </c>
    </row>
    <row r="367" spans="13:16" x14ac:dyDescent="0.4">
      <c r="M367">
        <v>2054</v>
      </c>
      <c r="N367" s="53">
        <v>56462</v>
      </c>
      <c r="O367" s="115">
        <v>73.839821732712281</v>
      </c>
      <c r="P367" s="115">
        <v>58.591537843837699</v>
      </c>
    </row>
    <row r="368" spans="13:16" x14ac:dyDescent="0.4">
      <c r="M368">
        <v>2054</v>
      </c>
      <c r="N368" s="53">
        <v>56493</v>
      </c>
      <c r="O368" s="115">
        <v>59.862390286320547</v>
      </c>
      <c r="P368" s="115">
        <v>51.55856061221926</v>
      </c>
    </row>
    <row r="369" spans="13:16" x14ac:dyDescent="0.4">
      <c r="M369">
        <v>2054</v>
      </c>
      <c r="N369" s="53">
        <v>56523</v>
      </c>
      <c r="O369" s="115">
        <v>65.355629969419496</v>
      </c>
      <c r="P369" s="115">
        <v>52.396501672905323</v>
      </c>
    </row>
    <row r="370" spans="13:16" x14ac:dyDescent="0.4">
      <c r="M370">
        <v>2054</v>
      </c>
      <c r="N370" s="53">
        <v>56554</v>
      </c>
      <c r="O370" s="115">
        <v>101.7414771068832</v>
      </c>
      <c r="P370" s="115">
        <v>88.892573869526174</v>
      </c>
    </row>
    <row r="371" spans="13:16" x14ac:dyDescent="0.4">
      <c r="M371">
        <v>2054</v>
      </c>
      <c r="N371" s="53">
        <v>56584</v>
      </c>
      <c r="O371" s="115">
        <v>181.0225942483325</v>
      </c>
      <c r="P371" s="115">
        <v>150.95100901699573</v>
      </c>
    </row>
    <row r="372" spans="13:16" x14ac:dyDescent="0.4">
      <c r="M372">
        <v>2055</v>
      </c>
      <c r="N372" s="53">
        <v>56615</v>
      </c>
      <c r="O372" s="115">
        <v>238.95238553987079</v>
      </c>
      <c r="P372" s="115">
        <v>189.8136428286237</v>
      </c>
    </row>
    <row r="373" spans="13:16" x14ac:dyDescent="0.4">
      <c r="M373">
        <v>2055</v>
      </c>
      <c r="N373" s="53">
        <v>56646</v>
      </c>
      <c r="O373" s="115">
        <v>222.70130311702331</v>
      </c>
      <c r="P373" s="115">
        <v>178.27094805883388</v>
      </c>
    </row>
    <row r="374" spans="13:16" x14ac:dyDescent="0.4">
      <c r="M374">
        <v>2055</v>
      </c>
      <c r="N374" s="53">
        <v>56674</v>
      </c>
      <c r="O374" s="115">
        <v>92.386775776874401</v>
      </c>
      <c r="P374" s="115">
        <v>80.392673643880741</v>
      </c>
    </row>
    <row r="375" spans="13:16" x14ac:dyDescent="0.4">
      <c r="M375">
        <v>2055</v>
      </c>
      <c r="N375" s="53">
        <v>56705</v>
      </c>
      <c r="O375" s="115">
        <v>61.606222974355802</v>
      </c>
      <c r="P375" s="115">
        <v>51.969719874788133</v>
      </c>
    </row>
    <row r="376" spans="13:16" x14ac:dyDescent="0.4">
      <c r="M376">
        <v>2055</v>
      </c>
      <c r="N376" s="53">
        <v>56735</v>
      </c>
      <c r="O376" s="115">
        <v>50.248877300511914</v>
      </c>
      <c r="P376" s="115">
        <v>42.862235479445985</v>
      </c>
    </row>
    <row r="377" spans="13:16" x14ac:dyDescent="0.4">
      <c r="M377">
        <v>2055</v>
      </c>
      <c r="N377" s="53">
        <v>56766</v>
      </c>
      <c r="O377" s="115">
        <v>61.463557697124827</v>
      </c>
      <c r="P377" s="115">
        <v>51.633307564049488</v>
      </c>
    </row>
    <row r="378" spans="13:16" x14ac:dyDescent="0.4">
      <c r="M378">
        <v>2055</v>
      </c>
      <c r="N378" s="53">
        <v>56796</v>
      </c>
      <c r="O378" s="115">
        <v>74.635662850173603</v>
      </c>
      <c r="P378" s="115">
        <v>59.181497531972312</v>
      </c>
    </row>
    <row r="379" spans="13:16" x14ac:dyDescent="0.4">
      <c r="M379">
        <v>2055</v>
      </c>
      <c r="N379" s="53">
        <v>56827</v>
      </c>
      <c r="O379" s="115">
        <v>75.316618167366528</v>
      </c>
      <c r="P379" s="115">
        <v>59.76336860071445</v>
      </c>
    </row>
    <row r="380" spans="13:16" x14ac:dyDescent="0.4">
      <c r="M380">
        <v>2055</v>
      </c>
      <c r="N380" s="53">
        <v>56858</v>
      </c>
      <c r="O380" s="115">
        <v>61.05963809204696</v>
      </c>
      <c r="P380" s="115">
        <v>52.589731824463648</v>
      </c>
    </row>
    <row r="381" spans="13:16" x14ac:dyDescent="0.4">
      <c r="M381">
        <v>2055</v>
      </c>
      <c r="N381" s="53">
        <v>56888</v>
      </c>
      <c r="O381" s="115">
        <v>66.6627425688079</v>
      </c>
      <c r="P381" s="115">
        <v>53.444431706363439</v>
      </c>
    </row>
    <row r="382" spans="13:16" x14ac:dyDescent="0.4">
      <c r="M382">
        <v>2055</v>
      </c>
      <c r="N382" s="53">
        <v>56919</v>
      </c>
      <c r="O382" s="115">
        <v>103.77630664902085</v>
      </c>
      <c r="P382" s="115">
        <v>90.670425346916701</v>
      </c>
    </row>
    <row r="383" spans="13:16" x14ac:dyDescent="0.4">
      <c r="M383">
        <v>2055</v>
      </c>
      <c r="N383" s="53">
        <v>56949</v>
      </c>
      <c r="O383" s="115">
        <v>184.64304613329915</v>
      </c>
      <c r="P383" s="115">
        <v>153.97002919733566</v>
      </c>
    </row>
    <row r="384" spans="13:16" x14ac:dyDescent="0.4">
      <c r="M384">
        <v>2056</v>
      </c>
      <c r="N384" s="53">
        <v>56980</v>
      </c>
      <c r="O384" s="115">
        <v>243.73143325066818</v>
      </c>
      <c r="P384" s="115">
        <v>193.60991568519614</v>
      </c>
    </row>
    <row r="385" spans="13:16" x14ac:dyDescent="0.4">
      <c r="M385">
        <v>2056</v>
      </c>
      <c r="N385" s="53">
        <v>57011</v>
      </c>
      <c r="O385" s="115">
        <v>227.15532917936375</v>
      </c>
      <c r="P385" s="115">
        <v>181.83636702001053</v>
      </c>
    </row>
    <row r="386" spans="13:16" x14ac:dyDescent="0.4">
      <c r="M386">
        <v>2056</v>
      </c>
      <c r="N386" s="53">
        <v>57040</v>
      </c>
      <c r="O386" s="115">
        <v>94.234511292411881</v>
      </c>
      <c r="P386" s="115">
        <v>82.000527116758335</v>
      </c>
    </row>
    <row r="387" spans="13:16" x14ac:dyDescent="0.4">
      <c r="M387">
        <v>2056</v>
      </c>
      <c r="N387" s="53">
        <v>57071</v>
      </c>
      <c r="O387" s="115">
        <v>62.838347433842905</v>
      </c>
      <c r="P387" s="115">
        <v>53.009114272283888</v>
      </c>
    </row>
    <row r="388" spans="13:16" x14ac:dyDescent="0.4">
      <c r="M388">
        <v>2056</v>
      </c>
      <c r="N388" s="53">
        <v>57101</v>
      </c>
      <c r="O388" s="115">
        <v>51.253854846522145</v>
      </c>
      <c r="P388" s="115">
        <v>43.719480189034897</v>
      </c>
    </row>
    <row r="389" spans="13:16" x14ac:dyDescent="0.4">
      <c r="M389">
        <v>2056</v>
      </c>
      <c r="N389" s="53">
        <v>57132</v>
      </c>
      <c r="O389" s="115">
        <v>62.692828851067318</v>
      </c>
      <c r="P389" s="115">
        <v>52.665973715330466</v>
      </c>
    </row>
    <row r="390" spans="13:16" x14ac:dyDescent="0.4">
      <c r="M390">
        <v>2056</v>
      </c>
      <c r="N390" s="53">
        <v>57162</v>
      </c>
      <c r="O390" s="115">
        <v>76.128376107177061</v>
      </c>
      <c r="P390" s="115">
        <v>60.365127482611747</v>
      </c>
    </row>
    <row r="391" spans="13:16" x14ac:dyDescent="0.4">
      <c r="M391">
        <v>2056</v>
      </c>
      <c r="N391" s="53">
        <v>57193</v>
      </c>
      <c r="O391" s="115">
        <v>76.82295053071384</v>
      </c>
      <c r="P391" s="115">
        <v>60.958635972728729</v>
      </c>
    </row>
    <row r="392" spans="13:16" x14ac:dyDescent="0.4">
      <c r="M392">
        <v>2056</v>
      </c>
      <c r="N392" s="53">
        <v>57224</v>
      </c>
      <c r="O392" s="115">
        <v>62.280830853887885</v>
      </c>
      <c r="P392" s="115">
        <v>53.641526460952917</v>
      </c>
    </row>
    <row r="393" spans="13:16" x14ac:dyDescent="0.4">
      <c r="M393">
        <v>2056</v>
      </c>
      <c r="N393" s="53">
        <v>57254</v>
      </c>
      <c r="O393" s="115">
        <v>67.99599742018404</v>
      </c>
      <c r="P393" s="115">
        <v>54.513320340490694</v>
      </c>
    </row>
    <row r="394" spans="13:16" x14ac:dyDescent="0.4">
      <c r="M394">
        <v>2056</v>
      </c>
      <c r="N394" s="53">
        <v>57285</v>
      </c>
      <c r="O394" s="115">
        <v>105.85183278200125</v>
      </c>
      <c r="P394" s="115">
        <v>92.483833853855018</v>
      </c>
    </row>
    <row r="395" spans="13:16" x14ac:dyDescent="0.4">
      <c r="M395">
        <v>2056</v>
      </c>
      <c r="N395" s="53">
        <v>57315</v>
      </c>
      <c r="O395" s="115">
        <v>188.33590705596509</v>
      </c>
      <c r="P395" s="115">
        <v>157.04942978128236</v>
      </c>
    </row>
    <row r="396" spans="13:16" x14ac:dyDescent="0.4">
      <c r="M396">
        <v>2057</v>
      </c>
      <c r="N396" s="53">
        <v>57346</v>
      </c>
      <c r="O396" s="115">
        <v>248.60606191568155</v>
      </c>
      <c r="P396" s="115">
        <v>197.48211399890008</v>
      </c>
    </row>
    <row r="397" spans="13:16" x14ac:dyDescent="0.4">
      <c r="M397">
        <v>2057</v>
      </c>
      <c r="N397" s="53">
        <v>57377</v>
      </c>
      <c r="O397" s="115">
        <v>231.69843576295102</v>
      </c>
      <c r="P397" s="115">
        <v>185.47309436041076</v>
      </c>
    </row>
    <row r="398" spans="13:16" x14ac:dyDescent="0.4">
      <c r="M398">
        <v>2057</v>
      </c>
      <c r="N398" s="53">
        <v>57405</v>
      </c>
      <c r="O398" s="115">
        <v>96.119201518260112</v>
      </c>
      <c r="P398" s="115">
        <v>83.640537659093511</v>
      </c>
    </row>
    <row r="399" spans="13:16" x14ac:dyDescent="0.4">
      <c r="M399">
        <v>2057</v>
      </c>
      <c r="N399" s="53">
        <v>57436</v>
      </c>
      <c r="O399" s="115">
        <v>64.095114382519768</v>
      </c>
      <c r="P399" s="115">
        <v>54.069296557729565</v>
      </c>
    </row>
    <row r="400" spans="13:16" x14ac:dyDescent="0.4">
      <c r="M400">
        <v>2057</v>
      </c>
      <c r="N400" s="53">
        <v>57466</v>
      </c>
      <c r="O400" s="115">
        <v>52.278931943452591</v>
      </c>
      <c r="P400" s="115">
        <v>44.593869792815596</v>
      </c>
    </row>
    <row r="401" spans="13:16" x14ac:dyDescent="0.4">
      <c r="M401">
        <v>2057</v>
      </c>
      <c r="N401" s="53">
        <v>57497</v>
      </c>
      <c r="O401" s="115">
        <v>63.946685428088664</v>
      </c>
      <c r="P401" s="115">
        <v>53.719293189637078</v>
      </c>
    </row>
    <row r="402" spans="13:16" x14ac:dyDescent="0.4">
      <c r="M402">
        <v>2057</v>
      </c>
      <c r="N402" s="53">
        <v>57527</v>
      </c>
      <c r="O402" s="115">
        <v>77.650943629320608</v>
      </c>
      <c r="P402" s="115">
        <v>61.572430032263988</v>
      </c>
    </row>
    <row r="403" spans="13:16" x14ac:dyDescent="0.4">
      <c r="M403">
        <v>2057</v>
      </c>
      <c r="N403" s="53">
        <v>57558</v>
      </c>
      <c r="O403" s="115">
        <v>78.35940954132812</v>
      </c>
      <c r="P403" s="115">
        <v>62.177808692183312</v>
      </c>
    </row>
    <row r="404" spans="13:16" x14ac:dyDescent="0.4">
      <c r="M404">
        <v>2057</v>
      </c>
      <c r="N404" s="53">
        <v>57589</v>
      </c>
      <c r="O404" s="115">
        <v>63.52644747096565</v>
      </c>
      <c r="P404" s="115">
        <v>54.714356990171972</v>
      </c>
    </row>
    <row r="405" spans="13:16" x14ac:dyDescent="0.4">
      <c r="M405">
        <v>2057</v>
      </c>
      <c r="N405" s="53">
        <v>57619</v>
      </c>
      <c r="O405" s="115">
        <v>69.355917368587725</v>
      </c>
      <c r="P405" s="115">
        <v>55.603586747300511</v>
      </c>
    </row>
    <row r="406" spans="13:16" x14ac:dyDescent="0.4">
      <c r="M406">
        <v>2057</v>
      </c>
      <c r="N406" s="53">
        <v>57650</v>
      </c>
      <c r="O406" s="115">
        <v>107.96886943764129</v>
      </c>
      <c r="P406" s="115">
        <v>94.333510530932116</v>
      </c>
    </row>
    <row r="407" spans="13:16" x14ac:dyDescent="0.4">
      <c r="M407">
        <v>2057</v>
      </c>
      <c r="N407" s="53">
        <v>57680</v>
      </c>
      <c r="O407" s="115">
        <v>192.10262519708442</v>
      </c>
      <c r="P407" s="115">
        <v>160.19041837690801</v>
      </c>
    </row>
    <row r="408" spans="13:16" x14ac:dyDescent="0.4">
      <c r="M408">
        <v>2058</v>
      </c>
      <c r="N408" s="53">
        <v>57711</v>
      </c>
      <c r="O408" s="115">
        <v>253.57818315399518</v>
      </c>
      <c r="P408" s="115">
        <v>201.43175627887805</v>
      </c>
    </row>
    <row r="409" spans="13:16" x14ac:dyDescent="0.4">
      <c r="M409">
        <v>2058</v>
      </c>
      <c r="N409" s="53">
        <v>57742</v>
      </c>
      <c r="O409" s="115">
        <v>236.33240447821004</v>
      </c>
      <c r="P409" s="115">
        <v>189.18255624761895</v>
      </c>
    </row>
    <row r="410" spans="13:16" x14ac:dyDescent="0.4">
      <c r="M410">
        <v>2058</v>
      </c>
      <c r="N410" s="53">
        <v>57770</v>
      </c>
      <c r="O410" s="115">
        <v>98.041585548625321</v>
      </c>
      <c r="P410" s="115">
        <v>85.313348412275374</v>
      </c>
    </row>
    <row r="411" spans="13:16" x14ac:dyDescent="0.4">
      <c r="M411">
        <v>2058</v>
      </c>
      <c r="N411" s="53">
        <v>57801</v>
      </c>
      <c r="O411" s="115">
        <v>65.377016670170164</v>
      </c>
      <c r="P411" s="115">
        <v>55.150682488884158</v>
      </c>
    </row>
    <row r="412" spans="13:16" x14ac:dyDescent="0.4">
      <c r="M412">
        <v>2058</v>
      </c>
      <c r="N412" s="53">
        <v>57831</v>
      </c>
      <c r="O412" s="115">
        <v>53.324510582321636</v>
      </c>
      <c r="P412" s="115">
        <v>45.485747188671908</v>
      </c>
    </row>
    <row r="413" spans="13:16" x14ac:dyDescent="0.4">
      <c r="M413">
        <v>2058</v>
      </c>
      <c r="N413" s="53">
        <v>57862</v>
      </c>
      <c r="O413" s="115">
        <v>65.225619136650437</v>
      </c>
      <c r="P413" s="115">
        <v>54.79367905342982</v>
      </c>
    </row>
    <row r="414" spans="13:16" x14ac:dyDescent="0.4">
      <c r="M414">
        <v>2058</v>
      </c>
      <c r="N414" s="53">
        <v>57892</v>
      </c>
      <c r="O414" s="115">
        <v>79.203962501907029</v>
      </c>
      <c r="P414" s="115">
        <v>62.803878632909267</v>
      </c>
    </row>
    <row r="415" spans="13:16" x14ac:dyDescent="0.4">
      <c r="M415">
        <v>2058</v>
      </c>
      <c r="N415" s="53">
        <v>57923</v>
      </c>
      <c r="O415" s="115">
        <v>79.92659773215469</v>
      </c>
      <c r="P415" s="115">
        <v>63.421364866026977</v>
      </c>
    </row>
    <row r="416" spans="13:16" x14ac:dyDescent="0.4">
      <c r="M416">
        <v>2058</v>
      </c>
      <c r="N416" s="53">
        <v>57954</v>
      </c>
      <c r="O416" s="115">
        <v>64.796976420384965</v>
      </c>
      <c r="P416" s="115">
        <v>55.808644129975413</v>
      </c>
    </row>
    <row r="417" spans="13:16" x14ac:dyDescent="0.4">
      <c r="M417">
        <v>2058</v>
      </c>
      <c r="N417" s="53">
        <v>57984</v>
      </c>
      <c r="O417" s="115">
        <v>70.743035715959479</v>
      </c>
      <c r="P417" s="115">
        <v>56.715658482246525</v>
      </c>
    </row>
    <row r="418" spans="13:16" x14ac:dyDescent="0.4">
      <c r="M418">
        <v>2058</v>
      </c>
      <c r="N418" s="53">
        <v>58015</v>
      </c>
      <c r="O418" s="115">
        <v>110.12824682639412</v>
      </c>
      <c r="P418" s="115">
        <v>96.220180741550763</v>
      </c>
    </row>
    <row r="419" spans="13:16" x14ac:dyDescent="0.4">
      <c r="M419">
        <v>2058</v>
      </c>
      <c r="N419" s="53">
        <v>58045</v>
      </c>
      <c r="O419" s="115">
        <v>195.94467770102611</v>
      </c>
      <c r="P419" s="115">
        <v>163.39422674444617</v>
      </c>
    </row>
    <row r="420" spans="13:16" x14ac:dyDescent="0.4">
      <c r="O420" s="200"/>
      <c r="P420" s="200"/>
    </row>
    <row r="421" spans="13:16" x14ac:dyDescent="0.4">
      <c r="O421" s="200"/>
      <c r="P421" s="200"/>
    </row>
    <row r="422" spans="13:16" x14ac:dyDescent="0.4">
      <c r="O422" s="200"/>
      <c r="P422" s="200"/>
    </row>
    <row r="423" spans="13:16" x14ac:dyDescent="0.4">
      <c r="O423" s="200"/>
      <c r="P423" s="200"/>
    </row>
    <row r="424" spans="13:16" x14ac:dyDescent="0.4">
      <c r="O424" s="200"/>
      <c r="P424" s="200"/>
    </row>
    <row r="425" spans="13:16" x14ac:dyDescent="0.4">
      <c r="O425" s="200"/>
      <c r="P425" s="200"/>
    </row>
    <row r="426" spans="13:16" x14ac:dyDescent="0.4">
      <c r="O426" s="200"/>
      <c r="P426" s="200"/>
    </row>
    <row r="427" spans="13:16" x14ac:dyDescent="0.4">
      <c r="O427" s="200"/>
      <c r="P427" s="200"/>
    </row>
    <row r="428" spans="13:16" x14ac:dyDescent="0.4">
      <c r="O428" s="200"/>
      <c r="P428" s="200"/>
    </row>
    <row r="429" spans="13:16" x14ac:dyDescent="0.4">
      <c r="O429" s="200"/>
      <c r="P429" s="200"/>
    </row>
    <row r="430" spans="13:16" x14ac:dyDescent="0.4">
      <c r="O430" s="200"/>
      <c r="P430" s="200"/>
    </row>
    <row r="431" spans="13:16" x14ac:dyDescent="0.4">
      <c r="O431" s="200"/>
      <c r="P431" s="200"/>
    </row>
    <row r="432" spans="13:16" x14ac:dyDescent="0.4">
      <c r="O432" s="200"/>
      <c r="P432" s="200"/>
    </row>
    <row r="433" spans="15:16" x14ac:dyDescent="0.4">
      <c r="O433" s="200"/>
      <c r="P433" s="200"/>
    </row>
    <row r="434" spans="15:16" x14ac:dyDescent="0.4">
      <c r="O434" s="200"/>
      <c r="P434" s="200"/>
    </row>
    <row r="435" spans="15:16" x14ac:dyDescent="0.4">
      <c r="O435" s="200"/>
      <c r="P435" s="200"/>
    </row>
    <row r="436" spans="15:16" x14ac:dyDescent="0.4">
      <c r="O436" s="200"/>
      <c r="P436" s="200"/>
    </row>
    <row r="437" spans="15:16" x14ac:dyDescent="0.4">
      <c r="O437" s="200"/>
      <c r="P437" s="200"/>
    </row>
    <row r="438" spans="15:16" x14ac:dyDescent="0.4">
      <c r="O438" s="200"/>
      <c r="P438" s="200"/>
    </row>
    <row r="439" spans="15:16" x14ac:dyDescent="0.4">
      <c r="O439" s="200"/>
      <c r="P439" s="200"/>
    </row>
    <row r="440" spans="15:16" x14ac:dyDescent="0.4">
      <c r="O440" s="200"/>
      <c r="P440" s="200"/>
    </row>
    <row r="441" spans="15:16" x14ac:dyDescent="0.4">
      <c r="O441" s="200"/>
      <c r="P441" s="200"/>
    </row>
    <row r="442" spans="15:16" x14ac:dyDescent="0.4">
      <c r="O442" s="200"/>
      <c r="P442" s="200"/>
    </row>
    <row r="443" spans="15:16" x14ac:dyDescent="0.4">
      <c r="O443" s="200"/>
      <c r="P443" s="200"/>
    </row>
    <row r="444" spans="15:16" x14ac:dyDescent="0.4">
      <c r="O444" s="200"/>
      <c r="P444" s="200"/>
    </row>
    <row r="445" spans="15:16" x14ac:dyDescent="0.4">
      <c r="O445" s="200"/>
      <c r="P445" s="200"/>
    </row>
    <row r="446" spans="15:16" x14ac:dyDescent="0.4">
      <c r="O446" s="200"/>
      <c r="P446" s="200"/>
    </row>
    <row r="447" spans="15:16" x14ac:dyDescent="0.4">
      <c r="O447" s="200"/>
      <c r="P447" s="200"/>
    </row>
    <row r="448" spans="15:16" x14ac:dyDescent="0.4">
      <c r="O448" s="200"/>
      <c r="P448" s="200"/>
    </row>
    <row r="449" spans="15:16" x14ac:dyDescent="0.4">
      <c r="O449" s="200"/>
      <c r="P449" s="200"/>
    </row>
    <row r="450" spans="15:16" x14ac:dyDescent="0.4">
      <c r="O450" s="200"/>
      <c r="P450" s="200"/>
    </row>
    <row r="451" spans="15:16" x14ac:dyDescent="0.4">
      <c r="O451" s="200"/>
      <c r="P451" s="200"/>
    </row>
    <row r="452" spans="15:16" x14ac:dyDescent="0.4">
      <c r="O452" s="200"/>
      <c r="P452" s="200"/>
    </row>
    <row r="453" spans="15:16" x14ac:dyDescent="0.4">
      <c r="O453" s="200"/>
      <c r="P453" s="200"/>
    </row>
    <row r="454" spans="15:16" x14ac:dyDescent="0.4">
      <c r="O454" s="200"/>
      <c r="P454" s="200"/>
    </row>
    <row r="455" spans="15:16" x14ac:dyDescent="0.4">
      <c r="O455" s="200"/>
      <c r="P455" s="200"/>
    </row>
    <row r="456" spans="15:16" x14ac:dyDescent="0.4">
      <c r="O456" s="200"/>
      <c r="P456" s="200"/>
    </row>
    <row r="457" spans="15:16" x14ac:dyDescent="0.4">
      <c r="O457" s="200"/>
      <c r="P457" s="200"/>
    </row>
    <row r="458" spans="15:16" x14ac:dyDescent="0.4">
      <c r="O458" s="200"/>
      <c r="P458" s="200"/>
    </row>
    <row r="459" spans="15:16" x14ac:dyDescent="0.4">
      <c r="O459" s="200"/>
      <c r="P459" s="200"/>
    </row>
    <row r="460" spans="15:16" x14ac:dyDescent="0.4">
      <c r="O460" s="200"/>
      <c r="P460" s="200"/>
    </row>
    <row r="461" spans="15:16" x14ac:dyDescent="0.4">
      <c r="O461" s="200"/>
      <c r="P461" s="200"/>
    </row>
    <row r="462" spans="15:16" x14ac:dyDescent="0.4">
      <c r="O462" s="200"/>
      <c r="P462" s="200"/>
    </row>
    <row r="463" spans="15:16" x14ac:dyDescent="0.4">
      <c r="O463" s="200"/>
      <c r="P463" s="200"/>
    </row>
    <row r="464" spans="15:16" x14ac:dyDescent="0.4">
      <c r="O464" s="200"/>
      <c r="P464" s="200"/>
    </row>
    <row r="465" spans="15:16" x14ac:dyDescent="0.4">
      <c r="O465" s="200"/>
      <c r="P465" s="200"/>
    </row>
    <row r="466" spans="15:16" x14ac:dyDescent="0.4">
      <c r="O466" s="200"/>
      <c r="P466" s="200"/>
    </row>
    <row r="467" spans="15:16" x14ac:dyDescent="0.4">
      <c r="O467" s="200"/>
      <c r="P467" s="200"/>
    </row>
    <row r="468" spans="15:16" x14ac:dyDescent="0.4">
      <c r="O468" s="200"/>
      <c r="P468" s="200"/>
    </row>
    <row r="469" spans="15:16" x14ac:dyDescent="0.4">
      <c r="O469" s="200"/>
      <c r="P469" s="200"/>
    </row>
    <row r="470" spans="15:16" x14ac:dyDescent="0.4">
      <c r="O470" s="200"/>
      <c r="P470" s="200"/>
    </row>
    <row r="471" spans="15:16" x14ac:dyDescent="0.4">
      <c r="O471" s="200"/>
      <c r="P471" s="200"/>
    </row>
    <row r="472" spans="15:16" x14ac:dyDescent="0.4">
      <c r="O472" s="200"/>
      <c r="P472" s="200"/>
    </row>
    <row r="473" spans="15:16" x14ac:dyDescent="0.4">
      <c r="O473" s="200"/>
      <c r="P473" s="200"/>
    </row>
    <row r="474" spans="15:16" x14ac:dyDescent="0.4">
      <c r="O474" s="200"/>
      <c r="P474" s="200"/>
    </row>
    <row r="475" spans="15:16" x14ac:dyDescent="0.4">
      <c r="O475" s="200"/>
      <c r="P475" s="200"/>
    </row>
    <row r="476" spans="15:16" x14ac:dyDescent="0.4">
      <c r="O476" s="200"/>
      <c r="P476" s="200"/>
    </row>
    <row r="477" spans="15:16" x14ac:dyDescent="0.4">
      <c r="O477" s="200"/>
      <c r="P477" s="200"/>
    </row>
    <row r="478" spans="15:16" x14ac:dyDescent="0.4">
      <c r="O478" s="200"/>
      <c r="P478" s="200"/>
    </row>
    <row r="479" spans="15:16" x14ac:dyDescent="0.4">
      <c r="O479" s="200"/>
      <c r="P479" s="200"/>
    </row>
    <row r="480" spans="15:16" x14ac:dyDescent="0.4">
      <c r="O480" s="200"/>
      <c r="P480" s="200"/>
    </row>
    <row r="481" spans="15:16" x14ac:dyDescent="0.4">
      <c r="O481" s="200"/>
      <c r="P481" s="200"/>
    </row>
    <row r="482" spans="15:16" x14ac:dyDescent="0.4">
      <c r="O482" s="200"/>
      <c r="P482" s="200"/>
    </row>
    <row r="483" spans="15:16" x14ac:dyDescent="0.4">
      <c r="O483" s="200"/>
      <c r="P483" s="200"/>
    </row>
    <row r="484" spans="15:16" x14ac:dyDescent="0.4">
      <c r="O484" s="200"/>
      <c r="P484" s="200"/>
    </row>
    <row r="485" spans="15:16" x14ac:dyDescent="0.4">
      <c r="O485" s="200"/>
      <c r="P485" s="200"/>
    </row>
    <row r="486" spans="15:16" x14ac:dyDescent="0.4">
      <c r="O486" s="200"/>
      <c r="P486" s="200"/>
    </row>
    <row r="487" spans="15:16" x14ac:dyDescent="0.4">
      <c r="O487" s="200"/>
      <c r="P487" s="200"/>
    </row>
    <row r="488" spans="15:16" x14ac:dyDescent="0.4">
      <c r="O488" s="200"/>
      <c r="P488" s="200"/>
    </row>
    <row r="489" spans="15:16" x14ac:dyDescent="0.4">
      <c r="O489" s="200"/>
      <c r="P489" s="200"/>
    </row>
    <row r="490" spans="15:16" x14ac:dyDescent="0.4">
      <c r="O490" s="200"/>
      <c r="P490" s="200"/>
    </row>
    <row r="491" spans="15:16" x14ac:dyDescent="0.4">
      <c r="O491" s="200"/>
      <c r="P491" s="200"/>
    </row>
    <row r="492" spans="15:16" x14ac:dyDescent="0.4">
      <c r="O492" s="200"/>
      <c r="P492" s="200"/>
    </row>
    <row r="493" spans="15:16" x14ac:dyDescent="0.4">
      <c r="O493" s="200"/>
      <c r="P493" s="200"/>
    </row>
    <row r="494" spans="15:16" x14ac:dyDescent="0.4">
      <c r="O494" s="200"/>
      <c r="P494" s="200"/>
    </row>
    <row r="495" spans="15:16" x14ac:dyDescent="0.4">
      <c r="O495" s="200"/>
      <c r="P495" s="200"/>
    </row>
    <row r="496" spans="15:16" x14ac:dyDescent="0.4">
      <c r="O496" s="200"/>
      <c r="P496" s="200"/>
    </row>
    <row r="497" spans="15:16" x14ac:dyDescent="0.4">
      <c r="O497" s="200"/>
      <c r="P497" s="200"/>
    </row>
    <row r="498" spans="15:16" x14ac:dyDescent="0.4">
      <c r="O498" s="200"/>
      <c r="P498" s="200"/>
    </row>
    <row r="499" spans="15:16" x14ac:dyDescent="0.4">
      <c r="O499" s="200"/>
      <c r="P499" s="200"/>
    </row>
    <row r="500" spans="15:16" x14ac:dyDescent="0.4">
      <c r="O500" s="200"/>
      <c r="P500" s="200"/>
    </row>
    <row r="501" spans="15:16" x14ac:dyDescent="0.4">
      <c r="O501" s="200"/>
      <c r="P501" s="200"/>
    </row>
    <row r="502" spans="15:16" x14ac:dyDescent="0.4">
      <c r="O502" s="200"/>
      <c r="P502" s="200"/>
    </row>
    <row r="503" spans="15:16" x14ac:dyDescent="0.4">
      <c r="O503" s="200"/>
      <c r="P503" s="200"/>
    </row>
    <row r="504" spans="15:16" x14ac:dyDescent="0.4">
      <c r="O504" s="200"/>
      <c r="P504" s="200"/>
    </row>
    <row r="505" spans="15:16" x14ac:dyDescent="0.4">
      <c r="O505" s="200"/>
      <c r="P505" s="200"/>
    </row>
    <row r="506" spans="15:16" x14ac:dyDescent="0.4">
      <c r="O506" s="200"/>
      <c r="P506" s="200"/>
    </row>
    <row r="507" spans="15:16" x14ac:dyDescent="0.4">
      <c r="O507" s="200"/>
      <c r="P507" s="200"/>
    </row>
    <row r="508" spans="15:16" x14ac:dyDescent="0.4">
      <c r="O508" s="200"/>
      <c r="P508" s="200"/>
    </row>
    <row r="509" spans="15:16" x14ac:dyDescent="0.4">
      <c r="O509" s="200"/>
      <c r="P509" s="200"/>
    </row>
    <row r="510" spans="15:16" x14ac:dyDescent="0.4">
      <c r="O510" s="200"/>
      <c r="P510" s="200"/>
    </row>
    <row r="511" spans="15:16" x14ac:dyDescent="0.4">
      <c r="O511" s="200"/>
      <c r="P511" s="200"/>
    </row>
    <row r="512" spans="15:16" x14ac:dyDescent="0.4">
      <c r="O512" s="200"/>
      <c r="P512" s="200"/>
    </row>
    <row r="513" spans="15:16" x14ac:dyDescent="0.4">
      <c r="O513" s="200"/>
      <c r="P513" s="200"/>
    </row>
    <row r="514" spans="15:16" x14ac:dyDescent="0.4">
      <c r="O514" s="200"/>
      <c r="P514" s="200"/>
    </row>
    <row r="515" spans="15:16" x14ac:dyDescent="0.4">
      <c r="O515" s="200"/>
      <c r="P515" s="200"/>
    </row>
    <row r="516" spans="15:16" x14ac:dyDescent="0.4">
      <c r="O516" s="200"/>
      <c r="P516" s="200"/>
    </row>
    <row r="517" spans="15:16" x14ac:dyDescent="0.4">
      <c r="O517" s="200"/>
      <c r="P517" s="200"/>
    </row>
    <row r="518" spans="15:16" x14ac:dyDescent="0.4">
      <c r="O518" s="200"/>
      <c r="P518" s="200"/>
    </row>
    <row r="519" spans="15:16" x14ac:dyDescent="0.4">
      <c r="O519" s="200"/>
      <c r="P519" s="200"/>
    </row>
    <row r="520" spans="15:16" x14ac:dyDescent="0.4">
      <c r="O520" s="200"/>
      <c r="P520" s="200"/>
    </row>
    <row r="521" spans="15:16" x14ac:dyDescent="0.4">
      <c r="O521" s="200"/>
      <c r="P521" s="200"/>
    </row>
    <row r="522" spans="15:16" x14ac:dyDescent="0.4">
      <c r="O522" s="200"/>
      <c r="P522" s="200"/>
    </row>
    <row r="523" spans="15:16" x14ac:dyDescent="0.4">
      <c r="O523" s="200"/>
      <c r="P523" s="200"/>
    </row>
    <row r="524" spans="15:16" x14ac:dyDescent="0.4">
      <c r="O524" s="200"/>
      <c r="P524" s="200"/>
    </row>
    <row r="525" spans="15:16" x14ac:dyDescent="0.4">
      <c r="O525" s="200"/>
      <c r="P525" s="200"/>
    </row>
    <row r="526" spans="15:16" x14ac:dyDescent="0.4">
      <c r="O526" s="200"/>
      <c r="P526" s="200"/>
    </row>
    <row r="527" spans="15:16" x14ac:dyDescent="0.4">
      <c r="O527" s="200"/>
      <c r="P527" s="200"/>
    </row>
    <row r="528" spans="15:16" x14ac:dyDescent="0.4">
      <c r="O528" s="200"/>
      <c r="P528" s="200"/>
    </row>
    <row r="529" spans="15:16" x14ac:dyDescent="0.4">
      <c r="O529" s="200"/>
      <c r="P529" s="200"/>
    </row>
    <row r="530" spans="15:16" x14ac:dyDescent="0.4">
      <c r="O530" s="200"/>
      <c r="P530" s="200"/>
    </row>
    <row r="531" spans="15:16" x14ac:dyDescent="0.4">
      <c r="O531" s="200"/>
      <c r="P531" s="200"/>
    </row>
    <row r="532" spans="15:16" x14ac:dyDescent="0.4">
      <c r="O532" s="200"/>
      <c r="P532" s="200"/>
    </row>
    <row r="533" spans="15:16" x14ac:dyDescent="0.4">
      <c r="O533" s="200"/>
      <c r="P533" s="200"/>
    </row>
    <row r="534" spans="15:16" x14ac:dyDescent="0.4">
      <c r="O534" s="200"/>
      <c r="P534" s="200"/>
    </row>
    <row r="535" spans="15:16" x14ac:dyDescent="0.4">
      <c r="O535" s="200"/>
      <c r="P535" s="200"/>
    </row>
    <row r="536" spans="15:16" x14ac:dyDescent="0.4">
      <c r="O536" s="200"/>
      <c r="P536" s="200"/>
    </row>
    <row r="537" spans="15:16" x14ac:dyDescent="0.4">
      <c r="O537" s="200"/>
      <c r="P537" s="200"/>
    </row>
    <row r="538" spans="15:16" x14ac:dyDescent="0.4">
      <c r="O538" s="200"/>
      <c r="P538" s="200"/>
    </row>
    <row r="539" spans="15:16" x14ac:dyDescent="0.4">
      <c r="O539" s="200"/>
      <c r="P539" s="200"/>
    </row>
    <row r="540" spans="15:16" x14ac:dyDescent="0.4">
      <c r="O540" s="200"/>
      <c r="P540" s="200"/>
    </row>
    <row r="541" spans="15:16" x14ac:dyDescent="0.4">
      <c r="O541" s="200"/>
      <c r="P541" s="200"/>
    </row>
    <row r="542" spans="15:16" x14ac:dyDescent="0.4">
      <c r="O542" s="200"/>
      <c r="P542" s="200"/>
    </row>
    <row r="543" spans="15:16" x14ac:dyDescent="0.4">
      <c r="O543" s="200"/>
      <c r="P543" s="200"/>
    </row>
    <row r="544" spans="15:16" x14ac:dyDescent="0.4">
      <c r="O544" s="200"/>
      <c r="P544" s="200"/>
    </row>
    <row r="545" spans="15:16" x14ac:dyDescent="0.4">
      <c r="O545" s="200"/>
      <c r="P545" s="200"/>
    </row>
    <row r="546" spans="15:16" x14ac:dyDescent="0.4">
      <c r="O546" s="200"/>
      <c r="P546" s="200"/>
    </row>
    <row r="547" spans="15:16" x14ac:dyDescent="0.4">
      <c r="O547" s="200"/>
      <c r="P547" s="200"/>
    </row>
    <row r="548" spans="15:16" x14ac:dyDescent="0.4">
      <c r="O548" s="200"/>
      <c r="P548" s="200"/>
    </row>
    <row r="549" spans="15:16" x14ac:dyDescent="0.4">
      <c r="O549" s="200"/>
      <c r="P549" s="200"/>
    </row>
    <row r="550" spans="15:16" x14ac:dyDescent="0.4">
      <c r="O550" s="200"/>
      <c r="P550" s="200"/>
    </row>
    <row r="551" spans="15:16" x14ac:dyDescent="0.4">
      <c r="O551" s="200"/>
      <c r="P551" s="200"/>
    </row>
    <row r="552" spans="15:16" x14ac:dyDescent="0.4">
      <c r="O552" s="200"/>
      <c r="P552" s="200"/>
    </row>
    <row r="553" spans="15:16" x14ac:dyDescent="0.4">
      <c r="O553" s="200"/>
      <c r="P553" s="200"/>
    </row>
    <row r="554" spans="15:16" x14ac:dyDescent="0.4">
      <c r="O554" s="200"/>
      <c r="P554" s="200"/>
    </row>
    <row r="555" spans="15:16" x14ac:dyDescent="0.4">
      <c r="O555" s="200"/>
      <c r="P555" s="200"/>
    </row>
    <row r="556" spans="15:16" x14ac:dyDescent="0.4">
      <c r="O556" s="200"/>
      <c r="P556" s="200"/>
    </row>
    <row r="557" spans="15:16" x14ac:dyDescent="0.4">
      <c r="O557" s="200"/>
      <c r="P557" s="200"/>
    </row>
    <row r="558" spans="15:16" x14ac:dyDescent="0.4">
      <c r="O558" s="200"/>
      <c r="P558" s="200"/>
    </row>
    <row r="559" spans="15:16" x14ac:dyDescent="0.4">
      <c r="O559" s="200"/>
      <c r="P559" s="200"/>
    </row>
    <row r="560" spans="15:16" x14ac:dyDescent="0.4">
      <c r="O560" s="200"/>
      <c r="P560" s="200"/>
    </row>
    <row r="561" spans="15:16" x14ac:dyDescent="0.4">
      <c r="O561" s="200"/>
      <c r="P561" s="200"/>
    </row>
    <row r="562" spans="15:16" x14ac:dyDescent="0.4">
      <c r="O562" s="200"/>
      <c r="P562" s="200"/>
    </row>
    <row r="563" spans="15:16" x14ac:dyDescent="0.4">
      <c r="O563" s="200"/>
      <c r="P563" s="200"/>
    </row>
    <row r="564" spans="15:16" x14ac:dyDescent="0.4">
      <c r="O564" s="200"/>
      <c r="P564" s="200"/>
    </row>
    <row r="565" spans="15:16" x14ac:dyDescent="0.4">
      <c r="O565" s="200"/>
      <c r="P565" s="200"/>
    </row>
    <row r="566" spans="15:16" x14ac:dyDescent="0.4">
      <c r="O566" s="200"/>
      <c r="P566" s="200"/>
    </row>
    <row r="567" spans="15:16" x14ac:dyDescent="0.4">
      <c r="O567" s="200"/>
      <c r="P567" s="200"/>
    </row>
    <row r="568" spans="15:16" x14ac:dyDescent="0.4">
      <c r="O568" s="200"/>
      <c r="P568" s="200"/>
    </row>
    <row r="569" spans="15:16" x14ac:dyDescent="0.4">
      <c r="O569" s="200"/>
      <c r="P569" s="200"/>
    </row>
    <row r="570" spans="15:16" x14ac:dyDescent="0.4">
      <c r="O570" s="200"/>
      <c r="P570" s="200"/>
    </row>
    <row r="571" spans="15:16" x14ac:dyDescent="0.4">
      <c r="O571" s="200"/>
      <c r="P571" s="200"/>
    </row>
    <row r="572" spans="15:16" x14ac:dyDescent="0.4">
      <c r="O572" s="200"/>
      <c r="P572" s="200"/>
    </row>
    <row r="573" spans="15:16" x14ac:dyDescent="0.4">
      <c r="O573" s="200"/>
      <c r="P573" s="200"/>
    </row>
    <row r="574" spans="15:16" x14ac:dyDescent="0.4">
      <c r="O574" s="200"/>
      <c r="P574" s="200"/>
    </row>
    <row r="575" spans="15:16" x14ac:dyDescent="0.4">
      <c r="O575" s="200"/>
      <c r="P575" s="200"/>
    </row>
  </sheetData>
  <pageMargins left="0.7" right="0.7" top="0.75" bottom="0.75" header="0.3" footer="0.3"/>
  <pageSetup scale="3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D413C-ECC5-48AF-A722-8B62E4ADE893}">
  <dimension ref="A1:K28"/>
  <sheetViews>
    <sheetView view="pageBreakPreview" zoomScale="60" zoomScaleNormal="100" workbookViewId="0">
      <selection sqref="A1:H28"/>
    </sheetView>
  </sheetViews>
  <sheetFormatPr defaultRowHeight="18.75" x14ac:dyDescent="0.4"/>
  <cols>
    <col min="1" max="1" width="12.77734375" customWidth="1"/>
    <col min="2" max="2" width="9.21875" bestFit="1" customWidth="1"/>
    <col min="3" max="8" width="13.21875" customWidth="1"/>
    <col min="9" max="9" width="10.77734375" bestFit="1" customWidth="1"/>
    <col min="11" max="11" width="10" bestFit="1" customWidth="1"/>
    <col min="15" max="15" width="9.77734375" bestFit="1" customWidth="1"/>
  </cols>
  <sheetData>
    <row r="1" spans="1:11" x14ac:dyDescent="0.4">
      <c r="A1" t="s">
        <v>467</v>
      </c>
    </row>
    <row r="2" spans="1:11" x14ac:dyDescent="0.4">
      <c r="A2" t="s">
        <v>280</v>
      </c>
      <c r="B2" t="s">
        <v>468</v>
      </c>
    </row>
    <row r="3" spans="1:11" x14ac:dyDescent="0.4">
      <c r="A3" t="s">
        <v>289</v>
      </c>
      <c r="B3" s="12">
        <f>C18</f>
        <v>21</v>
      </c>
      <c r="K3" s="12"/>
    </row>
    <row r="4" spans="1:11" x14ac:dyDescent="0.4">
      <c r="A4" t="s">
        <v>469</v>
      </c>
      <c r="B4" s="12">
        <f>C19</f>
        <v>3885</v>
      </c>
      <c r="K4" s="12"/>
    </row>
    <row r="5" spans="1:11" x14ac:dyDescent="0.4">
      <c r="K5" s="12"/>
    </row>
    <row r="7" spans="1:11" x14ac:dyDescent="0.4">
      <c r="A7" t="s">
        <v>411</v>
      </c>
      <c r="K7" s="12"/>
    </row>
    <row r="8" spans="1:11" x14ac:dyDescent="0.4">
      <c r="A8" t="s">
        <v>267</v>
      </c>
      <c r="K8" s="12"/>
    </row>
    <row r="9" spans="1:11" x14ac:dyDescent="0.4">
      <c r="A9" t="s">
        <v>268</v>
      </c>
      <c r="B9" s="10" t="s">
        <v>269</v>
      </c>
      <c r="K9" s="12"/>
    </row>
    <row r="10" spans="1:11" x14ac:dyDescent="0.4">
      <c r="B10" s="10"/>
    </row>
    <row r="11" spans="1:11" x14ac:dyDescent="0.4">
      <c r="A11" t="s">
        <v>270</v>
      </c>
    </row>
    <row r="12" spans="1:11" x14ac:dyDescent="0.4">
      <c r="A12" t="s">
        <v>271</v>
      </c>
      <c r="B12" t="s">
        <v>272</v>
      </c>
      <c r="C12" t="s">
        <v>273</v>
      </c>
      <c r="D12" t="s">
        <v>274</v>
      </c>
      <c r="E12" t="s">
        <v>275</v>
      </c>
      <c r="F12" t="s">
        <v>276</v>
      </c>
      <c r="G12" t="s">
        <v>256</v>
      </c>
      <c r="H12" t="s">
        <v>277</v>
      </c>
    </row>
    <row r="13" spans="1:11" x14ac:dyDescent="0.4">
      <c r="A13" t="s">
        <v>278</v>
      </c>
      <c r="B13" s="53">
        <v>46036</v>
      </c>
      <c r="C13" s="43">
        <v>8802</v>
      </c>
      <c r="D13" s="43">
        <v>1452</v>
      </c>
      <c r="E13" t="s">
        <v>279</v>
      </c>
      <c r="F13" s="43">
        <v>2056</v>
      </c>
      <c r="G13">
        <v>6</v>
      </c>
      <c r="H13">
        <v>347</v>
      </c>
    </row>
    <row r="15" spans="1:11" x14ac:dyDescent="0.4">
      <c r="A15" t="s">
        <v>470</v>
      </c>
    </row>
    <row r="16" spans="1:11" x14ac:dyDescent="0.4">
      <c r="A16" t="s">
        <v>280</v>
      </c>
      <c r="B16" t="s">
        <v>281</v>
      </c>
      <c r="C16" t="s">
        <v>282</v>
      </c>
      <c r="H16" t="s">
        <v>283</v>
      </c>
    </row>
    <row r="17" spans="1:8" x14ac:dyDescent="0.4">
      <c r="C17" t="s">
        <v>284</v>
      </c>
      <c r="D17" t="s">
        <v>285</v>
      </c>
      <c r="E17" t="s">
        <v>286</v>
      </c>
      <c r="F17" t="s">
        <v>287</v>
      </c>
      <c r="G17" t="s">
        <v>288</v>
      </c>
    </row>
    <row r="18" spans="1:8" x14ac:dyDescent="0.4">
      <c r="A18" t="s">
        <v>289</v>
      </c>
      <c r="B18" s="43">
        <v>8802</v>
      </c>
      <c r="C18" s="1">
        <v>21</v>
      </c>
      <c r="D18" s="1">
        <v>26</v>
      </c>
      <c r="E18" s="1">
        <v>5</v>
      </c>
      <c r="F18" s="1">
        <v>0</v>
      </c>
      <c r="G18" s="1">
        <v>122</v>
      </c>
      <c r="H18" s="1">
        <v>1073382</v>
      </c>
    </row>
    <row r="19" spans="1:8" x14ac:dyDescent="0.4">
      <c r="A19" t="s">
        <v>290</v>
      </c>
      <c r="B19" s="43">
        <v>1452</v>
      </c>
      <c r="C19" s="1">
        <v>3885</v>
      </c>
      <c r="D19" s="1">
        <v>665</v>
      </c>
      <c r="E19" s="1">
        <v>115</v>
      </c>
      <c r="F19" s="1">
        <v>11</v>
      </c>
      <c r="G19" s="1">
        <v>23036</v>
      </c>
      <c r="H19" s="1">
        <v>33448565</v>
      </c>
    </row>
    <row r="20" spans="1:8" x14ac:dyDescent="0.4">
      <c r="A20" t="s">
        <v>291</v>
      </c>
      <c r="B20" s="43">
        <v>10254</v>
      </c>
      <c r="C20" s="1">
        <v>568</v>
      </c>
      <c r="D20" s="1">
        <v>379</v>
      </c>
      <c r="E20" s="1">
        <v>66</v>
      </c>
      <c r="F20" s="1">
        <v>2</v>
      </c>
      <c r="G20" s="1">
        <v>3367</v>
      </c>
      <c r="H20" s="1">
        <v>34521947</v>
      </c>
    </row>
    <row r="22" spans="1:8" x14ac:dyDescent="0.4">
      <c r="A22" t="s">
        <v>292</v>
      </c>
    </row>
    <row r="23" spans="1:8" x14ac:dyDescent="0.4">
      <c r="A23" t="s">
        <v>293</v>
      </c>
      <c r="B23" t="s">
        <v>294</v>
      </c>
    </row>
    <row r="24" spans="1:8" x14ac:dyDescent="0.4">
      <c r="A24" s="3">
        <v>7.0900000000000005E-2</v>
      </c>
      <c r="B24" s="3">
        <v>1.1999999999999999E-3</v>
      </c>
    </row>
    <row r="26" spans="1:8" x14ac:dyDescent="0.4">
      <c r="A26" t="s">
        <v>295</v>
      </c>
    </row>
    <row r="27" spans="1:8" x14ac:dyDescent="0.4">
      <c r="A27" t="s">
        <v>296</v>
      </c>
      <c r="B27" t="s">
        <v>297</v>
      </c>
    </row>
    <row r="28" spans="1:8" x14ac:dyDescent="0.4">
      <c r="A28" s="3">
        <v>2.0699000000000001</v>
      </c>
      <c r="B28" s="3">
        <v>3.3599999999999998E-2</v>
      </c>
    </row>
  </sheetData>
  <hyperlinks>
    <hyperlink ref="B9" r:id="rId1" xr:uid="{471A20B8-C708-437D-8BBE-2556D4762410}"/>
  </hyperlinks>
  <pageMargins left="0.7" right="0.7" top="0.75" bottom="0.75" header="0.3" footer="0.3"/>
  <pageSetup scale="76" orientation="portrait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6A10F-6FE9-4CA4-BA8F-DE640D3862D3}">
  <dimension ref="A1:AL54"/>
  <sheetViews>
    <sheetView showGridLines="0" view="pageBreakPreview" zoomScale="60" zoomScaleNormal="70" workbookViewId="0">
      <selection sqref="A1:AL52"/>
    </sheetView>
  </sheetViews>
  <sheetFormatPr defaultColWidth="9.77734375" defaultRowHeight="18.75" x14ac:dyDescent="0.4"/>
  <cols>
    <col min="1" max="1" width="24.5546875" bestFit="1" customWidth="1"/>
    <col min="2" max="2" width="40.6640625" customWidth="1"/>
    <col min="3" max="3" width="10.33203125" bestFit="1" customWidth="1"/>
    <col min="4" max="4" width="10.21875" bestFit="1" customWidth="1"/>
    <col min="5" max="12" width="10.21875" customWidth="1"/>
    <col min="13" max="13" width="12.44140625" customWidth="1"/>
    <col min="14" max="18" width="11.33203125" customWidth="1"/>
    <col min="19" max="19" width="10.33203125" customWidth="1"/>
    <col min="20" max="20" width="10.77734375" customWidth="1"/>
    <col min="21" max="21" width="12.44140625" customWidth="1"/>
    <col min="22" max="22" width="10.21875" bestFit="1" customWidth="1"/>
    <col min="23" max="23" width="10.77734375" customWidth="1"/>
    <col min="24" max="24" width="10" customWidth="1"/>
    <col min="25" max="25" width="10.77734375" customWidth="1"/>
    <col min="26" max="26" width="10.21875" hidden="1" customWidth="1"/>
    <col min="27" max="32" width="11.21875" hidden="1" customWidth="1"/>
    <col min="33" max="35" width="9.77734375" hidden="1" customWidth="1"/>
    <col min="36" max="36" width="14.33203125" customWidth="1"/>
    <col min="37" max="37" width="12.109375" customWidth="1"/>
  </cols>
  <sheetData>
    <row r="1" spans="1:37" x14ac:dyDescent="0.4">
      <c r="A1" t="s">
        <v>571</v>
      </c>
      <c r="B1" s="164"/>
      <c r="C1" s="165"/>
      <c r="D1" s="165"/>
      <c r="E1" s="165"/>
      <c r="F1" s="165"/>
      <c r="G1" s="165"/>
      <c r="H1" s="165"/>
      <c r="I1" s="165"/>
      <c r="J1" s="165"/>
    </row>
    <row r="2" spans="1:37" x14ac:dyDescent="0.4">
      <c r="B2" s="166"/>
      <c r="C2" s="167"/>
      <c r="D2" s="167"/>
      <c r="E2" s="167"/>
      <c r="F2" s="167"/>
      <c r="G2" s="167"/>
      <c r="H2" s="167"/>
      <c r="I2" s="167"/>
      <c r="J2" s="167"/>
    </row>
    <row r="3" spans="1:37" x14ac:dyDescent="0.4">
      <c r="B3" s="168"/>
      <c r="C3" s="167"/>
      <c r="D3" s="167"/>
      <c r="E3" s="167"/>
      <c r="F3" s="167"/>
      <c r="G3" s="167"/>
      <c r="H3" s="167"/>
      <c r="I3" s="167"/>
      <c r="J3" s="167"/>
    </row>
    <row r="4" spans="1:37" x14ac:dyDescent="0.4">
      <c r="B4" s="169" t="s">
        <v>58</v>
      </c>
      <c r="C4" s="170">
        <v>1</v>
      </c>
      <c r="D4" s="170">
        <v>2</v>
      </c>
      <c r="E4" s="170">
        <v>3</v>
      </c>
      <c r="F4" s="170">
        <v>4</v>
      </c>
      <c r="G4" s="170">
        <v>5</v>
      </c>
      <c r="H4" s="170">
        <v>6</v>
      </c>
      <c r="I4" s="170">
        <v>7</v>
      </c>
      <c r="J4" s="170">
        <v>8</v>
      </c>
      <c r="K4" s="170">
        <v>9</v>
      </c>
      <c r="L4" s="170">
        <v>10</v>
      </c>
      <c r="M4" s="170">
        <v>11</v>
      </c>
      <c r="N4" s="170">
        <v>12</v>
      </c>
      <c r="O4" s="170">
        <v>13</v>
      </c>
      <c r="P4" s="170">
        <v>14</v>
      </c>
      <c r="Q4" s="170">
        <v>15</v>
      </c>
      <c r="R4" s="170">
        <v>16</v>
      </c>
      <c r="S4" s="170">
        <v>17</v>
      </c>
      <c r="T4" s="170">
        <v>18</v>
      </c>
      <c r="U4" s="170">
        <v>19</v>
      </c>
      <c r="V4" s="170">
        <v>20</v>
      </c>
      <c r="W4" s="170">
        <v>21</v>
      </c>
      <c r="X4" s="170">
        <v>22</v>
      </c>
      <c r="Y4" s="170">
        <v>23</v>
      </c>
      <c r="Z4" s="170">
        <v>24</v>
      </c>
      <c r="AA4" s="170">
        <v>25</v>
      </c>
      <c r="AB4" s="170">
        <v>26</v>
      </c>
      <c r="AC4" s="170">
        <v>27</v>
      </c>
      <c r="AD4" s="170">
        <v>28</v>
      </c>
      <c r="AE4" s="170">
        <v>29</v>
      </c>
      <c r="AF4" s="170">
        <v>30</v>
      </c>
      <c r="AG4" s="170">
        <v>31</v>
      </c>
      <c r="AH4" s="170">
        <v>32</v>
      </c>
      <c r="AI4" s="170">
        <v>33</v>
      </c>
    </row>
    <row r="5" spans="1:37" x14ac:dyDescent="0.4">
      <c r="B5" s="169" t="s">
        <v>509</v>
      </c>
      <c r="C5" s="171">
        <v>200</v>
      </c>
      <c r="F5" s="140"/>
      <c r="G5" s="140"/>
      <c r="H5" s="140"/>
      <c r="I5" s="140"/>
      <c r="J5" s="140"/>
      <c r="K5" s="140"/>
      <c r="L5" s="140"/>
    </row>
    <row r="6" spans="1:37" x14ac:dyDescent="0.4">
      <c r="B6" s="169" t="s">
        <v>510</v>
      </c>
      <c r="C6" s="172"/>
      <c r="D6" s="171">
        <v>100</v>
      </c>
      <c r="E6" s="172"/>
      <c r="F6" s="140"/>
      <c r="G6" s="140"/>
      <c r="H6" s="140"/>
      <c r="I6" s="140"/>
      <c r="J6" s="140"/>
      <c r="K6" s="140"/>
      <c r="L6" s="140"/>
    </row>
    <row r="7" spans="1:37" x14ac:dyDescent="0.4">
      <c r="B7" s="169" t="s">
        <v>511</v>
      </c>
      <c r="C7" s="172"/>
      <c r="D7" s="172"/>
      <c r="E7" s="171">
        <v>0</v>
      </c>
      <c r="F7" s="140"/>
      <c r="G7" s="140"/>
      <c r="H7" s="140"/>
      <c r="I7" s="140"/>
      <c r="J7" s="140"/>
      <c r="K7" s="140"/>
      <c r="L7" s="140"/>
    </row>
    <row r="8" spans="1:37" x14ac:dyDescent="0.4">
      <c r="B8" s="11" t="s">
        <v>394</v>
      </c>
      <c r="C8" s="140"/>
      <c r="D8" s="140"/>
      <c r="E8" s="140"/>
      <c r="AJ8" s="170" t="s">
        <v>512</v>
      </c>
      <c r="AK8" t="s">
        <v>513</v>
      </c>
    </row>
    <row r="9" spans="1:37" x14ac:dyDescent="0.4">
      <c r="B9" s="173" t="s">
        <v>514</v>
      </c>
      <c r="C9" s="174">
        <v>-591280.5980840103</v>
      </c>
      <c r="D9" s="174">
        <v>-544130.19280827953</v>
      </c>
      <c r="E9" s="174">
        <v>-497292.80949253571</v>
      </c>
      <c r="F9" s="174">
        <v>-460668.7883524588</v>
      </c>
      <c r="G9" s="174">
        <v>-427849.7780282569</v>
      </c>
      <c r="H9" s="174">
        <v>-397884.52581596142</v>
      </c>
      <c r="I9" s="174">
        <v>-373626.78982747841</v>
      </c>
      <c r="J9" s="174">
        <v>-352222.81195090164</v>
      </c>
      <c r="K9" s="174">
        <v>-331018.83407432504</v>
      </c>
      <c r="L9" s="174">
        <v>-309814.85619774839</v>
      </c>
      <c r="M9" s="174">
        <v>-288410.87832117168</v>
      </c>
      <c r="N9" s="174">
        <v>-267006.90044459508</v>
      </c>
      <c r="O9" s="174">
        <v>-245802.9225680184</v>
      </c>
      <c r="P9" s="174">
        <v>-224398.94469144175</v>
      </c>
      <c r="Q9" s="174">
        <v>-202994.96681486507</v>
      </c>
      <c r="R9" s="174">
        <v>-181590.98893828841</v>
      </c>
      <c r="S9" s="174">
        <v>-3.364799126509393E-11</v>
      </c>
      <c r="T9" s="174">
        <v>-8.0114264916890299E-12</v>
      </c>
      <c r="U9" s="174">
        <v>-8.0114264916890299E-12</v>
      </c>
      <c r="V9" s="174">
        <v>-8.0114264916890299E-12</v>
      </c>
      <c r="W9" s="174">
        <v>-8.0114264916890299E-12</v>
      </c>
      <c r="X9" s="174">
        <v>-8.0114264916890299E-12</v>
      </c>
      <c r="Y9" s="174">
        <v>-8.0114264916890299E-12</v>
      </c>
      <c r="Z9" s="174" t="e">
        <v>#REF!</v>
      </c>
      <c r="AA9" s="174" t="e">
        <v>#REF!</v>
      </c>
      <c r="AB9" s="174" t="e">
        <v>#REF!</v>
      </c>
      <c r="AC9" s="174" t="e">
        <v>#REF!</v>
      </c>
      <c r="AD9" s="174" t="e">
        <v>#REF!</v>
      </c>
      <c r="AE9" s="174" t="e">
        <v>#REF!</v>
      </c>
      <c r="AF9" s="174" t="e">
        <v>#REF!</v>
      </c>
      <c r="AG9" s="174" t="e">
        <v>#REF!</v>
      </c>
      <c r="AH9" s="174" t="e">
        <v>#REF!</v>
      </c>
      <c r="AI9" s="174" t="e">
        <v>#REF!</v>
      </c>
      <c r="AJ9" s="175"/>
    </row>
    <row r="10" spans="1:37" x14ac:dyDescent="0.4">
      <c r="B10" s="173" t="s">
        <v>515</v>
      </c>
      <c r="C10" s="176"/>
      <c r="D10" s="174">
        <v>-295640.29904200515</v>
      </c>
      <c r="E10" s="174">
        <v>-272065.09640413977</v>
      </c>
      <c r="F10" s="174">
        <v>-248646.40474626786</v>
      </c>
      <c r="G10" s="174">
        <v>-230334.3941762294</v>
      </c>
      <c r="H10" s="174">
        <v>-213924.88901412845</v>
      </c>
      <c r="I10" s="174">
        <v>-198942.26290798071</v>
      </c>
      <c r="J10" s="174">
        <v>-186813.3949137392</v>
      </c>
      <c r="K10" s="174">
        <v>-176111.40597545082</v>
      </c>
      <c r="L10" s="174">
        <v>-165509.41703716252</v>
      </c>
      <c r="M10" s="174">
        <v>-154907.4280988742</v>
      </c>
      <c r="N10" s="174">
        <v>-144205.43916058584</v>
      </c>
      <c r="O10" s="174">
        <v>-133503.45022229754</v>
      </c>
      <c r="P10" s="174">
        <v>-122901.4612840092</v>
      </c>
      <c r="Q10" s="174">
        <v>-112199.47234572087</v>
      </c>
      <c r="R10" s="174">
        <v>-101497.48340743253</v>
      </c>
      <c r="S10" s="174">
        <v>-90795.494469144207</v>
      </c>
      <c r="T10" s="174">
        <v>-1.6823995632546965E-11</v>
      </c>
      <c r="U10" s="174">
        <v>-4.005713245844515E-12</v>
      </c>
      <c r="V10" s="174">
        <v>-4.005713245844515E-12</v>
      </c>
      <c r="W10" s="174">
        <v>-4.005713245844515E-12</v>
      </c>
      <c r="X10" s="174">
        <v>-4.005713245844515E-12</v>
      </c>
      <c r="Y10" s="174">
        <v>-4.005713245844515E-12</v>
      </c>
      <c r="Z10" s="174" t="e">
        <v>#REF!</v>
      </c>
      <c r="AA10" s="174" t="e">
        <v>#REF!</v>
      </c>
      <c r="AB10" s="174" t="e">
        <v>#REF!</v>
      </c>
      <c r="AC10" s="174" t="e">
        <v>#REF!</v>
      </c>
      <c r="AD10" s="174" t="e">
        <v>#REF!</v>
      </c>
      <c r="AE10" s="174" t="e">
        <v>#REF!</v>
      </c>
      <c r="AF10" s="174" t="e">
        <v>#REF!</v>
      </c>
      <c r="AG10" s="174" t="e">
        <v>#REF!</v>
      </c>
      <c r="AH10" s="174" t="e">
        <v>#REF!</v>
      </c>
      <c r="AI10" s="174" t="e">
        <v>#REF!</v>
      </c>
      <c r="AJ10" s="175"/>
    </row>
    <row r="11" spans="1:37" x14ac:dyDescent="0.4">
      <c r="B11" s="173" t="s">
        <v>516</v>
      </c>
      <c r="C11" s="177"/>
      <c r="D11" s="177"/>
      <c r="E11" s="178">
        <v>0</v>
      </c>
      <c r="F11" s="178">
        <v>0</v>
      </c>
      <c r="G11" s="178">
        <v>0</v>
      </c>
      <c r="H11" s="178">
        <v>0</v>
      </c>
      <c r="I11" s="178">
        <v>0</v>
      </c>
      <c r="J11" s="178">
        <v>0</v>
      </c>
      <c r="K11" s="178">
        <v>0</v>
      </c>
      <c r="L11" s="178">
        <v>0</v>
      </c>
      <c r="M11" s="178">
        <v>0</v>
      </c>
      <c r="N11" s="178">
        <v>0</v>
      </c>
      <c r="O11" s="178">
        <v>0</v>
      </c>
      <c r="P11" s="178">
        <v>0</v>
      </c>
      <c r="Q11" s="178">
        <v>0</v>
      </c>
      <c r="R11" s="178">
        <v>0</v>
      </c>
      <c r="S11" s="178">
        <v>0</v>
      </c>
      <c r="T11" s="178">
        <v>0</v>
      </c>
      <c r="U11" s="178">
        <v>0</v>
      </c>
      <c r="V11" s="178">
        <v>0</v>
      </c>
      <c r="W11" s="178">
        <v>0</v>
      </c>
      <c r="X11" s="178">
        <v>0</v>
      </c>
      <c r="Y11" s="178">
        <v>0</v>
      </c>
      <c r="Z11" s="178" t="e">
        <v>#REF!</v>
      </c>
      <c r="AA11" s="178" t="e">
        <v>#REF!</v>
      </c>
      <c r="AB11" s="178" t="e">
        <v>#REF!</v>
      </c>
      <c r="AC11" s="178" t="e">
        <v>#REF!</v>
      </c>
      <c r="AD11" s="178" t="e">
        <v>#REF!</v>
      </c>
      <c r="AE11" s="178" t="e">
        <v>#REF!</v>
      </c>
      <c r="AF11" s="178" t="e">
        <v>#REF!</v>
      </c>
      <c r="AG11" s="178" t="e">
        <v>#REF!</v>
      </c>
      <c r="AH11" s="178" t="e">
        <v>#REF!</v>
      </c>
      <c r="AI11" s="178" t="e">
        <v>#REF!</v>
      </c>
      <c r="AJ11" s="175"/>
    </row>
    <row r="12" spans="1:37" x14ac:dyDescent="0.4">
      <c r="B12" s="173" t="s">
        <v>517</v>
      </c>
      <c r="C12" s="174">
        <v>-591280.5980840103</v>
      </c>
      <c r="D12" s="174">
        <v>-839770.49185028463</v>
      </c>
      <c r="E12" s="174">
        <v>-769357.90589667554</v>
      </c>
      <c r="F12" s="174">
        <v>-709315.19309872668</v>
      </c>
      <c r="G12" s="174">
        <v>-658184.17220448633</v>
      </c>
      <c r="H12" s="174">
        <v>-611809.4148300899</v>
      </c>
      <c r="I12" s="174">
        <v>-572569.05273545906</v>
      </c>
      <c r="J12" s="174">
        <v>-539036.20686464082</v>
      </c>
      <c r="K12" s="174">
        <v>-507130.24004977586</v>
      </c>
      <c r="L12" s="174">
        <v>-475324.27323491091</v>
      </c>
      <c r="M12" s="174">
        <v>-443318.3064200459</v>
      </c>
      <c r="N12" s="174">
        <v>-411212.3396051809</v>
      </c>
      <c r="O12" s="174">
        <v>-379306.37279031595</v>
      </c>
      <c r="P12" s="174">
        <v>-347300.40597545094</v>
      </c>
      <c r="Q12" s="174">
        <v>-315194.43916058593</v>
      </c>
      <c r="R12" s="174">
        <v>-283088.47234572098</v>
      </c>
      <c r="S12" s="174">
        <v>-90795.494469144236</v>
      </c>
      <c r="T12" s="174">
        <v>-2.4835422124235997E-11</v>
      </c>
      <c r="U12" s="174">
        <v>-1.2017139737533544E-11</v>
      </c>
      <c r="V12" s="174">
        <v>-1.2017139737533544E-11</v>
      </c>
      <c r="W12" s="174">
        <v>-1.2017139737533544E-11</v>
      </c>
      <c r="X12" s="174">
        <v>-1.2017139737533544E-11</v>
      </c>
      <c r="Y12" s="174">
        <v>-1.2017139737533544E-11</v>
      </c>
      <c r="Z12" s="174" t="e">
        <v>#REF!</v>
      </c>
      <c r="AA12" s="174" t="e">
        <v>#REF!</v>
      </c>
      <c r="AB12" s="174" t="e">
        <v>#REF!</v>
      </c>
      <c r="AC12" s="174" t="e">
        <v>#REF!</v>
      </c>
      <c r="AD12" s="174" t="e">
        <v>#REF!</v>
      </c>
      <c r="AE12" s="174" t="e">
        <v>#REF!</v>
      </c>
      <c r="AF12" s="174" t="e">
        <v>#REF!</v>
      </c>
      <c r="AG12" s="174" t="e">
        <v>#REF!</v>
      </c>
      <c r="AH12" s="174" t="e">
        <v>#REF!</v>
      </c>
      <c r="AI12" s="174" t="e">
        <v>#REF!</v>
      </c>
      <c r="AJ12" s="175">
        <v>-5611208.4245141763</v>
      </c>
      <c r="AK12" s="13">
        <v>-18704.028081713921</v>
      </c>
    </row>
    <row r="13" spans="1:37" x14ac:dyDescent="0.4">
      <c r="B13" s="173" t="s">
        <v>518</v>
      </c>
      <c r="C13" s="174">
        <v>-600</v>
      </c>
      <c r="D13" s="174">
        <v>-612</v>
      </c>
      <c r="E13" s="174">
        <v>-624.24</v>
      </c>
      <c r="F13" s="174">
        <v>-636.72479999999996</v>
      </c>
      <c r="G13" s="174">
        <v>-649.45929599999999</v>
      </c>
      <c r="H13" s="174">
        <v>-662.44848192000006</v>
      </c>
      <c r="I13" s="174">
        <v>-675.69745155840008</v>
      </c>
      <c r="J13" s="174">
        <v>-689.21140058956792</v>
      </c>
      <c r="K13" s="174">
        <v>-702.99562860135927</v>
      </c>
      <c r="L13" s="174">
        <v>-717.05554117338647</v>
      </c>
      <c r="M13" s="174">
        <v>-724.08268547688579</v>
      </c>
      <c r="N13" s="174">
        <v>-731.10409333605537</v>
      </c>
      <c r="O13" s="174">
        <v>-738.11672443540135</v>
      </c>
      <c r="P13" s="174">
        <v>-729.59413957594097</v>
      </c>
      <c r="Q13" s="174">
        <v>-720.4354046323283</v>
      </c>
      <c r="R13" s="174">
        <v>-694.46806257525066</v>
      </c>
      <c r="S13" s="174">
        <v>-617.75356729077544</v>
      </c>
      <c r="T13" s="174">
        <v>-462.07966833350008</v>
      </c>
      <c r="U13" s="174">
        <v>-257.08432456372913</v>
      </c>
      <c r="V13" s="174">
        <v>0</v>
      </c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5"/>
    </row>
    <row r="14" spans="1:37" x14ac:dyDescent="0.4">
      <c r="B14" s="173" t="s">
        <v>519</v>
      </c>
      <c r="C14" s="176"/>
      <c r="D14" s="174">
        <v>-306</v>
      </c>
      <c r="E14" s="174">
        <v>-312.12</v>
      </c>
      <c r="F14" s="174">
        <v>-318.36239999999998</v>
      </c>
      <c r="G14" s="174">
        <v>-324.729648</v>
      </c>
      <c r="H14" s="174">
        <v>-331.22424096000003</v>
      </c>
      <c r="I14" s="174">
        <v>-337.84872577920004</v>
      </c>
      <c r="J14" s="174">
        <v>-344.60570029478396</v>
      </c>
      <c r="K14" s="174">
        <v>-351.49781430067964</v>
      </c>
      <c r="L14" s="174">
        <v>-358.52777058669324</v>
      </c>
      <c r="M14" s="174">
        <v>-365.69832599842715</v>
      </c>
      <c r="N14" s="174">
        <v>-369.28216959321168</v>
      </c>
      <c r="O14" s="174">
        <v>-372.86308760138832</v>
      </c>
      <c r="P14" s="174">
        <v>-376.43952946205462</v>
      </c>
      <c r="Q14" s="174">
        <v>-372.09301118372997</v>
      </c>
      <c r="R14" s="174">
        <v>-367.4220563624873</v>
      </c>
      <c r="S14" s="174">
        <v>-354.17871191337787</v>
      </c>
      <c r="T14" s="174">
        <v>-315.05431931829548</v>
      </c>
      <c r="U14" s="174">
        <v>-235.660630850085</v>
      </c>
      <c r="V14" s="174">
        <v>-131.11300552750185</v>
      </c>
      <c r="W14" s="174">
        <v>0</v>
      </c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5"/>
    </row>
    <row r="15" spans="1:37" x14ac:dyDescent="0.4">
      <c r="B15" s="173" t="s">
        <v>520</v>
      </c>
      <c r="C15" s="176"/>
      <c r="D15" s="176"/>
      <c r="E15" s="174">
        <v>0</v>
      </c>
      <c r="F15" s="174">
        <v>0</v>
      </c>
      <c r="G15" s="174">
        <v>0</v>
      </c>
      <c r="H15" s="174">
        <v>0</v>
      </c>
      <c r="I15" s="174">
        <v>0</v>
      </c>
      <c r="J15" s="174">
        <v>0</v>
      </c>
      <c r="K15" s="174">
        <v>0</v>
      </c>
      <c r="L15" s="174">
        <v>0</v>
      </c>
      <c r="M15" s="174">
        <v>0</v>
      </c>
      <c r="N15" s="174">
        <v>0</v>
      </c>
      <c r="O15" s="174">
        <v>0</v>
      </c>
      <c r="P15" s="174">
        <v>0</v>
      </c>
      <c r="Q15" s="174">
        <v>0</v>
      </c>
      <c r="R15" s="174">
        <v>0</v>
      </c>
      <c r="S15" s="174">
        <v>0</v>
      </c>
      <c r="T15" s="174">
        <v>0</v>
      </c>
      <c r="U15" s="174">
        <v>0</v>
      </c>
      <c r="V15" s="174">
        <v>0</v>
      </c>
      <c r="W15" s="174">
        <v>0</v>
      </c>
      <c r="X15" s="174">
        <v>0</v>
      </c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5"/>
    </row>
    <row r="16" spans="1:37" x14ac:dyDescent="0.4">
      <c r="B16" s="173" t="s">
        <v>521</v>
      </c>
      <c r="C16" s="179">
        <v>-600</v>
      </c>
      <c r="D16" s="179">
        <v>-918</v>
      </c>
      <c r="E16" s="179">
        <v>-936.36</v>
      </c>
      <c r="F16" s="179">
        <v>-955.08719999999994</v>
      </c>
      <c r="G16" s="179">
        <v>-974.18894399999999</v>
      </c>
      <c r="H16" s="179">
        <v>-993.67272288000004</v>
      </c>
      <c r="I16" s="179">
        <v>-1013.5461773376001</v>
      </c>
      <c r="J16" s="179">
        <v>-1033.8171008843519</v>
      </c>
      <c r="K16" s="179">
        <v>-1054.4934429020389</v>
      </c>
      <c r="L16" s="179">
        <v>-1075.5833117600796</v>
      </c>
      <c r="M16" s="179">
        <v>-1089.7810114753129</v>
      </c>
      <c r="N16" s="179">
        <v>-1100.3862629292671</v>
      </c>
      <c r="O16" s="179">
        <v>-1110.9798120367896</v>
      </c>
      <c r="P16" s="179">
        <v>-1106.0336690379957</v>
      </c>
      <c r="Q16" s="179">
        <v>-1092.5284158160582</v>
      </c>
      <c r="R16" s="179">
        <v>-1061.890118937738</v>
      </c>
      <c r="S16" s="179">
        <v>-971.93227920415325</v>
      </c>
      <c r="T16" s="179">
        <v>-777.13398765179556</v>
      </c>
      <c r="U16" s="179">
        <v>-492.74495541381413</v>
      </c>
      <c r="V16" s="179">
        <v>-131.11300552750185</v>
      </c>
      <c r="W16" s="179">
        <v>0</v>
      </c>
      <c r="X16" s="179">
        <v>0</v>
      </c>
      <c r="Y16" s="179">
        <v>0</v>
      </c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5">
        <v>-10346.595862456288</v>
      </c>
      <c r="AK16" s="13">
        <v>-34.488652874854296</v>
      </c>
    </row>
    <row r="17" spans="2:37" x14ac:dyDescent="0.4">
      <c r="B17" s="173" t="s">
        <v>522</v>
      </c>
      <c r="C17" s="174">
        <v>0</v>
      </c>
      <c r="D17" s="174">
        <v>-4800</v>
      </c>
      <c r="E17" s="174">
        <v>-4800</v>
      </c>
      <c r="F17" s="174">
        <v>-4800</v>
      </c>
      <c r="G17" s="174">
        <v>-4800</v>
      </c>
      <c r="H17" s="174">
        <v>-4800</v>
      </c>
      <c r="I17" s="174">
        <v>-4800</v>
      </c>
      <c r="J17" s="174">
        <v>-4800</v>
      </c>
      <c r="K17" s="174">
        <v>-4800</v>
      </c>
      <c r="L17" s="174">
        <v>-4800</v>
      </c>
      <c r="M17" s="174">
        <v>-4752</v>
      </c>
      <c r="N17" s="174">
        <v>-4704</v>
      </c>
      <c r="O17" s="174">
        <v>-4656</v>
      </c>
      <c r="P17" s="174">
        <v>-4512</v>
      </c>
      <c r="Q17" s="174">
        <v>-4368</v>
      </c>
      <c r="R17" s="174">
        <v>-4128</v>
      </c>
      <c r="S17" s="174">
        <v>-3600</v>
      </c>
      <c r="T17" s="174">
        <v>-2640.0000000000005</v>
      </c>
      <c r="U17" s="174">
        <v>-1440.0000000000002</v>
      </c>
      <c r="V17" s="174">
        <v>0</v>
      </c>
      <c r="W17" s="174">
        <v>0</v>
      </c>
      <c r="X17" s="174">
        <v>0</v>
      </c>
      <c r="Y17" s="174">
        <v>0</v>
      </c>
      <c r="Z17" s="174" t="e">
        <v>#REF!</v>
      </c>
      <c r="AA17" s="174" t="e">
        <v>#REF!</v>
      </c>
      <c r="AB17" s="174" t="e">
        <v>#REF!</v>
      </c>
      <c r="AC17" s="174" t="e">
        <v>#REF!</v>
      </c>
      <c r="AD17" s="174" t="e">
        <v>#REF!</v>
      </c>
      <c r="AE17" s="174" t="e">
        <v>#REF!</v>
      </c>
      <c r="AF17" s="174" t="e">
        <v>#REF!</v>
      </c>
      <c r="AG17" s="174" t="e">
        <v>#REF!</v>
      </c>
      <c r="AH17" s="174" t="e">
        <v>#REF!</v>
      </c>
      <c r="AI17" s="174" t="e">
        <v>#REF!</v>
      </c>
      <c r="AJ17" s="175"/>
    </row>
    <row r="18" spans="2:37" x14ac:dyDescent="0.4">
      <c r="B18" s="173" t="s">
        <v>523</v>
      </c>
      <c r="C18" s="176">
        <v>0</v>
      </c>
      <c r="D18" s="174">
        <v>-2400</v>
      </c>
      <c r="E18" s="174">
        <v>-2400</v>
      </c>
      <c r="F18" s="174">
        <v>-2400</v>
      </c>
      <c r="G18" s="174">
        <v>-2400</v>
      </c>
      <c r="H18" s="174">
        <v>-2400</v>
      </c>
      <c r="I18" s="174">
        <v>-2400</v>
      </c>
      <c r="J18" s="174">
        <v>-2400</v>
      </c>
      <c r="K18" s="174">
        <v>-2400</v>
      </c>
      <c r="L18" s="174">
        <v>-2400</v>
      </c>
      <c r="M18" s="174">
        <v>-2400</v>
      </c>
      <c r="N18" s="174">
        <v>-2376</v>
      </c>
      <c r="O18" s="174">
        <v>-2352</v>
      </c>
      <c r="P18" s="174">
        <v>-2328</v>
      </c>
      <c r="Q18" s="174">
        <v>-2256</v>
      </c>
      <c r="R18" s="174">
        <v>-2184</v>
      </c>
      <c r="S18" s="174">
        <v>-2064</v>
      </c>
      <c r="T18" s="174">
        <v>-1800</v>
      </c>
      <c r="U18" s="174">
        <v>-1320.0000000000002</v>
      </c>
      <c r="V18" s="174">
        <v>-720.00000000000011</v>
      </c>
      <c r="W18" s="174">
        <v>0</v>
      </c>
      <c r="X18" s="174">
        <v>0</v>
      </c>
      <c r="Y18" s="174">
        <v>0</v>
      </c>
      <c r="Z18" s="174" t="e">
        <v>#REF!</v>
      </c>
      <c r="AA18" s="174" t="e">
        <v>#REF!</v>
      </c>
      <c r="AB18" s="174" t="e">
        <v>#REF!</v>
      </c>
      <c r="AC18" s="174" t="e">
        <v>#REF!</v>
      </c>
      <c r="AD18" s="174" t="e">
        <v>#REF!</v>
      </c>
      <c r="AE18" s="174" t="e">
        <v>#REF!</v>
      </c>
      <c r="AF18" s="174" t="e">
        <v>#REF!</v>
      </c>
      <c r="AG18" s="174" t="e">
        <v>#REF!</v>
      </c>
      <c r="AH18" s="174" t="e">
        <v>#REF!</v>
      </c>
      <c r="AI18" s="174" t="e">
        <v>#REF!</v>
      </c>
      <c r="AJ18" s="175"/>
    </row>
    <row r="19" spans="2:37" x14ac:dyDescent="0.4">
      <c r="B19" s="173" t="s">
        <v>524</v>
      </c>
      <c r="C19" s="177">
        <v>0</v>
      </c>
      <c r="D19" s="177">
        <v>0</v>
      </c>
      <c r="E19" s="178">
        <v>0</v>
      </c>
      <c r="F19" s="178">
        <v>0</v>
      </c>
      <c r="G19" s="178">
        <v>0</v>
      </c>
      <c r="H19" s="178">
        <v>0</v>
      </c>
      <c r="I19" s="178">
        <v>0</v>
      </c>
      <c r="J19" s="178">
        <v>0</v>
      </c>
      <c r="K19" s="178">
        <v>0</v>
      </c>
      <c r="L19" s="178">
        <v>0</v>
      </c>
      <c r="M19" s="178">
        <v>0</v>
      </c>
      <c r="N19" s="178">
        <v>0</v>
      </c>
      <c r="O19" s="178">
        <v>0</v>
      </c>
      <c r="P19" s="178">
        <v>0</v>
      </c>
      <c r="Q19" s="178">
        <v>0</v>
      </c>
      <c r="R19" s="178">
        <v>0</v>
      </c>
      <c r="S19" s="178">
        <v>0</v>
      </c>
      <c r="T19" s="178">
        <v>0</v>
      </c>
      <c r="U19" s="178">
        <v>0</v>
      </c>
      <c r="V19" s="178">
        <v>0</v>
      </c>
      <c r="W19" s="178">
        <v>0</v>
      </c>
      <c r="X19" s="178">
        <v>0</v>
      </c>
      <c r="Y19" s="178"/>
      <c r="Z19" s="178" t="e">
        <v>#REF!</v>
      </c>
      <c r="AA19" s="178" t="e">
        <v>#REF!</v>
      </c>
      <c r="AB19" s="178" t="e">
        <v>#REF!</v>
      </c>
      <c r="AC19" s="178" t="e">
        <v>#REF!</v>
      </c>
      <c r="AD19" s="178" t="e">
        <v>#REF!</v>
      </c>
      <c r="AE19" s="178" t="e">
        <v>#REF!</v>
      </c>
      <c r="AF19" s="178" t="e">
        <v>#REF!</v>
      </c>
      <c r="AG19" s="178" t="e">
        <v>#REF!</v>
      </c>
      <c r="AH19" s="178" t="e">
        <v>#REF!</v>
      </c>
      <c r="AI19" s="178" t="e">
        <v>#REF!</v>
      </c>
      <c r="AJ19" s="175"/>
    </row>
    <row r="20" spans="2:37" x14ac:dyDescent="0.4">
      <c r="B20" s="173" t="s">
        <v>183</v>
      </c>
      <c r="C20" s="178">
        <v>0</v>
      </c>
      <c r="D20" s="178">
        <v>-7200</v>
      </c>
      <c r="E20" s="178">
        <v>-7200</v>
      </c>
      <c r="F20" s="178">
        <v>-7200</v>
      </c>
      <c r="G20" s="178">
        <v>-7200</v>
      </c>
      <c r="H20" s="178">
        <v>-7200</v>
      </c>
      <c r="I20" s="178">
        <v>-7200</v>
      </c>
      <c r="J20" s="178">
        <v>-7200</v>
      </c>
      <c r="K20" s="178">
        <v>-7200</v>
      </c>
      <c r="L20" s="178">
        <v>-7200</v>
      </c>
      <c r="M20" s="178">
        <v>-7152</v>
      </c>
      <c r="N20" s="178">
        <v>-7080</v>
      </c>
      <c r="O20" s="178">
        <v>-7008</v>
      </c>
      <c r="P20" s="178">
        <v>-6840</v>
      </c>
      <c r="Q20" s="178">
        <v>-6624</v>
      </c>
      <c r="R20" s="178">
        <v>-6312</v>
      </c>
      <c r="S20" s="178">
        <v>-5664</v>
      </c>
      <c r="T20" s="178">
        <v>-4440</v>
      </c>
      <c r="U20" s="178">
        <v>-2760.0000000000005</v>
      </c>
      <c r="V20" s="178">
        <v>-720.00000000000011</v>
      </c>
      <c r="W20" s="178">
        <v>0</v>
      </c>
      <c r="X20" s="178">
        <v>0</v>
      </c>
      <c r="Y20" s="178">
        <v>0</v>
      </c>
      <c r="Z20" s="178" t="e">
        <v>#REF!</v>
      </c>
      <c r="AA20" s="178" t="e">
        <v>#REF!</v>
      </c>
      <c r="AB20" s="178" t="e">
        <v>#REF!</v>
      </c>
      <c r="AC20" s="178" t="e">
        <v>#REF!</v>
      </c>
      <c r="AD20" s="178" t="e">
        <v>#REF!</v>
      </c>
      <c r="AE20" s="178" t="e">
        <v>#REF!</v>
      </c>
      <c r="AF20" s="178" t="e">
        <v>#REF!</v>
      </c>
      <c r="AG20" s="178" t="e">
        <v>#REF!</v>
      </c>
      <c r="AH20" s="178" t="e">
        <v>#REF!</v>
      </c>
      <c r="AI20" s="178" t="e">
        <v>#REF!</v>
      </c>
      <c r="AJ20" s="175">
        <v>-67271.214592287375</v>
      </c>
      <c r="AK20" s="13">
        <v>-224.23738197429125</v>
      </c>
    </row>
    <row r="21" spans="2:37" x14ac:dyDescent="0.4">
      <c r="B21" s="173" t="s">
        <v>525</v>
      </c>
      <c r="C21" s="174">
        <v>0</v>
      </c>
      <c r="D21" s="174">
        <v>0</v>
      </c>
      <c r="E21" s="174">
        <v>0</v>
      </c>
      <c r="F21" s="174">
        <v>0</v>
      </c>
      <c r="G21" s="174">
        <v>0</v>
      </c>
      <c r="H21" s="174">
        <v>0</v>
      </c>
      <c r="I21" s="174">
        <v>0</v>
      </c>
      <c r="J21" s="174">
        <v>0</v>
      </c>
      <c r="K21" s="174">
        <v>0</v>
      </c>
      <c r="L21" s="174">
        <v>0</v>
      </c>
      <c r="M21" s="174">
        <v>0</v>
      </c>
      <c r="N21" s="174">
        <v>0</v>
      </c>
      <c r="O21" s="174">
        <v>0</v>
      </c>
      <c r="P21" s="174">
        <v>0</v>
      </c>
      <c r="Q21" s="174">
        <v>0</v>
      </c>
      <c r="R21" s="174">
        <v>0</v>
      </c>
      <c r="S21" s="174">
        <v>0</v>
      </c>
      <c r="T21" s="174">
        <v>0</v>
      </c>
      <c r="U21" s="174">
        <v>0</v>
      </c>
      <c r="V21" s="174">
        <v>0</v>
      </c>
      <c r="W21" s="174">
        <v>0</v>
      </c>
      <c r="X21" s="174">
        <v>0</v>
      </c>
      <c r="Y21" s="174">
        <v>0</v>
      </c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5"/>
    </row>
    <row r="22" spans="2:37" x14ac:dyDescent="0.4">
      <c r="B22" s="173" t="s">
        <v>526</v>
      </c>
      <c r="C22" s="176"/>
      <c r="D22" s="174">
        <v>0</v>
      </c>
      <c r="E22" s="174">
        <v>0</v>
      </c>
      <c r="F22" s="174">
        <v>0</v>
      </c>
      <c r="G22" s="174">
        <v>0</v>
      </c>
      <c r="H22" s="174">
        <v>0</v>
      </c>
      <c r="I22" s="174">
        <v>0</v>
      </c>
      <c r="J22" s="174">
        <v>0</v>
      </c>
      <c r="K22" s="174">
        <v>0</v>
      </c>
      <c r="L22" s="174">
        <v>0</v>
      </c>
      <c r="M22" s="174">
        <v>0</v>
      </c>
      <c r="N22" s="174">
        <v>0</v>
      </c>
      <c r="O22" s="174">
        <v>0</v>
      </c>
      <c r="P22" s="174">
        <v>0</v>
      </c>
      <c r="Q22" s="174">
        <v>0</v>
      </c>
      <c r="R22" s="174">
        <v>0</v>
      </c>
      <c r="S22" s="174">
        <v>0</v>
      </c>
      <c r="T22" s="174">
        <v>0</v>
      </c>
      <c r="U22" s="174">
        <v>0</v>
      </c>
      <c r="V22" s="174">
        <v>0</v>
      </c>
      <c r="W22" s="174">
        <v>0</v>
      </c>
      <c r="X22" s="174">
        <v>0</v>
      </c>
      <c r="Y22" s="174">
        <v>0</v>
      </c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5"/>
    </row>
    <row r="23" spans="2:37" x14ac:dyDescent="0.4">
      <c r="B23" s="173" t="s">
        <v>527</v>
      </c>
      <c r="C23" s="176"/>
      <c r="D23" s="176"/>
      <c r="E23" s="174">
        <v>0</v>
      </c>
      <c r="F23" s="174">
        <v>0</v>
      </c>
      <c r="G23" s="174">
        <v>0</v>
      </c>
      <c r="H23" s="174">
        <v>0</v>
      </c>
      <c r="I23" s="174">
        <v>0</v>
      </c>
      <c r="J23" s="174">
        <v>0</v>
      </c>
      <c r="K23" s="174">
        <v>0</v>
      </c>
      <c r="L23" s="174">
        <v>0</v>
      </c>
      <c r="M23" s="174">
        <v>0</v>
      </c>
      <c r="N23" s="174">
        <v>0</v>
      </c>
      <c r="O23" s="174">
        <v>0</v>
      </c>
      <c r="P23" s="174">
        <v>0</v>
      </c>
      <c r="Q23" s="174">
        <v>0</v>
      </c>
      <c r="R23" s="174">
        <v>0</v>
      </c>
      <c r="S23" s="174">
        <v>0</v>
      </c>
      <c r="T23" s="174">
        <v>0</v>
      </c>
      <c r="U23" s="174">
        <v>0</v>
      </c>
      <c r="V23" s="174">
        <v>0</v>
      </c>
      <c r="W23" s="174">
        <v>0</v>
      </c>
      <c r="X23" s="174">
        <v>0</v>
      </c>
      <c r="Y23" s="174">
        <v>0</v>
      </c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5"/>
    </row>
    <row r="24" spans="2:37" x14ac:dyDescent="0.4">
      <c r="B24" s="173" t="s">
        <v>528</v>
      </c>
      <c r="C24" s="174">
        <v>0</v>
      </c>
      <c r="D24" s="174">
        <v>0</v>
      </c>
      <c r="E24" s="174">
        <v>0</v>
      </c>
      <c r="F24" s="174">
        <v>0</v>
      </c>
      <c r="G24" s="174">
        <v>0</v>
      </c>
      <c r="H24" s="174">
        <v>0</v>
      </c>
      <c r="I24" s="174">
        <v>0</v>
      </c>
      <c r="J24" s="174">
        <v>0</v>
      </c>
      <c r="K24" s="174">
        <v>0</v>
      </c>
      <c r="L24" s="174">
        <v>0</v>
      </c>
      <c r="M24" s="174">
        <v>0</v>
      </c>
      <c r="N24" s="174">
        <v>0</v>
      </c>
      <c r="O24" s="174">
        <v>0</v>
      </c>
      <c r="P24" s="174">
        <v>0</v>
      </c>
      <c r="Q24" s="174">
        <v>0</v>
      </c>
      <c r="R24" s="174">
        <v>0</v>
      </c>
      <c r="S24" s="174">
        <v>0</v>
      </c>
      <c r="T24" s="174">
        <v>0</v>
      </c>
      <c r="U24" s="174">
        <v>0</v>
      </c>
      <c r="V24" s="174">
        <v>0</v>
      </c>
      <c r="W24" s="174">
        <v>0</v>
      </c>
      <c r="X24" s="174">
        <v>0</v>
      </c>
      <c r="Y24" s="174">
        <v>0</v>
      </c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5">
        <v>0</v>
      </c>
      <c r="AK24" s="13">
        <v>0</v>
      </c>
    </row>
    <row r="25" spans="2:37" x14ac:dyDescent="0.4">
      <c r="B25" s="173" t="s">
        <v>529</v>
      </c>
      <c r="C25" s="174">
        <v>-13489.792747200003</v>
      </c>
      <c r="D25" s="174">
        <v>-13759.588602144007</v>
      </c>
      <c r="E25" s="174">
        <v>-13760.700488091656</v>
      </c>
      <c r="F25" s="174">
        <v>-14035.914497853482</v>
      </c>
      <c r="G25" s="174">
        <v>-14316.632787810551</v>
      </c>
      <c r="H25" s="174">
        <v>-14602.965443566765</v>
      </c>
      <c r="I25" s="174">
        <v>-14601.274754867456</v>
      </c>
      <c r="J25" s="174">
        <v>-14893.300249964805</v>
      </c>
      <c r="K25" s="174">
        <v>-14888.589727615696</v>
      </c>
      <c r="L25" s="174">
        <v>-15186.361522168008</v>
      </c>
      <c r="M25" s="174">
        <v>-15028.170256312094</v>
      </c>
      <c r="N25" s="174">
        <v>-15022.158988209563</v>
      </c>
      <c r="O25" s="174">
        <v>-15166.249084627092</v>
      </c>
      <c r="P25" s="174">
        <v>-14675.530817988738</v>
      </c>
      <c r="Q25" s="174">
        <v>-14332.06094778049</v>
      </c>
      <c r="R25" s="174">
        <v>-13806.552046361872</v>
      </c>
      <c r="S25" s="174">
        <v>-11964.490779789203</v>
      </c>
      <c r="T25" s="174">
        <v>-9027.4541390519098</v>
      </c>
      <c r="U25" s="174">
        <v>-4891.2883458971701</v>
      </c>
      <c r="V25" s="174">
        <v>0</v>
      </c>
      <c r="W25" s="174">
        <v>0</v>
      </c>
      <c r="X25" s="174">
        <v>0</v>
      </c>
      <c r="Y25" s="174">
        <v>0</v>
      </c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5"/>
    </row>
    <row r="26" spans="2:37" x14ac:dyDescent="0.4">
      <c r="B26" s="173" t="s">
        <v>530</v>
      </c>
      <c r="C26" s="176"/>
      <c r="D26" s="174">
        <v>-6879.7943010720037</v>
      </c>
      <c r="E26" s="174">
        <v>-7017.3901870934433</v>
      </c>
      <c r="F26" s="174">
        <v>-7017.9572489267412</v>
      </c>
      <c r="G26" s="174">
        <v>-7158.3163939052756</v>
      </c>
      <c r="H26" s="174">
        <v>-7301.4827217833827</v>
      </c>
      <c r="I26" s="174">
        <v>-7447.5123762190506</v>
      </c>
      <c r="J26" s="174">
        <v>-7446.6501249824023</v>
      </c>
      <c r="K26" s="174">
        <v>-7595.5831274820512</v>
      </c>
      <c r="L26" s="174">
        <v>-7593.1807610840042</v>
      </c>
      <c r="M26" s="174">
        <v>-7745.044376305681</v>
      </c>
      <c r="N26" s="174">
        <v>-7664.3668307191674</v>
      </c>
      <c r="O26" s="174">
        <v>-7661.3010839868821</v>
      </c>
      <c r="P26" s="174">
        <v>-7734.7870331598142</v>
      </c>
      <c r="Q26" s="174">
        <v>-7484.5207171742568</v>
      </c>
      <c r="R26" s="174">
        <v>-7309.3510833680493</v>
      </c>
      <c r="S26" s="174">
        <v>-7041.3415436445557</v>
      </c>
      <c r="T26" s="174">
        <v>-6101.8902976924928</v>
      </c>
      <c r="U26" s="174">
        <v>-4604.0016109164735</v>
      </c>
      <c r="V26" s="174">
        <v>-2494.5570564075565</v>
      </c>
      <c r="W26" s="174">
        <v>0</v>
      </c>
      <c r="X26" s="174">
        <v>0</v>
      </c>
      <c r="Y26" s="174">
        <v>0</v>
      </c>
      <c r="Z26" s="174">
        <v>0</v>
      </c>
      <c r="AA26" s="174">
        <v>0</v>
      </c>
      <c r="AB26" s="174">
        <v>0</v>
      </c>
      <c r="AC26" s="174">
        <v>0</v>
      </c>
      <c r="AD26" s="174">
        <v>0</v>
      </c>
      <c r="AE26" s="174">
        <v>0</v>
      </c>
      <c r="AF26" s="174">
        <v>0</v>
      </c>
      <c r="AG26" s="174">
        <v>0</v>
      </c>
      <c r="AH26" s="174">
        <v>0</v>
      </c>
      <c r="AI26" s="174">
        <v>0</v>
      </c>
      <c r="AJ26" s="175"/>
    </row>
    <row r="27" spans="2:37" x14ac:dyDescent="0.4">
      <c r="B27" s="173" t="s">
        <v>531</v>
      </c>
      <c r="C27" s="176"/>
      <c r="D27" s="176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5"/>
    </row>
    <row r="28" spans="2:37" x14ac:dyDescent="0.4">
      <c r="B28" s="173" t="s">
        <v>184</v>
      </c>
      <c r="C28" s="174">
        <v>-13489.792747200003</v>
      </c>
      <c r="D28" s="174">
        <v>-20639.38290321601</v>
      </c>
      <c r="E28" s="174">
        <v>-20778.0906751851</v>
      </c>
      <c r="F28" s="174">
        <v>-21053.871746780223</v>
      </c>
      <c r="G28" s="174">
        <v>-21474.949181715827</v>
      </c>
      <c r="H28" s="174">
        <v>-21904.44816535015</v>
      </c>
      <c r="I28" s="174">
        <v>-22048.787131086508</v>
      </c>
      <c r="J28" s="174">
        <v>-22339.950374947206</v>
      </c>
      <c r="K28" s="174">
        <v>-22484.172855097746</v>
      </c>
      <c r="L28" s="174">
        <v>-22779.542283252013</v>
      </c>
      <c r="M28" s="174">
        <v>-22773.214632617775</v>
      </c>
      <c r="N28" s="174">
        <v>-22686.525818928731</v>
      </c>
      <c r="O28" s="174">
        <v>-22827.550168613976</v>
      </c>
      <c r="P28" s="174">
        <v>-22410.317851148553</v>
      </c>
      <c r="Q28" s="174">
        <v>-21816.581664954749</v>
      </c>
      <c r="R28" s="174">
        <v>-21115.903129729923</v>
      </c>
      <c r="S28" s="174">
        <v>-19005.832323433759</v>
      </c>
      <c r="T28" s="174">
        <v>-15129.344436744403</v>
      </c>
      <c r="U28" s="174">
        <v>-9495.2899568136436</v>
      </c>
      <c r="V28" s="174">
        <v>-2494.5570564075565</v>
      </c>
      <c r="W28" s="174">
        <v>0</v>
      </c>
      <c r="X28" s="174">
        <v>0</v>
      </c>
      <c r="Y28" s="174">
        <v>0</v>
      </c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5"/>
    </row>
    <row r="29" spans="2:37" x14ac:dyDescent="0.4">
      <c r="B29" s="11" t="s">
        <v>185</v>
      </c>
      <c r="C29" s="175">
        <v>-605370.3908312103</v>
      </c>
      <c r="D29" s="175">
        <v>-868527.87475350068</v>
      </c>
      <c r="E29" s="175">
        <v>-798272.35657186061</v>
      </c>
      <c r="F29" s="175">
        <v>-738524.15204550687</v>
      </c>
      <c r="G29" s="175">
        <v>-687833.31033020222</v>
      </c>
      <c r="H29" s="175">
        <v>-641907.53571832005</v>
      </c>
      <c r="I29" s="175">
        <v>-602831.38604388316</v>
      </c>
      <c r="J29" s="175">
        <v>-569609.97434047237</v>
      </c>
      <c r="K29" s="175">
        <v>-537868.90634777572</v>
      </c>
      <c r="L29" s="175">
        <v>-506379.39882992301</v>
      </c>
      <c r="M29" s="175">
        <v>-474333.30206413899</v>
      </c>
      <c r="N29" s="175">
        <v>-442079.25168703886</v>
      </c>
      <c r="O29" s="175">
        <v>-410252.9027709667</v>
      </c>
      <c r="P29" s="175">
        <v>-377656.75749563746</v>
      </c>
      <c r="Q29" s="175">
        <v>-344727.54924135678</v>
      </c>
      <c r="R29" s="175">
        <v>-311578.26559438865</v>
      </c>
      <c r="S29" s="175">
        <v>-116437.25907178214</v>
      </c>
      <c r="T29" s="175">
        <v>-20346.478424396224</v>
      </c>
      <c r="U29" s="175">
        <v>-12748.034912227471</v>
      </c>
      <c r="V29" s="175">
        <v>-3345.6700619350704</v>
      </c>
      <c r="W29" s="175">
        <v>-1.2017139737533544E-11</v>
      </c>
      <c r="X29" s="175">
        <v>-1.2017139737533544E-11</v>
      </c>
      <c r="Y29" s="175">
        <v>-1.2017139737533544E-11</v>
      </c>
      <c r="Z29" s="175" t="e">
        <v>#REF!</v>
      </c>
      <c r="AA29" s="175" t="e">
        <v>#REF!</v>
      </c>
      <c r="AB29" s="175" t="e">
        <v>#REF!</v>
      </c>
      <c r="AC29" s="175" t="e">
        <v>#REF!</v>
      </c>
      <c r="AD29" s="175" t="e">
        <v>#REF!</v>
      </c>
      <c r="AE29" s="175" t="e">
        <v>#REF!</v>
      </c>
      <c r="AF29" s="175" t="e">
        <v>#REF!</v>
      </c>
      <c r="AG29" s="175" t="e">
        <v>#REF!</v>
      </c>
      <c r="AH29" s="175" t="e">
        <v>#REF!</v>
      </c>
      <c r="AI29" s="175" t="e">
        <v>#REF!</v>
      </c>
      <c r="AJ29" s="175"/>
      <c r="AK29" s="13"/>
    </row>
    <row r="30" spans="2:37" x14ac:dyDescent="0.4">
      <c r="B30" s="11" t="s">
        <v>532</v>
      </c>
      <c r="C30" s="174"/>
      <c r="D30" s="174"/>
      <c r="E30" s="174"/>
      <c r="AJ30" s="175"/>
    </row>
    <row r="31" spans="2:37" x14ac:dyDescent="0.4">
      <c r="B31" s="173" t="s">
        <v>533</v>
      </c>
      <c r="C31" s="174">
        <v>393462.997519553</v>
      </c>
      <c r="D31" s="174">
        <v>419837.20722229098</v>
      </c>
      <c r="E31" s="174">
        <v>436913.94168470189</v>
      </c>
      <c r="F31" s="174">
        <v>448944.19993014471</v>
      </c>
      <c r="G31" s="174">
        <v>440558.44453754433</v>
      </c>
      <c r="H31" s="174">
        <v>426253.05584296241</v>
      </c>
      <c r="I31" s="174">
        <v>548758.9212864883</v>
      </c>
      <c r="J31" s="174">
        <v>539335.64289410238</v>
      </c>
      <c r="K31" s="174">
        <v>377302.74596483412</v>
      </c>
      <c r="L31" s="174">
        <v>371845.60088413092</v>
      </c>
      <c r="M31" s="174">
        <v>386697.01132645039</v>
      </c>
      <c r="N31" s="174">
        <v>391650.84411375632</v>
      </c>
      <c r="O31" s="174">
        <v>381717.59740202769</v>
      </c>
      <c r="P31" s="174">
        <v>362930.61602078972</v>
      </c>
      <c r="Q31" s="174">
        <v>342564.56680335861</v>
      </c>
      <c r="R31" s="174">
        <v>316251.09445948462</v>
      </c>
      <c r="S31" s="174">
        <v>270196.08178005903</v>
      </c>
      <c r="T31" s="174">
        <v>202375.77385370832</v>
      </c>
      <c r="U31" s="174">
        <v>117079.39246972399</v>
      </c>
      <c r="V31" s="174">
        <v>21755.447789593309</v>
      </c>
      <c r="W31" s="174">
        <v>0</v>
      </c>
      <c r="X31" s="174">
        <v>0</v>
      </c>
      <c r="Y31" s="174">
        <v>0</v>
      </c>
      <c r="Z31" s="174" t="e">
        <v>#REF!</v>
      </c>
      <c r="AA31" s="174" t="e">
        <v>#REF!</v>
      </c>
      <c r="AB31" s="174" t="e">
        <v>#REF!</v>
      </c>
      <c r="AC31" s="174" t="e">
        <v>#REF!</v>
      </c>
      <c r="AD31" s="174" t="e">
        <v>#REF!</v>
      </c>
      <c r="AE31" s="174" t="e">
        <v>#REF!</v>
      </c>
      <c r="AF31" s="174" t="e">
        <v>#REF!</v>
      </c>
      <c r="AG31" s="174" t="e">
        <v>#REF!</v>
      </c>
      <c r="AH31" s="174" t="e">
        <v>#REF!</v>
      </c>
      <c r="AI31" s="174" t="e">
        <v>#REF!</v>
      </c>
      <c r="AJ31" s="175"/>
    </row>
    <row r="32" spans="2:37" x14ac:dyDescent="0.4">
      <c r="B32" s="173" t="s">
        <v>534</v>
      </c>
      <c r="C32" s="176"/>
      <c r="D32" s="174">
        <v>185556.81909349846</v>
      </c>
      <c r="E32" s="174">
        <v>220975.03260247951</v>
      </c>
      <c r="F32" s="174">
        <v>224854.43170241683</v>
      </c>
      <c r="G32" s="174">
        <v>220197.64125315333</v>
      </c>
      <c r="H32" s="174">
        <v>213091.8679118065</v>
      </c>
      <c r="I32" s="174">
        <v>208268.22697718907</v>
      </c>
      <c r="J32" s="174">
        <v>270091.72512011393</v>
      </c>
      <c r="K32" s="174">
        <v>264908.11121345841</v>
      </c>
      <c r="L32" s="174">
        <v>186238.75944005189</v>
      </c>
      <c r="M32" s="174">
        <v>196608.45462885292</v>
      </c>
      <c r="N32" s="174">
        <v>199773.57793735413</v>
      </c>
      <c r="O32" s="174">
        <v>193214.30590209746</v>
      </c>
      <c r="P32" s="174">
        <v>187998.19918719752</v>
      </c>
      <c r="Q32" s="174">
        <v>177402.65905298409</v>
      </c>
      <c r="R32" s="174">
        <v>166447.11463931599</v>
      </c>
      <c r="S32" s="174">
        <v>153794.66465533234</v>
      </c>
      <c r="T32" s="174">
        <v>131409.4072667181</v>
      </c>
      <c r="U32" s="174">
        <v>98454.144735456997</v>
      </c>
      <c r="V32" s="174">
        <v>56959.607730249489</v>
      </c>
      <c r="W32" s="174">
        <v>10538.723894796656</v>
      </c>
      <c r="X32" s="174">
        <v>0</v>
      </c>
      <c r="Y32" s="174">
        <v>0</v>
      </c>
      <c r="Z32" s="174" t="e">
        <v>#REF!</v>
      </c>
      <c r="AA32" s="174" t="e">
        <v>#REF!</v>
      </c>
      <c r="AB32" s="174" t="e">
        <v>#REF!</v>
      </c>
      <c r="AC32" s="174" t="e">
        <v>#REF!</v>
      </c>
      <c r="AD32" s="174" t="e">
        <v>#REF!</v>
      </c>
      <c r="AE32" s="174" t="e">
        <v>#REF!</v>
      </c>
      <c r="AF32" s="174" t="e">
        <v>#REF!</v>
      </c>
      <c r="AG32" s="174" t="e">
        <v>#REF!</v>
      </c>
      <c r="AH32" s="174" t="e">
        <v>#REF!</v>
      </c>
      <c r="AI32" s="174" t="e">
        <v>#REF!</v>
      </c>
      <c r="AJ32" s="175"/>
    </row>
    <row r="33" spans="2:38" x14ac:dyDescent="0.4">
      <c r="B33" s="173" t="s">
        <v>535</v>
      </c>
      <c r="C33" s="176"/>
      <c r="D33" s="176"/>
      <c r="E33" s="174">
        <v>0</v>
      </c>
      <c r="F33" s="174">
        <v>0</v>
      </c>
      <c r="G33" s="174">
        <v>0</v>
      </c>
      <c r="H33" s="174">
        <v>0</v>
      </c>
      <c r="I33" s="174">
        <v>0</v>
      </c>
      <c r="J33" s="174">
        <v>0</v>
      </c>
      <c r="K33" s="174">
        <v>0</v>
      </c>
      <c r="L33" s="174">
        <v>0</v>
      </c>
      <c r="M33" s="174">
        <v>0</v>
      </c>
      <c r="N33" s="174">
        <v>0</v>
      </c>
      <c r="O33" s="174">
        <v>0</v>
      </c>
      <c r="P33" s="174">
        <v>0</v>
      </c>
      <c r="Q33" s="174">
        <v>0</v>
      </c>
      <c r="R33" s="174">
        <v>0</v>
      </c>
      <c r="S33" s="174">
        <v>0</v>
      </c>
      <c r="T33" s="174">
        <v>0</v>
      </c>
      <c r="U33" s="174">
        <v>0</v>
      </c>
      <c r="V33" s="174">
        <v>0</v>
      </c>
      <c r="W33" s="174">
        <v>0</v>
      </c>
      <c r="X33" s="174">
        <v>0</v>
      </c>
      <c r="Y33" s="174">
        <v>0</v>
      </c>
      <c r="Z33" s="174" t="e">
        <v>#REF!</v>
      </c>
      <c r="AA33" s="174" t="e">
        <v>#REF!</v>
      </c>
      <c r="AB33" s="174" t="e">
        <v>#REF!</v>
      </c>
      <c r="AC33" s="174" t="e">
        <v>#REF!</v>
      </c>
      <c r="AD33" s="174" t="e">
        <v>#REF!</v>
      </c>
      <c r="AE33" s="174" t="e">
        <v>#REF!</v>
      </c>
      <c r="AF33" s="174" t="e">
        <v>#REF!</v>
      </c>
      <c r="AG33" s="174" t="e">
        <v>#REF!</v>
      </c>
      <c r="AH33" s="174" t="e">
        <v>#REF!</v>
      </c>
      <c r="AI33" s="174" t="e">
        <v>#REF!</v>
      </c>
      <c r="AJ33" s="175"/>
    </row>
    <row r="34" spans="2:38" x14ac:dyDescent="0.4">
      <c r="B34" s="173" t="s">
        <v>536</v>
      </c>
      <c r="C34" s="179">
        <v>393462.997519553</v>
      </c>
      <c r="D34" s="179">
        <v>605394.02631578944</v>
      </c>
      <c r="E34" s="179">
        <v>657888.97428718139</v>
      </c>
      <c r="F34" s="179">
        <v>673798.63163256156</v>
      </c>
      <c r="G34" s="179">
        <v>660756.08579069772</v>
      </c>
      <c r="H34" s="179">
        <v>639344.92375476891</v>
      </c>
      <c r="I34" s="179">
        <v>757027.14826367737</v>
      </c>
      <c r="J34" s="179">
        <v>809427.36801421631</v>
      </c>
      <c r="K34" s="179">
        <v>642210.85717829247</v>
      </c>
      <c r="L34" s="179">
        <v>558084.36032418278</v>
      </c>
      <c r="M34" s="179">
        <v>583305.46595530328</v>
      </c>
      <c r="N34" s="179">
        <v>591424.42205111042</v>
      </c>
      <c r="O34" s="179">
        <v>574931.90330412518</v>
      </c>
      <c r="P34" s="179">
        <v>550928.81520798721</v>
      </c>
      <c r="Q34" s="179">
        <v>519967.2258563427</v>
      </c>
      <c r="R34" s="179">
        <v>482698.20909880061</v>
      </c>
      <c r="S34" s="179">
        <v>423990.74643539137</v>
      </c>
      <c r="T34" s="179">
        <v>333785.18112042639</v>
      </c>
      <c r="U34" s="179">
        <v>215533.53720518097</v>
      </c>
      <c r="V34" s="179">
        <v>78715.055519842805</v>
      </c>
      <c r="W34" s="179">
        <v>10538.723894796656</v>
      </c>
      <c r="X34" s="179">
        <v>0</v>
      </c>
      <c r="Y34" s="179">
        <v>0</v>
      </c>
      <c r="Z34" s="179" t="e">
        <v>#REF!</v>
      </c>
      <c r="AA34" s="179" t="e">
        <v>#REF!</v>
      </c>
      <c r="AB34" s="179" t="e">
        <v>#REF!</v>
      </c>
      <c r="AC34" s="179" t="e">
        <v>#REF!</v>
      </c>
      <c r="AD34" s="179" t="e">
        <v>#REF!</v>
      </c>
      <c r="AE34" s="179" t="e">
        <v>#REF!</v>
      </c>
      <c r="AF34" s="179" t="e">
        <v>#REF!</v>
      </c>
      <c r="AG34" s="179" t="e">
        <v>#REF!</v>
      </c>
      <c r="AH34" s="179" t="e">
        <v>#REF!</v>
      </c>
      <c r="AI34" s="179" t="e">
        <v>#REF!</v>
      </c>
      <c r="AJ34" s="175">
        <v>6316228.639302725</v>
      </c>
      <c r="AK34" s="13">
        <v>21054.095464342416</v>
      </c>
    </row>
    <row r="35" spans="2:38" x14ac:dyDescent="0.4">
      <c r="B35" s="173" t="s">
        <v>537</v>
      </c>
      <c r="C35" s="174">
        <v>96999.999999999985</v>
      </c>
      <c r="D35" s="174">
        <v>48499.999999999993</v>
      </c>
      <c r="E35" s="174">
        <v>0</v>
      </c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5">
        <v>133889.26654107016</v>
      </c>
      <c r="AK35" s="13">
        <v>446.29755513690054</v>
      </c>
    </row>
    <row r="36" spans="2:38" x14ac:dyDescent="0.4">
      <c r="B36" s="173" t="s">
        <v>538</v>
      </c>
      <c r="C36" s="174">
        <v>0</v>
      </c>
      <c r="D36" s="174">
        <v>0</v>
      </c>
      <c r="E36" s="174">
        <v>0</v>
      </c>
      <c r="F36" s="174">
        <v>0</v>
      </c>
      <c r="G36" s="174">
        <v>0</v>
      </c>
      <c r="H36" s="174">
        <v>0</v>
      </c>
      <c r="I36" s="174">
        <v>0</v>
      </c>
      <c r="J36" s="174">
        <v>0</v>
      </c>
      <c r="K36" s="174">
        <v>0</v>
      </c>
      <c r="L36" s="174">
        <v>0</v>
      </c>
      <c r="M36" s="174">
        <v>-600</v>
      </c>
      <c r="N36" s="174">
        <v>-900</v>
      </c>
      <c r="O36" s="174">
        <v>-900</v>
      </c>
      <c r="P36" s="174">
        <v>-2100</v>
      </c>
      <c r="Q36" s="174">
        <v>-2700</v>
      </c>
      <c r="R36" s="174">
        <v>-3900</v>
      </c>
      <c r="S36" s="174">
        <v>-8100</v>
      </c>
      <c r="T36" s="174">
        <v>-15300</v>
      </c>
      <c r="U36" s="174">
        <v>-21000</v>
      </c>
      <c r="V36" s="174">
        <v>-25500</v>
      </c>
      <c r="W36" s="174">
        <v>-9000</v>
      </c>
      <c r="X36" s="174">
        <v>0</v>
      </c>
      <c r="Y36" s="174">
        <v>0</v>
      </c>
      <c r="Z36" s="174">
        <v>0</v>
      </c>
      <c r="AA36" s="174">
        <v>0</v>
      </c>
      <c r="AB36" s="174">
        <v>0</v>
      </c>
      <c r="AC36" s="174">
        <v>0</v>
      </c>
      <c r="AD36" s="174">
        <v>0</v>
      </c>
      <c r="AE36" s="174">
        <v>0</v>
      </c>
      <c r="AF36" s="174">
        <v>0</v>
      </c>
      <c r="AG36" s="174">
        <v>0</v>
      </c>
      <c r="AH36" s="174">
        <v>0</v>
      </c>
      <c r="AI36" s="174">
        <v>0</v>
      </c>
      <c r="AJ36" s="175">
        <v>-28290.383793688077</v>
      </c>
      <c r="AK36" s="13">
        <v>-94.301279312293588</v>
      </c>
    </row>
    <row r="37" spans="2:38" x14ac:dyDescent="0.4">
      <c r="B37" s="173" t="s">
        <v>7</v>
      </c>
      <c r="C37" s="174">
        <v>285824</v>
      </c>
      <c r="D37" s="174">
        <v>142912</v>
      </c>
      <c r="E37" s="174">
        <v>0</v>
      </c>
      <c r="F37" s="174">
        <v>0</v>
      </c>
      <c r="G37" s="174">
        <v>0</v>
      </c>
      <c r="H37" s="174">
        <v>0</v>
      </c>
      <c r="I37" s="174">
        <v>0</v>
      </c>
      <c r="J37" s="174">
        <v>0</v>
      </c>
      <c r="K37" s="174">
        <v>0</v>
      </c>
      <c r="L37" s="174">
        <v>0</v>
      </c>
      <c r="M37" s="174">
        <v>0</v>
      </c>
      <c r="N37" s="174">
        <v>0</v>
      </c>
      <c r="O37" s="174">
        <v>0</v>
      </c>
      <c r="P37" s="174">
        <v>0</v>
      </c>
      <c r="Q37" s="174">
        <v>0</v>
      </c>
      <c r="R37" s="174">
        <v>0</v>
      </c>
      <c r="S37" s="174">
        <v>0</v>
      </c>
      <c r="T37" s="174">
        <v>0</v>
      </c>
      <c r="U37" s="174">
        <v>0</v>
      </c>
      <c r="V37" s="174">
        <v>0</v>
      </c>
      <c r="W37" s="174">
        <v>0</v>
      </c>
      <c r="X37" s="174">
        <v>0</v>
      </c>
      <c r="Y37" s="174">
        <v>0</v>
      </c>
      <c r="Z37" s="174" t="e">
        <v>#REF!</v>
      </c>
      <c r="AA37" s="174" t="e">
        <v>#REF!</v>
      </c>
      <c r="AB37" s="174" t="e">
        <v>#REF!</v>
      </c>
      <c r="AC37" s="174" t="e">
        <v>#REF!</v>
      </c>
      <c r="AD37" s="174" t="e">
        <v>#REF!</v>
      </c>
      <c r="AE37" s="174" t="e">
        <v>#REF!</v>
      </c>
      <c r="AF37" s="174" t="e">
        <v>#REF!</v>
      </c>
      <c r="AG37" s="174" t="e">
        <v>#REF!</v>
      </c>
      <c r="AH37" s="174" t="e">
        <v>#REF!</v>
      </c>
      <c r="AI37" s="174" t="e">
        <v>#REF!</v>
      </c>
      <c r="AJ37" s="175"/>
    </row>
    <row r="38" spans="2:38" x14ac:dyDescent="0.4">
      <c r="B38" s="173" t="s">
        <v>539</v>
      </c>
      <c r="C38" s="174">
        <v>0</v>
      </c>
      <c r="D38" s="174">
        <v>0</v>
      </c>
      <c r="E38" s="174">
        <v>0</v>
      </c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5"/>
    </row>
    <row r="39" spans="2:38" x14ac:dyDescent="0.4">
      <c r="B39" s="173" t="s">
        <v>540</v>
      </c>
      <c r="C39" s="174">
        <v>0</v>
      </c>
      <c r="D39" s="174">
        <v>0</v>
      </c>
      <c r="E39" s="174">
        <v>0</v>
      </c>
      <c r="F39" s="174">
        <v>0</v>
      </c>
      <c r="G39" s="174">
        <v>0</v>
      </c>
      <c r="H39" s="174">
        <v>0</v>
      </c>
      <c r="I39" s="174">
        <v>0</v>
      </c>
      <c r="J39" s="174">
        <v>0</v>
      </c>
      <c r="K39" s="174">
        <v>0</v>
      </c>
      <c r="L39" s="174">
        <v>0</v>
      </c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4">
        <v>0</v>
      </c>
      <c r="AA39" s="174">
        <v>0</v>
      </c>
      <c r="AB39" s="174">
        <v>0</v>
      </c>
      <c r="AC39" s="174">
        <v>0</v>
      </c>
      <c r="AD39" s="174">
        <v>0</v>
      </c>
      <c r="AE39" s="174">
        <v>0</v>
      </c>
      <c r="AF39" s="174">
        <v>0</v>
      </c>
      <c r="AG39" s="174">
        <v>0</v>
      </c>
      <c r="AH39" s="174">
        <v>0</v>
      </c>
      <c r="AI39" s="174">
        <v>0</v>
      </c>
      <c r="AJ39" s="175"/>
    </row>
    <row r="40" spans="2:38" x14ac:dyDescent="0.4">
      <c r="B40" s="173" t="s">
        <v>541</v>
      </c>
      <c r="C40" s="176"/>
      <c r="D40" s="174">
        <v>0</v>
      </c>
      <c r="E40" s="174">
        <v>0</v>
      </c>
      <c r="F40" s="174">
        <v>0</v>
      </c>
      <c r="G40" s="174">
        <v>0</v>
      </c>
      <c r="H40" s="174">
        <v>0</v>
      </c>
      <c r="I40" s="174">
        <v>0</v>
      </c>
      <c r="J40" s="174">
        <v>0</v>
      </c>
      <c r="K40" s="174">
        <v>0</v>
      </c>
      <c r="L40" s="174">
        <v>0</v>
      </c>
      <c r="M40" s="174">
        <v>0</v>
      </c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4">
        <v>0</v>
      </c>
      <c r="AA40" s="174">
        <v>0</v>
      </c>
      <c r="AB40" s="174">
        <v>0</v>
      </c>
      <c r="AC40" s="174">
        <v>0</v>
      </c>
      <c r="AD40" s="174">
        <v>0</v>
      </c>
      <c r="AE40" s="174">
        <v>0</v>
      </c>
      <c r="AF40" s="174">
        <v>0</v>
      </c>
      <c r="AG40" s="174">
        <v>0</v>
      </c>
      <c r="AH40" s="174">
        <v>0</v>
      </c>
      <c r="AI40" s="174">
        <v>0</v>
      </c>
      <c r="AJ40" s="175"/>
    </row>
    <row r="41" spans="2:38" x14ac:dyDescent="0.4">
      <c r="B41" s="173" t="s">
        <v>542</v>
      </c>
      <c r="C41" s="177"/>
      <c r="D41" s="177"/>
      <c r="E41" s="178">
        <v>0</v>
      </c>
      <c r="F41" s="178">
        <v>0</v>
      </c>
      <c r="G41" s="178">
        <v>0</v>
      </c>
      <c r="H41" s="178">
        <v>0</v>
      </c>
      <c r="I41" s="178">
        <v>0</v>
      </c>
      <c r="J41" s="178">
        <v>0</v>
      </c>
      <c r="K41" s="178">
        <v>0</v>
      </c>
      <c r="L41" s="178">
        <v>0</v>
      </c>
      <c r="M41" s="178">
        <v>0</v>
      </c>
      <c r="N41" s="178">
        <v>0</v>
      </c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8">
        <v>0</v>
      </c>
      <c r="AA41" s="178">
        <v>0</v>
      </c>
      <c r="AB41" s="178">
        <v>0</v>
      </c>
      <c r="AC41" s="178">
        <v>0</v>
      </c>
      <c r="AD41" s="178">
        <v>0</v>
      </c>
      <c r="AE41" s="178">
        <v>0</v>
      </c>
      <c r="AF41" s="178">
        <v>0</v>
      </c>
      <c r="AG41" s="178">
        <v>0</v>
      </c>
      <c r="AH41" s="178">
        <v>0</v>
      </c>
      <c r="AI41" s="178">
        <v>0</v>
      </c>
      <c r="AJ41" s="175"/>
    </row>
    <row r="42" spans="2:38" x14ac:dyDescent="0.4">
      <c r="B42" s="173" t="s">
        <v>543</v>
      </c>
      <c r="C42" s="174">
        <v>0</v>
      </c>
      <c r="D42" s="174">
        <v>0</v>
      </c>
      <c r="E42" s="174">
        <v>0</v>
      </c>
      <c r="F42" s="174">
        <v>0</v>
      </c>
      <c r="G42" s="174">
        <v>0</v>
      </c>
      <c r="H42" s="174">
        <v>0</v>
      </c>
      <c r="I42" s="174">
        <v>0</v>
      </c>
      <c r="J42" s="174">
        <v>0</v>
      </c>
      <c r="K42" s="174">
        <v>0</v>
      </c>
      <c r="L42" s="174">
        <v>0</v>
      </c>
      <c r="M42" s="174">
        <v>0</v>
      </c>
      <c r="N42" s="174">
        <v>0</v>
      </c>
      <c r="O42" s="174">
        <v>0</v>
      </c>
      <c r="P42" s="174">
        <v>0</v>
      </c>
      <c r="Q42" s="174">
        <v>0</v>
      </c>
      <c r="R42" s="174">
        <v>0</v>
      </c>
      <c r="S42" s="174">
        <v>0</v>
      </c>
      <c r="T42" s="174">
        <v>0</v>
      </c>
      <c r="U42" s="174">
        <v>0</v>
      </c>
      <c r="V42" s="174">
        <v>0</v>
      </c>
      <c r="W42" s="174">
        <v>0</v>
      </c>
      <c r="X42" s="174">
        <v>0</v>
      </c>
      <c r="Y42" s="174">
        <v>0</v>
      </c>
      <c r="Z42" s="174">
        <v>0</v>
      </c>
      <c r="AA42" s="174">
        <v>0</v>
      </c>
      <c r="AB42" s="174">
        <v>0</v>
      </c>
      <c r="AC42" s="174">
        <v>0</v>
      </c>
      <c r="AD42" s="174">
        <v>0</v>
      </c>
      <c r="AE42" s="174">
        <v>0</v>
      </c>
      <c r="AF42" s="174">
        <v>0</v>
      </c>
      <c r="AG42" s="174">
        <v>0</v>
      </c>
      <c r="AH42" s="174">
        <v>0</v>
      </c>
      <c r="AI42" s="174">
        <v>0</v>
      </c>
      <c r="AJ42" s="175"/>
    </row>
    <row r="43" spans="2:38" ht="19.5" thickBot="1" x14ac:dyDescent="0.45">
      <c r="B43" s="11" t="s">
        <v>195</v>
      </c>
      <c r="C43" s="180">
        <v>776286.99751955294</v>
      </c>
      <c r="D43" s="180">
        <v>796806.02631578944</v>
      </c>
      <c r="E43" s="180">
        <v>657888.97428718139</v>
      </c>
      <c r="F43" s="180">
        <v>673798.63163256156</v>
      </c>
      <c r="G43" s="180">
        <v>660756.08579069772</v>
      </c>
      <c r="H43" s="180">
        <v>639344.92375476891</v>
      </c>
      <c r="I43" s="180">
        <v>757027.14826367737</v>
      </c>
      <c r="J43" s="180">
        <v>809427.36801421631</v>
      </c>
      <c r="K43" s="180">
        <v>642210.85717829247</v>
      </c>
      <c r="L43" s="180">
        <v>558084.36032418278</v>
      </c>
      <c r="M43" s="180">
        <v>582705.46595530328</v>
      </c>
      <c r="N43" s="180">
        <v>590524.42205111042</v>
      </c>
      <c r="O43" s="180">
        <v>574031.90330412518</v>
      </c>
      <c r="P43" s="180">
        <v>548828.81520798721</v>
      </c>
      <c r="Q43" s="180">
        <v>517267.2258563427</v>
      </c>
      <c r="R43" s="180">
        <v>478798.20909880061</v>
      </c>
      <c r="S43" s="180">
        <v>415890.74643539137</v>
      </c>
      <c r="T43" s="180">
        <v>318485.18112042639</v>
      </c>
      <c r="U43" s="180">
        <v>194533.53720518097</v>
      </c>
      <c r="V43" s="180">
        <v>53215.055519842805</v>
      </c>
      <c r="W43" s="180">
        <v>1538.7238947966562</v>
      </c>
      <c r="X43" s="180">
        <v>0</v>
      </c>
      <c r="Y43" s="180">
        <v>0</v>
      </c>
      <c r="Z43" s="180" t="e">
        <v>#REF!</v>
      </c>
      <c r="AA43" s="180" t="e">
        <v>#REF!</v>
      </c>
      <c r="AB43" s="180" t="e">
        <v>#REF!</v>
      </c>
      <c r="AC43" s="180" t="e">
        <v>#REF!</v>
      </c>
      <c r="AD43" s="180" t="e">
        <v>#REF!</v>
      </c>
      <c r="AE43" s="180" t="e">
        <v>#REF!</v>
      </c>
      <c r="AF43" s="180" t="e">
        <v>#REF!</v>
      </c>
      <c r="AG43" s="180" t="e">
        <v>#REF!</v>
      </c>
      <c r="AH43" s="180" t="e">
        <v>#REF!</v>
      </c>
      <c r="AI43" s="180" t="e">
        <v>#REF!</v>
      </c>
      <c r="AJ43" s="175"/>
    </row>
    <row r="44" spans="2:38" ht="19.5" thickTop="1" x14ac:dyDescent="0.4">
      <c r="B44" s="181" t="s">
        <v>544</v>
      </c>
      <c r="C44" s="175">
        <v>170916.60668834264</v>
      </c>
      <c r="D44" s="175">
        <v>-71721.848437711247</v>
      </c>
      <c r="E44" s="175">
        <v>-140383.38228467922</v>
      </c>
      <c r="F44" s="175">
        <v>-64725.520412945305</v>
      </c>
      <c r="G44" s="175">
        <v>-27077.224539504503</v>
      </c>
      <c r="H44" s="175">
        <v>-2562.6119635511423</v>
      </c>
      <c r="I44" s="175">
        <v>154195.76221979421</v>
      </c>
      <c r="J44" s="175">
        <v>239817.39367374394</v>
      </c>
      <c r="K44" s="175">
        <v>104341.95083051675</v>
      </c>
      <c r="L44" s="175">
        <v>51704.961494259769</v>
      </c>
      <c r="M44" s="175">
        <v>108372.16389116429</v>
      </c>
      <c r="N44" s="175">
        <v>148445.17036407156</v>
      </c>
      <c r="O44" s="175">
        <v>163779.00053315848</v>
      </c>
      <c r="P44" s="175">
        <v>171172.05771234975</v>
      </c>
      <c r="Q44" s="175">
        <v>172539.67661498592</v>
      </c>
      <c r="R44" s="175">
        <v>167219.94350441196</v>
      </c>
      <c r="S44" s="175">
        <v>299453.48736360925</v>
      </c>
      <c r="T44" s="175">
        <v>298138.70269603014</v>
      </c>
      <c r="U44" s="175">
        <v>181785.50229295349</v>
      </c>
      <c r="V44" s="175">
        <v>49869.385457907731</v>
      </c>
      <c r="W44" s="175">
        <v>1538.7238947966441</v>
      </c>
      <c r="X44" s="175">
        <v>-1.2017139737533544E-11</v>
      </c>
      <c r="Y44" s="175">
        <v>-1.2017139737533544E-11</v>
      </c>
      <c r="Z44" s="175" t="e">
        <v>#REF!</v>
      </c>
      <c r="AA44" s="175" t="e">
        <v>#REF!</v>
      </c>
      <c r="AB44" s="175" t="e">
        <v>#REF!</v>
      </c>
      <c r="AC44" s="175" t="e">
        <v>#REF!</v>
      </c>
      <c r="AD44" s="175" t="e">
        <v>#REF!</v>
      </c>
      <c r="AE44" s="175" t="e">
        <v>#REF!</v>
      </c>
      <c r="AF44" s="175" t="e">
        <v>#REF!</v>
      </c>
      <c r="AG44" s="175" t="e">
        <v>#REF!</v>
      </c>
      <c r="AH44" s="175" t="e">
        <v>#REF!</v>
      </c>
      <c r="AI44" s="175" t="e">
        <v>#REF!</v>
      </c>
      <c r="AJ44" s="175">
        <v>906777.32147877954</v>
      </c>
    </row>
    <row r="45" spans="2:38" x14ac:dyDescent="0.4"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24"/>
    </row>
    <row r="46" spans="2:38" x14ac:dyDescent="0.4">
      <c r="B46" s="166"/>
      <c r="C46" s="183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AL46" s="24"/>
    </row>
    <row r="47" spans="2:38" x14ac:dyDescent="0.4">
      <c r="N47" s="184"/>
      <c r="O47" s="184"/>
      <c r="P47" s="184"/>
      <c r="Q47" s="184"/>
      <c r="R47" s="184"/>
      <c r="S47" s="184"/>
      <c r="T47" s="184"/>
    </row>
    <row r="50" spans="8:36" x14ac:dyDescent="0.4">
      <c r="AJ50" s="13">
        <v>487559.74305444298</v>
      </c>
    </row>
    <row r="52" spans="8:36" x14ac:dyDescent="0.4">
      <c r="AJ52" s="4"/>
    </row>
    <row r="54" spans="8:36" x14ac:dyDescent="0.4">
      <c r="H54" s="91"/>
    </row>
  </sheetData>
  <pageMargins left="0.7" right="0.7" top="0.75" bottom="0.75" header="0.3" footer="0.3"/>
  <pageSetup scale="2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5ED1D-C4F3-41B7-B35C-91B0D8C477C2}">
  <dimension ref="A1:NY65"/>
  <sheetViews>
    <sheetView view="pageBreakPreview" topLeftCell="AG1" zoomScale="60" zoomScaleNormal="40" workbookViewId="0">
      <selection activeCell="BC40" sqref="BC40"/>
    </sheetView>
  </sheetViews>
  <sheetFormatPr defaultColWidth="7.33203125" defaultRowHeight="18.75" x14ac:dyDescent="0.4"/>
  <cols>
    <col min="1" max="1" width="17.5546875" customWidth="1"/>
    <col min="2" max="2" width="9.33203125" bestFit="1" customWidth="1"/>
    <col min="3" max="18" width="7.88671875" bestFit="1" customWidth="1"/>
    <col min="19" max="19" width="8.33203125" bestFit="1" customWidth="1"/>
    <col min="20" max="21" width="7.88671875" bestFit="1" customWidth="1"/>
    <col min="22" max="130" width="7.44140625" bestFit="1" customWidth="1"/>
    <col min="161" max="161" width="8.44140625" bestFit="1" customWidth="1"/>
    <col min="191" max="191" width="5.44140625" customWidth="1"/>
    <col min="192" max="192" width="5.77734375" customWidth="1"/>
    <col min="194" max="194" width="8.21875" bestFit="1" customWidth="1"/>
    <col min="208" max="208" width="8.44140625" bestFit="1" customWidth="1"/>
  </cols>
  <sheetData>
    <row r="1" spans="1:388" x14ac:dyDescent="0.4">
      <c r="A1" t="s">
        <v>571</v>
      </c>
    </row>
    <row r="2" spans="1:388" x14ac:dyDescent="0.4">
      <c r="A2" s="11"/>
    </row>
    <row r="3" spans="1:388" x14ac:dyDescent="0.4">
      <c r="A3" s="11" t="s">
        <v>545</v>
      </c>
      <c r="B3">
        <v>11.5</v>
      </c>
    </row>
    <row r="4" spans="1:388" x14ac:dyDescent="0.4">
      <c r="A4" s="11" t="s">
        <v>58</v>
      </c>
      <c r="C4" s="185">
        <v>2026</v>
      </c>
      <c r="D4" s="185">
        <v>2026</v>
      </c>
      <c r="E4" s="185">
        <v>2026</v>
      </c>
      <c r="F4" s="185">
        <v>2026</v>
      </c>
      <c r="G4" s="185">
        <v>2026</v>
      </c>
      <c r="H4" s="185">
        <v>2026</v>
      </c>
      <c r="I4" s="185">
        <v>2026</v>
      </c>
      <c r="J4" s="185">
        <v>2026</v>
      </c>
      <c r="K4" s="185">
        <v>2026</v>
      </c>
      <c r="L4" s="185">
        <v>2026</v>
      </c>
      <c r="M4" s="185">
        <v>2026</v>
      </c>
      <c r="N4" s="185">
        <v>2026</v>
      </c>
      <c r="O4" s="185">
        <v>2027</v>
      </c>
      <c r="P4" s="185">
        <v>2027</v>
      </c>
      <c r="Q4" s="185">
        <v>2027</v>
      </c>
      <c r="R4" s="185">
        <v>2027</v>
      </c>
      <c r="S4" s="185">
        <v>2027</v>
      </c>
      <c r="T4" s="185">
        <v>2027</v>
      </c>
      <c r="U4" s="185">
        <v>2027</v>
      </c>
      <c r="V4" s="185">
        <v>2027</v>
      </c>
      <c r="W4" s="185">
        <v>2027</v>
      </c>
      <c r="X4" s="185">
        <v>2027</v>
      </c>
      <c r="Y4" s="185">
        <v>2027</v>
      </c>
      <c r="Z4" s="185">
        <v>2027</v>
      </c>
      <c r="AA4" s="185">
        <v>2028</v>
      </c>
      <c r="AB4" s="185">
        <v>2028</v>
      </c>
      <c r="AC4" s="185">
        <v>2028</v>
      </c>
      <c r="AD4" s="185">
        <v>2028</v>
      </c>
      <c r="AE4" s="185">
        <v>2028</v>
      </c>
      <c r="AF4" s="185">
        <v>2028</v>
      </c>
      <c r="AG4" s="185">
        <v>2028</v>
      </c>
      <c r="AH4" s="185">
        <v>2028</v>
      </c>
      <c r="AI4" s="185">
        <v>2028</v>
      </c>
      <c r="AJ4" s="185">
        <v>2028</v>
      </c>
      <c r="AK4" s="185">
        <v>2028</v>
      </c>
      <c r="AL4" s="185">
        <v>2028</v>
      </c>
      <c r="AM4" s="185">
        <v>2029</v>
      </c>
      <c r="AN4" s="185">
        <v>2029</v>
      </c>
      <c r="AO4" s="185">
        <v>2029</v>
      </c>
      <c r="AP4" s="185">
        <v>2029</v>
      </c>
      <c r="AQ4" s="185">
        <v>2029</v>
      </c>
      <c r="AR4" s="185">
        <v>2029</v>
      </c>
      <c r="AS4" s="185">
        <v>2029</v>
      </c>
      <c r="AT4" s="185">
        <v>2029</v>
      </c>
      <c r="AU4" s="185">
        <v>2029</v>
      </c>
      <c r="AV4" s="185">
        <v>2029</v>
      </c>
      <c r="AW4" s="185">
        <v>2029</v>
      </c>
      <c r="AX4" s="185">
        <v>2029</v>
      </c>
      <c r="AY4" s="185">
        <v>2030</v>
      </c>
      <c r="AZ4" s="185">
        <v>2030</v>
      </c>
      <c r="BA4" s="185">
        <v>2030</v>
      </c>
      <c r="BB4" s="185">
        <v>2030</v>
      </c>
      <c r="BC4" s="185">
        <v>2030</v>
      </c>
      <c r="BD4" s="185">
        <v>2030</v>
      </c>
      <c r="BE4" s="185">
        <v>2030</v>
      </c>
      <c r="BF4" s="185">
        <v>2030</v>
      </c>
      <c r="BG4" s="185">
        <v>2030</v>
      </c>
      <c r="BH4" s="185">
        <v>2030</v>
      </c>
      <c r="BI4" s="185">
        <v>2030</v>
      </c>
      <c r="BJ4" s="185">
        <v>2030</v>
      </c>
      <c r="BK4" s="185">
        <v>2031</v>
      </c>
      <c r="BL4" s="185">
        <v>2031</v>
      </c>
      <c r="BM4" s="185">
        <v>2031</v>
      </c>
      <c r="BN4" s="185">
        <v>2031</v>
      </c>
      <c r="BO4" s="185">
        <v>2031</v>
      </c>
      <c r="BP4" s="185">
        <v>2031</v>
      </c>
      <c r="BQ4" s="185">
        <v>2031</v>
      </c>
      <c r="BR4" s="185">
        <v>2031</v>
      </c>
      <c r="BS4" s="185">
        <v>2031</v>
      </c>
      <c r="BT4" s="185">
        <v>2031</v>
      </c>
      <c r="BU4" s="185">
        <v>2031</v>
      </c>
      <c r="BV4" s="185">
        <v>2031</v>
      </c>
      <c r="BW4" s="185">
        <v>2032</v>
      </c>
      <c r="BX4" s="185">
        <v>2032</v>
      </c>
      <c r="BY4" s="185">
        <v>2032</v>
      </c>
      <c r="BZ4" s="185">
        <v>2032</v>
      </c>
      <c r="CA4" s="185">
        <v>2032</v>
      </c>
      <c r="CB4" s="185">
        <v>2032</v>
      </c>
      <c r="CC4" s="185">
        <v>2032</v>
      </c>
      <c r="CD4" s="185">
        <v>2032</v>
      </c>
      <c r="CE4" s="185">
        <v>2032</v>
      </c>
      <c r="CF4" s="185">
        <v>2032</v>
      </c>
      <c r="CG4" s="185">
        <v>2032</v>
      </c>
      <c r="CH4" s="185">
        <v>2032</v>
      </c>
      <c r="CI4" s="185">
        <v>2033</v>
      </c>
      <c r="CJ4" s="185">
        <v>2033</v>
      </c>
      <c r="CK4" s="185">
        <v>2033</v>
      </c>
      <c r="CL4" s="185">
        <v>2033</v>
      </c>
      <c r="CM4" s="185">
        <v>2033</v>
      </c>
      <c r="CN4" s="185">
        <v>2033</v>
      </c>
      <c r="CO4" s="185">
        <v>2033</v>
      </c>
      <c r="CP4" s="185">
        <v>2033</v>
      </c>
      <c r="CQ4" s="185">
        <v>2033</v>
      </c>
      <c r="CR4" s="185">
        <v>2033</v>
      </c>
      <c r="CS4" s="185">
        <v>2033</v>
      </c>
      <c r="CT4" s="185">
        <v>2033</v>
      </c>
      <c r="CU4" s="185">
        <v>2034</v>
      </c>
      <c r="CV4" s="185">
        <v>2034</v>
      </c>
      <c r="CW4" s="185">
        <v>2034</v>
      </c>
      <c r="CX4" s="185">
        <v>2034</v>
      </c>
      <c r="CY4" s="185">
        <v>2034</v>
      </c>
      <c r="CZ4" s="185">
        <v>2034</v>
      </c>
      <c r="DA4" s="185">
        <v>2034</v>
      </c>
      <c r="DB4" s="185">
        <v>2034</v>
      </c>
      <c r="DC4" s="185">
        <v>2034</v>
      </c>
      <c r="DD4" s="185">
        <v>2034</v>
      </c>
      <c r="DE4" s="185">
        <v>2034</v>
      </c>
      <c r="DF4" s="185">
        <v>2034</v>
      </c>
      <c r="DG4" s="185">
        <v>2035</v>
      </c>
      <c r="DH4" s="185">
        <v>2035</v>
      </c>
      <c r="DI4" s="185">
        <v>2035</v>
      </c>
      <c r="DJ4" s="185">
        <v>2035</v>
      </c>
      <c r="DK4" s="185">
        <v>2035</v>
      </c>
      <c r="DL4" s="185">
        <v>2035</v>
      </c>
      <c r="DM4" s="185">
        <v>2035</v>
      </c>
      <c r="DN4" s="185">
        <v>2035</v>
      </c>
      <c r="DO4" s="185">
        <v>2035</v>
      </c>
      <c r="DP4" s="185">
        <v>2035</v>
      </c>
      <c r="DQ4" s="185">
        <v>2035</v>
      </c>
      <c r="DR4" s="185">
        <v>2035</v>
      </c>
      <c r="DS4" s="185">
        <v>2036</v>
      </c>
      <c r="DT4" s="185">
        <v>2036</v>
      </c>
      <c r="DU4" s="185">
        <v>2036</v>
      </c>
      <c r="DV4" s="185">
        <v>2036</v>
      </c>
      <c r="DW4" s="185">
        <v>2036</v>
      </c>
      <c r="DX4" s="185">
        <v>2036</v>
      </c>
      <c r="DY4" s="185">
        <v>2036</v>
      </c>
      <c r="DZ4" s="185">
        <v>2036</v>
      </c>
      <c r="EA4" s="185">
        <v>2036</v>
      </c>
      <c r="EB4" s="185">
        <v>2036</v>
      </c>
      <c r="EC4" s="185">
        <v>2036</v>
      </c>
      <c r="ED4" s="185">
        <v>2036</v>
      </c>
      <c r="EE4" s="185">
        <v>2037</v>
      </c>
      <c r="EF4" s="185">
        <v>2037</v>
      </c>
      <c r="EG4" s="185">
        <v>2037</v>
      </c>
      <c r="EH4" s="185">
        <v>2037</v>
      </c>
      <c r="EI4" s="185">
        <v>2037</v>
      </c>
      <c r="EJ4" s="185">
        <v>2037</v>
      </c>
      <c r="EK4" s="185">
        <v>2037</v>
      </c>
      <c r="EL4" s="185">
        <v>2037</v>
      </c>
      <c r="EM4" s="185">
        <v>2037</v>
      </c>
      <c r="EN4" s="185">
        <v>2037</v>
      </c>
      <c r="EO4" s="185">
        <v>2037</v>
      </c>
      <c r="EP4" s="185">
        <v>2037</v>
      </c>
      <c r="EQ4" s="185">
        <v>2038</v>
      </c>
      <c r="ER4" s="185">
        <v>2038</v>
      </c>
      <c r="ES4" s="185">
        <v>2038</v>
      </c>
      <c r="ET4" s="185">
        <v>2038</v>
      </c>
      <c r="EU4" s="185">
        <v>2038</v>
      </c>
      <c r="EV4" s="185">
        <v>2038</v>
      </c>
      <c r="EW4" s="185">
        <v>2038</v>
      </c>
      <c r="EX4" s="185">
        <v>2038</v>
      </c>
      <c r="EY4" s="185">
        <v>2038</v>
      </c>
      <c r="EZ4" s="185">
        <v>2038</v>
      </c>
      <c r="FA4" s="185">
        <v>2038</v>
      </c>
      <c r="FB4" s="185">
        <v>2038</v>
      </c>
      <c r="FC4" s="185">
        <v>2039</v>
      </c>
      <c r="FD4" s="185">
        <v>2039</v>
      </c>
      <c r="FE4" s="185">
        <v>2039</v>
      </c>
      <c r="FF4" s="185">
        <v>2039</v>
      </c>
      <c r="FG4" s="185">
        <v>2039</v>
      </c>
      <c r="FH4" s="185">
        <v>2039</v>
      </c>
      <c r="FI4" s="185">
        <v>2039</v>
      </c>
      <c r="FJ4" s="185">
        <v>2039</v>
      </c>
      <c r="FK4" s="185">
        <v>2039</v>
      </c>
      <c r="FL4" s="185">
        <v>2039</v>
      </c>
      <c r="FM4" s="185">
        <v>2039</v>
      </c>
      <c r="FN4" s="185">
        <v>2039</v>
      </c>
      <c r="FO4" s="185">
        <v>2040</v>
      </c>
      <c r="FP4" s="185">
        <v>2040</v>
      </c>
      <c r="FQ4" s="185">
        <v>2040</v>
      </c>
      <c r="FR4" s="185">
        <v>2040</v>
      </c>
      <c r="FS4" s="185">
        <v>2040</v>
      </c>
      <c r="FT4" s="185">
        <v>2040</v>
      </c>
      <c r="FU4" s="185">
        <v>2040</v>
      </c>
      <c r="FV4" s="185">
        <v>2040</v>
      </c>
      <c r="FW4" s="185">
        <v>2040</v>
      </c>
      <c r="FX4" s="185">
        <v>2040</v>
      </c>
      <c r="FY4" s="185">
        <v>2040</v>
      </c>
      <c r="FZ4" s="185">
        <v>2040</v>
      </c>
      <c r="GA4" s="185">
        <v>2041</v>
      </c>
      <c r="GB4" s="185">
        <v>2041</v>
      </c>
      <c r="GC4" s="185">
        <v>2041</v>
      </c>
      <c r="GD4" s="185">
        <v>2041</v>
      </c>
      <c r="GE4" s="185">
        <v>2041</v>
      </c>
      <c r="GF4" s="185">
        <v>2041</v>
      </c>
      <c r="GG4" s="185">
        <v>2041</v>
      </c>
      <c r="GH4" s="185">
        <v>2041</v>
      </c>
      <c r="GI4" s="185">
        <v>2041</v>
      </c>
      <c r="GJ4" s="185">
        <v>2041</v>
      </c>
      <c r="GK4" s="185">
        <v>2041</v>
      </c>
      <c r="GL4" s="185">
        <v>2041</v>
      </c>
      <c r="GM4" s="185">
        <v>2042</v>
      </c>
      <c r="GN4" s="185">
        <v>2042</v>
      </c>
      <c r="GO4" s="185">
        <v>2042</v>
      </c>
      <c r="GP4" s="185">
        <v>2042</v>
      </c>
      <c r="GQ4" s="185">
        <v>2042</v>
      </c>
      <c r="GR4" s="185">
        <v>2042</v>
      </c>
      <c r="GS4" s="185">
        <v>2042</v>
      </c>
      <c r="GT4" s="185">
        <v>2042</v>
      </c>
      <c r="GU4" s="185">
        <v>2042</v>
      </c>
      <c r="GV4" s="185">
        <v>2042</v>
      </c>
      <c r="GW4" s="185">
        <v>2042</v>
      </c>
      <c r="GX4" s="185">
        <v>2042</v>
      </c>
      <c r="GY4" s="185">
        <v>2043</v>
      </c>
      <c r="GZ4" s="185">
        <v>2043</v>
      </c>
      <c r="HA4" s="185">
        <v>2043</v>
      </c>
      <c r="HB4" s="185">
        <v>2043</v>
      </c>
      <c r="HC4" s="185">
        <v>2043</v>
      </c>
      <c r="HD4" s="185">
        <v>2043</v>
      </c>
      <c r="HE4" s="185">
        <v>2043</v>
      </c>
      <c r="HF4" s="185">
        <v>2043</v>
      </c>
      <c r="HG4" s="185">
        <v>2043</v>
      </c>
      <c r="HH4" s="185">
        <v>2043</v>
      </c>
      <c r="HI4" s="185">
        <v>2043</v>
      </c>
      <c r="HJ4" s="185">
        <v>2043</v>
      </c>
      <c r="HK4" s="185">
        <v>2044</v>
      </c>
      <c r="HL4" s="185">
        <v>2044</v>
      </c>
      <c r="HM4" s="185">
        <v>2044</v>
      </c>
      <c r="HN4" s="185">
        <v>2044</v>
      </c>
      <c r="HO4" s="185">
        <v>2044</v>
      </c>
      <c r="HP4" s="185">
        <v>2044</v>
      </c>
      <c r="HQ4" s="185">
        <v>2044</v>
      </c>
      <c r="HR4" s="185">
        <v>2044</v>
      </c>
      <c r="HS4" s="185">
        <v>2044</v>
      </c>
      <c r="HT4" s="185">
        <v>2044</v>
      </c>
      <c r="HU4" s="185">
        <v>2044</v>
      </c>
      <c r="HV4" s="185">
        <v>2044</v>
      </c>
      <c r="HW4" s="185">
        <v>2045</v>
      </c>
      <c r="HX4" s="185">
        <v>2045</v>
      </c>
      <c r="HY4" s="185">
        <v>2045</v>
      </c>
      <c r="HZ4" s="185">
        <v>2045</v>
      </c>
      <c r="IA4" s="185">
        <v>2045</v>
      </c>
      <c r="IB4" s="185">
        <v>2045</v>
      </c>
      <c r="IC4" s="185">
        <v>2045</v>
      </c>
      <c r="ID4" s="185">
        <v>2045</v>
      </c>
      <c r="IE4" s="185">
        <v>2045</v>
      </c>
      <c r="IF4" s="185">
        <v>2045</v>
      </c>
      <c r="IG4" s="185">
        <v>2045</v>
      </c>
      <c r="IH4" s="185">
        <v>2045</v>
      </c>
      <c r="II4" s="185">
        <v>2046</v>
      </c>
      <c r="IJ4" s="185">
        <v>2046</v>
      </c>
      <c r="IK4" s="185">
        <v>2046</v>
      </c>
      <c r="IL4" s="185">
        <v>2046</v>
      </c>
      <c r="IM4" s="185">
        <v>2046</v>
      </c>
      <c r="IN4" s="185">
        <v>2046</v>
      </c>
      <c r="IO4" s="185">
        <v>2046</v>
      </c>
      <c r="IP4" s="185">
        <v>2046</v>
      </c>
      <c r="IQ4" s="185">
        <v>2046</v>
      </c>
      <c r="IR4" s="185">
        <v>2046</v>
      </c>
      <c r="IS4" s="185">
        <v>2046</v>
      </c>
      <c r="IT4" s="185">
        <v>2046</v>
      </c>
      <c r="IU4" s="185">
        <v>2047</v>
      </c>
      <c r="IV4" s="185">
        <v>2047</v>
      </c>
      <c r="IW4" s="185">
        <v>2047</v>
      </c>
      <c r="IX4" s="185">
        <v>2047</v>
      </c>
      <c r="IY4" s="185">
        <v>2047</v>
      </c>
      <c r="IZ4" s="185">
        <v>2047</v>
      </c>
      <c r="JA4" s="185">
        <v>2047</v>
      </c>
      <c r="JB4" s="185">
        <v>2047</v>
      </c>
      <c r="JC4" s="185">
        <v>2047</v>
      </c>
      <c r="JD4" s="185">
        <v>2047</v>
      </c>
      <c r="JE4" s="185">
        <v>2047</v>
      </c>
      <c r="JF4" s="185">
        <v>2047</v>
      </c>
      <c r="JG4" s="185">
        <v>2048</v>
      </c>
      <c r="JH4" s="185">
        <v>2048</v>
      </c>
      <c r="JI4" s="185">
        <v>2048</v>
      </c>
      <c r="JJ4" s="185">
        <v>2048</v>
      </c>
      <c r="JK4" s="185">
        <v>2048</v>
      </c>
      <c r="JL4" s="185">
        <v>2048</v>
      </c>
      <c r="JM4" s="185">
        <v>2048</v>
      </c>
      <c r="JN4" s="185">
        <v>2048</v>
      </c>
      <c r="JO4" s="185">
        <v>2048</v>
      </c>
      <c r="JP4" s="185">
        <v>2048</v>
      </c>
      <c r="JQ4" s="185">
        <v>2048</v>
      </c>
      <c r="JR4" s="185">
        <v>2048</v>
      </c>
      <c r="JS4" s="185">
        <v>2049</v>
      </c>
      <c r="JT4" s="185">
        <v>2049</v>
      </c>
      <c r="JU4" s="185">
        <v>2049</v>
      </c>
      <c r="JV4" s="185">
        <v>2049</v>
      </c>
      <c r="JW4" s="185">
        <v>2049</v>
      </c>
      <c r="JX4" s="185">
        <v>2049</v>
      </c>
      <c r="JY4" s="185">
        <v>2049</v>
      </c>
      <c r="JZ4" s="185">
        <v>2049</v>
      </c>
      <c r="KA4" s="185">
        <v>2049</v>
      </c>
      <c r="KB4" s="185">
        <v>2049</v>
      </c>
      <c r="KC4" s="185">
        <v>2049</v>
      </c>
      <c r="KD4" s="185">
        <v>2049</v>
      </c>
      <c r="KE4" s="185">
        <v>2050</v>
      </c>
      <c r="KF4" s="185">
        <v>2050</v>
      </c>
      <c r="KG4" s="185">
        <v>2050</v>
      </c>
      <c r="KH4" s="185">
        <v>2050</v>
      </c>
      <c r="KI4" s="185">
        <v>2050</v>
      </c>
      <c r="KJ4" s="185">
        <v>2050</v>
      </c>
      <c r="KK4" s="185">
        <v>2050</v>
      </c>
      <c r="KL4" s="185">
        <v>2050</v>
      </c>
      <c r="KM4" s="185">
        <v>2050</v>
      </c>
      <c r="KN4" s="185">
        <v>2050</v>
      </c>
      <c r="KO4" s="185">
        <v>2050</v>
      </c>
      <c r="KP4" s="185">
        <v>2050</v>
      </c>
      <c r="KQ4" s="185">
        <v>2051</v>
      </c>
      <c r="KR4" s="185">
        <v>2051</v>
      </c>
      <c r="KS4" s="185">
        <v>2051</v>
      </c>
      <c r="KT4" s="185">
        <v>2051</v>
      </c>
      <c r="KU4" s="185">
        <v>2051</v>
      </c>
      <c r="KV4" s="185">
        <v>2051</v>
      </c>
      <c r="KW4" s="185">
        <v>2051</v>
      </c>
      <c r="KX4" s="185">
        <v>2051</v>
      </c>
      <c r="KY4" s="185">
        <v>2051</v>
      </c>
      <c r="KZ4" s="185">
        <v>2051</v>
      </c>
      <c r="LA4" s="185">
        <v>2051</v>
      </c>
      <c r="LB4" s="185">
        <v>2051</v>
      </c>
      <c r="LC4" s="185">
        <v>2052</v>
      </c>
      <c r="LD4" s="185">
        <v>2052</v>
      </c>
      <c r="LE4" s="185">
        <v>2052</v>
      </c>
      <c r="LF4" s="185">
        <v>2052</v>
      </c>
      <c r="LG4" s="185">
        <v>2052</v>
      </c>
      <c r="LH4" s="185">
        <v>2052</v>
      </c>
      <c r="LI4" s="185">
        <v>2052</v>
      </c>
      <c r="LJ4" s="185">
        <v>2052</v>
      </c>
      <c r="LK4" s="185">
        <v>2052</v>
      </c>
      <c r="LL4" s="185">
        <v>2052</v>
      </c>
      <c r="LM4" s="185">
        <v>2052</v>
      </c>
      <c r="LN4" s="185">
        <v>2052</v>
      </c>
      <c r="LO4" s="185">
        <v>2053</v>
      </c>
      <c r="LP4" s="185">
        <v>2053</v>
      </c>
      <c r="LQ4" s="185">
        <v>2053</v>
      </c>
      <c r="LR4" s="185">
        <v>2053</v>
      </c>
      <c r="LS4" s="185">
        <v>2053</v>
      </c>
      <c r="LT4" s="185">
        <v>2053</v>
      </c>
      <c r="LU4" s="185">
        <v>2053</v>
      </c>
      <c r="LV4" s="185">
        <v>2053</v>
      </c>
      <c r="LW4" s="185">
        <v>2053</v>
      </c>
      <c r="LX4" s="185">
        <v>2053</v>
      </c>
      <c r="LY4" s="185">
        <v>2053</v>
      </c>
      <c r="LZ4" s="185">
        <v>2053</v>
      </c>
      <c r="MA4" s="185">
        <v>2054</v>
      </c>
      <c r="MB4" s="185">
        <v>2054</v>
      </c>
      <c r="MC4" s="185">
        <v>2054</v>
      </c>
      <c r="MD4" s="185">
        <v>2054</v>
      </c>
      <c r="ME4" s="185">
        <v>2054</v>
      </c>
      <c r="MF4" s="185">
        <v>2054</v>
      </c>
      <c r="MG4" s="185">
        <v>2054</v>
      </c>
      <c r="MH4" s="185">
        <v>2054</v>
      </c>
      <c r="MI4" s="185">
        <v>2054</v>
      </c>
      <c r="MJ4" s="185">
        <v>2054</v>
      </c>
      <c r="MK4" s="185">
        <v>2054</v>
      </c>
      <c r="ML4" s="185">
        <v>2054</v>
      </c>
      <c r="MM4" s="185">
        <v>2055</v>
      </c>
      <c r="MN4" s="185">
        <v>2055</v>
      </c>
      <c r="MO4" s="185">
        <v>2055</v>
      </c>
      <c r="MP4" s="185">
        <v>2055</v>
      </c>
      <c r="MQ4" s="185">
        <v>2055</v>
      </c>
      <c r="MR4" s="185">
        <v>2055</v>
      </c>
      <c r="MS4" s="185">
        <v>2055</v>
      </c>
      <c r="MT4" s="185">
        <v>2055</v>
      </c>
      <c r="MU4" s="185">
        <v>2055</v>
      </c>
      <c r="MV4" s="185">
        <v>2055</v>
      </c>
      <c r="MW4" s="185">
        <v>2055</v>
      </c>
      <c r="MX4" s="185">
        <v>2055</v>
      </c>
      <c r="MY4" s="185">
        <v>2056</v>
      </c>
      <c r="MZ4" s="185">
        <v>2056</v>
      </c>
      <c r="NA4" s="185">
        <v>2056</v>
      </c>
      <c r="NB4" s="185">
        <v>2056</v>
      </c>
      <c r="NC4" s="185">
        <v>2056</v>
      </c>
      <c r="ND4" s="185">
        <v>2056</v>
      </c>
      <c r="NE4" s="185">
        <v>2056</v>
      </c>
      <c r="NF4" s="185">
        <v>2056</v>
      </c>
      <c r="NG4" s="185">
        <v>2056</v>
      </c>
      <c r="NH4" s="185">
        <v>2056</v>
      </c>
      <c r="NI4" s="185">
        <v>2056</v>
      </c>
      <c r="NJ4" s="185">
        <v>2056</v>
      </c>
      <c r="NK4" s="185">
        <v>2057</v>
      </c>
      <c r="NL4" s="185">
        <v>2057</v>
      </c>
      <c r="NM4" s="185">
        <v>2057</v>
      </c>
      <c r="NN4" s="185">
        <v>2057</v>
      </c>
      <c r="NO4" s="185">
        <v>2057</v>
      </c>
      <c r="NP4" s="185">
        <v>2057</v>
      </c>
      <c r="NQ4" s="185">
        <v>2057</v>
      </c>
      <c r="NR4" s="185">
        <v>2057</v>
      </c>
    </row>
    <row r="5" spans="1:388" x14ac:dyDescent="0.4">
      <c r="A5" s="11" t="s">
        <v>546</v>
      </c>
      <c r="C5" s="157">
        <v>1</v>
      </c>
      <c r="D5" s="157">
        <v>1</v>
      </c>
      <c r="E5" s="157">
        <v>1</v>
      </c>
      <c r="F5" s="157">
        <v>1</v>
      </c>
      <c r="G5" s="157">
        <v>1</v>
      </c>
      <c r="H5" s="157">
        <v>1</v>
      </c>
      <c r="I5" s="157">
        <v>1</v>
      </c>
      <c r="J5" s="157">
        <v>1</v>
      </c>
      <c r="K5" s="157">
        <v>1</v>
      </c>
      <c r="L5" s="157">
        <v>1</v>
      </c>
      <c r="M5" s="157">
        <v>1</v>
      </c>
      <c r="N5" s="157">
        <v>1</v>
      </c>
      <c r="O5" s="157">
        <v>2</v>
      </c>
      <c r="P5" s="157">
        <v>2</v>
      </c>
      <c r="Q5" s="157">
        <v>2</v>
      </c>
      <c r="R5" s="157">
        <v>2</v>
      </c>
      <c r="S5" s="157">
        <v>2</v>
      </c>
      <c r="T5" s="157">
        <v>2</v>
      </c>
      <c r="U5" s="157">
        <v>2</v>
      </c>
      <c r="V5" s="157">
        <v>2</v>
      </c>
      <c r="W5" s="157">
        <v>2</v>
      </c>
      <c r="X5" s="157">
        <v>2</v>
      </c>
      <c r="Y5" s="157">
        <v>2</v>
      </c>
      <c r="Z5" s="157">
        <v>2</v>
      </c>
      <c r="AA5" s="157">
        <v>3</v>
      </c>
      <c r="AB5" s="157">
        <v>3</v>
      </c>
      <c r="AC5" s="157">
        <v>3</v>
      </c>
      <c r="AD5" s="157">
        <v>3</v>
      </c>
      <c r="AE5" s="157">
        <v>3</v>
      </c>
      <c r="AF5" s="157">
        <v>3</v>
      </c>
      <c r="AG5" s="157">
        <v>3</v>
      </c>
      <c r="AH5" s="157">
        <v>3</v>
      </c>
      <c r="AI5" s="157">
        <v>3</v>
      </c>
      <c r="AJ5" s="157">
        <v>3</v>
      </c>
      <c r="AK5" s="157">
        <v>3</v>
      </c>
      <c r="AL5" s="157">
        <v>3</v>
      </c>
      <c r="AM5" s="157">
        <v>4</v>
      </c>
      <c r="AN5" s="157">
        <v>4</v>
      </c>
      <c r="AO5" s="157">
        <v>4</v>
      </c>
      <c r="AP5" s="157">
        <v>4</v>
      </c>
      <c r="AQ5" s="157">
        <v>4</v>
      </c>
      <c r="AR5" s="157">
        <v>4</v>
      </c>
      <c r="AS5" s="157">
        <v>4</v>
      </c>
      <c r="AT5" s="157">
        <v>4</v>
      </c>
      <c r="AU5" s="157">
        <v>4</v>
      </c>
      <c r="AV5" s="157">
        <v>4</v>
      </c>
      <c r="AW5" s="157">
        <v>4</v>
      </c>
      <c r="AX5" s="157">
        <v>4</v>
      </c>
      <c r="AY5" s="157">
        <v>5</v>
      </c>
      <c r="AZ5" s="157">
        <v>5</v>
      </c>
      <c r="BA5" s="157">
        <v>5</v>
      </c>
      <c r="BB5" s="157">
        <v>5</v>
      </c>
      <c r="BC5" s="157">
        <v>5</v>
      </c>
      <c r="BD5" s="157">
        <v>5</v>
      </c>
      <c r="BE5" s="157">
        <v>5</v>
      </c>
      <c r="BF5" s="157">
        <v>5</v>
      </c>
      <c r="BG5" s="157">
        <v>5</v>
      </c>
      <c r="BH5" s="157">
        <v>5</v>
      </c>
      <c r="BI5" s="157">
        <v>5</v>
      </c>
      <c r="BJ5" s="157">
        <v>5</v>
      </c>
      <c r="BK5" s="157">
        <v>6</v>
      </c>
      <c r="BL5" s="157">
        <v>6</v>
      </c>
      <c r="BM5" s="157">
        <v>6</v>
      </c>
      <c r="BN5" s="157">
        <v>6</v>
      </c>
      <c r="BO5" s="157">
        <v>6</v>
      </c>
      <c r="BP5" s="157">
        <v>6</v>
      </c>
      <c r="BQ5" s="157">
        <v>6</v>
      </c>
      <c r="BR5" s="157">
        <v>6</v>
      </c>
      <c r="BS5" s="157">
        <v>6</v>
      </c>
      <c r="BT5" s="157">
        <v>6</v>
      </c>
      <c r="BU5" s="157">
        <v>6</v>
      </c>
      <c r="BV5" s="157">
        <v>6</v>
      </c>
      <c r="BW5" s="157">
        <v>7</v>
      </c>
      <c r="BX5" s="157">
        <v>7</v>
      </c>
      <c r="BY5" s="157">
        <v>7</v>
      </c>
      <c r="BZ5" s="157">
        <v>7</v>
      </c>
      <c r="CA5" s="157">
        <v>7</v>
      </c>
      <c r="CB5" s="157">
        <v>7</v>
      </c>
      <c r="CC5" s="157">
        <v>7</v>
      </c>
      <c r="CD5" s="157">
        <v>7</v>
      </c>
      <c r="CE5" s="157">
        <v>7</v>
      </c>
      <c r="CF5" s="157">
        <v>7</v>
      </c>
      <c r="CG5" s="157">
        <v>7</v>
      </c>
      <c r="CH5" s="157">
        <v>7</v>
      </c>
      <c r="CI5" s="157">
        <v>8</v>
      </c>
      <c r="CJ5" s="157">
        <v>8</v>
      </c>
      <c r="CK5" s="157">
        <v>8</v>
      </c>
      <c r="CL5" s="157">
        <v>8</v>
      </c>
      <c r="CM5" s="157">
        <v>8</v>
      </c>
      <c r="CN5" s="157">
        <v>8</v>
      </c>
      <c r="CO5" s="157">
        <v>8</v>
      </c>
      <c r="CP5" s="157">
        <v>8</v>
      </c>
      <c r="CQ5" s="157">
        <v>8</v>
      </c>
      <c r="CR5" s="157">
        <v>8</v>
      </c>
      <c r="CS5" s="157">
        <v>8</v>
      </c>
      <c r="CT5" s="157">
        <v>8</v>
      </c>
      <c r="CU5" s="157">
        <v>9</v>
      </c>
      <c r="CV5" s="157">
        <v>9</v>
      </c>
      <c r="CW5" s="157">
        <v>9</v>
      </c>
      <c r="CX5" s="157">
        <v>9</v>
      </c>
      <c r="CY5" s="157">
        <v>9</v>
      </c>
      <c r="CZ5" s="157">
        <v>9</v>
      </c>
      <c r="DA5" s="157">
        <v>9</v>
      </c>
      <c r="DB5" s="157">
        <v>9</v>
      </c>
      <c r="DC5" s="157">
        <v>9</v>
      </c>
      <c r="DD5" s="157">
        <v>9</v>
      </c>
      <c r="DE5" s="157">
        <v>9</v>
      </c>
      <c r="DF5" s="157">
        <v>9</v>
      </c>
      <c r="DG5" s="157">
        <v>10</v>
      </c>
      <c r="DH5" s="157">
        <v>10</v>
      </c>
      <c r="DI5" s="157">
        <v>10</v>
      </c>
      <c r="DJ5" s="157">
        <v>10</v>
      </c>
      <c r="DK5" s="157">
        <v>10</v>
      </c>
      <c r="DL5" s="157">
        <v>10</v>
      </c>
      <c r="DM5" s="157">
        <v>10</v>
      </c>
      <c r="DN5" s="157">
        <v>10</v>
      </c>
      <c r="DO5" s="157">
        <v>10</v>
      </c>
      <c r="DP5" s="157">
        <v>10</v>
      </c>
      <c r="DQ5" s="157">
        <v>10</v>
      </c>
      <c r="DR5" s="157">
        <v>10</v>
      </c>
      <c r="DS5" s="157">
        <v>11</v>
      </c>
      <c r="DT5" s="157">
        <v>11</v>
      </c>
      <c r="DU5" s="157">
        <v>11</v>
      </c>
      <c r="DV5" s="157">
        <v>11</v>
      </c>
      <c r="DW5" s="157">
        <v>11</v>
      </c>
      <c r="DX5" s="157">
        <v>11</v>
      </c>
      <c r="DY5" s="157">
        <v>11</v>
      </c>
      <c r="DZ5" s="157">
        <v>11</v>
      </c>
      <c r="EA5" s="157">
        <v>11</v>
      </c>
      <c r="EB5" s="157">
        <v>11</v>
      </c>
      <c r="EC5" s="157">
        <v>11</v>
      </c>
      <c r="ED5" s="157">
        <v>11</v>
      </c>
      <c r="EE5" s="157">
        <v>12</v>
      </c>
      <c r="EF5" s="157">
        <v>12</v>
      </c>
      <c r="EG5" s="157">
        <v>12</v>
      </c>
      <c r="EH5" s="157">
        <v>12</v>
      </c>
      <c r="EI5" s="157">
        <v>12</v>
      </c>
      <c r="EJ5" s="157">
        <v>12</v>
      </c>
      <c r="EK5" s="157">
        <v>12</v>
      </c>
      <c r="EL5" s="157">
        <v>12</v>
      </c>
      <c r="EM5" s="157">
        <v>12</v>
      </c>
      <c r="EN5" s="157">
        <v>12</v>
      </c>
      <c r="EO5" s="157">
        <v>12</v>
      </c>
      <c r="EP5" s="157">
        <v>12</v>
      </c>
      <c r="EQ5" s="157">
        <v>13</v>
      </c>
      <c r="ER5" s="157">
        <v>13</v>
      </c>
      <c r="ES5" s="157">
        <v>13</v>
      </c>
      <c r="ET5" s="157">
        <v>13</v>
      </c>
      <c r="EU5" s="157">
        <v>13</v>
      </c>
      <c r="EV5" s="157">
        <v>13</v>
      </c>
      <c r="EW5" s="157">
        <v>13</v>
      </c>
      <c r="EX5" s="157">
        <v>13</v>
      </c>
      <c r="EY5" s="157">
        <v>13</v>
      </c>
      <c r="EZ5" s="157">
        <v>13</v>
      </c>
      <c r="FA5" s="157">
        <v>13</v>
      </c>
      <c r="FB5" s="157">
        <v>13</v>
      </c>
      <c r="FC5" s="157">
        <v>14</v>
      </c>
      <c r="FD5" s="157">
        <v>14</v>
      </c>
      <c r="FE5" s="157">
        <v>14</v>
      </c>
      <c r="FF5" s="157">
        <v>14</v>
      </c>
      <c r="FG5" s="157">
        <v>14</v>
      </c>
      <c r="FH5" s="157">
        <v>14</v>
      </c>
      <c r="FI5" s="157">
        <v>14</v>
      </c>
      <c r="FJ5" s="157">
        <v>14</v>
      </c>
      <c r="FK5" s="157">
        <v>14</v>
      </c>
      <c r="FL5" s="157">
        <v>14</v>
      </c>
      <c r="FM5" s="157">
        <v>14</v>
      </c>
      <c r="FN5" s="157">
        <v>14</v>
      </c>
      <c r="FO5" s="157">
        <v>15</v>
      </c>
      <c r="FP5" s="157">
        <v>15</v>
      </c>
      <c r="FQ5" s="157">
        <v>15</v>
      </c>
      <c r="FR5" s="157">
        <v>15</v>
      </c>
      <c r="FS5" s="157">
        <v>15</v>
      </c>
      <c r="FT5" s="157">
        <v>15</v>
      </c>
      <c r="FU5" s="157">
        <v>15</v>
      </c>
      <c r="FV5" s="157">
        <v>15</v>
      </c>
      <c r="FW5" s="157">
        <v>15</v>
      </c>
      <c r="FX5" s="157">
        <v>15</v>
      </c>
      <c r="FY5" s="157">
        <v>15</v>
      </c>
      <c r="FZ5" s="157">
        <v>15</v>
      </c>
      <c r="GA5" s="157">
        <v>16</v>
      </c>
      <c r="GB5" s="157">
        <v>16</v>
      </c>
      <c r="GC5" s="157">
        <v>16</v>
      </c>
      <c r="GD5" s="157">
        <v>16</v>
      </c>
      <c r="GE5" s="157">
        <v>16</v>
      </c>
      <c r="GF5" s="157">
        <v>16</v>
      </c>
      <c r="GG5" s="157">
        <v>16</v>
      </c>
      <c r="GH5" s="157">
        <v>16</v>
      </c>
      <c r="GI5" s="157">
        <v>16</v>
      </c>
      <c r="GJ5" s="157">
        <v>16</v>
      </c>
      <c r="GK5" s="157">
        <v>16</v>
      </c>
      <c r="GL5" s="157">
        <v>16</v>
      </c>
      <c r="GM5" s="157">
        <v>17</v>
      </c>
      <c r="GN5" s="157">
        <v>17</v>
      </c>
      <c r="GO5" s="157">
        <v>17</v>
      </c>
      <c r="GP5" s="157">
        <v>17</v>
      </c>
      <c r="GQ5" s="157">
        <v>17</v>
      </c>
      <c r="GR5" s="157">
        <v>17</v>
      </c>
      <c r="GS5" s="157">
        <v>17</v>
      </c>
      <c r="GT5" s="157">
        <v>17</v>
      </c>
      <c r="GU5" s="157">
        <v>17</v>
      </c>
      <c r="GV5" s="157">
        <v>17</v>
      </c>
      <c r="GW5" s="157">
        <v>17</v>
      </c>
      <c r="GX5" s="157">
        <v>17</v>
      </c>
      <c r="GY5" s="157">
        <v>18</v>
      </c>
      <c r="GZ5" s="157">
        <v>18</v>
      </c>
      <c r="HA5" s="157">
        <v>18</v>
      </c>
      <c r="HB5" s="157">
        <v>18</v>
      </c>
      <c r="HC5" s="157">
        <v>18</v>
      </c>
      <c r="HD5" s="157">
        <v>18</v>
      </c>
      <c r="HE5" s="157">
        <v>18</v>
      </c>
      <c r="HF5" s="157">
        <v>18</v>
      </c>
      <c r="HG5" s="157">
        <v>18</v>
      </c>
      <c r="HH5" s="157">
        <v>18</v>
      </c>
      <c r="HI5" s="157">
        <v>18</v>
      </c>
      <c r="HJ5" s="157">
        <v>18</v>
      </c>
      <c r="HK5" s="157">
        <v>19</v>
      </c>
      <c r="HL5" s="157">
        <v>19</v>
      </c>
      <c r="HM5" s="157">
        <v>19</v>
      </c>
      <c r="HN5" s="157">
        <v>19</v>
      </c>
      <c r="HO5" s="157">
        <v>19</v>
      </c>
      <c r="HP5" s="157">
        <v>19</v>
      </c>
      <c r="HQ5" s="157">
        <v>19</v>
      </c>
      <c r="HR5" s="157">
        <v>19</v>
      </c>
      <c r="HS5" s="157">
        <v>19</v>
      </c>
      <c r="HT5" s="157">
        <v>19</v>
      </c>
      <c r="HU5" s="157">
        <v>19</v>
      </c>
      <c r="HV5" s="157">
        <v>19</v>
      </c>
      <c r="HW5" s="157">
        <v>20</v>
      </c>
      <c r="HX5" s="157">
        <v>20</v>
      </c>
      <c r="HY5" s="157">
        <v>20</v>
      </c>
      <c r="HZ5" s="157">
        <v>20</v>
      </c>
      <c r="IA5" s="157">
        <v>20</v>
      </c>
      <c r="IB5" s="157">
        <v>20</v>
      </c>
      <c r="IC5" s="157">
        <v>20</v>
      </c>
      <c r="ID5" s="157">
        <v>20</v>
      </c>
      <c r="IE5" s="157">
        <v>20</v>
      </c>
      <c r="IF5" s="157">
        <v>20</v>
      </c>
      <c r="IG5" s="157">
        <v>20</v>
      </c>
      <c r="IH5" s="157">
        <v>20</v>
      </c>
      <c r="II5" s="157">
        <v>21</v>
      </c>
      <c r="IJ5" s="157">
        <v>21</v>
      </c>
      <c r="IK5" s="157">
        <v>21</v>
      </c>
      <c r="IL5" s="157">
        <v>21</v>
      </c>
      <c r="IM5" s="157">
        <v>21</v>
      </c>
      <c r="IN5" s="157">
        <v>21</v>
      </c>
      <c r="IO5" s="157">
        <v>21</v>
      </c>
      <c r="IP5" s="157">
        <v>21</v>
      </c>
      <c r="IQ5" s="157">
        <v>21</v>
      </c>
      <c r="IR5" s="157">
        <v>21</v>
      </c>
      <c r="IS5" s="157">
        <v>21</v>
      </c>
      <c r="IT5" s="157">
        <v>21</v>
      </c>
      <c r="IU5" s="157">
        <v>22</v>
      </c>
      <c r="IV5" s="157">
        <v>22</v>
      </c>
      <c r="IW5" s="157">
        <v>22</v>
      </c>
      <c r="IX5" s="157">
        <v>22</v>
      </c>
      <c r="IY5" s="157">
        <v>22</v>
      </c>
      <c r="IZ5" s="157">
        <v>22</v>
      </c>
      <c r="JA5" s="157">
        <v>22</v>
      </c>
      <c r="JB5" s="157">
        <v>22</v>
      </c>
      <c r="JC5" s="157">
        <v>22</v>
      </c>
      <c r="JD5" s="157">
        <v>22</v>
      </c>
      <c r="JE5" s="157">
        <v>22</v>
      </c>
      <c r="JF5" s="157">
        <v>22</v>
      </c>
      <c r="JG5" s="157">
        <v>23</v>
      </c>
      <c r="JH5" s="157">
        <v>23</v>
      </c>
      <c r="JI5" s="157">
        <v>23</v>
      </c>
      <c r="JJ5" s="157">
        <v>23</v>
      </c>
      <c r="JK5" s="157">
        <v>23</v>
      </c>
      <c r="JL5" s="157">
        <v>23</v>
      </c>
      <c r="JM5" s="157">
        <v>23</v>
      </c>
      <c r="JN5" s="157">
        <v>23</v>
      </c>
      <c r="JO5" s="157">
        <v>23</v>
      </c>
      <c r="JP5" s="157">
        <v>23</v>
      </c>
      <c r="JQ5" s="157">
        <v>23</v>
      </c>
      <c r="JR5" s="157">
        <v>23</v>
      </c>
      <c r="JS5" s="157">
        <v>24</v>
      </c>
      <c r="JT5" s="157">
        <v>24</v>
      </c>
      <c r="JU5" s="157">
        <v>24</v>
      </c>
      <c r="JV5" s="157">
        <v>24</v>
      </c>
      <c r="JW5" s="157">
        <v>24</v>
      </c>
      <c r="JX5" s="157">
        <v>24</v>
      </c>
      <c r="JY5" s="157">
        <v>24</v>
      </c>
      <c r="JZ5" s="157">
        <v>24</v>
      </c>
      <c r="KA5" s="157">
        <v>24</v>
      </c>
      <c r="KB5" s="157">
        <v>24</v>
      </c>
      <c r="KC5" s="157">
        <v>24</v>
      </c>
      <c r="KD5" s="157">
        <v>24</v>
      </c>
      <c r="KE5" s="157">
        <v>25</v>
      </c>
      <c r="KF5" s="157">
        <v>25</v>
      </c>
      <c r="KG5" s="157">
        <v>25</v>
      </c>
      <c r="KH5" s="157">
        <v>25</v>
      </c>
      <c r="KI5" s="157">
        <v>25</v>
      </c>
      <c r="KJ5" s="157">
        <v>25</v>
      </c>
      <c r="KK5" s="157">
        <v>25</v>
      </c>
      <c r="KL5" s="157">
        <v>25</v>
      </c>
      <c r="KM5" s="157">
        <v>25</v>
      </c>
      <c r="KN5" s="157">
        <v>25</v>
      </c>
      <c r="KO5" s="157">
        <v>25</v>
      </c>
      <c r="KP5" s="157">
        <v>25</v>
      </c>
      <c r="KQ5" s="157">
        <v>26</v>
      </c>
      <c r="KR5" s="157">
        <v>26</v>
      </c>
      <c r="KS5" s="157">
        <v>26</v>
      </c>
      <c r="KT5" s="157">
        <v>26</v>
      </c>
      <c r="KU5" s="157">
        <v>26</v>
      </c>
      <c r="KV5" s="157">
        <v>26</v>
      </c>
      <c r="KW5" s="157">
        <v>26</v>
      </c>
      <c r="KX5" s="157">
        <v>26</v>
      </c>
      <c r="KY5" s="157">
        <v>26</v>
      </c>
      <c r="KZ5" s="157">
        <v>26</v>
      </c>
      <c r="LA5" s="157">
        <v>26</v>
      </c>
      <c r="LB5" s="157">
        <v>26</v>
      </c>
      <c r="LC5" s="157">
        <v>27</v>
      </c>
      <c r="LD5" s="157">
        <v>27</v>
      </c>
      <c r="LE5" s="157">
        <v>27</v>
      </c>
      <c r="LF5" s="157">
        <v>27</v>
      </c>
      <c r="LG5" s="157">
        <v>27</v>
      </c>
      <c r="LH5" s="157">
        <v>27</v>
      </c>
      <c r="LI5" s="157">
        <v>27</v>
      </c>
      <c r="LJ5" s="157">
        <v>27</v>
      </c>
      <c r="LK5" s="157">
        <v>27</v>
      </c>
      <c r="LL5" s="157">
        <v>27</v>
      </c>
      <c r="LM5" s="157">
        <v>27</v>
      </c>
      <c r="LN5" s="157">
        <v>27</v>
      </c>
      <c r="LO5" s="157">
        <v>28</v>
      </c>
      <c r="LP5" s="157">
        <v>28</v>
      </c>
      <c r="LQ5" s="157">
        <v>28</v>
      </c>
      <c r="LR5" s="157">
        <v>28</v>
      </c>
      <c r="LS5" s="157">
        <v>28</v>
      </c>
      <c r="LT5" s="157">
        <v>28</v>
      </c>
      <c r="LU5" s="157">
        <v>28</v>
      </c>
      <c r="LV5" s="157">
        <v>28</v>
      </c>
      <c r="LW5" s="157">
        <v>28</v>
      </c>
      <c r="LX5" s="157">
        <v>28</v>
      </c>
      <c r="LY5" s="157">
        <v>28</v>
      </c>
      <c r="LZ5" s="157">
        <v>28</v>
      </c>
      <c r="MA5" s="157">
        <v>29</v>
      </c>
      <c r="MB5" s="157">
        <v>29</v>
      </c>
      <c r="MC5" s="157">
        <v>29</v>
      </c>
      <c r="MD5" s="157">
        <v>29</v>
      </c>
      <c r="ME5" s="157">
        <v>29</v>
      </c>
      <c r="MF5" s="157">
        <v>29</v>
      </c>
      <c r="MG5" s="157">
        <v>29</v>
      </c>
      <c r="MH5" s="157">
        <v>29</v>
      </c>
      <c r="MI5" s="157">
        <v>29</v>
      </c>
      <c r="MJ5" s="157">
        <v>29</v>
      </c>
      <c r="MK5" s="157">
        <v>29</v>
      </c>
      <c r="ML5" s="157">
        <v>29</v>
      </c>
      <c r="MM5" s="157">
        <v>30</v>
      </c>
      <c r="MN5" s="157">
        <v>30</v>
      </c>
      <c r="MO5" s="157">
        <v>30</v>
      </c>
      <c r="MP5" s="157">
        <v>30</v>
      </c>
      <c r="MQ5" s="157">
        <v>30</v>
      </c>
      <c r="MR5" s="157">
        <v>30</v>
      </c>
      <c r="MS5" s="157">
        <v>30</v>
      </c>
      <c r="MT5" s="157">
        <v>30</v>
      </c>
      <c r="MU5" s="157">
        <v>30</v>
      </c>
      <c r="MV5" s="157">
        <v>30</v>
      </c>
      <c r="MW5" s="157">
        <v>30</v>
      </c>
      <c r="MX5" s="157">
        <v>30</v>
      </c>
      <c r="MY5" s="157">
        <v>31</v>
      </c>
      <c r="MZ5" s="157">
        <v>31</v>
      </c>
      <c r="NA5" s="157">
        <v>31</v>
      </c>
      <c r="NB5" s="157">
        <v>31</v>
      </c>
      <c r="NC5" s="157">
        <v>31</v>
      </c>
      <c r="ND5" s="157">
        <v>31</v>
      </c>
      <c r="NE5" s="157">
        <v>31</v>
      </c>
      <c r="NF5" s="157">
        <v>31</v>
      </c>
      <c r="NG5" s="157">
        <v>31</v>
      </c>
      <c r="NH5" s="157">
        <v>31</v>
      </c>
      <c r="NI5" s="157">
        <v>31</v>
      </c>
      <c r="NJ5" s="157">
        <v>31</v>
      </c>
      <c r="NK5" s="157">
        <v>32</v>
      </c>
      <c r="NL5" s="157">
        <v>32</v>
      </c>
      <c r="NM5" s="157">
        <v>32</v>
      </c>
      <c r="NN5" s="157">
        <v>32</v>
      </c>
      <c r="NO5" s="157">
        <v>32</v>
      </c>
      <c r="NP5" s="157">
        <v>32</v>
      </c>
      <c r="NQ5" s="157">
        <v>32</v>
      </c>
      <c r="NR5" s="157">
        <v>32</v>
      </c>
    </row>
    <row r="6" spans="1:388" x14ac:dyDescent="0.4">
      <c r="A6" s="11" t="s">
        <v>547</v>
      </c>
      <c r="C6" s="157">
        <v>1</v>
      </c>
      <c r="D6" s="157">
        <v>2</v>
      </c>
      <c r="E6" s="157">
        <v>3</v>
      </c>
      <c r="F6" s="157">
        <v>4</v>
      </c>
      <c r="G6" s="157">
        <v>5</v>
      </c>
      <c r="H6" s="157">
        <v>6</v>
      </c>
      <c r="I6" s="157">
        <v>7</v>
      </c>
      <c r="J6" s="157">
        <v>8</v>
      </c>
      <c r="K6" s="157">
        <v>9</v>
      </c>
      <c r="L6" s="157">
        <v>10</v>
      </c>
      <c r="M6" s="157">
        <v>11</v>
      </c>
      <c r="N6" s="157">
        <v>12</v>
      </c>
      <c r="O6" s="157">
        <v>1</v>
      </c>
      <c r="P6" s="157">
        <v>2</v>
      </c>
      <c r="Q6" s="157">
        <v>3</v>
      </c>
      <c r="R6" s="157">
        <v>4</v>
      </c>
      <c r="S6" s="157">
        <v>5</v>
      </c>
      <c r="T6" s="157">
        <v>6</v>
      </c>
      <c r="U6" s="157">
        <v>7</v>
      </c>
      <c r="V6" s="157">
        <v>8</v>
      </c>
      <c r="W6" s="157">
        <v>9</v>
      </c>
      <c r="X6" s="157">
        <v>10</v>
      </c>
      <c r="Y6" s="157">
        <v>11</v>
      </c>
      <c r="Z6" s="157">
        <v>12</v>
      </c>
      <c r="AA6" s="157">
        <v>1</v>
      </c>
      <c r="AB6" s="157">
        <v>2</v>
      </c>
      <c r="AC6" s="157">
        <v>3</v>
      </c>
      <c r="AD6" s="157">
        <v>4</v>
      </c>
      <c r="AE6" s="157">
        <v>5</v>
      </c>
      <c r="AF6" s="157">
        <v>6</v>
      </c>
      <c r="AG6" s="157">
        <v>7</v>
      </c>
      <c r="AH6" s="157">
        <v>8</v>
      </c>
      <c r="AI6" s="157">
        <v>9</v>
      </c>
      <c r="AJ6" s="157">
        <v>10</v>
      </c>
      <c r="AK6" s="157">
        <v>11</v>
      </c>
      <c r="AL6" s="157">
        <v>12</v>
      </c>
      <c r="AM6" s="157">
        <v>1</v>
      </c>
      <c r="AN6" s="157">
        <v>2</v>
      </c>
      <c r="AO6" s="157">
        <v>3</v>
      </c>
      <c r="AP6" s="157">
        <v>4</v>
      </c>
      <c r="AQ6" s="157">
        <v>5</v>
      </c>
      <c r="AR6" s="157">
        <v>6</v>
      </c>
      <c r="AS6" s="157">
        <v>7</v>
      </c>
      <c r="AT6" s="157">
        <v>8</v>
      </c>
      <c r="AU6" s="157">
        <v>9</v>
      </c>
      <c r="AV6" s="157">
        <v>10</v>
      </c>
      <c r="AW6" s="157">
        <v>11</v>
      </c>
      <c r="AX6" s="157">
        <v>12</v>
      </c>
      <c r="AY6" s="157">
        <v>1</v>
      </c>
      <c r="AZ6" s="157">
        <v>2</v>
      </c>
      <c r="BA6" s="157">
        <v>3</v>
      </c>
      <c r="BB6" s="157">
        <v>4</v>
      </c>
      <c r="BC6" s="157">
        <v>5</v>
      </c>
      <c r="BD6" s="157">
        <v>6</v>
      </c>
      <c r="BE6" s="157">
        <v>7</v>
      </c>
      <c r="BF6" s="157">
        <v>8</v>
      </c>
      <c r="BG6" s="157">
        <v>9</v>
      </c>
      <c r="BH6" s="157">
        <v>10</v>
      </c>
      <c r="BI6" s="157">
        <v>11</v>
      </c>
      <c r="BJ6" s="157">
        <v>12</v>
      </c>
      <c r="BK6" s="157">
        <v>1</v>
      </c>
      <c r="BL6" s="157">
        <v>2</v>
      </c>
      <c r="BM6" s="157">
        <v>3</v>
      </c>
      <c r="BN6" s="157">
        <v>4</v>
      </c>
      <c r="BO6" s="157">
        <v>5</v>
      </c>
      <c r="BP6" s="157">
        <v>6</v>
      </c>
      <c r="BQ6" s="157">
        <v>7</v>
      </c>
      <c r="BR6" s="157">
        <v>8</v>
      </c>
      <c r="BS6" s="157">
        <v>9</v>
      </c>
      <c r="BT6" s="157">
        <v>10</v>
      </c>
      <c r="BU6" s="157">
        <v>11</v>
      </c>
      <c r="BV6" s="157">
        <v>12</v>
      </c>
      <c r="BW6" s="157">
        <v>1</v>
      </c>
      <c r="BX6" s="157">
        <v>2</v>
      </c>
      <c r="BY6" s="157">
        <v>3</v>
      </c>
      <c r="BZ6" s="157">
        <v>4</v>
      </c>
      <c r="CA6" s="157">
        <v>5</v>
      </c>
      <c r="CB6" s="157">
        <v>6</v>
      </c>
      <c r="CC6" s="157">
        <v>7</v>
      </c>
      <c r="CD6" s="157">
        <v>8</v>
      </c>
      <c r="CE6" s="157">
        <v>9</v>
      </c>
      <c r="CF6" s="157">
        <v>10</v>
      </c>
      <c r="CG6" s="157">
        <v>11</v>
      </c>
      <c r="CH6" s="157">
        <v>12</v>
      </c>
      <c r="CI6" s="157">
        <v>1</v>
      </c>
      <c r="CJ6" s="157">
        <v>2</v>
      </c>
      <c r="CK6" s="157">
        <v>3</v>
      </c>
      <c r="CL6" s="157">
        <v>4</v>
      </c>
      <c r="CM6" s="157">
        <v>5</v>
      </c>
      <c r="CN6" s="157">
        <v>6</v>
      </c>
      <c r="CO6" s="157">
        <v>7</v>
      </c>
      <c r="CP6" s="157">
        <v>8</v>
      </c>
      <c r="CQ6" s="157">
        <v>9</v>
      </c>
      <c r="CR6" s="157">
        <v>10</v>
      </c>
      <c r="CS6" s="157">
        <v>11</v>
      </c>
      <c r="CT6" s="157">
        <v>12</v>
      </c>
      <c r="CU6" s="157">
        <v>1</v>
      </c>
      <c r="CV6" s="157">
        <v>2</v>
      </c>
      <c r="CW6" s="157">
        <v>3</v>
      </c>
      <c r="CX6" s="157">
        <v>4</v>
      </c>
      <c r="CY6" s="157">
        <v>5</v>
      </c>
      <c r="CZ6" s="157">
        <v>6</v>
      </c>
      <c r="DA6" s="157">
        <v>7</v>
      </c>
      <c r="DB6" s="157">
        <v>8</v>
      </c>
      <c r="DC6" s="157">
        <v>9</v>
      </c>
      <c r="DD6" s="157">
        <v>10</v>
      </c>
      <c r="DE6" s="157">
        <v>11</v>
      </c>
      <c r="DF6" s="157">
        <v>12</v>
      </c>
      <c r="DG6" s="157">
        <v>1</v>
      </c>
      <c r="DH6" s="157">
        <v>2</v>
      </c>
      <c r="DI6" s="157">
        <v>3</v>
      </c>
      <c r="DJ6" s="157">
        <v>4</v>
      </c>
      <c r="DK6" s="157">
        <v>5</v>
      </c>
      <c r="DL6" s="157">
        <v>6</v>
      </c>
      <c r="DM6" s="157">
        <v>7</v>
      </c>
      <c r="DN6" s="157">
        <v>8</v>
      </c>
      <c r="DO6" s="157">
        <v>9</v>
      </c>
      <c r="DP6" s="157">
        <v>10</v>
      </c>
      <c r="DQ6" s="157">
        <v>11</v>
      </c>
      <c r="DR6" s="157">
        <v>12</v>
      </c>
      <c r="DS6" s="157">
        <v>1</v>
      </c>
      <c r="DT6" s="157">
        <v>2</v>
      </c>
      <c r="DU6" s="157">
        <v>3</v>
      </c>
      <c r="DV6" s="157">
        <v>4</v>
      </c>
      <c r="DW6" s="157">
        <v>5</v>
      </c>
      <c r="DX6" s="157">
        <v>6</v>
      </c>
      <c r="DY6" s="157">
        <v>7</v>
      </c>
      <c r="DZ6" s="157">
        <v>8</v>
      </c>
      <c r="EA6" s="157">
        <v>9</v>
      </c>
      <c r="EB6" s="157">
        <v>10</v>
      </c>
      <c r="EC6" s="157">
        <v>11</v>
      </c>
      <c r="ED6" s="157">
        <v>12</v>
      </c>
      <c r="EE6" s="157">
        <v>1</v>
      </c>
      <c r="EF6" s="157">
        <v>2</v>
      </c>
      <c r="EG6" s="157">
        <v>3</v>
      </c>
      <c r="EH6" s="157">
        <v>4</v>
      </c>
      <c r="EI6" s="157">
        <v>5</v>
      </c>
      <c r="EJ6" s="157">
        <v>6</v>
      </c>
      <c r="EK6" s="157">
        <v>7</v>
      </c>
      <c r="EL6" s="157">
        <v>8</v>
      </c>
      <c r="EM6" s="157">
        <v>9</v>
      </c>
      <c r="EN6" s="157">
        <v>10</v>
      </c>
      <c r="EO6" s="157">
        <v>11</v>
      </c>
      <c r="EP6" s="157">
        <v>12</v>
      </c>
      <c r="EQ6" s="157">
        <v>1</v>
      </c>
      <c r="ER6" s="157">
        <v>2</v>
      </c>
      <c r="ES6" s="157">
        <v>3</v>
      </c>
      <c r="ET6" s="157">
        <v>4</v>
      </c>
      <c r="EU6" s="157">
        <v>5</v>
      </c>
      <c r="EV6" s="157">
        <v>6</v>
      </c>
      <c r="EW6" s="157">
        <v>7</v>
      </c>
      <c r="EX6" s="157">
        <v>8</v>
      </c>
      <c r="EY6" s="157">
        <v>9</v>
      </c>
      <c r="EZ6" s="157">
        <v>10</v>
      </c>
      <c r="FA6" s="157">
        <v>11</v>
      </c>
      <c r="FB6" s="157">
        <v>12</v>
      </c>
      <c r="FC6" s="157">
        <v>1</v>
      </c>
      <c r="FD6" s="157">
        <v>2</v>
      </c>
      <c r="FE6" s="157">
        <v>3</v>
      </c>
      <c r="FF6" s="157">
        <v>4</v>
      </c>
      <c r="FG6" s="157">
        <v>5</v>
      </c>
      <c r="FH6" s="157">
        <v>6</v>
      </c>
      <c r="FI6" s="157">
        <v>7</v>
      </c>
      <c r="FJ6" s="157">
        <v>8</v>
      </c>
      <c r="FK6" s="157">
        <v>9</v>
      </c>
      <c r="FL6" s="157">
        <v>10</v>
      </c>
      <c r="FM6" s="157">
        <v>11</v>
      </c>
      <c r="FN6" s="157">
        <v>12</v>
      </c>
      <c r="FO6" s="157">
        <v>1</v>
      </c>
      <c r="FP6" s="157">
        <v>2</v>
      </c>
      <c r="FQ6" s="157">
        <v>3</v>
      </c>
      <c r="FR6" s="157">
        <v>4</v>
      </c>
      <c r="FS6" s="157">
        <v>5</v>
      </c>
      <c r="FT6" s="157">
        <v>6</v>
      </c>
      <c r="FU6" s="157">
        <v>7</v>
      </c>
      <c r="FV6" s="157">
        <v>8</v>
      </c>
      <c r="FW6" s="157">
        <v>9</v>
      </c>
      <c r="FX6" s="157">
        <v>10</v>
      </c>
      <c r="FY6" s="157">
        <v>11</v>
      </c>
      <c r="FZ6" s="157">
        <v>12</v>
      </c>
      <c r="GA6" s="157">
        <v>1</v>
      </c>
      <c r="GB6" s="157">
        <v>2</v>
      </c>
      <c r="GC6" s="157">
        <v>3</v>
      </c>
      <c r="GD6" s="157">
        <v>4</v>
      </c>
      <c r="GE6" s="157">
        <v>5</v>
      </c>
      <c r="GF6" s="157">
        <v>6</v>
      </c>
      <c r="GG6" s="157">
        <v>7</v>
      </c>
      <c r="GH6" s="157">
        <v>8</v>
      </c>
      <c r="GI6" s="157">
        <v>9</v>
      </c>
      <c r="GJ6" s="157">
        <v>10</v>
      </c>
      <c r="GK6" s="157">
        <v>11</v>
      </c>
      <c r="GL6" s="157">
        <v>12</v>
      </c>
      <c r="GM6" s="157">
        <v>1</v>
      </c>
      <c r="GN6" s="157">
        <v>2</v>
      </c>
      <c r="GO6" s="157">
        <v>3</v>
      </c>
      <c r="GP6" s="157">
        <v>4</v>
      </c>
      <c r="GQ6" s="157">
        <v>5</v>
      </c>
      <c r="GR6" s="157">
        <v>6</v>
      </c>
      <c r="GS6" s="157">
        <v>7</v>
      </c>
      <c r="GT6" s="157">
        <v>8</v>
      </c>
      <c r="GU6" s="157">
        <v>9</v>
      </c>
      <c r="GV6" s="157">
        <v>10</v>
      </c>
      <c r="GW6" s="157">
        <v>11</v>
      </c>
      <c r="GX6" s="157">
        <v>12</v>
      </c>
      <c r="GY6" s="157">
        <v>1</v>
      </c>
      <c r="GZ6" s="157">
        <v>2</v>
      </c>
      <c r="HA6" s="157">
        <v>3</v>
      </c>
      <c r="HB6" s="157">
        <v>4</v>
      </c>
      <c r="HC6" s="157">
        <v>5</v>
      </c>
      <c r="HD6" s="157">
        <v>6</v>
      </c>
      <c r="HE6" s="157">
        <v>7</v>
      </c>
      <c r="HF6" s="157">
        <v>8</v>
      </c>
      <c r="HG6" s="157">
        <v>9</v>
      </c>
      <c r="HH6" s="157">
        <v>10</v>
      </c>
      <c r="HI6" s="157">
        <v>11</v>
      </c>
      <c r="HJ6" s="157">
        <v>12</v>
      </c>
      <c r="HK6" s="157">
        <v>1</v>
      </c>
      <c r="HL6" s="157">
        <v>2</v>
      </c>
      <c r="HM6" s="157">
        <v>3</v>
      </c>
      <c r="HN6" s="157">
        <v>4</v>
      </c>
      <c r="HO6" s="157">
        <v>5</v>
      </c>
      <c r="HP6" s="157">
        <v>6</v>
      </c>
      <c r="HQ6" s="157">
        <v>7</v>
      </c>
      <c r="HR6" s="157">
        <v>8</v>
      </c>
      <c r="HS6" s="157">
        <v>9</v>
      </c>
      <c r="HT6" s="157">
        <v>10</v>
      </c>
      <c r="HU6" s="157">
        <v>11</v>
      </c>
      <c r="HV6" s="157">
        <v>12</v>
      </c>
      <c r="HW6" s="157">
        <v>1</v>
      </c>
      <c r="HX6" s="157">
        <v>2</v>
      </c>
      <c r="HY6" s="157">
        <v>3</v>
      </c>
      <c r="HZ6" s="157">
        <v>4</v>
      </c>
      <c r="IA6" s="157">
        <v>5</v>
      </c>
      <c r="IB6" s="157">
        <v>6</v>
      </c>
      <c r="IC6" s="157">
        <v>7</v>
      </c>
      <c r="ID6" s="157">
        <v>8</v>
      </c>
      <c r="IE6" s="157">
        <v>9</v>
      </c>
      <c r="IF6" s="157">
        <v>10</v>
      </c>
      <c r="IG6" s="157">
        <v>11</v>
      </c>
      <c r="IH6" s="157">
        <v>12</v>
      </c>
      <c r="II6" s="157">
        <v>1</v>
      </c>
      <c r="IJ6" s="157">
        <v>2</v>
      </c>
      <c r="IK6" s="157">
        <v>3</v>
      </c>
      <c r="IL6" s="157">
        <v>4</v>
      </c>
      <c r="IM6" s="157">
        <v>5</v>
      </c>
      <c r="IN6" s="157">
        <v>6</v>
      </c>
      <c r="IO6" s="157">
        <v>7</v>
      </c>
      <c r="IP6" s="157">
        <v>8</v>
      </c>
      <c r="IQ6" s="157">
        <v>9</v>
      </c>
      <c r="IR6" s="157">
        <v>10</v>
      </c>
      <c r="IS6" s="157">
        <v>11</v>
      </c>
      <c r="IT6" s="157">
        <v>12</v>
      </c>
      <c r="IU6" s="157">
        <v>1</v>
      </c>
      <c r="IV6" s="157">
        <v>2</v>
      </c>
      <c r="IW6" s="157">
        <v>3</v>
      </c>
      <c r="IX6" s="157">
        <v>4</v>
      </c>
      <c r="IY6" s="157">
        <v>5</v>
      </c>
      <c r="IZ6" s="157">
        <v>6</v>
      </c>
      <c r="JA6" s="157">
        <v>7</v>
      </c>
      <c r="JB6" s="157">
        <v>8</v>
      </c>
      <c r="JC6" s="157">
        <v>9</v>
      </c>
      <c r="JD6" s="157">
        <v>10</v>
      </c>
      <c r="JE6" s="157">
        <v>11</v>
      </c>
      <c r="JF6" s="157">
        <v>12</v>
      </c>
      <c r="JG6" s="157">
        <v>1</v>
      </c>
      <c r="JH6" s="157">
        <v>2</v>
      </c>
      <c r="JI6" s="157">
        <v>3</v>
      </c>
      <c r="JJ6" s="157">
        <v>4</v>
      </c>
      <c r="JK6" s="157">
        <v>5</v>
      </c>
      <c r="JL6" s="157">
        <v>6</v>
      </c>
      <c r="JM6" s="157">
        <v>7</v>
      </c>
      <c r="JN6" s="157">
        <v>8</v>
      </c>
      <c r="JO6" s="157">
        <v>9</v>
      </c>
      <c r="JP6" s="157">
        <v>10</v>
      </c>
      <c r="JQ6" s="157">
        <v>11</v>
      </c>
      <c r="JR6" s="157">
        <v>12</v>
      </c>
      <c r="JS6" s="157">
        <v>1</v>
      </c>
      <c r="JT6" s="157">
        <v>2</v>
      </c>
      <c r="JU6" s="157">
        <v>3</v>
      </c>
      <c r="JV6" s="157">
        <v>4</v>
      </c>
      <c r="JW6" s="157">
        <v>5</v>
      </c>
      <c r="JX6" s="157">
        <v>6</v>
      </c>
      <c r="JY6" s="157">
        <v>7</v>
      </c>
      <c r="JZ6" s="157">
        <v>8</v>
      </c>
      <c r="KA6" s="157">
        <v>9</v>
      </c>
      <c r="KB6" s="157">
        <v>10</v>
      </c>
      <c r="KC6" s="157">
        <v>11</v>
      </c>
      <c r="KD6" s="157">
        <v>12</v>
      </c>
      <c r="KE6" s="157">
        <v>1</v>
      </c>
      <c r="KF6" s="157">
        <v>2</v>
      </c>
      <c r="KG6" s="157">
        <v>3</v>
      </c>
      <c r="KH6" s="157">
        <v>4</v>
      </c>
      <c r="KI6" s="157">
        <v>5</v>
      </c>
      <c r="KJ6" s="157">
        <v>6</v>
      </c>
      <c r="KK6" s="157">
        <v>7</v>
      </c>
      <c r="KL6" s="157">
        <v>8</v>
      </c>
      <c r="KM6" s="157">
        <v>9</v>
      </c>
      <c r="KN6" s="157">
        <v>10</v>
      </c>
      <c r="KO6" s="157">
        <v>11</v>
      </c>
      <c r="KP6" s="157">
        <v>12</v>
      </c>
      <c r="KQ6" s="157">
        <v>1</v>
      </c>
      <c r="KR6" s="157">
        <v>2</v>
      </c>
      <c r="KS6" s="157">
        <v>3</v>
      </c>
      <c r="KT6" s="157">
        <v>4</v>
      </c>
      <c r="KU6" s="157">
        <v>5</v>
      </c>
      <c r="KV6" s="157">
        <v>6</v>
      </c>
      <c r="KW6" s="157">
        <v>7</v>
      </c>
      <c r="KX6" s="157">
        <v>8</v>
      </c>
      <c r="KY6" s="157">
        <v>9</v>
      </c>
      <c r="KZ6" s="157">
        <v>10</v>
      </c>
      <c r="LA6" s="157">
        <v>11</v>
      </c>
      <c r="LB6" s="157">
        <v>12</v>
      </c>
      <c r="LC6" s="157">
        <v>1</v>
      </c>
      <c r="LD6" s="157">
        <v>2</v>
      </c>
      <c r="LE6" s="157">
        <v>3</v>
      </c>
      <c r="LF6" s="157">
        <v>4</v>
      </c>
      <c r="LG6" s="157">
        <v>5</v>
      </c>
      <c r="LH6" s="157">
        <v>6</v>
      </c>
      <c r="LI6" s="157">
        <v>7</v>
      </c>
      <c r="LJ6" s="157">
        <v>8</v>
      </c>
      <c r="LK6" s="157">
        <v>9</v>
      </c>
      <c r="LL6" s="157">
        <v>10</v>
      </c>
      <c r="LM6" s="157">
        <v>11</v>
      </c>
      <c r="LN6" s="157">
        <v>12</v>
      </c>
      <c r="LO6" s="157">
        <v>1</v>
      </c>
      <c r="LP6" s="157">
        <v>2</v>
      </c>
      <c r="LQ6" s="157">
        <v>3</v>
      </c>
      <c r="LR6" s="157">
        <v>4</v>
      </c>
      <c r="LS6" s="157">
        <v>5</v>
      </c>
      <c r="LT6" s="157">
        <v>6</v>
      </c>
      <c r="LU6" s="157">
        <v>7</v>
      </c>
      <c r="LV6" s="157">
        <v>8</v>
      </c>
      <c r="LW6" s="157">
        <v>9</v>
      </c>
      <c r="LX6" s="157">
        <v>10</v>
      </c>
      <c r="LY6" s="157">
        <v>11</v>
      </c>
      <c r="LZ6" s="157">
        <v>12</v>
      </c>
      <c r="MA6" s="157">
        <v>1</v>
      </c>
      <c r="MB6" s="157">
        <v>2</v>
      </c>
      <c r="MC6" s="157">
        <v>3</v>
      </c>
      <c r="MD6" s="157">
        <v>4</v>
      </c>
      <c r="ME6" s="157">
        <v>5</v>
      </c>
      <c r="MF6" s="157">
        <v>6</v>
      </c>
      <c r="MG6" s="157">
        <v>7</v>
      </c>
      <c r="MH6" s="157">
        <v>8</v>
      </c>
      <c r="MI6" s="157">
        <v>9</v>
      </c>
      <c r="MJ6" s="157">
        <v>10</v>
      </c>
      <c r="MK6" s="157">
        <v>11</v>
      </c>
      <c r="ML6" s="157">
        <v>12</v>
      </c>
      <c r="MM6" s="157">
        <v>1</v>
      </c>
      <c r="MN6" s="157">
        <v>2</v>
      </c>
      <c r="MO6" s="157">
        <v>3</v>
      </c>
      <c r="MP6" s="157">
        <v>4</v>
      </c>
      <c r="MQ6" s="157">
        <v>5</v>
      </c>
      <c r="MR6" s="157">
        <v>6</v>
      </c>
      <c r="MS6" s="157">
        <v>7</v>
      </c>
      <c r="MT6" s="157">
        <v>8</v>
      </c>
      <c r="MU6" s="157">
        <v>9</v>
      </c>
      <c r="MV6" s="157">
        <v>10</v>
      </c>
      <c r="MW6" s="157">
        <v>11</v>
      </c>
      <c r="MX6" s="157">
        <v>12</v>
      </c>
      <c r="MY6" s="157">
        <v>1</v>
      </c>
      <c r="MZ6" s="157">
        <v>2</v>
      </c>
      <c r="NA6" s="157">
        <v>3</v>
      </c>
      <c r="NB6" s="157">
        <v>4</v>
      </c>
      <c r="NC6" s="157">
        <v>5</v>
      </c>
      <c r="ND6" s="157">
        <v>6</v>
      </c>
      <c r="NE6" s="157">
        <v>7</v>
      </c>
      <c r="NF6" s="157">
        <v>8</v>
      </c>
      <c r="NG6" s="157">
        <v>9</v>
      </c>
      <c r="NH6" s="157">
        <v>10</v>
      </c>
      <c r="NI6" s="157">
        <v>11</v>
      </c>
      <c r="NJ6" s="157">
        <v>12</v>
      </c>
      <c r="NK6" s="157">
        <v>1</v>
      </c>
      <c r="NL6" s="157">
        <v>2</v>
      </c>
      <c r="NM6" s="157">
        <v>3</v>
      </c>
      <c r="NN6" s="157">
        <v>4</v>
      </c>
      <c r="NO6" s="157">
        <v>5</v>
      </c>
      <c r="NP6" s="157">
        <v>6</v>
      </c>
      <c r="NQ6" s="157">
        <v>7</v>
      </c>
      <c r="NR6" s="157">
        <v>8</v>
      </c>
      <c r="NU6" s="150" t="s">
        <v>548</v>
      </c>
      <c r="NV6" s="186"/>
    </row>
    <row r="7" spans="1:388" x14ac:dyDescent="0.4">
      <c r="A7" s="11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7"/>
      <c r="CS7" s="157"/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7"/>
      <c r="DK7" s="157"/>
      <c r="DL7" s="157"/>
      <c r="DM7" s="157"/>
      <c r="DN7" s="157"/>
      <c r="DO7" s="157"/>
      <c r="DP7" s="157"/>
      <c r="DQ7" s="157"/>
      <c r="DR7" s="157"/>
      <c r="DS7" s="157"/>
      <c r="DT7" s="157"/>
      <c r="DU7" s="157"/>
      <c r="DV7" s="157"/>
      <c r="DW7" s="157"/>
      <c r="DX7" s="157"/>
      <c r="DY7" s="157"/>
      <c r="DZ7" s="157"/>
      <c r="EA7" s="157"/>
      <c r="EB7" s="157"/>
      <c r="EC7" s="157"/>
      <c r="ED7" s="157"/>
      <c r="EE7" s="157"/>
      <c r="EF7" s="157"/>
      <c r="EG7" s="157"/>
      <c r="EH7" s="157"/>
      <c r="EI7" s="157"/>
      <c r="EJ7" s="157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157"/>
      <c r="FE7" s="157"/>
      <c r="FF7" s="157"/>
      <c r="FG7" s="157"/>
      <c r="FH7" s="157"/>
      <c r="FI7" s="157"/>
      <c r="FJ7" s="157"/>
      <c r="FK7" s="157"/>
      <c r="FL7" s="157"/>
      <c r="FM7" s="157"/>
      <c r="FN7" s="157"/>
      <c r="FO7" s="157"/>
      <c r="FP7" s="157"/>
      <c r="FQ7" s="157"/>
      <c r="FR7" s="157"/>
      <c r="FS7" s="157"/>
      <c r="FT7" s="157"/>
      <c r="FU7" s="157"/>
      <c r="FV7" s="157"/>
      <c r="FW7" s="157"/>
      <c r="FX7" s="157"/>
      <c r="FY7" s="157"/>
      <c r="FZ7" s="157"/>
      <c r="GA7" s="157"/>
      <c r="GB7" s="157"/>
      <c r="GC7" s="157"/>
      <c r="GD7" s="157"/>
      <c r="GE7" s="157"/>
      <c r="GF7" s="157"/>
      <c r="GG7" s="157"/>
      <c r="GH7" s="157"/>
      <c r="GI7" s="157"/>
      <c r="GJ7" s="157"/>
      <c r="GK7" s="157"/>
      <c r="GL7" s="157"/>
      <c r="GM7" s="157"/>
      <c r="GN7" s="157"/>
      <c r="GO7" s="157"/>
      <c r="GP7" s="157"/>
      <c r="GQ7" s="157"/>
      <c r="GR7" s="157"/>
      <c r="GS7" s="157"/>
      <c r="GT7" s="157"/>
      <c r="GU7" s="157"/>
      <c r="GV7" s="157"/>
      <c r="GW7" s="157"/>
      <c r="GX7" s="157"/>
      <c r="GY7" s="157"/>
      <c r="GZ7" s="157"/>
      <c r="HA7" s="157"/>
      <c r="HB7" s="157"/>
      <c r="HC7" s="157"/>
      <c r="HD7" s="157"/>
      <c r="HE7" s="157"/>
      <c r="HF7" s="157"/>
      <c r="HG7" s="157"/>
      <c r="HH7" s="157"/>
      <c r="HI7" s="157"/>
      <c r="HJ7" s="157"/>
      <c r="HK7" s="157"/>
      <c r="HL7" s="157"/>
      <c r="HM7" s="157"/>
      <c r="HN7" s="157"/>
      <c r="HO7" s="157"/>
      <c r="HP7" s="157"/>
      <c r="HQ7" s="157"/>
      <c r="HR7" s="157"/>
      <c r="HS7" s="157"/>
      <c r="HT7" s="157"/>
      <c r="HU7" s="157"/>
      <c r="HV7" s="157"/>
      <c r="HW7" s="157"/>
      <c r="HX7" s="157"/>
      <c r="HY7" s="157"/>
      <c r="HZ7" s="157"/>
      <c r="IA7" s="157"/>
      <c r="IB7" s="157"/>
      <c r="IC7" s="157"/>
      <c r="ID7" s="157"/>
      <c r="IE7" s="157"/>
      <c r="IF7" s="157"/>
      <c r="IG7" s="157"/>
      <c r="IH7" s="157"/>
      <c r="II7" s="157"/>
      <c r="IJ7" s="157"/>
      <c r="IK7" s="157"/>
      <c r="IL7" s="157"/>
      <c r="IM7" s="157"/>
      <c r="IN7" s="157"/>
      <c r="IO7" s="157"/>
      <c r="IP7" s="157"/>
      <c r="IQ7" s="157"/>
      <c r="IR7" s="157"/>
      <c r="IS7" s="157"/>
      <c r="IT7" s="157"/>
      <c r="IU7" s="157"/>
      <c r="IV7" s="157"/>
      <c r="IW7" s="157"/>
      <c r="IX7" s="157"/>
      <c r="IY7" s="157"/>
      <c r="IZ7" s="157"/>
      <c r="JA7" s="157"/>
      <c r="JB7" s="157"/>
      <c r="JC7" s="157"/>
      <c r="JD7" s="157"/>
      <c r="JE7" s="157"/>
      <c r="JF7" s="157"/>
      <c r="JG7" s="157"/>
      <c r="JH7" s="157"/>
      <c r="JI7" s="157"/>
      <c r="JJ7" s="157"/>
      <c r="JK7" s="157"/>
      <c r="JL7" s="157"/>
      <c r="JM7" s="157"/>
      <c r="JN7" s="157"/>
      <c r="JO7" s="157"/>
      <c r="JP7" s="157"/>
      <c r="JQ7" s="157"/>
      <c r="JR7" s="157"/>
      <c r="JS7" s="157"/>
      <c r="JT7" s="157"/>
      <c r="JU7" s="157"/>
      <c r="JV7" s="157"/>
      <c r="JW7" s="157"/>
      <c r="JX7" s="157"/>
      <c r="JY7" s="157"/>
      <c r="JZ7" s="157"/>
      <c r="KA7" s="157"/>
      <c r="KB7" s="157"/>
      <c r="KC7" s="157"/>
      <c r="KD7" s="157"/>
      <c r="KE7" s="157"/>
      <c r="KF7" s="157"/>
      <c r="KG7" s="157"/>
      <c r="KH7" s="157"/>
      <c r="KI7" s="157"/>
      <c r="KJ7" s="157"/>
      <c r="KK7" s="157"/>
      <c r="KL7" s="157"/>
      <c r="KM7" s="157"/>
      <c r="KN7" s="157"/>
      <c r="KO7" s="157"/>
      <c r="KP7" s="157"/>
      <c r="KQ7" s="157"/>
      <c r="KR7" s="157"/>
      <c r="KS7" s="157"/>
      <c r="KT7" s="157"/>
      <c r="KU7" s="157"/>
      <c r="KV7" s="157"/>
      <c r="KW7" s="157"/>
      <c r="KX7" s="157"/>
      <c r="KY7" s="157"/>
      <c r="KZ7" s="157"/>
      <c r="LA7" s="157"/>
      <c r="LB7" s="157"/>
      <c r="LC7" s="157"/>
      <c r="LD7" s="157"/>
      <c r="LE7" s="157"/>
      <c r="LF7" s="157"/>
      <c r="LG7" s="157"/>
      <c r="LH7" s="157"/>
      <c r="LI7" s="157"/>
      <c r="LJ7" s="157"/>
      <c r="LK7" s="157"/>
      <c r="LL7" s="157"/>
      <c r="LM7" s="157"/>
      <c r="LN7" s="157"/>
      <c r="LO7" s="157"/>
      <c r="LP7" s="157"/>
      <c r="LQ7" s="157"/>
      <c r="LR7" s="157"/>
      <c r="LS7" s="157"/>
      <c r="LT7" s="157"/>
      <c r="LU7" s="157"/>
      <c r="LV7" s="157"/>
      <c r="LW7" s="157"/>
      <c r="LX7" s="157"/>
      <c r="LY7" s="157"/>
      <c r="LZ7" s="157"/>
      <c r="MA7" s="157"/>
      <c r="MB7" s="157"/>
      <c r="MC7" s="157"/>
      <c r="MD7" s="157"/>
      <c r="ME7" s="157"/>
      <c r="MF7" s="157"/>
      <c r="MG7" s="157"/>
      <c r="MH7" s="157"/>
      <c r="MI7" s="157"/>
      <c r="MJ7" s="157"/>
      <c r="MK7" s="157"/>
      <c r="ML7" s="157"/>
      <c r="MM7" s="157"/>
      <c r="MN7" s="157"/>
      <c r="MO7" s="157"/>
      <c r="MP7" s="157"/>
      <c r="MQ7" s="157"/>
      <c r="MR7" s="157"/>
      <c r="MS7" s="157"/>
      <c r="MT7" s="157"/>
      <c r="MU7" s="157"/>
      <c r="MV7" s="157"/>
      <c r="MW7" s="157"/>
      <c r="MX7" s="157"/>
      <c r="MY7" s="157"/>
      <c r="MZ7" s="157"/>
      <c r="NA7" s="157"/>
      <c r="NB7" s="157"/>
      <c r="NC7" s="157"/>
      <c r="ND7" s="157"/>
      <c r="NE7" s="157"/>
      <c r="NF7" s="157"/>
      <c r="NG7" s="157"/>
      <c r="NH7" s="157"/>
      <c r="NI7" s="157"/>
      <c r="NJ7" s="157"/>
      <c r="NK7" s="157"/>
      <c r="NL7" s="157"/>
      <c r="NM7" s="157"/>
      <c r="NN7" s="157"/>
      <c r="NO7" s="157"/>
      <c r="NP7" s="157"/>
      <c r="NQ7" s="157"/>
      <c r="NR7" s="157"/>
      <c r="NU7" s="150"/>
      <c r="NV7" s="186"/>
    </row>
    <row r="8" spans="1:388" x14ac:dyDescent="0.4">
      <c r="A8" t="s">
        <v>549</v>
      </c>
      <c r="C8" s="140">
        <v>1</v>
      </c>
      <c r="D8" s="140">
        <v>1</v>
      </c>
      <c r="E8" s="140">
        <v>1</v>
      </c>
      <c r="F8" s="140">
        <v>1</v>
      </c>
      <c r="G8" s="140">
        <v>1</v>
      </c>
      <c r="H8" s="140">
        <v>1</v>
      </c>
      <c r="I8" s="140">
        <v>1</v>
      </c>
      <c r="J8" s="140">
        <v>1</v>
      </c>
      <c r="K8" s="140">
        <v>1</v>
      </c>
      <c r="L8" s="140">
        <v>1</v>
      </c>
      <c r="M8" s="140">
        <v>1</v>
      </c>
      <c r="N8" s="140">
        <v>1</v>
      </c>
      <c r="O8" s="140">
        <v>1</v>
      </c>
      <c r="P8" s="140">
        <v>1</v>
      </c>
      <c r="Q8" s="140">
        <v>1</v>
      </c>
      <c r="R8" s="140">
        <v>1</v>
      </c>
      <c r="S8" s="140">
        <v>1</v>
      </c>
      <c r="T8" s="140">
        <v>1</v>
      </c>
      <c r="U8" s="140">
        <v>1</v>
      </c>
      <c r="V8" s="140">
        <v>1</v>
      </c>
      <c r="W8" s="140">
        <v>1</v>
      </c>
      <c r="X8" s="140">
        <v>1</v>
      </c>
      <c r="Y8" s="140">
        <v>1</v>
      </c>
      <c r="Z8" s="140">
        <v>1</v>
      </c>
      <c r="AA8" s="140">
        <v>1</v>
      </c>
      <c r="AB8" s="140">
        <v>1</v>
      </c>
      <c r="AC8" s="140">
        <v>1</v>
      </c>
      <c r="AD8" s="140">
        <v>1</v>
      </c>
      <c r="AE8" s="140">
        <v>1</v>
      </c>
      <c r="AF8" s="140">
        <v>1</v>
      </c>
      <c r="AG8" s="140">
        <v>1</v>
      </c>
      <c r="AH8" s="140">
        <v>1</v>
      </c>
      <c r="AI8" s="140">
        <v>1</v>
      </c>
      <c r="AJ8" s="140">
        <v>1</v>
      </c>
      <c r="AK8" s="140">
        <v>1</v>
      </c>
      <c r="AL8" s="140">
        <v>1</v>
      </c>
      <c r="AM8" s="140">
        <v>1</v>
      </c>
      <c r="AN8" s="140">
        <v>1</v>
      </c>
      <c r="AO8" s="140">
        <v>1</v>
      </c>
      <c r="AP8" s="140">
        <v>1</v>
      </c>
      <c r="AQ8" s="140">
        <v>1</v>
      </c>
      <c r="AR8" s="140">
        <v>1</v>
      </c>
      <c r="AS8" s="140">
        <v>1</v>
      </c>
      <c r="AT8" s="140">
        <v>1</v>
      </c>
      <c r="AU8" s="140">
        <v>1</v>
      </c>
      <c r="AV8" s="140">
        <v>1</v>
      </c>
      <c r="AW8" s="140">
        <v>1</v>
      </c>
      <c r="AX8" s="140">
        <v>1</v>
      </c>
      <c r="AY8" s="140">
        <v>1</v>
      </c>
      <c r="AZ8" s="140">
        <v>1</v>
      </c>
      <c r="BA8" s="140">
        <v>1</v>
      </c>
      <c r="BB8" s="140">
        <v>1</v>
      </c>
      <c r="BC8" s="140">
        <v>1</v>
      </c>
      <c r="BD8" s="140">
        <v>1</v>
      </c>
      <c r="BE8" s="140">
        <v>1</v>
      </c>
      <c r="BF8" s="140">
        <v>1</v>
      </c>
      <c r="BG8" s="140">
        <v>1</v>
      </c>
      <c r="BH8" s="140">
        <v>1</v>
      </c>
      <c r="BI8" s="140">
        <v>1</v>
      </c>
      <c r="BJ8" s="140">
        <v>1</v>
      </c>
      <c r="BK8" s="140">
        <v>1</v>
      </c>
      <c r="BL8" s="140">
        <v>1</v>
      </c>
      <c r="BM8" s="140">
        <v>1</v>
      </c>
      <c r="BN8" s="140">
        <v>1</v>
      </c>
      <c r="BO8" s="140">
        <v>1</v>
      </c>
      <c r="BP8" s="140">
        <v>1</v>
      </c>
      <c r="BQ8" s="140">
        <v>1</v>
      </c>
      <c r="BR8" s="140">
        <v>1</v>
      </c>
      <c r="BS8" s="140">
        <v>1</v>
      </c>
      <c r="BT8" s="140">
        <v>1</v>
      </c>
      <c r="BU8" s="140">
        <v>1</v>
      </c>
      <c r="BV8" s="140">
        <v>1</v>
      </c>
      <c r="BW8" s="140">
        <v>0</v>
      </c>
      <c r="BX8" s="140">
        <v>0</v>
      </c>
      <c r="BY8" s="140">
        <v>0</v>
      </c>
      <c r="BZ8" s="140">
        <v>0</v>
      </c>
      <c r="CA8" s="140">
        <v>0</v>
      </c>
      <c r="CB8" s="140">
        <v>0</v>
      </c>
      <c r="CC8" s="140">
        <v>0</v>
      </c>
      <c r="CD8" s="140">
        <v>0</v>
      </c>
      <c r="CE8" s="140">
        <v>0</v>
      </c>
      <c r="CF8" s="140">
        <v>0</v>
      </c>
      <c r="CG8" s="140">
        <v>0</v>
      </c>
      <c r="CH8" s="140">
        <v>0</v>
      </c>
      <c r="CI8" s="140">
        <v>0</v>
      </c>
      <c r="CJ8" s="140">
        <v>0</v>
      </c>
      <c r="CK8" s="140">
        <v>0</v>
      </c>
      <c r="CL8" s="140">
        <v>0</v>
      </c>
      <c r="CM8" s="140">
        <v>0</v>
      </c>
      <c r="CN8" s="140">
        <v>0</v>
      </c>
      <c r="CO8" s="140">
        <v>0</v>
      </c>
      <c r="CP8" s="140">
        <v>0</v>
      </c>
      <c r="CQ8" s="140">
        <v>0</v>
      </c>
      <c r="CR8" s="140">
        <v>0</v>
      </c>
      <c r="CS8" s="140">
        <v>0</v>
      </c>
      <c r="CT8" s="140">
        <v>0</v>
      </c>
      <c r="CU8" s="140">
        <v>0</v>
      </c>
      <c r="CV8" s="140">
        <v>0</v>
      </c>
      <c r="CW8" s="140">
        <v>0</v>
      </c>
      <c r="CX8" s="140">
        <v>0</v>
      </c>
      <c r="CY8" s="140">
        <v>0</v>
      </c>
      <c r="CZ8" s="140">
        <v>0</v>
      </c>
      <c r="DA8" s="140">
        <v>0</v>
      </c>
      <c r="DB8" s="140">
        <v>0</v>
      </c>
      <c r="DC8" s="140">
        <v>0</v>
      </c>
      <c r="DD8" s="140">
        <v>0</v>
      </c>
      <c r="DE8" s="140">
        <v>0</v>
      </c>
      <c r="DF8" s="140">
        <v>0</v>
      </c>
      <c r="DG8" s="140">
        <v>0</v>
      </c>
      <c r="DH8" s="140">
        <v>0</v>
      </c>
      <c r="DI8" s="140">
        <v>0</v>
      </c>
      <c r="DJ8" s="140">
        <v>0</v>
      </c>
      <c r="DK8" s="140">
        <v>0</v>
      </c>
      <c r="DL8" s="140">
        <v>0</v>
      </c>
      <c r="DM8" s="140">
        <v>0</v>
      </c>
      <c r="DN8" s="140">
        <v>0</v>
      </c>
      <c r="DO8" s="140">
        <v>0</v>
      </c>
      <c r="DP8" s="140">
        <v>0</v>
      </c>
      <c r="DQ8" s="140">
        <v>0</v>
      </c>
      <c r="DR8" s="140">
        <v>0</v>
      </c>
      <c r="DS8" s="140">
        <v>0</v>
      </c>
      <c r="DT8" s="140">
        <v>0</v>
      </c>
      <c r="DU8" s="140">
        <v>0</v>
      </c>
      <c r="DV8" s="140">
        <v>0</v>
      </c>
      <c r="DW8" s="140">
        <v>0</v>
      </c>
      <c r="DX8" s="140">
        <v>0</v>
      </c>
      <c r="DY8" s="140">
        <v>0</v>
      </c>
      <c r="DZ8" s="140">
        <v>0</v>
      </c>
      <c r="EA8" s="140">
        <v>0</v>
      </c>
      <c r="EB8" s="140">
        <v>0</v>
      </c>
      <c r="EC8" s="140">
        <v>0</v>
      </c>
      <c r="ED8" s="140">
        <v>0</v>
      </c>
      <c r="EE8" s="140">
        <v>0</v>
      </c>
      <c r="EF8" s="140">
        <v>0</v>
      </c>
      <c r="EG8" s="140">
        <v>0</v>
      </c>
      <c r="EH8" s="140">
        <v>0</v>
      </c>
      <c r="EI8" s="140">
        <v>0</v>
      </c>
      <c r="EJ8" s="140">
        <v>0</v>
      </c>
      <c r="EK8" s="140">
        <v>0</v>
      </c>
      <c r="EL8" s="140">
        <v>0</v>
      </c>
      <c r="EM8" s="140">
        <v>0</v>
      </c>
      <c r="EN8" s="140">
        <v>0</v>
      </c>
      <c r="EO8" s="140">
        <v>0</v>
      </c>
      <c r="EP8" s="140">
        <v>0</v>
      </c>
      <c r="EQ8" s="140">
        <v>0</v>
      </c>
      <c r="ER8" s="140">
        <v>0</v>
      </c>
      <c r="ES8" s="140">
        <v>0</v>
      </c>
      <c r="ET8" s="140">
        <v>0</v>
      </c>
      <c r="EU8" s="140">
        <v>0</v>
      </c>
      <c r="EV8" s="140">
        <v>0</v>
      </c>
      <c r="EW8" s="140">
        <v>0</v>
      </c>
      <c r="EX8" s="140">
        <v>0</v>
      </c>
      <c r="EY8" s="140">
        <v>0</v>
      </c>
      <c r="EZ8" s="140">
        <v>0</v>
      </c>
      <c r="FA8" s="140">
        <v>0</v>
      </c>
      <c r="FB8" s="140">
        <v>0</v>
      </c>
      <c r="FC8" s="140">
        <v>0</v>
      </c>
      <c r="FD8" s="140">
        <v>0</v>
      </c>
      <c r="FE8" s="140">
        <v>0</v>
      </c>
      <c r="FF8" s="140">
        <v>0</v>
      </c>
      <c r="FG8" s="140">
        <v>0</v>
      </c>
      <c r="FH8" s="140">
        <v>0</v>
      </c>
      <c r="FI8" s="140">
        <v>0</v>
      </c>
      <c r="FJ8" s="140">
        <v>0</v>
      </c>
      <c r="FK8" s="140">
        <v>0</v>
      </c>
      <c r="FL8" s="140">
        <v>0</v>
      </c>
      <c r="FM8" s="140">
        <v>0</v>
      </c>
      <c r="FN8" s="140">
        <v>0</v>
      </c>
      <c r="FO8" s="140">
        <v>0</v>
      </c>
      <c r="FP8" s="140">
        <v>0</v>
      </c>
      <c r="FQ8" s="140">
        <v>0</v>
      </c>
      <c r="FR8" s="140">
        <v>0</v>
      </c>
      <c r="FS8" s="140">
        <v>0</v>
      </c>
      <c r="FT8" s="140">
        <v>0</v>
      </c>
      <c r="FU8" s="140">
        <v>0</v>
      </c>
      <c r="FV8" s="140">
        <v>0</v>
      </c>
      <c r="FW8" s="140">
        <v>0</v>
      </c>
      <c r="FX8" s="140">
        <v>0</v>
      </c>
      <c r="FY8" s="140">
        <v>0</v>
      </c>
      <c r="FZ8" s="140">
        <v>0</v>
      </c>
      <c r="GA8" s="140">
        <v>0</v>
      </c>
      <c r="GB8" s="140">
        <v>0</v>
      </c>
      <c r="GC8" s="140">
        <v>0</v>
      </c>
      <c r="GD8" s="140">
        <v>0</v>
      </c>
      <c r="GE8" s="140">
        <v>0</v>
      </c>
      <c r="GF8" s="140">
        <v>0</v>
      </c>
      <c r="GG8" s="140">
        <v>0</v>
      </c>
      <c r="GH8" s="140">
        <v>0</v>
      </c>
      <c r="GI8" s="140">
        <v>0</v>
      </c>
      <c r="GJ8" s="140">
        <v>0</v>
      </c>
      <c r="GK8" s="140">
        <v>0</v>
      </c>
      <c r="GL8" s="140">
        <v>0</v>
      </c>
      <c r="GM8" s="140">
        <v>0</v>
      </c>
      <c r="GN8" s="140">
        <v>0</v>
      </c>
      <c r="GO8" s="140">
        <v>0</v>
      </c>
      <c r="GP8" s="140">
        <v>0</v>
      </c>
      <c r="GQ8" s="140">
        <v>0</v>
      </c>
      <c r="GR8" s="140">
        <v>0</v>
      </c>
      <c r="GS8" s="140">
        <v>0</v>
      </c>
      <c r="GT8" s="140">
        <v>0</v>
      </c>
      <c r="GU8" s="140">
        <v>0</v>
      </c>
      <c r="GV8" s="140">
        <v>0</v>
      </c>
      <c r="GW8" s="140">
        <v>0</v>
      </c>
      <c r="GX8" s="140">
        <v>0</v>
      </c>
      <c r="GY8" s="140">
        <v>0</v>
      </c>
      <c r="GZ8" s="140">
        <v>0</v>
      </c>
      <c r="HA8" s="140">
        <v>0</v>
      </c>
      <c r="HB8" s="140">
        <v>0</v>
      </c>
      <c r="HC8" s="140">
        <v>0</v>
      </c>
      <c r="HD8" s="140">
        <v>0</v>
      </c>
      <c r="HE8" s="140">
        <v>0</v>
      </c>
      <c r="HF8" s="140">
        <v>0</v>
      </c>
      <c r="HG8" s="140">
        <v>0</v>
      </c>
      <c r="HH8" s="140">
        <v>0</v>
      </c>
      <c r="HI8" s="140">
        <v>0</v>
      </c>
      <c r="HJ8" s="140">
        <v>0</v>
      </c>
      <c r="HK8" s="140">
        <v>0</v>
      </c>
      <c r="HL8" s="140">
        <v>0</v>
      </c>
      <c r="HM8" s="140">
        <v>0</v>
      </c>
      <c r="HN8" s="140">
        <v>0</v>
      </c>
      <c r="HO8" s="140">
        <v>0</v>
      </c>
      <c r="HP8" s="140">
        <v>0</v>
      </c>
      <c r="HQ8" s="140">
        <v>0</v>
      </c>
      <c r="HR8" s="140">
        <v>0</v>
      </c>
      <c r="HS8" s="140">
        <v>0</v>
      </c>
      <c r="HT8" s="140">
        <v>0</v>
      </c>
      <c r="HU8" s="140">
        <v>0</v>
      </c>
      <c r="HV8" s="140">
        <v>0</v>
      </c>
      <c r="HW8" s="140">
        <v>0</v>
      </c>
      <c r="HX8" s="140">
        <v>0</v>
      </c>
      <c r="HY8" s="140">
        <v>0</v>
      </c>
      <c r="HZ8" s="140">
        <v>0</v>
      </c>
      <c r="IA8" s="140">
        <v>0</v>
      </c>
      <c r="IB8" s="140">
        <v>0</v>
      </c>
      <c r="IC8" s="140">
        <v>0</v>
      </c>
      <c r="ID8" s="140">
        <v>0</v>
      </c>
      <c r="IE8" s="140">
        <v>0</v>
      </c>
      <c r="IF8" s="140">
        <v>0</v>
      </c>
      <c r="IG8" s="140">
        <v>0</v>
      </c>
      <c r="IH8" s="140">
        <v>0</v>
      </c>
      <c r="II8" s="140">
        <v>0</v>
      </c>
      <c r="IJ8" s="140">
        <v>0</v>
      </c>
      <c r="IK8" s="140">
        <v>0</v>
      </c>
      <c r="IL8" s="140">
        <v>0</v>
      </c>
      <c r="IM8" s="140">
        <v>0</v>
      </c>
      <c r="IN8" s="140">
        <v>0</v>
      </c>
      <c r="IO8" s="140">
        <v>0</v>
      </c>
      <c r="IP8" s="140">
        <v>0</v>
      </c>
      <c r="IQ8" s="140">
        <v>0</v>
      </c>
      <c r="IR8" s="140">
        <v>0</v>
      </c>
      <c r="IS8" s="140">
        <v>0</v>
      </c>
      <c r="IT8" s="140">
        <v>0</v>
      </c>
      <c r="IU8" s="140">
        <v>0</v>
      </c>
      <c r="IV8" s="140">
        <v>0</v>
      </c>
      <c r="IW8" s="140">
        <v>0</v>
      </c>
      <c r="IX8" s="140">
        <v>0</v>
      </c>
      <c r="IY8" s="140">
        <v>0</v>
      </c>
      <c r="IZ8" s="140">
        <v>0</v>
      </c>
      <c r="JA8" s="140">
        <v>0</v>
      </c>
      <c r="JB8" s="140">
        <v>0</v>
      </c>
      <c r="JC8" s="140">
        <v>0</v>
      </c>
      <c r="JD8" s="140">
        <v>0</v>
      </c>
      <c r="JE8" s="140">
        <v>0</v>
      </c>
      <c r="JF8" s="140">
        <v>0</v>
      </c>
      <c r="JG8" s="140">
        <v>0</v>
      </c>
      <c r="JH8" s="140">
        <v>0</v>
      </c>
      <c r="JI8" s="140">
        <v>0</v>
      </c>
      <c r="JJ8" s="140">
        <v>0</v>
      </c>
      <c r="JK8" s="140">
        <v>0</v>
      </c>
      <c r="JL8" s="140">
        <v>0</v>
      </c>
      <c r="JM8" s="140">
        <v>0</v>
      </c>
      <c r="JN8" s="140">
        <v>0</v>
      </c>
      <c r="JO8" s="140">
        <v>0</v>
      </c>
      <c r="JP8" s="140">
        <v>0</v>
      </c>
      <c r="JQ8" s="140">
        <v>0</v>
      </c>
      <c r="JR8" s="140">
        <v>0</v>
      </c>
      <c r="JS8" s="140">
        <v>0</v>
      </c>
      <c r="JT8" s="140">
        <v>0</v>
      </c>
      <c r="JU8" s="140">
        <v>0</v>
      </c>
      <c r="JV8" s="140">
        <v>0</v>
      </c>
      <c r="JW8" s="140">
        <v>0</v>
      </c>
      <c r="JX8" s="140">
        <v>0</v>
      </c>
      <c r="JY8" s="140">
        <v>0</v>
      </c>
      <c r="JZ8" s="140">
        <v>0</v>
      </c>
      <c r="KA8" s="140">
        <v>0</v>
      </c>
      <c r="KB8" s="140">
        <v>0</v>
      </c>
      <c r="KC8" s="140">
        <v>0</v>
      </c>
      <c r="KD8" s="140">
        <v>0</v>
      </c>
      <c r="KE8" s="140">
        <v>0</v>
      </c>
      <c r="KF8" s="140">
        <v>0</v>
      </c>
      <c r="KG8" s="140">
        <v>0</v>
      </c>
      <c r="KH8" s="140">
        <v>0</v>
      </c>
      <c r="KI8" s="140">
        <v>0</v>
      </c>
      <c r="KJ8" s="140">
        <v>0</v>
      </c>
      <c r="KK8" s="140">
        <v>0</v>
      </c>
      <c r="KL8" s="140">
        <v>0</v>
      </c>
      <c r="KM8" s="140">
        <v>0</v>
      </c>
      <c r="KN8" s="140">
        <v>0</v>
      </c>
      <c r="KO8" s="140">
        <v>0</v>
      </c>
      <c r="KP8" s="140">
        <v>0</v>
      </c>
      <c r="KQ8" s="140">
        <v>0</v>
      </c>
      <c r="KR8" s="140">
        <v>0</v>
      </c>
      <c r="KS8" s="140">
        <v>0</v>
      </c>
      <c r="KT8" s="140">
        <v>0</v>
      </c>
      <c r="KU8" s="140">
        <v>0</v>
      </c>
      <c r="KV8" s="140">
        <v>0</v>
      </c>
      <c r="KW8" s="140">
        <v>0</v>
      </c>
      <c r="KX8" s="140">
        <v>0</v>
      </c>
      <c r="KY8" s="140">
        <v>0</v>
      </c>
      <c r="KZ8" s="140">
        <v>0</v>
      </c>
      <c r="LA8" s="140">
        <v>0</v>
      </c>
      <c r="LB8" s="140">
        <v>0</v>
      </c>
      <c r="LC8" s="140">
        <v>0</v>
      </c>
      <c r="LD8" s="140">
        <v>0</v>
      </c>
      <c r="LE8" s="140">
        <v>0</v>
      </c>
      <c r="LF8" s="140">
        <v>0</v>
      </c>
      <c r="LG8" s="140">
        <v>0</v>
      </c>
      <c r="LH8" s="140">
        <v>0</v>
      </c>
      <c r="LI8" s="140">
        <v>0</v>
      </c>
      <c r="LJ8" s="140">
        <v>0</v>
      </c>
      <c r="LK8" s="140">
        <v>0</v>
      </c>
      <c r="LL8" s="140">
        <v>0</v>
      </c>
      <c r="LM8" s="140">
        <v>0</v>
      </c>
      <c r="LN8" s="140">
        <v>0</v>
      </c>
      <c r="LO8" s="140">
        <v>0</v>
      </c>
      <c r="LP8" s="140">
        <v>0</v>
      </c>
      <c r="LQ8" s="140">
        <v>0</v>
      </c>
      <c r="LR8" s="140">
        <v>0</v>
      </c>
      <c r="LS8" s="140">
        <v>0</v>
      </c>
      <c r="LT8" s="140">
        <v>0</v>
      </c>
      <c r="LU8" s="140">
        <v>0</v>
      </c>
      <c r="LV8" s="140">
        <v>0</v>
      </c>
      <c r="LW8" s="140">
        <v>0</v>
      </c>
      <c r="LX8" s="140">
        <v>0</v>
      </c>
      <c r="LY8" s="140">
        <v>0</v>
      </c>
      <c r="LZ8" s="140">
        <v>0</v>
      </c>
      <c r="MA8" s="140">
        <v>0</v>
      </c>
      <c r="MB8" s="140">
        <v>0</v>
      </c>
      <c r="MC8" s="140">
        <v>0</v>
      </c>
      <c r="MD8" s="140">
        <v>0</v>
      </c>
      <c r="ME8" s="140">
        <v>0</v>
      </c>
      <c r="MF8" s="140">
        <v>0</v>
      </c>
      <c r="MG8" s="140">
        <v>0</v>
      </c>
      <c r="MH8" s="140">
        <v>0</v>
      </c>
      <c r="MI8" s="140">
        <v>0</v>
      </c>
      <c r="MJ8" s="140">
        <v>0</v>
      </c>
      <c r="MK8" s="140">
        <v>0</v>
      </c>
      <c r="ML8" s="140">
        <v>0</v>
      </c>
      <c r="MM8" s="140">
        <v>0</v>
      </c>
      <c r="MN8" s="140">
        <v>0</v>
      </c>
      <c r="MO8" s="140">
        <v>0</v>
      </c>
      <c r="MP8" s="140">
        <v>0</v>
      </c>
      <c r="MQ8" s="140">
        <v>0</v>
      </c>
      <c r="MR8" s="140">
        <v>0</v>
      </c>
      <c r="MS8" s="140">
        <v>0</v>
      </c>
      <c r="MT8" s="140">
        <v>0</v>
      </c>
      <c r="MU8" s="140">
        <v>0</v>
      </c>
      <c r="MV8" s="140">
        <v>0</v>
      </c>
      <c r="MW8" s="140">
        <v>0</v>
      </c>
      <c r="MX8" s="140">
        <v>0</v>
      </c>
      <c r="MY8" s="140">
        <v>0</v>
      </c>
      <c r="MZ8" s="140">
        <v>0</v>
      </c>
      <c r="NA8" s="140">
        <v>0</v>
      </c>
      <c r="NB8" s="140">
        <v>0</v>
      </c>
      <c r="NC8" s="140">
        <v>0</v>
      </c>
      <c r="ND8" s="140">
        <v>0</v>
      </c>
      <c r="NE8" s="140">
        <v>0</v>
      </c>
      <c r="NF8" s="140">
        <v>0</v>
      </c>
      <c r="NG8" s="140">
        <v>0</v>
      </c>
      <c r="NH8" s="140">
        <v>0</v>
      </c>
      <c r="NI8" s="140">
        <v>0</v>
      </c>
      <c r="NJ8" s="140">
        <v>0</v>
      </c>
      <c r="NK8" s="140">
        <v>0</v>
      </c>
      <c r="NL8" s="140">
        <v>0</v>
      </c>
      <c r="NM8" s="140">
        <v>0</v>
      </c>
      <c r="NN8" s="140">
        <v>0</v>
      </c>
      <c r="NO8" s="140">
        <v>0</v>
      </c>
      <c r="NP8" s="140">
        <v>0</v>
      </c>
      <c r="NQ8" s="140">
        <v>0</v>
      </c>
      <c r="NR8" s="140">
        <v>0</v>
      </c>
      <c r="NU8" s="150"/>
      <c r="NV8" s="186"/>
    </row>
    <row r="9" spans="1:388" x14ac:dyDescent="0.4">
      <c r="A9" t="s">
        <v>550</v>
      </c>
      <c r="C9" s="140">
        <v>0</v>
      </c>
      <c r="D9" s="140">
        <v>0</v>
      </c>
      <c r="E9" s="140">
        <v>0</v>
      </c>
      <c r="F9" s="140">
        <v>0</v>
      </c>
      <c r="G9" s="140">
        <v>0</v>
      </c>
      <c r="H9" s="140">
        <v>0</v>
      </c>
      <c r="I9" s="140">
        <v>0</v>
      </c>
      <c r="J9" s="140">
        <v>0</v>
      </c>
      <c r="K9" s="140">
        <v>0</v>
      </c>
      <c r="L9" s="140">
        <v>0</v>
      </c>
      <c r="M9" s="140">
        <v>0</v>
      </c>
      <c r="N9" s="140">
        <v>0</v>
      </c>
      <c r="O9" s="140"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0">
        <v>0</v>
      </c>
      <c r="W9" s="140">
        <v>0</v>
      </c>
      <c r="X9" s="140">
        <v>0</v>
      </c>
      <c r="Y9" s="140">
        <v>0</v>
      </c>
      <c r="Z9" s="140">
        <v>0</v>
      </c>
      <c r="AA9" s="140">
        <v>0</v>
      </c>
      <c r="AB9" s="140">
        <v>0</v>
      </c>
      <c r="AC9" s="140">
        <v>0</v>
      </c>
      <c r="AD9" s="140">
        <v>0</v>
      </c>
      <c r="AE9" s="140">
        <v>0</v>
      </c>
      <c r="AF9" s="140">
        <v>0</v>
      </c>
      <c r="AG9" s="140">
        <v>0</v>
      </c>
      <c r="AH9" s="140">
        <v>0</v>
      </c>
      <c r="AI9" s="140">
        <v>0</v>
      </c>
      <c r="AJ9" s="140">
        <v>0</v>
      </c>
      <c r="AK9" s="140">
        <v>0</v>
      </c>
      <c r="AL9" s="140">
        <v>0</v>
      </c>
      <c r="AM9" s="140">
        <v>0</v>
      </c>
      <c r="AN9" s="140">
        <v>0</v>
      </c>
      <c r="AO9" s="140">
        <v>0</v>
      </c>
      <c r="AP9" s="140">
        <v>0</v>
      </c>
      <c r="AQ9" s="140">
        <v>0</v>
      </c>
      <c r="AR9" s="140">
        <v>0</v>
      </c>
      <c r="AS9" s="140">
        <v>0</v>
      </c>
      <c r="AT9" s="140">
        <v>0</v>
      </c>
      <c r="AU9" s="140">
        <v>0</v>
      </c>
      <c r="AV9" s="140">
        <v>0</v>
      </c>
      <c r="AW9" s="140">
        <v>0</v>
      </c>
      <c r="AX9" s="140">
        <v>0</v>
      </c>
      <c r="AY9" s="140">
        <v>0</v>
      </c>
      <c r="AZ9" s="140">
        <v>0</v>
      </c>
      <c r="BA9" s="140">
        <v>0</v>
      </c>
      <c r="BB9" s="140">
        <v>0</v>
      </c>
      <c r="BC9" s="140">
        <v>0</v>
      </c>
      <c r="BD9" s="140">
        <v>0</v>
      </c>
      <c r="BE9" s="140">
        <v>0</v>
      </c>
      <c r="BF9" s="140">
        <v>0</v>
      </c>
      <c r="BG9" s="140">
        <v>0</v>
      </c>
      <c r="BH9" s="140">
        <v>0</v>
      </c>
      <c r="BI9" s="140">
        <v>0</v>
      </c>
      <c r="BJ9" s="140">
        <v>0</v>
      </c>
      <c r="BK9" s="140">
        <v>0</v>
      </c>
      <c r="BL9" s="140">
        <v>0</v>
      </c>
      <c r="BM9" s="140">
        <v>0</v>
      </c>
      <c r="BN9" s="140">
        <v>0</v>
      </c>
      <c r="BO9" s="140">
        <v>0</v>
      </c>
      <c r="BP9" s="140">
        <v>0</v>
      </c>
      <c r="BQ9" s="140">
        <v>0</v>
      </c>
      <c r="BR9" s="140">
        <v>0</v>
      </c>
      <c r="BS9" s="140">
        <v>0</v>
      </c>
      <c r="BT9" s="140">
        <v>0</v>
      </c>
      <c r="BU9" s="140">
        <v>0</v>
      </c>
      <c r="BV9" s="140">
        <v>0</v>
      </c>
      <c r="BW9" s="140">
        <v>1</v>
      </c>
      <c r="BX9" s="140">
        <v>1</v>
      </c>
      <c r="BY9" s="140">
        <v>1</v>
      </c>
      <c r="BZ9" s="140">
        <v>1</v>
      </c>
      <c r="CA9" s="140">
        <v>1</v>
      </c>
      <c r="CB9" s="140">
        <v>1</v>
      </c>
      <c r="CC9" s="140">
        <v>1</v>
      </c>
      <c r="CD9" s="140">
        <v>1</v>
      </c>
      <c r="CE9" s="140">
        <v>1</v>
      </c>
      <c r="CF9" s="140">
        <v>1</v>
      </c>
      <c r="CG9" s="140">
        <v>1</v>
      </c>
      <c r="CH9" s="140">
        <v>1</v>
      </c>
      <c r="CI9" s="140">
        <v>1</v>
      </c>
      <c r="CJ9" s="140">
        <v>1</v>
      </c>
      <c r="CK9" s="140">
        <v>1</v>
      </c>
      <c r="CL9" s="140">
        <v>1</v>
      </c>
      <c r="CM9" s="140">
        <v>1</v>
      </c>
      <c r="CN9" s="140">
        <v>1</v>
      </c>
      <c r="CO9" s="140">
        <v>1</v>
      </c>
      <c r="CP9" s="140">
        <v>1</v>
      </c>
      <c r="CQ9" s="140">
        <v>1</v>
      </c>
      <c r="CR9" s="140">
        <v>1</v>
      </c>
      <c r="CS9" s="140">
        <v>1</v>
      </c>
      <c r="CT9" s="140">
        <v>1</v>
      </c>
      <c r="CU9" s="140">
        <v>0</v>
      </c>
      <c r="CV9" s="140">
        <v>0</v>
      </c>
      <c r="CW9" s="140">
        <v>0</v>
      </c>
      <c r="CX9" s="140">
        <v>0</v>
      </c>
      <c r="CY9" s="140">
        <v>0</v>
      </c>
      <c r="CZ9" s="140">
        <v>0</v>
      </c>
      <c r="DA9" s="140">
        <v>0</v>
      </c>
      <c r="DB9" s="140">
        <v>0</v>
      </c>
      <c r="DC9" s="140">
        <v>0</v>
      </c>
      <c r="DD9" s="140">
        <v>0</v>
      </c>
      <c r="DE9" s="140">
        <v>0</v>
      </c>
      <c r="DF9" s="140">
        <v>0</v>
      </c>
      <c r="DG9" s="140">
        <v>0</v>
      </c>
      <c r="DH9" s="140">
        <v>0</v>
      </c>
      <c r="DI9" s="140">
        <v>0</v>
      </c>
      <c r="DJ9" s="140">
        <v>0</v>
      </c>
      <c r="DK9" s="140">
        <v>0</v>
      </c>
      <c r="DL9" s="140">
        <v>0</v>
      </c>
      <c r="DM9" s="140">
        <v>0</v>
      </c>
      <c r="DN9" s="140">
        <v>0</v>
      </c>
      <c r="DO9" s="140">
        <v>0</v>
      </c>
      <c r="DP9" s="140">
        <v>0</v>
      </c>
      <c r="DQ9" s="140">
        <v>0</v>
      </c>
      <c r="DR9" s="140">
        <v>0</v>
      </c>
      <c r="DS9" s="140">
        <v>0</v>
      </c>
      <c r="DT9" s="140">
        <v>0</v>
      </c>
      <c r="DU9" s="140">
        <v>0</v>
      </c>
      <c r="DV9" s="140">
        <v>0</v>
      </c>
      <c r="DW9" s="140">
        <v>0</v>
      </c>
      <c r="DX9" s="140">
        <v>0</v>
      </c>
      <c r="DY9" s="140">
        <v>0</v>
      </c>
      <c r="DZ9" s="140">
        <v>0</v>
      </c>
      <c r="EA9" s="140">
        <v>0</v>
      </c>
      <c r="EB9" s="140">
        <v>0</v>
      </c>
      <c r="EC9" s="140">
        <v>0</v>
      </c>
      <c r="ED9" s="140">
        <v>0</v>
      </c>
      <c r="EE9" s="140">
        <v>0</v>
      </c>
      <c r="EF9" s="140">
        <v>0</v>
      </c>
      <c r="EG9" s="140">
        <v>0</v>
      </c>
      <c r="EH9" s="140">
        <v>0</v>
      </c>
      <c r="EI9" s="140">
        <v>0</v>
      </c>
      <c r="EJ9" s="140">
        <v>0</v>
      </c>
      <c r="EK9" s="140">
        <v>0</v>
      </c>
      <c r="EL9" s="140">
        <v>0</v>
      </c>
      <c r="EM9" s="140">
        <v>0</v>
      </c>
      <c r="EN9" s="140">
        <v>0</v>
      </c>
      <c r="EO9" s="140">
        <v>0</v>
      </c>
      <c r="EP9" s="140">
        <v>0</v>
      </c>
      <c r="EQ9" s="140">
        <v>0</v>
      </c>
      <c r="ER9" s="140">
        <v>0</v>
      </c>
      <c r="ES9" s="140">
        <v>0</v>
      </c>
      <c r="ET9" s="140">
        <v>0</v>
      </c>
      <c r="EU9" s="140">
        <v>0</v>
      </c>
      <c r="EV9" s="140">
        <v>0</v>
      </c>
      <c r="EW9" s="140">
        <v>0</v>
      </c>
      <c r="EX9" s="140">
        <v>0</v>
      </c>
      <c r="EY9" s="140">
        <v>0</v>
      </c>
      <c r="EZ9" s="140">
        <v>0</v>
      </c>
      <c r="FA9" s="140">
        <v>0</v>
      </c>
      <c r="FB9" s="140">
        <v>0</v>
      </c>
      <c r="FC9" s="140">
        <v>0</v>
      </c>
      <c r="FD9" s="140">
        <v>0</v>
      </c>
      <c r="FE9" s="140">
        <v>0</v>
      </c>
      <c r="FF9" s="140">
        <v>0</v>
      </c>
      <c r="FG9" s="140">
        <v>0</v>
      </c>
      <c r="FH9" s="140">
        <v>0</v>
      </c>
      <c r="FI9" s="140">
        <v>0</v>
      </c>
      <c r="FJ9" s="140">
        <v>0</v>
      </c>
      <c r="FK9" s="140">
        <v>0</v>
      </c>
      <c r="FL9" s="140">
        <v>0</v>
      </c>
      <c r="FM9" s="140">
        <v>0</v>
      </c>
      <c r="FN9" s="140">
        <v>0</v>
      </c>
      <c r="FO9" s="140">
        <v>0</v>
      </c>
      <c r="FP9" s="140">
        <v>0</v>
      </c>
      <c r="FQ9" s="140">
        <v>0</v>
      </c>
      <c r="FR9" s="140">
        <v>0</v>
      </c>
      <c r="FS9" s="140">
        <v>0</v>
      </c>
      <c r="FT9" s="140">
        <v>0</v>
      </c>
      <c r="FU9" s="140">
        <v>0</v>
      </c>
      <c r="FV9" s="140">
        <v>0</v>
      </c>
      <c r="FW9" s="140">
        <v>0</v>
      </c>
      <c r="FX9" s="140">
        <v>0</v>
      </c>
      <c r="FY9" s="140">
        <v>0</v>
      </c>
      <c r="FZ9" s="140">
        <v>0</v>
      </c>
      <c r="GA9" s="140">
        <v>0</v>
      </c>
      <c r="GB9" s="140">
        <v>0</v>
      </c>
      <c r="GC9" s="140">
        <v>0</v>
      </c>
      <c r="GD9" s="140">
        <v>0</v>
      </c>
      <c r="GE9" s="140">
        <v>0</v>
      </c>
      <c r="GF9" s="140">
        <v>0</v>
      </c>
      <c r="GG9" s="140">
        <v>0</v>
      </c>
      <c r="GH9" s="140">
        <v>0</v>
      </c>
      <c r="GI9" s="140">
        <v>0</v>
      </c>
      <c r="GJ9" s="140">
        <v>0</v>
      </c>
      <c r="GK9" s="140">
        <v>0</v>
      </c>
      <c r="GL9" s="140">
        <v>0</v>
      </c>
      <c r="GM9" s="140">
        <v>0</v>
      </c>
      <c r="GN9" s="140">
        <v>0</v>
      </c>
      <c r="GO9" s="140">
        <v>0</v>
      </c>
      <c r="GP9" s="140">
        <v>0</v>
      </c>
      <c r="GQ9" s="140">
        <v>0</v>
      </c>
      <c r="GR9" s="140">
        <v>0</v>
      </c>
      <c r="GS9" s="140">
        <v>0</v>
      </c>
      <c r="GT9" s="140">
        <v>0</v>
      </c>
      <c r="GU9" s="140">
        <v>0</v>
      </c>
      <c r="GV9" s="140">
        <v>0</v>
      </c>
      <c r="GW9" s="140">
        <v>0</v>
      </c>
      <c r="GX9" s="140">
        <v>0</v>
      </c>
      <c r="GY9" s="140">
        <v>0</v>
      </c>
      <c r="GZ9" s="140">
        <v>0</v>
      </c>
      <c r="HA9" s="140">
        <v>0</v>
      </c>
      <c r="HB9" s="140">
        <v>0</v>
      </c>
      <c r="HC9" s="140">
        <v>0</v>
      </c>
      <c r="HD9" s="140">
        <v>0</v>
      </c>
      <c r="HE9" s="140">
        <v>0</v>
      </c>
      <c r="HF9" s="140">
        <v>0</v>
      </c>
      <c r="HG9" s="140">
        <v>0</v>
      </c>
      <c r="HH9" s="140">
        <v>0</v>
      </c>
      <c r="HI9" s="140">
        <v>0</v>
      </c>
      <c r="HJ9" s="140">
        <v>0</v>
      </c>
      <c r="HK9" s="140">
        <v>0</v>
      </c>
      <c r="HL9" s="140">
        <v>0</v>
      </c>
      <c r="HM9" s="140">
        <v>0</v>
      </c>
      <c r="HN9" s="140">
        <v>0</v>
      </c>
      <c r="HO9" s="140">
        <v>0</v>
      </c>
      <c r="HP9" s="140">
        <v>0</v>
      </c>
      <c r="HQ9" s="140">
        <v>0</v>
      </c>
      <c r="HR9" s="140">
        <v>0</v>
      </c>
      <c r="HS9" s="140">
        <v>0</v>
      </c>
      <c r="HT9" s="140">
        <v>0</v>
      </c>
      <c r="HU9" s="140">
        <v>0</v>
      </c>
      <c r="HV9" s="140">
        <v>0</v>
      </c>
      <c r="HW9" s="140">
        <v>0</v>
      </c>
      <c r="HX9" s="140">
        <v>0</v>
      </c>
      <c r="HY9" s="140">
        <v>0</v>
      </c>
      <c r="HZ9" s="140">
        <v>0</v>
      </c>
      <c r="IA9" s="140">
        <v>0</v>
      </c>
      <c r="IB9" s="140">
        <v>0</v>
      </c>
      <c r="IC9" s="140">
        <v>0</v>
      </c>
      <c r="ID9" s="140">
        <v>0</v>
      </c>
      <c r="IE9" s="140">
        <v>0</v>
      </c>
      <c r="IF9" s="140">
        <v>0</v>
      </c>
      <c r="IG9" s="140">
        <v>0</v>
      </c>
      <c r="IH9" s="140">
        <v>0</v>
      </c>
      <c r="II9" s="140">
        <v>0</v>
      </c>
      <c r="IJ9" s="140">
        <v>0</v>
      </c>
      <c r="IK9" s="140">
        <v>0</v>
      </c>
      <c r="IL9" s="140">
        <v>0</v>
      </c>
      <c r="IM9" s="140">
        <v>0</v>
      </c>
      <c r="IN9" s="140">
        <v>0</v>
      </c>
      <c r="IO9" s="140">
        <v>0</v>
      </c>
      <c r="IP9" s="140">
        <v>0</v>
      </c>
      <c r="IQ9" s="140">
        <v>0</v>
      </c>
      <c r="IR9" s="140">
        <v>0</v>
      </c>
      <c r="IS9" s="140">
        <v>0</v>
      </c>
      <c r="IT9" s="140">
        <v>0</v>
      </c>
      <c r="IU9" s="140">
        <v>0</v>
      </c>
      <c r="IV9" s="140">
        <v>0</v>
      </c>
      <c r="IW9" s="140">
        <v>0</v>
      </c>
      <c r="IX9" s="140">
        <v>0</v>
      </c>
      <c r="IY9" s="140">
        <v>0</v>
      </c>
      <c r="IZ9" s="140">
        <v>0</v>
      </c>
      <c r="JA9" s="140">
        <v>0</v>
      </c>
      <c r="JB9" s="140">
        <v>0</v>
      </c>
      <c r="JC9" s="140">
        <v>0</v>
      </c>
      <c r="JD9" s="140">
        <v>0</v>
      </c>
      <c r="JE9" s="140">
        <v>0</v>
      </c>
      <c r="JF9" s="140">
        <v>0</v>
      </c>
      <c r="JG9" s="140">
        <v>0</v>
      </c>
      <c r="JH9" s="140">
        <v>0</v>
      </c>
      <c r="JI9" s="140">
        <v>0</v>
      </c>
      <c r="JJ9" s="140">
        <v>0</v>
      </c>
      <c r="JK9" s="140">
        <v>0</v>
      </c>
      <c r="JL9" s="140">
        <v>0</v>
      </c>
      <c r="JM9" s="140">
        <v>0</v>
      </c>
      <c r="JN9" s="140">
        <v>0</v>
      </c>
      <c r="JO9" s="140">
        <v>0</v>
      </c>
      <c r="JP9" s="140">
        <v>0</v>
      </c>
      <c r="JQ9" s="140">
        <v>0</v>
      </c>
      <c r="JR9" s="140">
        <v>0</v>
      </c>
      <c r="JS9" s="140">
        <v>0</v>
      </c>
      <c r="JT9" s="140">
        <v>0</v>
      </c>
      <c r="JU9" s="140">
        <v>0</v>
      </c>
      <c r="JV9" s="140">
        <v>0</v>
      </c>
      <c r="JW9" s="140">
        <v>0</v>
      </c>
      <c r="JX9" s="140">
        <v>0</v>
      </c>
      <c r="JY9" s="140">
        <v>0</v>
      </c>
      <c r="JZ9" s="140">
        <v>0</v>
      </c>
      <c r="KA9" s="140">
        <v>0</v>
      </c>
      <c r="KB9" s="140">
        <v>0</v>
      </c>
      <c r="KC9" s="140">
        <v>0</v>
      </c>
      <c r="KD9" s="140">
        <v>0</v>
      </c>
      <c r="KE9" s="140">
        <v>0</v>
      </c>
      <c r="KF9" s="140">
        <v>0</v>
      </c>
      <c r="KG9" s="140">
        <v>0</v>
      </c>
      <c r="KH9" s="140">
        <v>0</v>
      </c>
      <c r="KI9" s="140">
        <v>0</v>
      </c>
      <c r="KJ9" s="140">
        <v>0</v>
      </c>
      <c r="KK9" s="140">
        <v>0</v>
      </c>
      <c r="KL9" s="140">
        <v>0</v>
      </c>
      <c r="KM9" s="140">
        <v>0</v>
      </c>
      <c r="KN9" s="140">
        <v>0</v>
      </c>
      <c r="KO9" s="140">
        <v>0</v>
      </c>
      <c r="KP9" s="140">
        <v>0</v>
      </c>
      <c r="KQ9" s="140">
        <v>0</v>
      </c>
      <c r="KR9" s="140">
        <v>0</v>
      </c>
      <c r="KS9" s="140">
        <v>0</v>
      </c>
      <c r="KT9" s="140">
        <v>0</v>
      </c>
      <c r="KU9" s="140">
        <v>0</v>
      </c>
      <c r="KV9" s="140">
        <v>0</v>
      </c>
      <c r="KW9" s="140">
        <v>0</v>
      </c>
      <c r="KX9" s="140">
        <v>0</v>
      </c>
      <c r="KY9" s="140">
        <v>0</v>
      </c>
      <c r="KZ9" s="140">
        <v>0</v>
      </c>
      <c r="LA9" s="140">
        <v>0</v>
      </c>
      <c r="LB9" s="140">
        <v>0</v>
      </c>
      <c r="LC9" s="140">
        <v>0</v>
      </c>
      <c r="LD9" s="140">
        <v>0</v>
      </c>
      <c r="LE9" s="140">
        <v>0</v>
      </c>
      <c r="LF9" s="140">
        <v>0</v>
      </c>
      <c r="LG9" s="140">
        <v>0</v>
      </c>
      <c r="LH9" s="140">
        <v>0</v>
      </c>
      <c r="LI9" s="140">
        <v>0</v>
      </c>
      <c r="LJ9" s="140">
        <v>0</v>
      </c>
      <c r="LK9" s="140">
        <v>0</v>
      </c>
      <c r="LL9" s="140">
        <v>0</v>
      </c>
      <c r="LM9" s="140">
        <v>0</v>
      </c>
      <c r="LN9" s="140">
        <v>0</v>
      </c>
      <c r="LO9" s="140">
        <v>0</v>
      </c>
      <c r="LP9" s="140">
        <v>0</v>
      </c>
      <c r="LQ9" s="140">
        <v>0</v>
      </c>
      <c r="LR9" s="140">
        <v>0</v>
      </c>
      <c r="LS9" s="140">
        <v>0</v>
      </c>
      <c r="LT9" s="140">
        <v>0</v>
      </c>
      <c r="LU9" s="140">
        <v>0</v>
      </c>
      <c r="LV9" s="140">
        <v>0</v>
      </c>
      <c r="LW9" s="140">
        <v>0</v>
      </c>
      <c r="LX9" s="140">
        <v>0</v>
      </c>
      <c r="LY9" s="140">
        <v>0</v>
      </c>
      <c r="LZ9" s="140">
        <v>0</v>
      </c>
      <c r="MA9" s="140">
        <v>0</v>
      </c>
      <c r="MB9" s="140">
        <v>0</v>
      </c>
      <c r="MC9" s="140">
        <v>0</v>
      </c>
      <c r="MD9" s="140">
        <v>0</v>
      </c>
      <c r="ME9" s="140">
        <v>0</v>
      </c>
      <c r="MF9" s="140">
        <v>0</v>
      </c>
      <c r="MG9" s="140">
        <v>0</v>
      </c>
      <c r="MH9" s="140">
        <v>0</v>
      </c>
      <c r="MI9" s="140">
        <v>0</v>
      </c>
      <c r="MJ9" s="140">
        <v>0</v>
      </c>
      <c r="MK9" s="140">
        <v>0</v>
      </c>
      <c r="ML9" s="140">
        <v>0</v>
      </c>
      <c r="MM9" s="140">
        <v>0</v>
      </c>
      <c r="MN9" s="140">
        <v>0</v>
      </c>
      <c r="MO9" s="140">
        <v>0</v>
      </c>
      <c r="MP9" s="140">
        <v>0</v>
      </c>
      <c r="MQ9" s="140">
        <v>0</v>
      </c>
      <c r="MR9" s="140">
        <v>0</v>
      </c>
      <c r="MS9" s="140">
        <v>0</v>
      </c>
      <c r="MT9" s="140">
        <v>0</v>
      </c>
      <c r="MU9" s="140">
        <v>0</v>
      </c>
      <c r="MV9" s="140">
        <v>0</v>
      </c>
      <c r="MW9" s="140">
        <v>0</v>
      </c>
      <c r="MX9" s="140">
        <v>0</v>
      </c>
      <c r="MY9" s="140">
        <v>0</v>
      </c>
      <c r="MZ9" s="140">
        <v>0</v>
      </c>
      <c r="NA9" s="140">
        <v>0</v>
      </c>
      <c r="NB9" s="140">
        <v>0</v>
      </c>
      <c r="NC9" s="140">
        <v>0</v>
      </c>
      <c r="ND9" s="140">
        <v>0</v>
      </c>
      <c r="NE9" s="140">
        <v>0</v>
      </c>
      <c r="NF9" s="140">
        <v>0</v>
      </c>
      <c r="NG9" s="140">
        <v>0</v>
      </c>
      <c r="NH9" s="140">
        <v>0</v>
      </c>
      <c r="NI9" s="140">
        <v>0</v>
      </c>
      <c r="NJ9" s="140">
        <v>0</v>
      </c>
      <c r="NK9" s="140">
        <v>0</v>
      </c>
      <c r="NL9" s="140">
        <v>0</v>
      </c>
      <c r="NM9" s="140">
        <v>0</v>
      </c>
      <c r="NN9" s="140">
        <v>0</v>
      </c>
      <c r="NO9" s="140">
        <v>0</v>
      </c>
      <c r="NP9" s="140">
        <v>0</v>
      </c>
      <c r="NQ9" s="140">
        <v>0</v>
      </c>
      <c r="NR9" s="140">
        <v>0</v>
      </c>
      <c r="NU9" s="150"/>
      <c r="NV9" s="186"/>
    </row>
    <row r="10" spans="1:388" x14ac:dyDescent="0.4">
      <c r="NU10" s="150"/>
      <c r="NV10" s="186"/>
    </row>
    <row r="11" spans="1:388" x14ac:dyDescent="0.4">
      <c r="A11" t="s">
        <v>551</v>
      </c>
      <c r="C11">
        <v>11.5</v>
      </c>
      <c r="D11">
        <v>11.5</v>
      </c>
      <c r="E11">
        <v>11.5</v>
      </c>
      <c r="F11">
        <v>11.5</v>
      </c>
      <c r="G11">
        <v>11.5</v>
      </c>
      <c r="H11">
        <v>11.5</v>
      </c>
      <c r="I11">
        <v>11.5</v>
      </c>
      <c r="J11">
        <v>11.5</v>
      </c>
      <c r="K11">
        <v>11.5</v>
      </c>
      <c r="L11">
        <v>11.5</v>
      </c>
      <c r="M11">
        <v>11.5</v>
      </c>
      <c r="N11">
        <v>11.5</v>
      </c>
      <c r="O11">
        <v>11.5</v>
      </c>
      <c r="P11">
        <v>11.5</v>
      </c>
      <c r="Q11">
        <v>11.5</v>
      </c>
      <c r="R11">
        <v>11.5</v>
      </c>
      <c r="S11">
        <v>11.5</v>
      </c>
      <c r="T11">
        <v>11.5</v>
      </c>
      <c r="U11">
        <v>11.5</v>
      </c>
      <c r="V11">
        <v>11.5</v>
      </c>
      <c r="W11">
        <v>11.5</v>
      </c>
      <c r="X11">
        <v>11.5</v>
      </c>
      <c r="Y11">
        <v>11.5</v>
      </c>
      <c r="Z11">
        <v>11.5</v>
      </c>
      <c r="AA11">
        <v>11.5</v>
      </c>
      <c r="AB11">
        <v>11.5</v>
      </c>
      <c r="AC11">
        <v>11.5</v>
      </c>
      <c r="AD11">
        <v>11.5</v>
      </c>
      <c r="AE11">
        <v>11.5</v>
      </c>
      <c r="AF11">
        <v>11.5</v>
      </c>
      <c r="AG11">
        <v>11.5</v>
      </c>
      <c r="AH11">
        <v>11.5</v>
      </c>
      <c r="AI11">
        <v>11.5</v>
      </c>
      <c r="AJ11">
        <v>11.5</v>
      </c>
      <c r="AK11">
        <v>11.5</v>
      </c>
      <c r="AL11">
        <v>11.5</v>
      </c>
      <c r="AM11">
        <v>11.5</v>
      </c>
      <c r="AN11">
        <v>11.5</v>
      </c>
      <c r="AO11">
        <v>11.5</v>
      </c>
      <c r="AP11">
        <v>11.5</v>
      </c>
      <c r="AQ11">
        <v>11.5</v>
      </c>
      <c r="AR11">
        <v>11.5</v>
      </c>
      <c r="AS11">
        <v>11.5</v>
      </c>
      <c r="AT11">
        <v>11.5</v>
      </c>
      <c r="AU11">
        <v>11.5</v>
      </c>
      <c r="AV11">
        <v>11.5</v>
      </c>
      <c r="AW11">
        <v>11.5</v>
      </c>
      <c r="AX11">
        <v>11.5</v>
      </c>
      <c r="AY11">
        <v>11.5</v>
      </c>
      <c r="AZ11">
        <v>11.5</v>
      </c>
      <c r="BA11">
        <v>11.5</v>
      </c>
      <c r="BB11">
        <v>11.5</v>
      </c>
      <c r="BC11">
        <v>11.5</v>
      </c>
      <c r="BD11">
        <v>11.5</v>
      </c>
      <c r="BE11">
        <v>11.5</v>
      </c>
      <c r="BF11">
        <v>11.5</v>
      </c>
      <c r="BG11">
        <v>11.5</v>
      </c>
      <c r="BH11">
        <v>11.5</v>
      </c>
      <c r="BI11">
        <v>11.5</v>
      </c>
      <c r="BJ11">
        <v>11.5</v>
      </c>
      <c r="BK11">
        <v>11.5</v>
      </c>
      <c r="BL11">
        <v>11.5</v>
      </c>
      <c r="BM11">
        <v>11.5</v>
      </c>
      <c r="BN11">
        <v>11.5</v>
      </c>
      <c r="BO11">
        <v>11.5</v>
      </c>
      <c r="BP11">
        <v>11.5</v>
      </c>
      <c r="BQ11">
        <v>11.5</v>
      </c>
      <c r="BR11">
        <v>11.5</v>
      </c>
      <c r="BS11">
        <v>11.5</v>
      </c>
      <c r="BT11">
        <v>11.5</v>
      </c>
      <c r="BU11">
        <v>11.5</v>
      </c>
      <c r="BV11">
        <v>11.5</v>
      </c>
      <c r="BW11">
        <v>11.5</v>
      </c>
      <c r="BX11">
        <v>11.5</v>
      </c>
      <c r="BY11">
        <v>11.5</v>
      </c>
      <c r="BZ11">
        <v>11.5</v>
      </c>
      <c r="CA11">
        <v>11.5</v>
      </c>
      <c r="CB11">
        <v>11.5</v>
      </c>
      <c r="CC11">
        <v>11.5</v>
      </c>
      <c r="CD11">
        <v>11.5</v>
      </c>
      <c r="CE11">
        <v>11.5</v>
      </c>
      <c r="CF11">
        <v>11.5</v>
      </c>
      <c r="CG11">
        <v>11.5</v>
      </c>
      <c r="CH11">
        <v>11.5</v>
      </c>
      <c r="CI11">
        <v>11.5</v>
      </c>
      <c r="CJ11">
        <v>11.5</v>
      </c>
      <c r="CK11">
        <v>11.5</v>
      </c>
      <c r="CL11">
        <v>11.5</v>
      </c>
      <c r="CM11">
        <v>11.5</v>
      </c>
      <c r="CN11">
        <v>11.5</v>
      </c>
      <c r="CO11">
        <v>11.5</v>
      </c>
      <c r="CP11">
        <v>11.5</v>
      </c>
      <c r="CQ11">
        <v>11.5</v>
      </c>
      <c r="CR11">
        <v>11.5</v>
      </c>
      <c r="CS11">
        <v>11.5</v>
      </c>
      <c r="CT11">
        <v>11.5</v>
      </c>
      <c r="CU11">
        <v>11.5</v>
      </c>
      <c r="CV11">
        <v>11.5</v>
      </c>
      <c r="CW11">
        <v>11.5</v>
      </c>
      <c r="CX11">
        <v>11.5</v>
      </c>
      <c r="CY11">
        <v>11.5</v>
      </c>
      <c r="CZ11">
        <v>11.5</v>
      </c>
      <c r="DA11">
        <v>11.5</v>
      </c>
      <c r="DB11">
        <v>11.5</v>
      </c>
      <c r="DC11">
        <v>11.5</v>
      </c>
      <c r="DD11">
        <v>11.5</v>
      </c>
      <c r="DE11">
        <v>11.5</v>
      </c>
      <c r="DF11">
        <v>11.5</v>
      </c>
      <c r="DG11">
        <v>11.5</v>
      </c>
      <c r="DH11">
        <v>11.5</v>
      </c>
      <c r="DI11">
        <v>11.5</v>
      </c>
      <c r="DJ11">
        <v>11.5</v>
      </c>
      <c r="DK11">
        <v>11.5</v>
      </c>
      <c r="DL11">
        <v>11.5</v>
      </c>
      <c r="DM11">
        <v>11.5</v>
      </c>
      <c r="DN11">
        <v>11.5</v>
      </c>
      <c r="DO11">
        <v>11.5</v>
      </c>
      <c r="DP11">
        <v>11.5</v>
      </c>
      <c r="DQ11">
        <v>11.5</v>
      </c>
      <c r="DR11">
        <v>11.5</v>
      </c>
      <c r="DS11">
        <v>11.385</v>
      </c>
      <c r="DT11">
        <v>11.385</v>
      </c>
      <c r="DU11">
        <v>11.385</v>
      </c>
      <c r="DV11">
        <v>11.385</v>
      </c>
      <c r="DW11">
        <v>11.385</v>
      </c>
      <c r="DX11">
        <v>11.385</v>
      </c>
      <c r="DY11">
        <v>11.385</v>
      </c>
      <c r="DZ11">
        <v>11.385</v>
      </c>
      <c r="EA11">
        <v>11.385</v>
      </c>
      <c r="EB11">
        <v>11.385</v>
      </c>
      <c r="EC11">
        <v>11.385</v>
      </c>
      <c r="ED11">
        <v>11.385</v>
      </c>
      <c r="EE11">
        <v>11.27</v>
      </c>
      <c r="EF11">
        <v>11.27</v>
      </c>
      <c r="EG11">
        <v>11.27</v>
      </c>
      <c r="EH11">
        <v>11.27</v>
      </c>
      <c r="EI11">
        <v>11.27</v>
      </c>
      <c r="EJ11">
        <v>11.27</v>
      </c>
      <c r="EK11">
        <v>11.27</v>
      </c>
      <c r="EL11">
        <v>11.27</v>
      </c>
      <c r="EM11">
        <v>11.27</v>
      </c>
      <c r="EN11">
        <v>11.27</v>
      </c>
      <c r="EO11">
        <v>11.27</v>
      </c>
      <c r="EP11">
        <v>11.27</v>
      </c>
      <c r="EQ11">
        <v>11.154999999999999</v>
      </c>
      <c r="ER11">
        <v>11.154999999999999</v>
      </c>
      <c r="ES11">
        <v>11.154999999999999</v>
      </c>
      <c r="ET11">
        <v>11.154999999999999</v>
      </c>
      <c r="EU11">
        <v>11.154999999999999</v>
      </c>
      <c r="EV11">
        <v>11.154999999999999</v>
      </c>
      <c r="EW11">
        <v>11.154999999999999</v>
      </c>
      <c r="EX11">
        <v>11.154999999999999</v>
      </c>
      <c r="EY11">
        <v>11.154999999999999</v>
      </c>
      <c r="EZ11">
        <v>11.154999999999999</v>
      </c>
      <c r="FA11">
        <v>11.154999999999999</v>
      </c>
      <c r="FB11">
        <v>11.154999999999999</v>
      </c>
      <c r="FC11">
        <v>10.809999999999999</v>
      </c>
      <c r="FD11">
        <v>10.809999999999999</v>
      </c>
      <c r="FE11">
        <v>10.809999999999999</v>
      </c>
      <c r="FF11">
        <v>10.809999999999999</v>
      </c>
      <c r="FG11">
        <v>10.809999999999999</v>
      </c>
      <c r="FH11">
        <v>10.809999999999999</v>
      </c>
      <c r="FI11">
        <v>10.809999999999999</v>
      </c>
      <c r="FJ11">
        <v>10.809999999999999</v>
      </c>
      <c r="FK11">
        <v>10.809999999999999</v>
      </c>
      <c r="FL11">
        <v>10.809999999999999</v>
      </c>
      <c r="FM11">
        <v>10.809999999999999</v>
      </c>
      <c r="FN11">
        <v>10.809999999999999</v>
      </c>
      <c r="FO11">
        <v>10.465</v>
      </c>
      <c r="FP11">
        <v>10.465</v>
      </c>
      <c r="FQ11">
        <v>10.465</v>
      </c>
      <c r="FR11">
        <v>10.465</v>
      </c>
      <c r="FS11">
        <v>10.465</v>
      </c>
      <c r="FT11">
        <v>10.465</v>
      </c>
      <c r="FU11">
        <v>10.465</v>
      </c>
      <c r="FV11">
        <v>10.465</v>
      </c>
      <c r="FW11">
        <v>10.465</v>
      </c>
      <c r="FX11">
        <v>10.465</v>
      </c>
      <c r="FY11">
        <v>10.465</v>
      </c>
      <c r="FZ11">
        <v>10.465</v>
      </c>
      <c r="GA11">
        <v>9.89</v>
      </c>
      <c r="GB11">
        <v>9.89</v>
      </c>
      <c r="GC11">
        <v>9.89</v>
      </c>
      <c r="GD11">
        <v>9.89</v>
      </c>
      <c r="GE11">
        <v>9.89</v>
      </c>
      <c r="GF11">
        <v>9.89</v>
      </c>
      <c r="GG11">
        <v>9.89</v>
      </c>
      <c r="GH11">
        <v>9.89</v>
      </c>
      <c r="GI11">
        <v>9.89</v>
      </c>
      <c r="GJ11">
        <v>9.89</v>
      </c>
      <c r="GK11">
        <v>9.89</v>
      </c>
      <c r="GL11">
        <v>9.89</v>
      </c>
      <c r="GM11">
        <v>8.625</v>
      </c>
      <c r="GN11">
        <v>8.625</v>
      </c>
      <c r="GO11">
        <v>8.625</v>
      </c>
      <c r="GP11">
        <v>8.625</v>
      </c>
      <c r="GQ11">
        <v>8.625</v>
      </c>
      <c r="GR11">
        <v>8.625</v>
      </c>
      <c r="GS11">
        <v>8.625</v>
      </c>
      <c r="GT11">
        <v>8.625</v>
      </c>
      <c r="GU11">
        <v>8.625</v>
      </c>
      <c r="GV11">
        <v>8.625</v>
      </c>
      <c r="GW11">
        <v>8.625</v>
      </c>
      <c r="GX11">
        <v>8.625</v>
      </c>
      <c r="GY11">
        <v>6.3250000000000002</v>
      </c>
      <c r="GZ11">
        <v>6.3250000000000002</v>
      </c>
      <c r="HA11">
        <v>6.3250000000000002</v>
      </c>
      <c r="HB11">
        <v>6.3250000000000002</v>
      </c>
      <c r="HC11">
        <v>6.3250000000000002</v>
      </c>
      <c r="HD11">
        <v>6.3250000000000002</v>
      </c>
      <c r="HE11">
        <v>6.3250000000000002</v>
      </c>
      <c r="HF11">
        <v>6.3250000000000002</v>
      </c>
      <c r="HG11">
        <v>6.3250000000000002</v>
      </c>
      <c r="HH11">
        <v>6.3250000000000002</v>
      </c>
      <c r="HI11">
        <v>6.3250000000000002</v>
      </c>
      <c r="HJ11">
        <v>6.3250000000000002</v>
      </c>
      <c r="HK11">
        <v>3.4500000000000006</v>
      </c>
      <c r="HL11">
        <v>3.4500000000000006</v>
      </c>
      <c r="HM11">
        <v>3.4500000000000006</v>
      </c>
      <c r="HN11">
        <v>3.4500000000000006</v>
      </c>
      <c r="HO11">
        <v>3.4500000000000006</v>
      </c>
      <c r="HP11">
        <v>3.4500000000000006</v>
      </c>
      <c r="HQ11">
        <v>3.4500000000000006</v>
      </c>
      <c r="HR11">
        <v>3.4500000000000006</v>
      </c>
      <c r="HS11">
        <v>3.4500000000000006</v>
      </c>
      <c r="HT11">
        <v>3.4500000000000006</v>
      </c>
      <c r="HU11">
        <v>3.4500000000000006</v>
      </c>
      <c r="HV11">
        <v>3.4500000000000006</v>
      </c>
      <c r="HW11">
        <v>0</v>
      </c>
      <c r="HX11">
        <v>0</v>
      </c>
      <c r="HY11">
        <v>0</v>
      </c>
      <c r="HZ11">
        <v>0</v>
      </c>
      <c r="IA11">
        <v>0</v>
      </c>
      <c r="IB11">
        <v>0</v>
      </c>
      <c r="IC11">
        <v>0</v>
      </c>
      <c r="ID11">
        <v>0</v>
      </c>
      <c r="IE11">
        <v>0</v>
      </c>
      <c r="IF11">
        <v>0</v>
      </c>
      <c r="IG11">
        <v>0</v>
      </c>
      <c r="IH11">
        <v>0</v>
      </c>
      <c r="II11">
        <v>0</v>
      </c>
      <c r="IJ11">
        <v>0</v>
      </c>
      <c r="IK11">
        <v>0</v>
      </c>
      <c r="IL11">
        <v>0</v>
      </c>
      <c r="IM11">
        <v>0</v>
      </c>
      <c r="IN11">
        <v>0</v>
      </c>
      <c r="IO11">
        <v>0</v>
      </c>
      <c r="IP11">
        <v>0</v>
      </c>
      <c r="IQ11">
        <v>0</v>
      </c>
      <c r="IR11">
        <v>0</v>
      </c>
      <c r="IS11">
        <v>0</v>
      </c>
      <c r="IT11">
        <v>0</v>
      </c>
      <c r="IU11">
        <v>0</v>
      </c>
      <c r="IV11">
        <v>0</v>
      </c>
      <c r="IW11">
        <v>0</v>
      </c>
      <c r="IX11">
        <v>0</v>
      </c>
      <c r="IY11">
        <v>0</v>
      </c>
      <c r="IZ11">
        <v>0</v>
      </c>
      <c r="JA11">
        <v>0</v>
      </c>
      <c r="JB11">
        <v>0</v>
      </c>
      <c r="JC11">
        <v>0</v>
      </c>
      <c r="JD11">
        <v>0</v>
      </c>
      <c r="JE11">
        <v>0</v>
      </c>
      <c r="JF11">
        <v>0</v>
      </c>
      <c r="JG11">
        <v>0</v>
      </c>
      <c r="JH11">
        <v>0</v>
      </c>
      <c r="JI11">
        <v>0</v>
      </c>
      <c r="JJ11">
        <v>0</v>
      </c>
      <c r="JK11">
        <v>0</v>
      </c>
      <c r="JL11">
        <v>0</v>
      </c>
      <c r="JM11">
        <v>0</v>
      </c>
      <c r="JN11">
        <v>0</v>
      </c>
      <c r="JO11">
        <v>0</v>
      </c>
      <c r="JP11">
        <v>0</v>
      </c>
      <c r="JQ11">
        <v>0</v>
      </c>
      <c r="JR11">
        <v>0</v>
      </c>
      <c r="JS11">
        <v>0</v>
      </c>
      <c r="JT11">
        <v>0</v>
      </c>
      <c r="JU11">
        <v>0</v>
      </c>
      <c r="JV11">
        <v>0</v>
      </c>
      <c r="JW11">
        <v>0</v>
      </c>
      <c r="JX11">
        <v>0</v>
      </c>
      <c r="JY11">
        <v>0</v>
      </c>
      <c r="JZ11">
        <v>0</v>
      </c>
      <c r="KA11">
        <v>0</v>
      </c>
      <c r="KB11">
        <v>0</v>
      </c>
      <c r="KC11">
        <v>0</v>
      </c>
      <c r="KD11">
        <v>0</v>
      </c>
      <c r="KE11">
        <v>0</v>
      </c>
      <c r="KF11">
        <v>0</v>
      </c>
      <c r="KG11">
        <v>0</v>
      </c>
      <c r="KH11">
        <v>0</v>
      </c>
      <c r="KI11">
        <v>0</v>
      </c>
      <c r="KJ11">
        <v>0</v>
      </c>
      <c r="KK11">
        <v>0</v>
      </c>
      <c r="KL11">
        <v>0</v>
      </c>
      <c r="KM11">
        <v>0</v>
      </c>
      <c r="KN11">
        <v>0</v>
      </c>
      <c r="KO11">
        <v>0</v>
      </c>
      <c r="KP11">
        <v>0</v>
      </c>
      <c r="KQ11">
        <v>0</v>
      </c>
      <c r="KR11">
        <v>0</v>
      </c>
      <c r="KS11">
        <v>0</v>
      </c>
      <c r="KT11">
        <v>0</v>
      </c>
      <c r="KU11">
        <v>0</v>
      </c>
      <c r="KV11">
        <v>0</v>
      </c>
      <c r="KW11">
        <v>0</v>
      </c>
      <c r="KX11">
        <v>0</v>
      </c>
      <c r="KY11">
        <v>0</v>
      </c>
      <c r="KZ11">
        <v>0</v>
      </c>
      <c r="LA11">
        <v>0</v>
      </c>
      <c r="LB11">
        <v>0</v>
      </c>
      <c r="LC11">
        <v>0</v>
      </c>
      <c r="LD11">
        <v>0</v>
      </c>
      <c r="LE11">
        <v>0</v>
      </c>
      <c r="LF11">
        <v>0</v>
      </c>
      <c r="LG11">
        <v>0</v>
      </c>
      <c r="LH11">
        <v>0</v>
      </c>
      <c r="LI11">
        <v>0</v>
      </c>
      <c r="LJ11">
        <v>0</v>
      </c>
      <c r="LK11">
        <v>0</v>
      </c>
      <c r="LL11">
        <v>0</v>
      </c>
      <c r="LM11">
        <v>0</v>
      </c>
      <c r="LN11">
        <v>0</v>
      </c>
      <c r="LO11">
        <v>0</v>
      </c>
      <c r="LP11">
        <v>0</v>
      </c>
      <c r="LQ11">
        <v>0</v>
      </c>
      <c r="LR11">
        <v>0</v>
      </c>
      <c r="LS11">
        <v>0</v>
      </c>
      <c r="LT11">
        <v>0</v>
      </c>
      <c r="LU11">
        <v>0</v>
      </c>
      <c r="LV11">
        <v>0</v>
      </c>
      <c r="LW11">
        <v>0</v>
      </c>
      <c r="LX11">
        <v>0</v>
      </c>
      <c r="LY11">
        <v>0</v>
      </c>
      <c r="LZ11">
        <v>0</v>
      </c>
      <c r="MA11">
        <v>0</v>
      </c>
      <c r="MB11">
        <v>0</v>
      </c>
      <c r="MC11">
        <v>0</v>
      </c>
      <c r="MD11">
        <v>0</v>
      </c>
      <c r="ME11">
        <v>0</v>
      </c>
      <c r="MF11">
        <v>0</v>
      </c>
      <c r="MG11">
        <v>0</v>
      </c>
      <c r="MH11">
        <v>0</v>
      </c>
      <c r="MI11">
        <v>0</v>
      </c>
      <c r="MJ11">
        <v>0</v>
      </c>
      <c r="MK11">
        <v>0</v>
      </c>
      <c r="ML11">
        <v>0</v>
      </c>
      <c r="MM11">
        <v>0</v>
      </c>
      <c r="MN11">
        <v>0</v>
      </c>
      <c r="MO11">
        <v>0</v>
      </c>
      <c r="MP11">
        <v>0</v>
      </c>
      <c r="MQ11">
        <v>0</v>
      </c>
      <c r="MR11">
        <v>0</v>
      </c>
      <c r="MS11">
        <v>0</v>
      </c>
      <c r="MT11">
        <v>0</v>
      </c>
      <c r="MU11">
        <v>0</v>
      </c>
      <c r="MV11">
        <v>0</v>
      </c>
      <c r="MW11">
        <v>0</v>
      </c>
      <c r="MX11">
        <v>0</v>
      </c>
      <c r="MY11">
        <v>0</v>
      </c>
      <c r="MZ11">
        <v>0</v>
      </c>
      <c r="NA11">
        <v>0</v>
      </c>
      <c r="NB11">
        <v>0</v>
      </c>
      <c r="NC11">
        <v>0</v>
      </c>
      <c r="ND11">
        <v>0</v>
      </c>
      <c r="NE11">
        <v>0</v>
      </c>
      <c r="NF11">
        <v>0</v>
      </c>
      <c r="NG11">
        <v>0</v>
      </c>
      <c r="NH11">
        <v>0</v>
      </c>
      <c r="NI11">
        <v>0</v>
      </c>
      <c r="NJ11">
        <v>0</v>
      </c>
      <c r="NK11">
        <v>0</v>
      </c>
      <c r="NL11">
        <v>0</v>
      </c>
      <c r="NM11">
        <v>0</v>
      </c>
      <c r="NN11">
        <v>0</v>
      </c>
      <c r="NO11">
        <v>0</v>
      </c>
      <c r="NP11">
        <v>0</v>
      </c>
      <c r="NQ11">
        <v>0</v>
      </c>
      <c r="NR11">
        <v>0</v>
      </c>
      <c r="NU11" s="150"/>
      <c r="NV11" s="186"/>
    </row>
    <row r="13" spans="1:388" x14ac:dyDescent="0.4">
      <c r="A13" t="s">
        <v>552</v>
      </c>
      <c r="B13" s="187"/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10.5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10.5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10.4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10.4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10.4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10.4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10.3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10.3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10.199999999999999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10.199999999999999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10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9.8000000000000007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9.6999999999999993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v>0</v>
      </c>
      <c r="FG13">
        <v>0</v>
      </c>
      <c r="FH13">
        <v>0</v>
      </c>
      <c r="FI13">
        <v>0</v>
      </c>
      <c r="FJ13">
        <v>9.3000000000000007</v>
      </c>
      <c r="FK13">
        <v>0</v>
      </c>
      <c r="FL13">
        <v>0</v>
      </c>
      <c r="FM13">
        <v>0</v>
      </c>
      <c r="FN13">
        <v>0</v>
      </c>
      <c r="FO13">
        <v>0</v>
      </c>
      <c r="FP13">
        <v>0</v>
      </c>
      <c r="FQ13">
        <v>0</v>
      </c>
      <c r="FR13">
        <v>0</v>
      </c>
      <c r="FS13">
        <v>0</v>
      </c>
      <c r="FT13">
        <v>0</v>
      </c>
      <c r="FU13">
        <v>0</v>
      </c>
      <c r="FV13">
        <v>9</v>
      </c>
      <c r="FW13">
        <v>0</v>
      </c>
      <c r="FX13">
        <v>0</v>
      </c>
      <c r="FY13">
        <v>0</v>
      </c>
      <c r="FZ13">
        <v>0</v>
      </c>
      <c r="GA13">
        <v>0</v>
      </c>
      <c r="GB13">
        <v>0</v>
      </c>
      <c r="GC13">
        <v>0</v>
      </c>
      <c r="GD13">
        <v>0</v>
      </c>
      <c r="GE13">
        <v>0</v>
      </c>
      <c r="GF13">
        <v>0</v>
      </c>
      <c r="GG13">
        <v>0</v>
      </c>
      <c r="GH13">
        <v>8.5</v>
      </c>
      <c r="GI13">
        <v>0</v>
      </c>
      <c r="GJ13">
        <v>0</v>
      </c>
      <c r="GK13">
        <v>0</v>
      </c>
      <c r="GL13">
        <v>0</v>
      </c>
      <c r="GM13">
        <v>0</v>
      </c>
      <c r="GN13">
        <v>0</v>
      </c>
      <c r="GO13">
        <v>0</v>
      </c>
      <c r="GP13">
        <v>0</v>
      </c>
      <c r="GQ13">
        <v>0</v>
      </c>
      <c r="GR13">
        <v>0</v>
      </c>
      <c r="GS13">
        <v>0</v>
      </c>
      <c r="GT13">
        <v>7.3</v>
      </c>
      <c r="GU13">
        <v>0</v>
      </c>
      <c r="GV13">
        <v>0</v>
      </c>
      <c r="GW13">
        <v>0</v>
      </c>
      <c r="GX13">
        <v>0</v>
      </c>
      <c r="GY13">
        <v>0</v>
      </c>
      <c r="GZ13">
        <v>0</v>
      </c>
      <c r="HA13">
        <v>0</v>
      </c>
      <c r="HB13">
        <v>0</v>
      </c>
      <c r="HC13">
        <v>0</v>
      </c>
      <c r="HD13">
        <v>0</v>
      </c>
      <c r="HE13">
        <v>0</v>
      </c>
      <c r="HF13">
        <v>5.4</v>
      </c>
      <c r="HG13">
        <v>0</v>
      </c>
      <c r="HH13">
        <v>0</v>
      </c>
      <c r="HI13">
        <v>0</v>
      </c>
      <c r="HJ13">
        <v>0</v>
      </c>
      <c r="HK13">
        <v>0</v>
      </c>
      <c r="HL13">
        <v>0</v>
      </c>
      <c r="HM13">
        <v>0</v>
      </c>
      <c r="HN13">
        <v>0</v>
      </c>
      <c r="HO13">
        <v>0</v>
      </c>
      <c r="HP13">
        <v>0</v>
      </c>
      <c r="HQ13">
        <v>0</v>
      </c>
      <c r="HR13">
        <v>2.9</v>
      </c>
      <c r="HS13">
        <v>0</v>
      </c>
      <c r="HT13">
        <v>0</v>
      </c>
      <c r="HU13">
        <v>0</v>
      </c>
      <c r="HV13">
        <v>0</v>
      </c>
      <c r="HW13">
        <v>0</v>
      </c>
      <c r="HX13">
        <v>0</v>
      </c>
      <c r="HY13">
        <v>0</v>
      </c>
      <c r="HZ13">
        <v>0</v>
      </c>
      <c r="IA13">
        <v>0</v>
      </c>
      <c r="IB13">
        <v>0</v>
      </c>
      <c r="IC13">
        <v>0</v>
      </c>
      <c r="ID13">
        <v>0</v>
      </c>
      <c r="IE13">
        <v>0</v>
      </c>
      <c r="IF13">
        <v>0</v>
      </c>
      <c r="IG13">
        <v>0</v>
      </c>
      <c r="IH13">
        <v>0</v>
      </c>
      <c r="II13">
        <v>0</v>
      </c>
      <c r="IJ13">
        <v>0</v>
      </c>
      <c r="IK13">
        <v>0</v>
      </c>
      <c r="IL13">
        <v>0</v>
      </c>
      <c r="IM13">
        <v>0</v>
      </c>
      <c r="IN13">
        <v>0</v>
      </c>
      <c r="IO13">
        <v>0</v>
      </c>
      <c r="IP13">
        <v>0</v>
      </c>
      <c r="IQ13">
        <v>0</v>
      </c>
      <c r="IR13">
        <v>0</v>
      </c>
      <c r="IS13">
        <v>0</v>
      </c>
      <c r="IT13">
        <v>0</v>
      </c>
      <c r="IU13">
        <v>0</v>
      </c>
      <c r="IV13">
        <v>0</v>
      </c>
      <c r="IW13">
        <v>0</v>
      </c>
      <c r="IX13">
        <v>0</v>
      </c>
      <c r="IY13">
        <v>0</v>
      </c>
      <c r="IZ13">
        <v>0</v>
      </c>
      <c r="JA13">
        <v>0</v>
      </c>
      <c r="JB13">
        <v>0</v>
      </c>
      <c r="JC13">
        <v>0</v>
      </c>
      <c r="JD13">
        <v>0</v>
      </c>
      <c r="JE13">
        <v>0</v>
      </c>
      <c r="JF13">
        <v>0</v>
      </c>
      <c r="JG13">
        <v>0</v>
      </c>
      <c r="JH13">
        <v>0</v>
      </c>
      <c r="JI13">
        <v>0</v>
      </c>
      <c r="JJ13">
        <v>0</v>
      </c>
      <c r="JK13">
        <v>0</v>
      </c>
      <c r="JL13">
        <v>0</v>
      </c>
      <c r="JM13">
        <v>0</v>
      </c>
      <c r="JN13">
        <v>0</v>
      </c>
      <c r="JO13">
        <v>0</v>
      </c>
      <c r="JP13">
        <v>0</v>
      </c>
      <c r="JQ13">
        <v>0</v>
      </c>
      <c r="JR13">
        <v>0</v>
      </c>
      <c r="JS13">
        <v>0</v>
      </c>
      <c r="JT13">
        <v>0</v>
      </c>
      <c r="JU13">
        <v>0</v>
      </c>
      <c r="JV13">
        <v>0</v>
      </c>
      <c r="JW13">
        <v>0</v>
      </c>
      <c r="JX13">
        <v>0</v>
      </c>
      <c r="JY13">
        <v>0</v>
      </c>
      <c r="JZ13">
        <v>0</v>
      </c>
      <c r="KA13">
        <v>0</v>
      </c>
      <c r="KB13">
        <v>0</v>
      </c>
      <c r="KC13">
        <v>0</v>
      </c>
      <c r="KD13">
        <v>0</v>
      </c>
      <c r="KE13">
        <v>0</v>
      </c>
      <c r="KF13">
        <v>0</v>
      </c>
      <c r="KG13">
        <v>0</v>
      </c>
      <c r="KH13">
        <v>0</v>
      </c>
      <c r="KI13">
        <v>0</v>
      </c>
      <c r="KJ13">
        <v>0</v>
      </c>
      <c r="KK13">
        <v>0</v>
      </c>
      <c r="KL13">
        <v>0</v>
      </c>
      <c r="KM13">
        <v>0</v>
      </c>
      <c r="KN13">
        <v>0</v>
      </c>
      <c r="KO13">
        <v>0</v>
      </c>
      <c r="KP13">
        <v>0</v>
      </c>
      <c r="KQ13">
        <v>0</v>
      </c>
      <c r="KR13">
        <v>0</v>
      </c>
      <c r="KS13">
        <v>0</v>
      </c>
      <c r="KT13">
        <v>0</v>
      </c>
      <c r="KU13">
        <v>0</v>
      </c>
      <c r="KV13">
        <v>0</v>
      </c>
      <c r="KW13">
        <v>0</v>
      </c>
      <c r="KX13">
        <v>0</v>
      </c>
      <c r="KY13">
        <v>0</v>
      </c>
      <c r="KZ13">
        <v>0</v>
      </c>
      <c r="LA13">
        <v>0</v>
      </c>
      <c r="LB13">
        <v>0</v>
      </c>
      <c r="LC13">
        <v>0</v>
      </c>
      <c r="LD13">
        <v>0</v>
      </c>
      <c r="LE13">
        <v>0</v>
      </c>
      <c r="LF13">
        <v>0</v>
      </c>
      <c r="LG13">
        <v>0</v>
      </c>
      <c r="LH13">
        <v>0</v>
      </c>
      <c r="LI13">
        <v>0</v>
      </c>
      <c r="LJ13">
        <v>0</v>
      </c>
      <c r="LK13">
        <v>0</v>
      </c>
      <c r="LL13">
        <v>0</v>
      </c>
      <c r="LM13">
        <v>0</v>
      </c>
      <c r="LN13">
        <v>0</v>
      </c>
      <c r="LO13">
        <v>0</v>
      </c>
      <c r="LP13">
        <v>0</v>
      </c>
      <c r="LQ13">
        <v>0</v>
      </c>
      <c r="LR13">
        <v>0</v>
      </c>
      <c r="LS13">
        <v>0</v>
      </c>
      <c r="LT13">
        <v>0</v>
      </c>
      <c r="LU13">
        <v>0</v>
      </c>
      <c r="LV13">
        <v>0</v>
      </c>
      <c r="LW13">
        <v>0</v>
      </c>
      <c r="LX13">
        <v>0</v>
      </c>
      <c r="LY13">
        <v>0</v>
      </c>
      <c r="LZ13">
        <v>0</v>
      </c>
      <c r="MA13">
        <v>0</v>
      </c>
      <c r="MB13">
        <v>0</v>
      </c>
      <c r="MC13">
        <v>0</v>
      </c>
      <c r="MD13">
        <v>0</v>
      </c>
      <c r="ME13">
        <v>0</v>
      </c>
      <c r="MF13">
        <v>0</v>
      </c>
      <c r="MG13">
        <v>0</v>
      </c>
      <c r="MH13">
        <v>0</v>
      </c>
      <c r="MI13">
        <v>0</v>
      </c>
      <c r="MJ13">
        <v>0</v>
      </c>
      <c r="MK13">
        <v>0</v>
      </c>
      <c r="ML13">
        <v>0</v>
      </c>
      <c r="MM13">
        <v>0</v>
      </c>
      <c r="MN13">
        <v>0</v>
      </c>
      <c r="MO13">
        <v>0</v>
      </c>
      <c r="MP13">
        <v>0</v>
      </c>
      <c r="MQ13">
        <v>0</v>
      </c>
      <c r="MR13">
        <v>0</v>
      </c>
      <c r="MS13">
        <v>0</v>
      </c>
      <c r="MT13">
        <v>0</v>
      </c>
      <c r="MU13">
        <v>0</v>
      </c>
      <c r="MV13">
        <v>0</v>
      </c>
      <c r="MW13">
        <v>0</v>
      </c>
      <c r="MX13">
        <v>0</v>
      </c>
      <c r="MY13">
        <v>0</v>
      </c>
      <c r="MZ13">
        <v>0</v>
      </c>
      <c r="NA13">
        <v>0</v>
      </c>
      <c r="NB13">
        <v>0</v>
      </c>
      <c r="NC13">
        <v>0</v>
      </c>
      <c r="ND13">
        <v>0</v>
      </c>
      <c r="NE13">
        <v>0</v>
      </c>
      <c r="NF13">
        <v>0</v>
      </c>
      <c r="NG13">
        <v>0</v>
      </c>
      <c r="NH13">
        <v>0</v>
      </c>
      <c r="NI13">
        <v>0</v>
      </c>
      <c r="NJ13">
        <v>0</v>
      </c>
      <c r="NK13">
        <v>0</v>
      </c>
      <c r="NL13">
        <v>0</v>
      </c>
      <c r="NM13">
        <v>0</v>
      </c>
      <c r="NN13">
        <v>0</v>
      </c>
      <c r="NO13">
        <v>0</v>
      </c>
      <c r="NP13">
        <v>0</v>
      </c>
      <c r="NQ13">
        <v>0</v>
      </c>
      <c r="NR13">
        <v>0</v>
      </c>
      <c r="NW13" s="188"/>
      <c r="NX13" s="188"/>
    </row>
    <row r="14" spans="1:388" x14ac:dyDescent="0.4">
      <c r="A14" t="s">
        <v>553</v>
      </c>
      <c r="B14" s="187"/>
      <c r="C14" s="51">
        <v>10.5</v>
      </c>
      <c r="D14" s="51">
        <v>10.5</v>
      </c>
      <c r="E14" s="51">
        <v>10.5</v>
      </c>
      <c r="F14" s="51">
        <v>10.5</v>
      </c>
      <c r="G14" s="51">
        <v>10.5</v>
      </c>
      <c r="H14" s="51">
        <v>10.5</v>
      </c>
      <c r="I14" s="51">
        <v>10.5</v>
      </c>
      <c r="J14" s="51">
        <v>10.5</v>
      </c>
      <c r="K14" s="51">
        <v>10.5</v>
      </c>
      <c r="L14" s="51">
        <v>10.5</v>
      </c>
      <c r="M14" s="51">
        <v>10.5</v>
      </c>
      <c r="N14" s="51">
        <v>10.5</v>
      </c>
      <c r="O14" s="51">
        <v>10.5</v>
      </c>
      <c r="P14" s="51">
        <v>10.5</v>
      </c>
      <c r="Q14" s="51">
        <v>10.5</v>
      </c>
      <c r="R14" s="51">
        <v>10.5</v>
      </c>
      <c r="S14" s="51">
        <v>10.5</v>
      </c>
      <c r="T14" s="51">
        <v>10.5</v>
      </c>
      <c r="U14" s="51">
        <v>10.5</v>
      </c>
      <c r="V14" s="51">
        <v>10.5</v>
      </c>
      <c r="W14" s="51">
        <v>10.5</v>
      </c>
      <c r="X14" s="51">
        <v>10.5</v>
      </c>
      <c r="Y14" s="51">
        <v>10.5</v>
      </c>
      <c r="Z14" s="51">
        <v>10.5</v>
      </c>
      <c r="AA14" s="51">
        <v>10.4</v>
      </c>
      <c r="AB14" s="51">
        <v>10.4</v>
      </c>
      <c r="AC14" s="51">
        <v>10.4</v>
      </c>
      <c r="AD14" s="51">
        <v>10.4</v>
      </c>
      <c r="AE14" s="51">
        <v>10.4</v>
      </c>
      <c r="AF14" s="51">
        <v>10.4</v>
      </c>
      <c r="AG14" s="51">
        <v>10.4</v>
      </c>
      <c r="AH14" s="51">
        <v>10.4</v>
      </c>
      <c r="AI14" s="51">
        <v>10.4</v>
      </c>
      <c r="AJ14" s="51">
        <v>10.4</v>
      </c>
      <c r="AK14" s="51">
        <v>10.4</v>
      </c>
      <c r="AL14" s="51">
        <v>10.4</v>
      </c>
      <c r="AM14" s="51">
        <v>10.4</v>
      </c>
      <c r="AN14" s="51">
        <v>10.4</v>
      </c>
      <c r="AO14" s="51">
        <v>10.4</v>
      </c>
      <c r="AP14" s="51">
        <v>10.4</v>
      </c>
      <c r="AQ14" s="51">
        <v>10.4</v>
      </c>
      <c r="AR14" s="51">
        <v>10.4</v>
      </c>
      <c r="AS14" s="51">
        <v>10.4</v>
      </c>
      <c r="AT14" s="51">
        <v>10.4</v>
      </c>
      <c r="AU14" s="51">
        <v>10.4</v>
      </c>
      <c r="AV14" s="51">
        <v>10.4</v>
      </c>
      <c r="AW14" s="51">
        <v>10.4</v>
      </c>
      <c r="AX14" s="51">
        <v>10.4</v>
      </c>
      <c r="AY14" s="51">
        <v>10.4</v>
      </c>
      <c r="AZ14" s="51">
        <v>10.4</v>
      </c>
      <c r="BA14" s="51">
        <v>10.4</v>
      </c>
      <c r="BB14" s="51">
        <v>10.4</v>
      </c>
      <c r="BC14" s="51">
        <v>10.4</v>
      </c>
      <c r="BD14" s="51">
        <v>10.4</v>
      </c>
      <c r="BE14" s="51">
        <v>10.4</v>
      </c>
      <c r="BF14" s="51">
        <v>10.4</v>
      </c>
      <c r="BG14" s="51">
        <v>10.4</v>
      </c>
      <c r="BH14" s="51">
        <v>10.4</v>
      </c>
      <c r="BI14" s="51">
        <v>10.4</v>
      </c>
      <c r="BJ14" s="51">
        <v>10.4</v>
      </c>
      <c r="BK14" s="51">
        <v>10.4</v>
      </c>
      <c r="BL14" s="51">
        <v>10.4</v>
      </c>
      <c r="BM14" s="51">
        <v>10.4</v>
      </c>
      <c r="BN14" s="51">
        <v>10.4</v>
      </c>
      <c r="BO14" s="51">
        <v>10.4</v>
      </c>
      <c r="BP14" s="51">
        <v>10.4</v>
      </c>
      <c r="BQ14" s="51">
        <v>10.4</v>
      </c>
      <c r="BR14" s="51">
        <v>10.4</v>
      </c>
      <c r="BS14" s="51">
        <v>10.4</v>
      </c>
      <c r="BT14" s="51">
        <v>10.4</v>
      </c>
      <c r="BU14" s="51">
        <v>10.4</v>
      </c>
      <c r="BV14" s="51">
        <v>10.4</v>
      </c>
      <c r="BW14" s="51">
        <v>10.3</v>
      </c>
      <c r="BX14" s="51">
        <v>10.3</v>
      </c>
      <c r="BY14" s="51">
        <v>10.3</v>
      </c>
      <c r="BZ14" s="51">
        <v>10.3</v>
      </c>
      <c r="CA14" s="51">
        <v>10.3</v>
      </c>
      <c r="CB14" s="51">
        <v>10.3</v>
      </c>
      <c r="CC14" s="51">
        <v>10.3</v>
      </c>
      <c r="CD14" s="51">
        <v>10.3</v>
      </c>
      <c r="CE14" s="51">
        <v>10.3</v>
      </c>
      <c r="CF14" s="51">
        <v>10.3</v>
      </c>
      <c r="CG14" s="51">
        <v>10.3</v>
      </c>
      <c r="CH14" s="51">
        <v>10.3</v>
      </c>
      <c r="CI14" s="51">
        <v>10.3</v>
      </c>
      <c r="CJ14" s="51">
        <v>10.3</v>
      </c>
      <c r="CK14" s="51">
        <v>10.3</v>
      </c>
      <c r="CL14" s="51">
        <v>10.3</v>
      </c>
      <c r="CM14" s="51">
        <v>10.3</v>
      </c>
      <c r="CN14" s="51">
        <v>10.3</v>
      </c>
      <c r="CO14" s="51">
        <v>10.3</v>
      </c>
      <c r="CP14" s="51">
        <v>10.3</v>
      </c>
      <c r="CQ14" s="51">
        <v>10.3</v>
      </c>
      <c r="CR14" s="51">
        <v>10.3</v>
      </c>
      <c r="CS14" s="51">
        <v>10.3</v>
      </c>
      <c r="CT14" s="51">
        <v>10.3</v>
      </c>
      <c r="CU14" s="51">
        <v>10.199999999999999</v>
      </c>
      <c r="CV14" s="51">
        <v>10.199999999999999</v>
      </c>
      <c r="CW14" s="51">
        <v>10.199999999999999</v>
      </c>
      <c r="CX14" s="51">
        <v>10.199999999999999</v>
      </c>
      <c r="CY14" s="51">
        <v>10.199999999999999</v>
      </c>
      <c r="CZ14" s="51">
        <v>10.199999999999999</v>
      </c>
      <c r="DA14" s="51">
        <v>10.199999999999999</v>
      </c>
      <c r="DB14" s="51">
        <v>10.199999999999999</v>
      </c>
      <c r="DC14" s="51">
        <v>10.199999999999999</v>
      </c>
      <c r="DD14" s="51">
        <v>10.199999999999999</v>
      </c>
      <c r="DE14" s="51">
        <v>10.199999999999999</v>
      </c>
      <c r="DF14" s="51">
        <v>10.199999999999999</v>
      </c>
      <c r="DG14" s="51">
        <v>10.199999999999999</v>
      </c>
      <c r="DH14" s="51">
        <v>10.199999999999999</v>
      </c>
      <c r="DI14" s="51">
        <v>10.199999999999999</v>
      </c>
      <c r="DJ14" s="51">
        <v>10.199999999999999</v>
      </c>
      <c r="DK14" s="51">
        <v>10.199999999999999</v>
      </c>
      <c r="DL14" s="51">
        <v>10.199999999999999</v>
      </c>
      <c r="DM14" s="51">
        <v>10.199999999999999</v>
      </c>
      <c r="DN14" s="51">
        <v>10.199999999999999</v>
      </c>
      <c r="DO14" s="51">
        <v>10.199999999999999</v>
      </c>
      <c r="DP14" s="51">
        <v>10.199999999999999</v>
      </c>
      <c r="DQ14" s="51">
        <v>10.199999999999999</v>
      </c>
      <c r="DR14" s="51">
        <v>10.199999999999999</v>
      </c>
      <c r="DS14" s="51">
        <v>10</v>
      </c>
      <c r="DT14" s="51">
        <v>10</v>
      </c>
      <c r="DU14" s="51">
        <v>10</v>
      </c>
      <c r="DV14" s="51">
        <v>10</v>
      </c>
      <c r="DW14" s="51">
        <v>10</v>
      </c>
      <c r="DX14" s="51">
        <v>10</v>
      </c>
      <c r="DY14" s="51">
        <v>10</v>
      </c>
      <c r="DZ14" s="51">
        <v>10</v>
      </c>
      <c r="EA14" s="51">
        <v>10</v>
      </c>
      <c r="EB14" s="51">
        <v>10</v>
      </c>
      <c r="EC14" s="51">
        <v>10</v>
      </c>
      <c r="ED14" s="51">
        <v>10</v>
      </c>
      <c r="EE14" s="51">
        <v>9.8000000000000007</v>
      </c>
      <c r="EF14" s="51">
        <v>9.8000000000000007</v>
      </c>
      <c r="EG14" s="51">
        <v>9.8000000000000007</v>
      </c>
      <c r="EH14" s="51">
        <v>9.8000000000000007</v>
      </c>
      <c r="EI14" s="51">
        <v>9.8000000000000007</v>
      </c>
      <c r="EJ14" s="51">
        <v>9.8000000000000007</v>
      </c>
      <c r="EK14" s="51">
        <v>9.8000000000000007</v>
      </c>
      <c r="EL14" s="51">
        <v>9.8000000000000007</v>
      </c>
      <c r="EM14" s="51">
        <v>9.8000000000000007</v>
      </c>
      <c r="EN14" s="51">
        <v>9.8000000000000007</v>
      </c>
      <c r="EO14" s="51">
        <v>9.8000000000000007</v>
      </c>
      <c r="EP14" s="51">
        <v>9.8000000000000007</v>
      </c>
      <c r="EQ14" s="51">
        <v>9.6999999999999993</v>
      </c>
      <c r="ER14" s="51">
        <v>9.6999999999999993</v>
      </c>
      <c r="ES14" s="51">
        <v>9.6999999999999993</v>
      </c>
      <c r="ET14" s="51">
        <v>9.6999999999999993</v>
      </c>
      <c r="EU14" s="51">
        <v>9.6999999999999993</v>
      </c>
      <c r="EV14" s="51">
        <v>9.6999999999999993</v>
      </c>
      <c r="EW14" s="51">
        <v>9.6999999999999993</v>
      </c>
      <c r="EX14" s="51">
        <v>9.6999999999999993</v>
      </c>
      <c r="EY14" s="51">
        <v>9.6999999999999993</v>
      </c>
      <c r="EZ14" s="51">
        <v>9.6999999999999993</v>
      </c>
      <c r="FA14" s="51">
        <v>9.6999999999999993</v>
      </c>
      <c r="FB14" s="51">
        <v>9.6999999999999993</v>
      </c>
      <c r="FC14" s="51">
        <v>9.3000000000000007</v>
      </c>
      <c r="FD14" s="51">
        <v>9.3000000000000007</v>
      </c>
      <c r="FE14" s="51">
        <v>9.3000000000000007</v>
      </c>
      <c r="FF14" s="51">
        <v>9.3000000000000007</v>
      </c>
      <c r="FG14" s="51">
        <v>9.3000000000000007</v>
      </c>
      <c r="FH14" s="51">
        <v>9.3000000000000007</v>
      </c>
      <c r="FI14" s="51">
        <v>9.3000000000000007</v>
      </c>
      <c r="FJ14" s="51">
        <v>9.3000000000000007</v>
      </c>
      <c r="FK14" s="51">
        <v>9.3000000000000007</v>
      </c>
      <c r="FL14" s="51">
        <v>9.3000000000000007</v>
      </c>
      <c r="FM14" s="51">
        <v>9.3000000000000007</v>
      </c>
      <c r="FN14" s="51">
        <v>9.3000000000000007</v>
      </c>
      <c r="FO14" s="51">
        <v>9</v>
      </c>
      <c r="FP14" s="51">
        <v>9</v>
      </c>
      <c r="FQ14" s="51">
        <v>9</v>
      </c>
      <c r="FR14" s="51">
        <v>9</v>
      </c>
      <c r="FS14" s="51">
        <v>9</v>
      </c>
      <c r="FT14" s="51">
        <v>9</v>
      </c>
      <c r="FU14" s="51">
        <v>9</v>
      </c>
      <c r="FV14" s="51">
        <v>9</v>
      </c>
      <c r="FW14" s="51">
        <v>9</v>
      </c>
      <c r="FX14" s="51">
        <v>9</v>
      </c>
      <c r="FY14" s="51">
        <v>9</v>
      </c>
      <c r="FZ14" s="51">
        <v>9</v>
      </c>
      <c r="GA14" s="51">
        <v>8.5</v>
      </c>
      <c r="GB14" s="51">
        <v>8.5</v>
      </c>
      <c r="GC14" s="51">
        <v>8.5</v>
      </c>
      <c r="GD14" s="51">
        <v>8.5</v>
      </c>
      <c r="GE14" s="51">
        <v>8.5</v>
      </c>
      <c r="GF14" s="51">
        <v>8.5</v>
      </c>
      <c r="GG14" s="51">
        <v>8.5</v>
      </c>
      <c r="GH14" s="51">
        <v>8.5</v>
      </c>
      <c r="GI14" s="51">
        <v>8.5</v>
      </c>
      <c r="GJ14" s="51">
        <v>8.5</v>
      </c>
      <c r="GK14" s="51">
        <v>8.5</v>
      </c>
      <c r="GL14" s="51">
        <v>8.5</v>
      </c>
      <c r="GM14" s="51">
        <v>7.3</v>
      </c>
      <c r="GN14" s="51">
        <v>7.3</v>
      </c>
      <c r="GO14" s="51">
        <v>7.3</v>
      </c>
      <c r="GP14" s="51">
        <v>7.3</v>
      </c>
      <c r="GQ14" s="51">
        <v>7.3</v>
      </c>
      <c r="GR14" s="51">
        <v>7.3</v>
      </c>
      <c r="GS14" s="51">
        <v>7.3</v>
      </c>
      <c r="GT14" s="51">
        <v>7.3</v>
      </c>
      <c r="GU14" s="51">
        <v>7.3</v>
      </c>
      <c r="GV14" s="51">
        <v>7.3</v>
      </c>
      <c r="GW14" s="51">
        <v>7.3</v>
      </c>
      <c r="GX14" s="51">
        <v>7.3</v>
      </c>
      <c r="GY14" s="51">
        <v>5.4</v>
      </c>
      <c r="GZ14" s="51">
        <v>5.4</v>
      </c>
      <c r="HA14" s="51">
        <v>5.4</v>
      </c>
      <c r="HB14" s="51">
        <v>5.4</v>
      </c>
      <c r="HC14" s="51">
        <v>5.4</v>
      </c>
      <c r="HD14" s="51">
        <v>5.4</v>
      </c>
      <c r="HE14" s="51">
        <v>5.4</v>
      </c>
      <c r="HF14" s="51">
        <v>5.4</v>
      </c>
      <c r="HG14" s="51">
        <v>5.4</v>
      </c>
      <c r="HH14" s="51">
        <v>5.4</v>
      </c>
      <c r="HI14" s="51">
        <v>5.4</v>
      </c>
      <c r="HJ14" s="51">
        <v>5.4</v>
      </c>
      <c r="HK14" s="51">
        <v>2.9</v>
      </c>
      <c r="HL14" s="51">
        <v>2.9</v>
      </c>
      <c r="HM14" s="51">
        <v>2.9</v>
      </c>
      <c r="HN14" s="51">
        <v>2.9</v>
      </c>
      <c r="HO14" s="51">
        <v>2.9</v>
      </c>
      <c r="HP14" s="51">
        <v>2.9</v>
      </c>
      <c r="HQ14" s="51">
        <v>2.9</v>
      </c>
      <c r="HR14" s="51">
        <v>2.9</v>
      </c>
      <c r="HS14" s="51">
        <v>2.9</v>
      </c>
      <c r="HT14" s="51">
        <v>2.9</v>
      </c>
      <c r="HU14" s="51">
        <v>2.9</v>
      </c>
      <c r="HV14" s="51">
        <v>2.9</v>
      </c>
      <c r="HW14" s="51">
        <v>0</v>
      </c>
      <c r="HX14" s="51">
        <v>0</v>
      </c>
      <c r="HY14" s="51">
        <v>0</v>
      </c>
      <c r="HZ14" s="51">
        <v>0</v>
      </c>
      <c r="IA14" s="51">
        <v>0</v>
      </c>
      <c r="IB14" s="51">
        <v>0</v>
      </c>
      <c r="IC14" s="51">
        <v>0</v>
      </c>
      <c r="ID14" s="51">
        <v>0</v>
      </c>
      <c r="IE14" s="51">
        <v>0</v>
      </c>
      <c r="IF14" s="51">
        <v>0</v>
      </c>
      <c r="IG14" s="51">
        <v>0</v>
      </c>
      <c r="IH14" s="51">
        <v>0</v>
      </c>
      <c r="II14" s="51">
        <v>0</v>
      </c>
      <c r="IJ14" s="51">
        <v>0</v>
      </c>
      <c r="IK14" s="51">
        <v>0</v>
      </c>
      <c r="IL14" s="51">
        <v>0</v>
      </c>
      <c r="IM14" s="51">
        <v>0</v>
      </c>
      <c r="IN14" s="51">
        <v>0</v>
      </c>
      <c r="IO14" s="51">
        <v>0</v>
      </c>
      <c r="IP14" s="51">
        <v>0</v>
      </c>
      <c r="IQ14" s="51">
        <v>0</v>
      </c>
      <c r="IR14" s="51">
        <v>0</v>
      </c>
      <c r="IS14" s="51">
        <v>0</v>
      </c>
      <c r="IT14" s="51">
        <v>0</v>
      </c>
      <c r="IU14" s="51">
        <v>0</v>
      </c>
      <c r="IV14" s="51">
        <v>0</v>
      </c>
      <c r="IW14" s="51">
        <v>0</v>
      </c>
      <c r="IX14" s="51">
        <v>0</v>
      </c>
      <c r="IY14" s="51">
        <v>0</v>
      </c>
      <c r="IZ14" s="51">
        <v>0</v>
      </c>
      <c r="JA14" s="51">
        <v>0</v>
      </c>
      <c r="JB14" s="51">
        <v>0</v>
      </c>
      <c r="JC14" s="51">
        <v>0</v>
      </c>
      <c r="JD14" s="51">
        <v>0</v>
      </c>
      <c r="JE14" s="51">
        <v>0</v>
      </c>
      <c r="JF14" s="51">
        <v>0</v>
      </c>
      <c r="JG14" s="51">
        <v>0</v>
      </c>
      <c r="JH14" s="51">
        <v>0</v>
      </c>
      <c r="JI14" s="51">
        <v>0</v>
      </c>
      <c r="JJ14" s="51">
        <v>0</v>
      </c>
      <c r="JK14" s="51">
        <v>0</v>
      </c>
      <c r="JL14" s="51">
        <v>0</v>
      </c>
      <c r="JM14" s="51">
        <v>0</v>
      </c>
      <c r="JN14" s="51">
        <v>0</v>
      </c>
      <c r="JO14" s="51">
        <v>0</v>
      </c>
      <c r="JP14" s="51">
        <v>0</v>
      </c>
      <c r="JQ14" s="51">
        <v>0</v>
      </c>
      <c r="JR14" s="51">
        <v>0</v>
      </c>
      <c r="JS14" s="51">
        <v>0</v>
      </c>
      <c r="JT14" s="51">
        <v>0</v>
      </c>
      <c r="JU14" s="51">
        <v>0</v>
      </c>
      <c r="JV14" s="51">
        <v>0</v>
      </c>
      <c r="JW14" s="51">
        <v>0</v>
      </c>
      <c r="JX14" s="51">
        <v>0</v>
      </c>
      <c r="JY14" s="51">
        <v>0</v>
      </c>
      <c r="JZ14" s="51">
        <v>0</v>
      </c>
      <c r="KA14" s="51">
        <v>0</v>
      </c>
      <c r="KB14" s="51">
        <v>0</v>
      </c>
      <c r="KC14" s="51">
        <v>0</v>
      </c>
      <c r="KD14" s="51">
        <v>0</v>
      </c>
      <c r="KE14" s="51">
        <v>0</v>
      </c>
      <c r="KF14" s="51">
        <v>0</v>
      </c>
      <c r="KG14" s="51">
        <v>0</v>
      </c>
      <c r="KH14" s="51">
        <v>0</v>
      </c>
      <c r="KI14" s="51">
        <v>0</v>
      </c>
      <c r="KJ14" s="51">
        <v>0</v>
      </c>
      <c r="KK14" s="51">
        <v>0</v>
      </c>
      <c r="KL14" s="51">
        <v>0</v>
      </c>
      <c r="KM14" s="51">
        <v>0</v>
      </c>
      <c r="KN14" s="51">
        <v>0</v>
      </c>
      <c r="KO14" s="51">
        <v>0</v>
      </c>
      <c r="KP14" s="51">
        <v>0</v>
      </c>
      <c r="KQ14" s="51">
        <v>0</v>
      </c>
      <c r="KR14" s="51">
        <v>0</v>
      </c>
      <c r="KS14" s="51">
        <v>0</v>
      </c>
      <c r="KT14" s="51">
        <v>0</v>
      </c>
      <c r="KU14" s="51">
        <v>0</v>
      </c>
      <c r="KV14" s="51">
        <v>0</v>
      </c>
      <c r="KW14" s="51">
        <v>0</v>
      </c>
      <c r="KX14" s="51">
        <v>0</v>
      </c>
      <c r="KY14" s="51">
        <v>0</v>
      </c>
      <c r="KZ14" s="51">
        <v>0</v>
      </c>
      <c r="LA14" s="51">
        <v>0</v>
      </c>
      <c r="LB14" s="51">
        <v>0</v>
      </c>
      <c r="LC14" s="51">
        <v>0</v>
      </c>
      <c r="LD14" s="51">
        <v>0</v>
      </c>
      <c r="LE14" s="51">
        <v>0</v>
      </c>
      <c r="LF14" s="51">
        <v>0</v>
      </c>
      <c r="LG14" s="51">
        <v>0</v>
      </c>
      <c r="LH14" s="51">
        <v>0</v>
      </c>
      <c r="LI14" s="51">
        <v>0</v>
      </c>
      <c r="LJ14" s="51">
        <v>0</v>
      </c>
      <c r="LK14" s="51">
        <v>0</v>
      </c>
      <c r="LL14" s="51">
        <v>0</v>
      </c>
      <c r="LM14" s="51">
        <v>0</v>
      </c>
      <c r="LN14" s="51">
        <v>0</v>
      </c>
      <c r="LO14" s="51">
        <v>0</v>
      </c>
      <c r="LP14" s="51">
        <v>0</v>
      </c>
      <c r="LQ14" s="51">
        <v>0</v>
      </c>
      <c r="LR14" s="51">
        <v>0</v>
      </c>
      <c r="LS14" s="51">
        <v>0</v>
      </c>
      <c r="LT14" s="51">
        <v>0</v>
      </c>
      <c r="LU14" s="51">
        <v>0</v>
      </c>
      <c r="LV14" s="51">
        <v>0</v>
      </c>
      <c r="LW14" s="51">
        <v>0</v>
      </c>
      <c r="LX14" s="51">
        <v>0</v>
      </c>
      <c r="LY14" s="51">
        <v>0</v>
      </c>
      <c r="LZ14" s="51">
        <v>0</v>
      </c>
      <c r="MA14" s="51">
        <v>0</v>
      </c>
      <c r="MB14" s="51">
        <v>0</v>
      </c>
      <c r="MC14" s="51">
        <v>0</v>
      </c>
      <c r="MD14" s="51">
        <v>0</v>
      </c>
      <c r="ME14" s="51">
        <v>0</v>
      </c>
      <c r="MF14" s="51">
        <v>0</v>
      </c>
      <c r="MG14" s="51">
        <v>0</v>
      </c>
      <c r="MH14" s="51">
        <v>0</v>
      </c>
      <c r="MI14" s="51">
        <v>0</v>
      </c>
      <c r="MJ14" s="51">
        <v>0</v>
      </c>
      <c r="MK14" s="51">
        <v>0</v>
      </c>
      <c r="ML14" s="51">
        <v>0</v>
      </c>
      <c r="MM14" s="51">
        <v>0</v>
      </c>
      <c r="MN14" s="51">
        <v>0</v>
      </c>
      <c r="MO14" s="51">
        <v>0</v>
      </c>
      <c r="MP14" s="51">
        <v>0</v>
      </c>
      <c r="MQ14" s="51">
        <v>0</v>
      </c>
      <c r="MR14" s="51">
        <v>0</v>
      </c>
      <c r="MS14" s="51">
        <v>0</v>
      </c>
      <c r="MT14" s="51">
        <v>0</v>
      </c>
      <c r="MU14" s="51">
        <v>0</v>
      </c>
      <c r="MV14" s="51">
        <v>0</v>
      </c>
      <c r="MW14" s="51">
        <v>0</v>
      </c>
      <c r="MX14" s="51">
        <v>0</v>
      </c>
      <c r="MY14" s="51">
        <v>0</v>
      </c>
      <c r="MZ14" s="51">
        <v>0</v>
      </c>
      <c r="NA14" s="51">
        <v>0</v>
      </c>
      <c r="NB14" s="51">
        <v>0</v>
      </c>
      <c r="NC14" s="51">
        <v>0</v>
      </c>
      <c r="ND14" s="51">
        <v>0</v>
      </c>
      <c r="NE14" s="51">
        <v>0</v>
      </c>
      <c r="NF14" s="51">
        <v>0</v>
      </c>
      <c r="NG14" s="51">
        <v>0</v>
      </c>
      <c r="NH14" s="51">
        <v>0</v>
      </c>
      <c r="NI14" s="51">
        <v>0</v>
      </c>
      <c r="NJ14" s="51">
        <v>0</v>
      </c>
      <c r="NK14" s="51">
        <v>0</v>
      </c>
      <c r="NL14" s="51">
        <v>0</v>
      </c>
      <c r="NM14" s="51">
        <v>0</v>
      </c>
      <c r="NN14" s="51">
        <v>0</v>
      </c>
      <c r="NO14" s="51">
        <v>0</v>
      </c>
      <c r="NP14" s="51">
        <v>0</v>
      </c>
      <c r="NQ14" s="51">
        <v>0</v>
      </c>
      <c r="NR14" s="51">
        <v>0</v>
      </c>
      <c r="NW14" s="188"/>
      <c r="NX14" s="188"/>
    </row>
    <row r="15" spans="1:388" x14ac:dyDescent="0.4">
      <c r="NW15" s="188"/>
      <c r="NX15" s="188"/>
    </row>
    <row r="16" spans="1:388" x14ac:dyDescent="0.4">
      <c r="A16" t="s">
        <v>554</v>
      </c>
      <c r="C16" s="26">
        <v>0.35</v>
      </c>
      <c r="D16" s="26">
        <v>0.35</v>
      </c>
      <c r="E16" s="26">
        <v>0.35</v>
      </c>
      <c r="F16" s="26">
        <v>0.35</v>
      </c>
      <c r="G16" s="26">
        <v>0.35</v>
      </c>
      <c r="H16" s="26">
        <v>0.35</v>
      </c>
      <c r="I16" s="26">
        <v>0.35</v>
      </c>
      <c r="J16" s="26">
        <v>0.35</v>
      </c>
      <c r="K16" s="26">
        <v>0.35</v>
      </c>
      <c r="L16" s="26">
        <v>0.35</v>
      </c>
      <c r="M16" s="26">
        <v>0.35</v>
      </c>
      <c r="N16" s="26">
        <v>0.35</v>
      </c>
      <c r="O16" s="26">
        <v>0.35</v>
      </c>
      <c r="P16" s="26">
        <v>0.35</v>
      </c>
      <c r="Q16" s="26">
        <v>0.35</v>
      </c>
      <c r="R16" s="26">
        <v>0.35</v>
      </c>
      <c r="S16" s="26">
        <v>0.35</v>
      </c>
      <c r="T16" s="26">
        <v>0.35</v>
      </c>
      <c r="U16" s="26">
        <v>0.35</v>
      </c>
      <c r="V16" s="26">
        <v>0.35</v>
      </c>
      <c r="W16" s="26">
        <v>0.35</v>
      </c>
      <c r="X16" s="26">
        <v>0.35</v>
      </c>
      <c r="Y16" s="26">
        <v>0.35</v>
      </c>
      <c r="Z16" s="26">
        <v>0.35</v>
      </c>
      <c r="AA16" s="26">
        <v>0.35</v>
      </c>
      <c r="AB16" s="26">
        <v>0.35</v>
      </c>
      <c r="AC16" s="26">
        <v>0.35</v>
      </c>
      <c r="AD16" s="26">
        <v>0.35</v>
      </c>
      <c r="AE16" s="26">
        <v>0.35</v>
      </c>
      <c r="AF16" s="26">
        <v>0.35</v>
      </c>
      <c r="AG16" s="26">
        <v>0.35</v>
      </c>
      <c r="AH16" s="26">
        <v>0.35</v>
      </c>
      <c r="AI16" s="26">
        <v>0.35</v>
      </c>
      <c r="AJ16" s="26">
        <v>0.35</v>
      </c>
      <c r="AK16" s="26">
        <v>0.35</v>
      </c>
      <c r="AL16" s="26">
        <v>0.35</v>
      </c>
      <c r="AM16" s="26">
        <v>0.35</v>
      </c>
      <c r="AN16" s="26">
        <v>0.35</v>
      </c>
      <c r="AO16" s="26">
        <v>0.35</v>
      </c>
      <c r="AP16" s="26">
        <v>0.35</v>
      </c>
      <c r="AQ16" s="26">
        <v>0.35</v>
      </c>
      <c r="AR16" s="26">
        <v>0.35</v>
      </c>
      <c r="AS16" s="26">
        <v>0.35</v>
      </c>
      <c r="AT16" s="26">
        <v>0.35</v>
      </c>
      <c r="AU16" s="26">
        <v>0.35</v>
      </c>
      <c r="AV16" s="26">
        <v>0.35</v>
      </c>
      <c r="AW16" s="26">
        <v>0.35</v>
      </c>
      <c r="AX16" s="26">
        <v>0.35</v>
      </c>
      <c r="AY16" s="26">
        <v>0.35</v>
      </c>
      <c r="AZ16" s="26">
        <v>0.35</v>
      </c>
      <c r="BA16" s="26">
        <v>0.35</v>
      </c>
      <c r="BB16" s="26">
        <v>0.35</v>
      </c>
      <c r="BC16" s="26">
        <v>0.35</v>
      </c>
      <c r="BD16" s="26">
        <v>0.35</v>
      </c>
      <c r="BE16" s="26">
        <v>0.35</v>
      </c>
      <c r="BF16" s="26">
        <v>0.35</v>
      </c>
      <c r="BG16" s="26">
        <v>0.35</v>
      </c>
      <c r="BH16" s="26">
        <v>0.35</v>
      </c>
      <c r="BI16" s="26">
        <v>0.35</v>
      </c>
      <c r="BJ16" s="26">
        <v>0.35</v>
      </c>
      <c r="BK16" s="26">
        <v>0.35</v>
      </c>
      <c r="BL16" s="26">
        <v>0.35</v>
      </c>
      <c r="BM16" s="26">
        <v>0.35</v>
      </c>
      <c r="BN16" s="26">
        <v>0.35</v>
      </c>
      <c r="BO16" s="26">
        <v>0.35</v>
      </c>
      <c r="BP16" s="26">
        <v>0.35</v>
      </c>
      <c r="BQ16" s="26">
        <v>0.35</v>
      </c>
      <c r="BR16" s="26">
        <v>0.35</v>
      </c>
      <c r="BS16" s="26">
        <v>0.35</v>
      </c>
      <c r="BT16" s="26">
        <v>0.35</v>
      </c>
      <c r="BU16" s="26">
        <v>0.35</v>
      </c>
      <c r="BV16" s="26">
        <v>0.35</v>
      </c>
      <c r="BW16" s="26">
        <v>0.35</v>
      </c>
      <c r="BX16" s="26">
        <v>0.35</v>
      </c>
      <c r="BY16" s="26">
        <v>0.35</v>
      </c>
      <c r="BZ16" s="26">
        <v>0.35</v>
      </c>
      <c r="CA16" s="26">
        <v>0.35</v>
      </c>
      <c r="CB16" s="26">
        <v>0.35</v>
      </c>
      <c r="CC16" s="26">
        <v>0.35</v>
      </c>
      <c r="CD16" s="26">
        <v>0.35</v>
      </c>
      <c r="CE16" s="26">
        <v>0.35</v>
      </c>
      <c r="CF16" s="26">
        <v>0.35</v>
      </c>
      <c r="CG16" s="26">
        <v>0.35</v>
      </c>
      <c r="CH16" s="26">
        <v>0.35</v>
      </c>
      <c r="CI16" s="26">
        <v>0.35</v>
      </c>
      <c r="CJ16" s="26">
        <v>0.35</v>
      </c>
      <c r="CK16" s="26">
        <v>0.35</v>
      </c>
      <c r="CL16" s="26">
        <v>0.35</v>
      </c>
      <c r="CM16" s="26">
        <v>0.35</v>
      </c>
      <c r="CN16" s="26">
        <v>0.35</v>
      </c>
      <c r="CO16" s="26">
        <v>0.35</v>
      </c>
      <c r="CP16" s="26">
        <v>0.35</v>
      </c>
      <c r="CQ16" s="26">
        <v>0.35</v>
      </c>
      <c r="CR16" s="26">
        <v>0.35</v>
      </c>
      <c r="CS16" s="26">
        <v>0.35</v>
      </c>
      <c r="CT16" s="26">
        <v>0.35</v>
      </c>
      <c r="CU16" s="26">
        <v>0.35</v>
      </c>
      <c r="CV16" s="26">
        <v>0.35</v>
      </c>
      <c r="CW16" s="26">
        <v>0.35</v>
      </c>
      <c r="CX16" s="26">
        <v>0.35</v>
      </c>
      <c r="CY16" s="26">
        <v>0.35</v>
      </c>
      <c r="CZ16" s="26">
        <v>0.35</v>
      </c>
      <c r="DA16" s="26">
        <v>0.35</v>
      </c>
      <c r="DB16" s="26">
        <v>0.35</v>
      </c>
      <c r="DC16" s="26">
        <v>0.35</v>
      </c>
      <c r="DD16" s="26">
        <v>0.35</v>
      </c>
      <c r="DE16" s="26">
        <v>0.35</v>
      </c>
      <c r="DF16" s="26">
        <v>0.35</v>
      </c>
      <c r="DG16" s="26">
        <v>0.35</v>
      </c>
      <c r="DH16" s="26">
        <v>0.35</v>
      </c>
      <c r="DI16" s="26">
        <v>0.35</v>
      </c>
      <c r="DJ16" s="26">
        <v>0.35</v>
      </c>
      <c r="DK16" s="26">
        <v>0.35</v>
      </c>
      <c r="DL16" s="26">
        <v>0.35</v>
      </c>
      <c r="DM16" s="26">
        <v>0.35</v>
      </c>
      <c r="DN16" s="26">
        <v>0.35</v>
      </c>
      <c r="DO16" s="26">
        <v>0.35</v>
      </c>
      <c r="DP16" s="26">
        <v>0.35</v>
      </c>
      <c r="DQ16" s="26">
        <v>0.35</v>
      </c>
      <c r="DR16" s="26">
        <v>0.35</v>
      </c>
      <c r="DS16" s="26">
        <v>0.35</v>
      </c>
      <c r="DT16" s="26">
        <v>0.35</v>
      </c>
      <c r="DU16" s="26">
        <v>0.35</v>
      </c>
      <c r="DV16" s="26">
        <v>0.35</v>
      </c>
      <c r="DW16" s="26">
        <v>0.35</v>
      </c>
      <c r="DX16" s="26">
        <v>0.35</v>
      </c>
      <c r="DY16" s="26">
        <v>0.35</v>
      </c>
      <c r="DZ16" s="26">
        <v>0.35</v>
      </c>
      <c r="EA16" s="26">
        <v>0.35</v>
      </c>
      <c r="EB16" s="26">
        <v>0.35</v>
      </c>
      <c r="EC16" s="26">
        <v>0.35</v>
      </c>
      <c r="ED16" s="26">
        <v>0.35</v>
      </c>
      <c r="EE16" s="26">
        <v>0.35</v>
      </c>
      <c r="EF16" s="26">
        <v>0.35</v>
      </c>
      <c r="EG16" s="26">
        <v>0.35</v>
      </c>
      <c r="EH16" s="26">
        <v>0.35</v>
      </c>
      <c r="EI16" s="26">
        <v>0.35</v>
      </c>
      <c r="EJ16" s="26">
        <v>0.35</v>
      </c>
      <c r="EK16" s="26">
        <v>0.35</v>
      </c>
      <c r="EL16" s="26">
        <v>0.35</v>
      </c>
      <c r="EM16" s="26">
        <v>0.35</v>
      </c>
      <c r="EN16" s="26">
        <v>0.35</v>
      </c>
      <c r="EO16" s="26">
        <v>0.35</v>
      </c>
      <c r="EP16" s="26">
        <v>0.35</v>
      </c>
      <c r="EQ16" s="26">
        <v>0.35</v>
      </c>
      <c r="ER16" s="26">
        <v>0.35</v>
      </c>
      <c r="ES16" s="26">
        <v>0.35</v>
      </c>
      <c r="ET16" s="26">
        <v>0.35</v>
      </c>
      <c r="EU16" s="26">
        <v>0.35</v>
      </c>
      <c r="EV16" s="26">
        <v>0.35</v>
      </c>
      <c r="EW16" s="26">
        <v>0.35</v>
      </c>
      <c r="EX16" s="26">
        <v>0.35</v>
      </c>
      <c r="EY16" s="26">
        <v>0.35</v>
      </c>
      <c r="EZ16" s="26">
        <v>0.35</v>
      </c>
      <c r="FA16" s="26">
        <v>0.35</v>
      </c>
      <c r="FB16" s="26">
        <v>0.35</v>
      </c>
      <c r="FC16" s="26">
        <v>0.35</v>
      </c>
      <c r="FD16" s="26">
        <v>0.35</v>
      </c>
      <c r="FE16" s="26">
        <v>0.35</v>
      </c>
      <c r="FF16" s="26">
        <v>0.35</v>
      </c>
      <c r="FG16" s="26">
        <v>0.35</v>
      </c>
      <c r="FH16" s="26">
        <v>0.35</v>
      </c>
      <c r="FI16" s="26">
        <v>0.35</v>
      </c>
      <c r="FJ16" s="26">
        <v>0.35</v>
      </c>
      <c r="FK16" s="26">
        <v>0.35</v>
      </c>
      <c r="FL16" s="26">
        <v>0.35</v>
      </c>
      <c r="FM16" s="26">
        <v>0.35</v>
      </c>
      <c r="FN16" s="26">
        <v>0.35</v>
      </c>
      <c r="FO16" s="26">
        <v>0.35</v>
      </c>
      <c r="FP16" s="26">
        <v>0.35</v>
      </c>
      <c r="FQ16" s="26">
        <v>0.35</v>
      </c>
      <c r="FR16" s="26">
        <v>0.35</v>
      </c>
      <c r="FS16" s="26">
        <v>0.35</v>
      </c>
      <c r="FT16" s="26">
        <v>0.35</v>
      </c>
      <c r="FU16" s="26">
        <v>0.35</v>
      </c>
      <c r="FV16" s="26">
        <v>0.35</v>
      </c>
      <c r="FW16" s="26">
        <v>0.35</v>
      </c>
      <c r="FX16" s="26">
        <v>0.35</v>
      </c>
      <c r="FY16" s="26">
        <v>0.35</v>
      </c>
      <c r="FZ16" s="26">
        <v>0.35</v>
      </c>
      <c r="GA16" s="26">
        <v>0.35</v>
      </c>
      <c r="GB16" s="26">
        <v>0.35</v>
      </c>
      <c r="GC16" s="26">
        <v>0.35</v>
      </c>
      <c r="GD16" s="26">
        <v>0.35</v>
      </c>
      <c r="GE16" s="26">
        <v>0.35</v>
      </c>
      <c r="GF16" s="26">
        <v>0.35</v>
      </c>
      <c r="GG16" s="26">
        <v>0.35</v>
      </c>
      <c r="GH16" s="26">
        <v>0.35</v>
      </c>
      <c r="GI16" s="26">
        <v>0.35</v>
      </c>
      <c r="GJ16" s="26">
        <v>0.35</v>
      </c>
      <c r="GK16" s="26">
        <v>0.35</v>
      </c>
      <c r="GL16" s="26">
        <v>0.35</v>
      </c>
      <c r="GM16" s="26">
        <v>0.35</v>
      </c>
      <c r="GN16" s="26">
        <v>0.35</v>
      </c>
      <c r="GO16" s="26">
        <v>0.35</v>
      </c>
      <c r="GP16" s="26">
        <v>0.35</v>
      </c>
      <c r="GQ16" s="26">
        <v>0.35</v>
      </c>
      <c r="GR16" s="26">
        <v>0.35</v>
      </c>
      <c r="GS16" s="26">
        <v>0.35</v>
      </c>
      <c r="GT16" s="26">
        <v>0.35</v>
      </c>
      <c r="GU16" s="26">
        <v>0.35</v>
      </c>
      <c r="GV16" s="26">
        <v>0.35</v>
      </c>
      <c r="GW16" s="26">
        <v>0.35</v>
      </c>
      <c r="GX16" s="26">
        <v>0.35</v>
      </c>
      <c r="GY16" s="26">
        <v>0.35</v>
      </c>
      <c r="GZ16" s="26">
        <v>0.35</v>
      </c>
      <c r="HA16" s="26">
        <v>0.35</v>
      </c>
      <c r="HB16" s="26">
        <v>0.35</v>
      </c>
      <c r="HC16" s="26">
        <v>0.35</v>
      </c>
      <c r="HD16" s="26">
        <v>0.35</v>
      </c>
      <c r="HE16" s="26">
        <v>0.35</v>
      </c>
      <c r="HF16" s="26">
        <v>0.35</v>
      </c>
      <c r="HG16" s="26">
        <v>0.35</v>
      </c>
      <c r="HH16" s="26">
        <v>0.35</v>
      </c>
      <c r="HI16" s="26">
        <v>0.35</v>
      </c>
      <c r="HJ16" s="26">
        <v>0.35</v>
      </c>
      <c r="HK16" s="26">
        <v>0.35</v>
      </c>
      <c r="HL16" s="26">
        <v>0.35</v>
      </c>
      <c r="HM16" s="26">
        <v>0.35</v>
      </c>
      <c r="HN16" s="26">
        <v>0.35</v>
      </c>
      <c r="HO16" s="26">
        <v>0.35</v>
      </c>
      <c r="HP16" s="26">
        <v>0.35</v>
      </c>
      <c r="HQ16" s="26">
        <v>0.35</v>
      </c>
      <c r="HR16" s="26">
        <v>0.35</v>
      </c>
      <c r="HS16" s="26">
        <v>0.35</v>
      </c>
      <c r="HT16" s="26">
        <v>0.35</v>
      </c>
      <c r="HU16" s="26">
        <v>0.35</v>
      </c>
      <c r="HV16" s="26">
        <v>0.35</v>
      </c>
      <c r="HW16" s="26">
        <v>0.35</v>
      </c>
      <c r="HX16" s="26">
        <v>0.35</v>
      </c>
      <c r="HY16" s="26">
        <v>0.35</v>
      </c>
      <c r="HZ16" s="26">
        <v>0.35</v>
      </c>
      <c r="IA16" s="26">
        <v>0.35</v>
      </c>
      <c r="IB16" s="26">
        <v>0.35</v>
      </c>
      <c r="IC16" s="26">
        <v>0.35</v>
      </c>
      <c r="ID16" s="26">
        <v>0.35</v>
      </c>
      <c r="IE16" s="26">
        <v>0.35</v>
      </c>
      <c r="IF16" s="26">
        <v>0.35</v>
      </c>
      <c r="IG16" s="26">
        <v>0.35</v>
      </c>
      <c r="IH16" s="26">
        <v>0.35</v>
      </c>
      <c r="II16" s="26">
        <v>0.35</v>
      </c>
      <c r="IJ16" s="26">
        <v>0.35</v>
      </c>
      <c r="IK16" s="26">
        <v>0.35</v>
      </c>
      <c r="IL16" s="26">
        <v>0.35</v>
      </c>
      <c r="IM16" s="26">
        <v>0.35</v>
      </c>
      <c r="IN16" s="26">
        <v>0.35</v>
      </c>
      <c r="IO16" s="26">
        <v>0.35</v>
      </c>
      <c r="IP16" s="26">
        <v>0.35</v>
      </c>
      <c r="IQ16" s="26">
        <v>0.35</v>
      </c>
      <c r="IR16" s="26">
        <v>0.35</v>
      </c>
      <c r="IS16" s="26">
        <v>0.35</v>
      </c>
      <c r="IT16" s="26">
        <v>0.35</v>
      </c>
      <c r="IU16" s="26">
        <v>0.35</v>
      </c>
      <c r="IV16" s="26">
        <v>0.35</v>
      </c>
      <c r="IW16" s="26">
        <v>0.35</v>
      </c>
      <c r="IX16" s="26">
        <v>0.35</v>
      </c>
      <c r="IY16" s="26">
        <v>0.35</v>
      </c>
      <c r="IZ16" s="26">
        <v>0.35</v>
      </c>
      <c r="JA16" s="26">
        <v>0.35</v>
      </c>
      <c r="JB16" s="26">
        <v>0.35</v>
      </c>
      <c r="JC16" s="26">
        <v>0.35</v>
      </c>
      <c r="JD16" s="26">
        <v>0.35</v>
      </c>
      <c r="JE16" s="26">
        <v>0.35</v>
      </c>
      <c r="JF16" s="26">
        <v>0.35</v>
      </c>
      <c r="JG16" s="26">
        <v>0.35</v>
      </c>
      <c r="JH16" s="26">
        <v>0.35</v>
      </c>
      <c r="JI16" s="26">
        <v>0.35</v>
      </c>
      <c r="JJ16" s="26">
        <v>0.35</v>
      </c>
      <c r="JK16" s="26">
        <v>0.35</v>
      </c>
      <c r="JL16" s="26">
        <v>0.35</v>
      </c>
      <c r="JM16" s="26">
        <v>0.35</v>
      </c>
      <c r="JN16" s="26">
        <v>0.35</v>
      </c>
      <c r="JO16" s="26">
        <v>0.35</v>
      </c>
      <c r="JP16" s="26">
        <v>0.35</v>
      </c>
      <c r="JQ16" s="26">
        <v>0.35</v>
      </c>
      <c r="JR16" s="26">
        <v>0.35</v>
      </c>
      <c r="JS16" s="26">
        <v>0.35</v>
      </c>
      <c r="JT16" s="26">
        <v>0.35</v>
      </c>
      <c r="JU16" s="26">
        <v>0.35</v>
      </c>
      <c r="JV16" s="26">
        <v>0.35</v>
      </c>
      <c r="JW16" s="26">
        <v>0.35</v>
      </c>
      <c r="JX16" s="26">
        <v>0.35</v>
      </c>
      <c r="JY16" s="26">
        <v>0.35</v>
      </c>
      <c r="JZ16" s="26">
        <v>0.35</v>
      </c>
      <c r="KA16" s="26">
        <v>0.35</v>
      </c>
      <c r="KB16" s="26">
        <v>0.35</v>
      </c>
      <c r="KC16" s="26">
        <v>0.35</v>
      </c>
      <c r="KD16" s="26">
        <v>0.35</v>
      </c>
      <c r="KE16" s="26">
        <v>0.35</v>
      </c>
      <c r="KF16" s="26">
        <v>0.35</v>
      </c>
      <c r="KG16" s="26">
        <v>0.35</v>
      </c>
      <c r="KH16" s="26">
        <v>0.35</v>
      </c>
      <c r="KI16" s="26">
        <v>0.35</v>
      </c>
      <c r="KJ16" s="26">
        <v>0.35</v>
      </c>
      <c r="KK16" s="26">
        <v>0.35</v>
      </c>
      <c r="KL16" s="26">
        <v>0.35</v>
      </c>
      <c r="KM16" s="26">
        <v>0.35</v>
      </c>
      <c r="KN16" s="26">
        <v>0.35</v>
      </c>
      <c r="KO16" s="26">
        <v>0.35</v>
      </c>
      <c r="KP16" s="26">
        <v>0.35</v>
      </c>
      <c r="KQ16" s="26">
        <v>0.35</v>
      </c>
      <c r="KR16" s="26">
        <v>0.35</v>
      </c>
      <c r="KS16" s="26">
        <v>0.35</v>
      </c>
      <c r="KT16" s="26">
        <v>0.35</v>
      </c>
      <c r="KU16" s="26">
        <v>0.35</v>
      </c>
      <c r="KV16" s="26">
        <v>0.35</v>
      </c>
      <c r="KW16" s="26">
        <v>0.35</v>
      </c>
      <c r="KX16" s="26">
        <v>0.35</v>
      </c>
      <c r="KY16" s="26">
        <v>0.35</v>
      </c>
      <c r="KZ16" s="26">
        <v>0.35</v>
      </c>
      <c r="LA16" s="26">
        <v>0.35</v>
      </c>
      <c r="LB16" s="26">
        <v>0.35</v>
      </c>
      <c r="LC16" s="26">
        <v>0.35</v>
      </c>
      <c r="LD16" s="26">
        <v>0.35</v>
      </c>
      <c r="LE16" s="26">
        <v>0.35</v>
      </c>
      <c r="LF16" s="26">
        <v>0.35</v>
      </c>
      <c r="LG16" s="26">
        <v>0.35</v>
      </c>
      <c r="LH16" s="26">
        <v>0.35</v>
      </c>
      <c r="LI16" s="26">
        <v>0.35</v>
      </c>
      <c r="LJ16" s="26">
        <v>0.35</v>
      </c>
      <c r="LK16" s="26">
        <v>0.35</v>
      </c>
      <c r="LL16" s="26">
        <v>0.35</v>
      </c>
      <c r="LM16" s="26">
        <v>0.35</v>
      </c>
      <c r="LN16" s="26">
        <v>0.35</v>
      </c>
      <c r="LO16" s="26">
        <v>0.35</v>
      </c>
      <c r="LP16" s="26">
        <v>0.35</v>
      </c>
      <c r="LQ16" s="26">
        <v>0.35</v>
      </c>
      <c r="LR16" s="26">
        <v>0.35</v>
      </c>
      <c r="LS16" s="26">
        <v>0.35</v>
      </c>
      <c r="LT16" s="26">
        <v>0.35</v>
      </c>
      <c r="LU16" s="26">
        <v>0.35</v>
      </c>
      <c r="LV16" s="26">
        <v>0.35</v>
      </c>
      <c r="LW16" s="26">
        <v>0.35</v>
      </c>
      <c r="LX16" s="26">
        <v>0.35</v>
      </c>
      <c r="LY16" s="26">
        <v>0.35</v>
      </c>
      <c r="LZ16" s="26">
        <v>0.35</v>
      </c>
      <c r="MA16" s="26">
        <v>0.35</v>
      </c>
      <c r="MB16" s="26">
        <v>0.35</v>
      </c>
      <c r="MC16" s="26">
        <v>0.35</v>
      </c>
      <c r="MD16" s="26">
        <v>0.35</v>
      </c>
      <c r="ME16" s="26">
        <v>0.35</v>
      </c>
      <c r="MF16" s="26">
        <v>0.35</v>
      </c>
      <c r="MG16" s="26">
        <v>0.35</v>
      </c>
      <c r="MH16" s="26">
        <v>0.35</v>
      </c>
      <c r="MI16" s="26">
        <v>0.35</v>
      </c>
      <c r="MJ16" s="26">
        <v>0.35</v>
      </c>
      <c r="MK16" s="26">
        <v>0.35</v>
      </c>
      <c r="ML16" s="26">
        <v>0.35</v>
      </c>
      <c r="MM16" s="26">
        <v>0.35</v>
      </c>
      <c r="MN16" s="26">
        <v>0.35</v>
      </c>
      <c r="MO16" s="26">
        <v>0.35</v>
      </c>
      <c r="MP16" s="26">
        <v>0.35</v>
      </c>
      <c r="MQ16" s="26">
        <v>0.35</v>
      </c>
      <c r="MR16" s="26">
        <v>0.35</v>
      </c>
      <c r="MS16" s="26">
        <v>0.35</v>
      </c>
      <c r="MT16" s="26">
        <v>0.35</v>
      </c>
      <c r="MU16" s="26">
        <v>0.35</v>
      </c>
      <c r="MV16" s="26">
        <v>0.35</v>
      </c>
      <c r="MW16" s="26">
        <v>0.35</v>
      </c>
      <c r="MX16" s="26">
        <v>0.35</v>
      </c>
      <c r="MY16" s="26">
        <v>0.35</v>
      </c>
      <c r="MZ16" s="26">
        <v>0.35</v>
      </c>
      <c r="NA16" s="26">
        <v>0.35</v>
      </c>
      <c r="NB16" s="26">
        <v>0.35</v>
      </c>
      <c r="NC16" s="26">
        <v>0.35</v>
      </c>
      <c r="ND16" s="26">
        <v>0.35</v>
      </c>
      <c r="NE16" s="26">
        <v>0.35</v>
      </c>
      <c r="NF16" s="26">
        <v>0.35</v>
      </c>
      <c r="NG16" s="26">
        <v>0.35</v>
      </c>
      <c r="NH16" s="26">
        <v>0.35</v>
      </c>
      <c r="NI16" s="26">
        <v>0.35</v>
      </c>
      <c r="NJ16" s="26">
        <v>0.35</v>
      </c>
      <c r="NK16" s="26">
        <v>0.35</v>
      </c>
      <c r="NL16" s="26">
        <v>0.35</v>
      </c>
      <c r="NM16" s="26">
        <v>0.35</v>
      </c>
      <c r="NN16" s="26">
        <v>0.35</v>
      </c>
      <c r="NO16" s="26">
        <v>0.35</v>
      </c>
      <c r="NP16" s="26">
        <v>0.35</v>
      </c>
      <c r="NQ16" s="26">
        <v>0.35</v>
      </c>
      <c r="NR16" s="26">
        <v>0.35</v>
      </c>
      <c r="NW16" s="188"/>
      <c r="NX16" s="188"/>
    </row>
    <row r="17" spans="1:389" x14ac:dyDescent="0.4">
      <c r="A17" t="s">
        <v>555</v>
      </c>
      <c r="C17" s="28">
        <v>6.7500000000000004E-2</v>
      </c>
      <c r="D17" s="28">
        <v>6.7500000000000004E-2</v>
      </c>
      <c r="E17" s="28">
        <v>6.7500000000000004E-2</v>
      </c>
      <c r="F17" s="28">
        <v>6.7500000000000004E-2</v>
      </c>
      <c r="G17" s="28">
        <v>6.7500000000000004E-2</v>
      </c>
      <c r="H17" s="28">
        <v>6.7500000000000004E-2</v>
      </c>
      <c r="I17" s="28">
        <v>6.7500000000000004E-2</v>
      </c>
      <c r="J17" s="28">
        <v>6.7500000000000004E-2</v>
      </c>
      <c r="K17" s="28">
        <v>6.7500000000000004E-2</v>
      </c>
      <c r="L17" s="28">
        <v>6.7500000000000004E-2</v>
      </c>
      <c r="M17" s="28">
        <v>6.7500000000000004E-2</v>
      </c>
      <c r="N17" s="28">
        <v>6.7500000000000004E-2</v>
      </c>
      <c r="O17" s="28">
        <v>6.7500000000000004E-2</v>
      </c>
      <c r="P17" s="28">
        <v>6.7500000000000004E-2</v>
      </c>
      <c r="Q17" s="28">
        <v>6.7500000000000004E-2</v>
      </c>
      <c r="R17" s="28">
        <v>6.7500000000000004E-2</v>
      </c>
      <c r="S17" s="28">
        <v>6.7500000000000004E-2</v>
      </c>
      <c r="T17" s="28">
        <v>6.7500000000000004E-2</v>
      </c>
      <c r="U17" s="28">
        <v>6.7500000000000004E-2</v>
      </c>
      <c r="V17" s="28">
        <v>6.7500000000000004E-2</v>
      </c>
      <c r="W17" s="28">
        <v>6.7500000000000004E-2</v>
      </c>
      <c r="X17" s="28">
        <v>6.7500000000000004E-2</v>
      </c>
      <c r="Y17" s="28">
        <v>6.7500000000000004E-2</v>
      </c>
      <c r="Z17" s="28">
        <v>6.7500000000000004E-2</v>
      </c>
      <c r="AA17" s="28">
        <v>6.7500000000000004E-2</v>
      </c>
      <c r="AB17" s="28">
        <v>6.7500000000000004E-2</v>
      </c>
      <c r="AC17" s="28">
        <v>6.7500000000000004E-2</v>
      </c>
      <c r="AD17" s="28">
        <v>6.7500000000000004E-2</v>
      </c>
      <c r="AE17" s="28">
        <v>6.7500000000000004E-2</v>
      </c>
      <c r="AF17" s="28">
        <v>6.7500000000000004E-2</v>
      </c>
      <c r="AG17" s="28">
        <v>6.7500000000000004E-2</v>
      </c>
      <c r="AH17" s="28">
        <v>6.7500000000000004E-2</v>
      </c>
      <c r="AI17" s="28">
        <v>6.7500000000000004E-2</v>
      </c>
      <c r="AJ17" s="28">
        <v>6.7500000000000004E-2</v>
      </c>
      <c r="AK17" s="28">
        <v>6.7500000000000004E-2</v>
      </c>
      <c r="AL17" s="28">
        <v>6.7500000000000004E-2</v>
      </c>
      <c r="AM17" s="28">
        <v>6.7500000000000004E-2</v>
      </c>
      <c r="AN17" s="28">
        <v>6.7500000000000004E-2</v>
      </c>
      <c r="AO17" s="28">
        <v>6.7500000000000004E-2</v>
      </c>
      <c r="AP17" s="28">
        <v>6.7500000000000004E-2</v>
      </c>
      <c r="AQ17" s="28">
        <v>6.7500000000000004E-2</v>
      </c>
      <c r="AR17" s="28">
        <v>6.7500000000000004E-2</v>
      </c>
      <c r="AS17" s="28">
        <v>6.7500000000000004E-2</v>
      </c>
      <c r="AT17" s="28">
        <v>6.7500000000000004E-2</v>
      </c>
      <c r="AU17" s="28">
        <v>6.7500000000000004E-2</v>
      </c>
      <c r="AV17" s="28">
        <v>6.7500000000000004E-2</v>
      </c>
      <c r="AW17" s="28">
        <v>6.7500000000000004E-2</v>
      </c>
      <c r="AX17" s="28">
        <v>6.7500000000000004E-2</v>
      </c>
      <c r="AY17" s="28">
        <v>6.7500000000000004E-2</v>
      </c>
      <c r="AZ17" s="28">
        <v>6.7500000000000004E-2</v>
      </c>
      <c r="BA17" s="28">
        <v>6.7500000000000004E-2</v>
      </c>
      <c r="BB17" s="28">
        <v>6.7500000000000004E-2</v>
      </c>
      <c r="BC17" s="28">
        <v>6.7500000000000004E-2</v>
      </c>
      <c r="BD17" s="28">
        <v>6.7500000000000004E-2</v>
      </c>
      <c r="BE17" s="28">
        <v>6.7500000000000004E-2</v>
      </c>
      <c r="BF17" s="28">
        <v>6.7500000000000004E-2</v>
      </c>
      <c r="BG17" s="28">
        <v>6.7500000000000004E-2</v>
      </c>
      <c r="BH17" s="28">
        <v>6.7500000000000004E-2</v>
      </c>
      <c r="BI17" s="28">
        <v>6.7500000000000004E-2</v>
      </c>
      <c r="BJ17" s="28">
        <v>6.7500000000000004E-2</v>
      </c>
      <c r="BK17" s="28">
        <v>6.7500000000000004E-2</v>
      </c>
      <c r="BL17" s="28">
        <v>6.7500000000000004E-2</v>
      </c>
      <c r="BM17" s="28">
        <v>6.7500000000000004E-2</v>
      </c>
      <c r="BN17" s="28">
        <v>6.7500000000000004E-2</v>
      </c>
      <c r="BO17" s="28">
        <v>6.7500000000000004E-2</v>
      </c>
      <c r="BP17" s="28">
        <v>6.7500000000000004E-2</v>
      </c>
      <c r="BQ17" s="28">
        <v>6.7500000000000004E-2</v>
      </c>
      <c r="BR17" s="28">
        <v>6.7500000000000004E-2</v>
      </c>
      <c r="BS17" s="28">
        <v>6.7500000000000004E-2</v>
      </c>
      <c r="BT17" s="28">
        <v>6.7500000000000004E-2</v>
      </c>
      <c r="BU17" s="28">
        <v>6.7500000000000004E-2</v>
      </c>
      <c r="BV17" s="28">
        <v>6.7500000000000004E-2</v>
      </c>
      <c r="BW17" s="28">
        <v>6.7500000000000004E-2</v>
      </c>
      <c r="BX17" s="28">
        <v>6.7500000000000004E-2</v>
      </c>
      <c r="BY17" s="28">
        <v>6.7500000000000004E-2</v>
      </c>
      <c r="BZ17" s="28">
        <v>6.7500000000000004E-2</v>
      </c>
      <c r="CA17" s="28">
        <v>6.7500000000000004E-2</v>
      </c>
      <c r="CB17" s="28">
        <v>6.7500000000000004E-2</v>
      </c>
      <c r="CC17" s="28">
        <v>6.7500000000000004E-2</v>
      </c>
      <c r="CD17" s="28">
        <v>6.7500000000000004E-2</v>
      </c>
      <c r="CE17" s="28">
        <v>6.7500000000000004E-2</v>
      </c>
      <c r="CF17" s="28">
        <v>6.7500000000000004E-2</v>
      </c>
      <c r="CG17" s="28">
        <v>6.7500000000000004E-2</v>
      </c>
      <c r="CH17" s="28">
        <v>6.7500000000000004E-2</v>
      </c>
      <c r="CI17" s="28">
        <v>6.7500000000000004E-2</v>
      </c>
      <c r="CJ17" s="28">
        <v>6.7500000000000004E-2</v>
      </c>
      <c r="CK17" s="28">
        <v>6.7500000000000004E-2</v>
      </c>
      <c r="CL17" s="28">
        <v>6.7500000000000004E-2</v>
      </c>
      <c r="CM17" s="28">
        <v>6.7500000000000004E-2</v>
      </c>
      <c r="CN17" s="28">
        <v>6.7500000000000004E-2</v>
      </c>
      <c r="CO17" s="28">
        <v>6.7500000000000004E-2</v>
      </c>
      <c r="CP17" s="28">
        <v>6.7500000000000004E-2</v>
      </c>
      <c r="CQ17" s="28">
        <v>6.7500000000000004E-2</v>
      </c>
      <c r="CR17" s="28">
        <v>6.7500000000000004E-2</v>
      </c>
      <c r="CS17" s="28">
        <v>6.7500000000000004E-2</v>
      </c>
      <c r="CT17" s="28">
        <v>6.7500000000000004E-2</v>
      </c>
      <c r="CU17" s="28">
        <v>6.7500000000000004E-2</v>
      </c>
      <c r="CV17" s="28">
        <v>6.7500000000000004E-2</v>
      </c>
      <c r="CW17" s="28">
        <v>6.7500000000000004E-2</v>
      </c>
      <c r="CX17" s="28">
        <v>6.7500000000000004E-2</v>
      </c>
      <c r="CY17" s="28">
        <v>6.7500000000000004E-2</v>
      </c>
      <c r="CZ17" s="28">
        <v>6.7500000000000004E-2</v>
      </c>
      <c r="DA17" s="28">
        <v>6.7500000000000004E-2</v>
      </c>
      <c r="DB17" s="28">
        <v>6.7500000000000004E-2</v>
      </c>
      <c r="DC17" s="28">
        <v>6.7500000000000004E-2</v>
      </c>
      <c r="DD17" s="28">
        <v>6.7500000000000004E-2</v>
      </c>
      <c r="DE17" s="28">
        <v>6.7500000000000004E-2</v>
      </c>
      <c r="DF17" s="28">
        <v>6.7500000000000004E-2</v>
      </c>
      <c r="DG17" s="28">
        <v>6.7500000000000004E-2</v>
      </c>
      <c r="DH17" s="28">
        <v>6.7500000000000004E-2</v>
      </c>
      <c r="DI17" s="28">
        <v>6.7500000000000004E-2</v>
      </c>
      <c r="DJ17" s="28">
        <v>6.7500000000000004E-2</v>
      </c>
      <c r="DK17" s="28">
        <v>6.7500000000000004E-2</v>
      </c>
      <c r="DL17" s="28">
        <v>6.7500000000000004E-2</v>
      </c>
      <c r="DM17" s="28">
        <v>6.7500000000000004E-2</v>
      </c>
      <c r="DN17" s="28">
        <v>6.7500000000000004E-2</v>
      </c>
      <c r="DO17" s="28">
        <v>6.7500000000000004E-2</v>
      </c>
      <c r="DP17" s="28">
        <v>6.7500000000000004E-2</v>
      </c>
      <c r="DQ17" s="28">
        <v>6.7500000000000004E-2</v>
      </c>
      <c r="DR17" s="28">
        <v>6.7500000000000004E-2</v>
      </c>
      <c r="DS17" s="28">
        <v>6.7500000000000004E-2</v>
      </c>
      <c r="DT17" s="28">
        <v>6.7500000000000004E-2</v>
      </c>
      <c r="DU17" s="28">
        <v>6.7500000000000004E-2</v>
      </c>
      <c r="DV17" s="28">
        <v>6.7500000000000004E-2</v>
      </c>
      <c r="DW17" s="28">
        <v>6.7500000000000004E-2</v>
      </c>
      <c r="DX17" s="28">
        <v>6.7500000000000004E-2</v>
      </c>
      <c r="DY17" s="28">
        <v>6.7500000000000004E-2</v>
      </c>
      <c r="DZ17" s="28">
        <v>6.7500000000000004E-2</v>
      </c>
      <c r="EA17" s="28">
        <v>6.7500000000000004E-2</v>
      </c>
      <c r="EB17" s="28">
        <v>6.7500000000000004E-2</v>
      </c>
      <c r="EC17" s="28">
        <v>6.7500000000000004E-2</v>
      </c>
      <c r="ED17" s="28">
        <v>6.7500000000000004E-2</v>
      </c>
      <c r="EE17" s="28">
        <v>6.7500000000000004E-2</v>
      </c>
      <c r="EF17" s="28">
        <v>6.7500000000000004E-2</v>
      </c>
      <c r="EG17" s="28">
        <v>6.7500000000000004E-2</v>
      </c>
      <c r="EH17" s="28">
        <v>6.7500000000000004E-2</v>
      </c>
      <c r="EI17" s="28">
        <v>6.7500000000000004E-2</v>
      </c>
      <c r="EJ17" s="28">
        <v>6.7500000000000004E-2</v>
      </c>
      <c r="EK17" s="28">
        <v>6.7500000000000004E-2</v>
      </c>
      <c r="EL17" s="28">
        <v>6.7500000000000004E-2</v>
      </c>
      <c r="EM17" s="28">
        <v>6.7500000000000004E-2</v>
      </c>
      <c r="EN17" s="28">
        <v>6.7500000000000004E-2</v>
      </c>
      <c r="EO17" s="28">
        <v>6.7500000000000004E-2</v>
      </c>
      <c r="EP17" s="28">
        <v>6.7500000000000004E-2</v>
      </c>
      <c r="EQ17" s="28">
        <v>6.7500000000000004E-2</v>
      </c>
      <c r="ER17" s="28">
        <v>6.7500000000000004E-2</v>
      </c>
      <c r="ES17" s="28">
        <v>6.7500000000000004E-2</v>
      </c>
      <c r="ET17" s="28">
        <v>6.7500000000000004E-2</v>
      </c>
      <c r="EU17" s="28">
        <v>6.7500000000000004E-2</v>
      </c>
      <c r="EV17" s="28">
        <v>6.7500000000000004E-2</v>
      </c>
      <c r="EW17" s="28">
        <v>6.7500000000000004E-2</v>
      </c>
      <c r="EX17" s="28">
        <v>6.7500000000000004E-2</v>
      </c>
      <c r="EY17" s="28">
        <v>6.7500000000000004E-2</v>
      </c>
      <c r="EZ17" s="28">
        <v>6.7500000000000004E-2</v>
      </c>
      <c r="FA17" s="28">
        <v>6.7500000000000004E-2</v>
      </c>
      <c r="FB17" s="28">
        <v>6.7500000000000004E-2</v>
      </c>
      <c r="FC17" s="28">
        <v>6.7500000000000004E-2</v>
      </c>
      <c r="FD17" s="28">
        <v>6.7500000000000004E-2</v>
      </c>
      <c r="FE17" s="28">
        <v>6.7500000000000004E-2</v>
      </c>
      <c r="FF17" s="28">
        <v>6.7500000000000004E-2</v>
      </c>
      <c r="FG17" s="28">
        <v>6.7500000000000004E-2</v>
      </c>
      <c r="FH17" s="28">
        <v>6.7500000000000004E-2</v>
      </c>
      <c r="FI17" s="28">
        <v>6.7500000000000004E-2</v>
      </c>
      <c r="FJ17" s="28">
        <v>6.7500000000000004E-2</v>
      </c>
      <c r="FK17" s="28">
        <v>6.7500000000000004E-2</v>
      </c>
      <c r="FL17" s="28">
        <v>6.7500000000000004E-2</v>
      </c>
      <c r="FM17" s="28">
        <v>6.7500000000000004E-2</v>
      </c>
      <c r="FN17" s="28">
        <v>6.7500000000000004E-2</v>
      </c>
      <c r="FO17" s="28">
        <v>6.7500000000000004E-2</v>
      </c>
      <c r="FP17" s="28">
        <v>6.7500000000000004E-2</v>
      </c>
      <c r="FQ17" s="28">
        <v>6.7500000000000004E-2</v>
      </c>
      <c r="FR17" s="28">
        <v>6.7500000000000004E-2</v>
      </c>
      <c r="FS17" s="28">
        <v>6.7500000000000004E-2</v>
      </c>
      <c r="FT17" s="28">
        <v>6.7500000000000004E-2</v>
      </c>
      <c r="FU17" s="28">
        <v>6.7500000000000004E-2</v>
      </c>
      <c r="FV17" s="28">
        <v>6.7500000000000004E-2</v>
      </c>
      <c r="FW17" s="28">
        <v>6.7500000000000004E-2</v>
      </c>
      <c r="FX17" s="28">
        <v>6.7500000000000004E-2</v>
      </c>
      <c r="FY17" s="28">
        <v>6.7500000000000004E-2</v>
      </c>
      <c r="FZ17" s="28">
        <v>6.7500000000000004E-2</v>
      </c>
      <c r="GA17" s="28">
        <v>6.7500000000000004E-2</v>
      </c>
      <c r="GB17" s="28">
        <v>6.7500000000000004E-2</v>
      </c>
      <c r="GC17" s="28">
        <v>6.7500000000000004E-2</v>
      </c>
      <c r="GD17" s="28">
        <v>6.7500000000000004E-2</v>
      </c>
      <c r="GE17" s="28">
        <v>6.7500000000000004E-2</v>
      </c>
      <c r="GF17" s="28">
        <v>6.7500000000000004E-2</v>
      </c>
      <c r="GG17" s="28">
        <v>6.7500000000000004E-2</v>
      </c>
      <c r="GH17" s="28">
        <v>6.7500000000000004E-2</v>
      </c>
      <c r="GI17" s="28">
        <v>6.7500000000000004E-2</v>
      </c>
      <c r="GJ17" s="28">
        <v>6.7500000000000004E-2</v>
      </c>
      <c r="GK17" s="28">
        <v>6.7500000000000004E-2</v>
      </c>
      <c r="GL17" s="28">
        <v>6.7500000000000004E-2</v>
      </c>
      <c r="GM17" s="28">
        <v>6.7500000000000004E-2</v>
      </c>
      <c r="GN17" s="28">
        <v>6.7500000000000004E-2</v>
      </c>
      <c r="GO17" s="28">
        <v>6.7500000000000004E-2</v>
      </c>
      <c r="GP17" s="28">
        <v>6.7500000000000004E-2</v>
      </c>
      <c r="GQ17" s="28">
        <v>6.7500000000000004E-2</v>
      </c>
      <c r="GR17" s="28">
        <v>6.7500000000000004E-2</v>
      </c>
      <c r="GS17" s="28">
        <v>6.7500000000000004E-2</v>
      </c>
      <c r="GT17" s="28">
        <v>6.7500000000000004E-2</v>
      </c>
      <c r="GU17" s="28">
        <v>6.7500000000000004E-2</v>
      </c>
      <c r="GV17" s="28">
        <v>6.7500000000000004E-2</v>
      </c>
      <c r="GW17" s="28">
        <v>6.7500000000000004E-2</v>
      </c>
      <c r="GX17" s="28">
        <v>6.7500000000000004E-2</v>
      </c>
      <c r="GY17" s="28">
        <v>6.7500000000000004E-2</v>
      </c>
      <c r="GZ17" s="28">
        <v>6.7500000000000004E-2</v>
      </c>
      <c r="HA17" s="28">
        <v>6.7500000000000004E-2</v>
      </c>
      <c r="HB17" s="28">
        <v>6.7500000000000004E-2</v>
      </c>
      <c r="HC17" s="28">
        <v>6.7500000000000004E-2</v>
      </c>
      <c r="HD17" s="28">
        <v>6.7500000000000004E-2</v>
      </c>
      <c r="HE17" s="28">
        <v>6.7500000000000004E-2</v>
      </c>
      <c r="HF17" s="28">
        <v>6.7500000000000004E-2</v>
      </c>
      <c r="HG17" s="28">
        <v>6.7500000000000004E-2</v>
      </c>
      <c r="HH17" s="28">
        <v>6.7500000000000004E-2</v>
      </c>
      <c r="HI17" s="28">
        <v>6.7500000000000004E-2</v>
      </c>
      <c r="HJ17" s="28">
        <v>6.7500000000000004E-2</v>
      </c>
      <c r="HK17" s="28">
        <v>6.7500000000000004E-2</v>
      </c>
      <c r="HL17" s="28">
        <v>6.7500000000000004E-2</v>
      </c>
      <c r="HM17" s="28">
        <v>6.7500000000000004E-2</v>
      </c>
      <c r="HN17" s="28">
        <v>6.7500000000000004E-2</v>
      </c>
      <c r="HO17" s="28">
        <v>6.7500000000000004E-2</v>
      </c>
      <c r="HP17" s="28">
        <v>6.7500000000000004E-2</v>
      </c>
      <c r="HQ17" s="28">
        <v>6.7500000000000004E-2</v>
      </c>
      <c r="HR17" s="28">
        <v>6.7500000000000004E-2</v>
      </c>
      <c r="HS17" s="28">
        <v>6.7500000000000004E-2</v>
      </c>
      <c r="HT17" s="28">
        <v>6.7500000000000004E-2</v>
      </c>
      <c r="HU17" s="28">
        <v>6.7500000000000004E-2</v>
      </c>
      <c r="HV17" s="28">
        <v>6.7500000000000004E-2</v>
      </c>
      <c r="HW17" s="28">
        <v>6.7500000000000004E-2</v>
      </c>
      <c r="HX17" s="28">
        <v>6.7500000000000004E-2</v>
      </c>
      <c r="HY17" s="28">
        <v>6.7500000000000004E-2</v>
      </c>
      <c r="HZ17" s="28">
        <v>6.7500000000000004E-2</v>
      </c>
      <c r="IA17" s="28">
        <v>6.7500000000000004E-2</v>
      </c>
      <c r="IB17" s="28">
        <v>6.7500000000000004E-2</v>
      </c>
      <c r="IC17" s="28">
        <v>6.7500000000000004E-2</v>
      </c>
      <c r="ID17" s="28">
        <v>6.7500000000000004E-2</v>
      </c>
      <c r="IE17" s="28">
        <v>6.7500000000000004E-2</v>
      </c>
      <c r="IF17" s="28">
        <v>6.7500000000000004E-2</v>
      </c>
      <c r="IG17" s="28">
        <v>6.7500000000000004E-2</v>
      </c>
      <c r="IH17" s="28">
        <v>6.7500000000000004E-2</v>
      </c>
      <c r="II17" s="28">
        <v>6.7500000000000004E-2</v>
      </c>
      <c r="IJ17" s="28">
        <v>6.7500000000000004E-2</v>
      </c>
      <c r="IK17" s="28">
        <v>6.7500000000000004E-2</v>
      </c>
      <c r="IL17" s="28">
        <v>6.7500000000000004E-2</v>
      </c>
      <c r="IM17" s="28">
        <v>6.7500000000000004E-2</v>
      </c>
      <c r="IN17" s="28">
        <v>6.7500000000000004E-2</v>
      </c>
      <c r="IO17" s="28">
        <v>6.7500000000000004E-2</v>
      </c>
      <c r="IP17" s="28">
        <v>6.7500000000000004E-2</v>
      </c>
      <c r="IQ17" s="28">
        <v>6.7500000000000004E-2</v>
      </c>
      <c r="IR17" s="28">
        <v>6.7500000000000004E-2</v>
      </c>
      <c r="IS17" s="28">
        <v>6.7500000000000004E-2</v>
      </c>
      <c r="IT17" s="28">
        <v>6.7500000000000004E-2</v>
      </c>
      <c r="IU17" s="28">
        <v>6.7500000000000004E-2</v>
      </c>
      <c r="IV17" s="28">
        <v>6.7500000000000004E-2</v>
      </c>
      <c r="IW17" s="28">
        <v>6.7500000000000004E-2</v>
      </c>
      <c r="IX17" s="28">
        <v>6.7500000000000004E-2</v>
      </c>
      <c r="IY17" s="28">
        <v>6.7500000000000004E-2</v>
      </c>
      <c r="IZ17" s="28">
        <v>6.7500000000000004E-2</v>
      </c>
      <c r="JA17" s="28">
        <v>6.7500000000000004E-2</v>
      </c>
      <c r="JB17" s="28">
        <v>6.7500000000000004E-2</v>
      </c>
      <c r="JC17" s="28">
        <v>6.7500000000000004E-2</v>
      </c>
      <c r="JD17" s="28">
        <v>6.7500000000000004E-2</v>
      </c>
      <c r="JE17" s="28">
        <v>6.7500000000000004E-2</v>
      </c>
      <c r="JF17" s="28">
        <v>6.7500000000000004E-2</v>
      </c>
      <c r="JG17" s="28">
        <v>6.7500000000000004E-2</v>
      </c>
      <c r="JH17" s="28">
        <v>6.7500000000000004E-2</v>
      </c>
      <c r="JI17" s="28">
        <v>6.7500000000000004E-2</v>
      </c>
      <c r="JJ17" s="28">
        <v>6.7500000000000004E-2</v>
      </c>
      <c r="JK17" s="28">
        <v>6.7500000000000004E-2</v>
      </c>
      <c r="JL17" s="28">
        <v>6.7500000000000004E-2</v>
      </c>
      <c r="JM17" s="28">
        <v>6.7500000000000004E-2</v>
      </c>
      <c r="JN17" s="28">
        <v>6.7500000000000004E-2</v>
      </c>
      <c r="JO17" s="28">
        <v>6.7500000000000004E-2</v>
      </c>
      <c r="JP17" s="28">
        <v>6.7500000000000004E-2</v>
      </c>
      <c r="JQ17" s="28">
        <v>6.7500000000000004E-2</v>
      </c>
      <c r="JR17" s="28">
        <v>6.7500000000000004E-2</v>
      </c>
      <c r="JS17" s="28">
        <v>6.7500000000000004E-2</v>
      </c>
      <c r="JT17" s="28">
        <v>6.7500000000000004E-2</v>
      </c>
      <c r="JU17" s="28">
        <v>6.7500000000000004E-2</v>
      </c>
      <c r="JV17" s="28">
        <v>6.7500000000000004E-2</v>
      </c>
      <c r="JW17" s="28">
        <v>6.7500000000000004E-2</v>
      </c>
      <c r="JX17" s="28">
        <v>6.7500000000000004E-2</v>
      </c>
      <c r="JY17" s="28">
        <v>6.7500000000000004E-2</v>
      </c>
      <c r="JZ17" s="28">
        <v>6.7500000000000004E-2</v>
      </c>
      <c r="KA17" s="28">
        <v>6.7500000000000004E-2</v>
      </c>
      <c r="KB17" s="28">
        <v>6.7500000000000004E-2</v>
      </c>
      <c r="KC17" s="28">
        <v>6.7500000000000004E-2</v>
      </c>
      <c r="KD17" s="28">
        <v>6.7500000000000004E-2</v>
      </c>
      <c r="KE17" s="28">
        <v>6.7500000000000004E-2</v>
      </c>
      <c r="KF17" s="28">
        <v>6.7500000000000004E-2</v>
      </c>
      <c r="KG17" s="28">
        <v>6.7500000000000004E-2</v>
      </c>
      <c r="KH17" s="28">
        <v>6.7500000000000004E-2</v>
      </c>
      <c r="KI17" s="28">
        <v>6.7500000000000004E-2</v>
      </c>
      <c r="KJ17" s="28">
        <v>6.7500000000000004E-2</v>
      </c>
      <c r="KK17" s="28">
        <v>6.7500000000000004E-2</v>
      </c>
      <c r="KL17" s="28">
        <v>6.7500000000000004E-2</v>
      </c>
      <c r="KM17" s="28">
        <v>6.7500000000000004E-2</v>
      </c>
      <c r="KN17" s="28">
        <v>6.7500000000000004E-2</v>
      </c>
      <c r="KO17" s="28">
        <v>6.7500000000000004E-2</v>
      </c>
      <c r="KP17" s="28">
        <v>6.7500000000000004E-2</v>
      </c>
      <c r="KQ17" s="28">
        <v>6.7500000000000004E-2</v>
      </c>
      <c r="KR17" s="28">
        <v>6.7500000000000004E-2</v>
      </c>
      <c r="KS17" s="28">
        <v>6.7500000000000004E-2</v>
      </c>
      <c r="KT17" s="28">
        <v>6.7500000000000004E-2</v>
      </c>
      <c r="KU17" s="28">
        <v>6.7500000000000004E-2</v>
      </c>
      <c r="KV17" s="28">
        <v>6.7500000000000004E-2</v>
      </c>
      <c r="KW17" s="28">
        <v>6.7500000000000004E-2</v>
      </c>
      <c r="KX17" s="28">
        <v>6.7500000000000004E-2</v>
      </c>
      <c r="KY17" s="28">
        <v>6.7500000000000004E-2</v>
      </c>
      <c r="KZ17" s="28">
        <v>6.7500000000000004E-2</v>
      </c>
      <c r="LA17" s="28">
        <v>6.7500000000000004E-2</v>
      </c>
      <c r="LB17" s="28">
        <v>6.7500000000000004E-2</v>
      </c>
      <c r="LC17" s="28">
        <v>6.7500000000000004E-2</v>
      </c>
      <c r="LD17" s="28">
        <v>6.7500000000000004E-2</v>
      </c>
      <c r="LE17" s="28">
        <v>6.7500000000000004E-2</v>
      </c>
      <c r="LF17" s="28">
        <v>6.7500000000000004E-2</v>
      </c>
      <c r="LG17" s="28">
        <v>6.7500000000000004E-2</v>
      </c>
      <c r="LH17" s="28">
        <v>6.7500000000000004E-2</v>
      </c>
      <c r="LI17" s="28">
        <v>6.7500000000000004E-2</v>
      </c>
      <c r="LJ17" s="28">
        <v>6.7500000000000004E-2</v>
      </c>
      <c r="LK17" s="28">
        <v>6.7500000000000004E-2</v>
      </c>
      <c r="LL17" s="28">
        <v>6.7500000000000004E-2</v>
      </c>
      <c r="LM17" s="28">
        <v>6.7500000000000004E-2</v>
      </c>
      <c r="LN17" s="28">
        <v>6.7500000000000004E-2</v>
      </c>
      <c r="LO17" s="28">
        <v>6.7500000000000004E-2</v>
      </c>
      <c r="LP17" s="28">
        <v>6.7500000000000004E-2</v>
      </c>
      <c r="LQ17" s="28">
        <v>6.7500000000000004E-2</v>
      </c>
      <c r="LR17" s="28">
        <v>6.7500000000000004E-2</v>
      </c>
      <c r="LS17" s="28">
        <v>6.7500000000000004E-2</v>
      </c>
      <c r="LT17" s="28">
        <v>6.7500000000000004E-2</v>
      </c>
      <c r="LU17" s="28">
        <v>6.7500000000000004E-2</v>
      </c>
      <c r="LV17" s="28">
        <v>6.7500000000000004E-2</v>
      </c>
      <c r="LW17" s="28">
        <v>6.7500000000000004E-2</v>
      </c>
      <c r="LX17" s="28">
        <v>6.7500000000000004E-2</v>
      </c>
      <c r="LY17" s="28">
        <v>6.7500000000000004E-2</v>
      </c>
      <c r="LZ17" s="28">
        <v>6.7500000000000004E-2</v>
      </c>
      <c r="MA17" s="28">
        <v>6.7500000000000004E-2</v>
      </c>
      <c r="MB17" s="28">
        <v>6.7500000000000004E-2</v>
      </c>
      <c r="MC17" s="28">
        <v>6.7500000000000004E-2</v>
      </c>
      <c r="MD17" s="28">
        <v>6.7500000000000004E-2</v>
      </c>
      <c r="ME17" s="28">
        <v>6.7500000000000004E-2</v>
      </c>
      <c r="MF17" s="28">
        <v>6.7500000000000004E-2</v>
      </c>
      <c r="MG17" s="28">
        <v>6.7500000000000004E-2</v>
      </c>
      <c r="MH17" s="28">
        <v>6.7500000000000004E-2</v>
      </c>
      <c r="MI17" s="28">
        <v>6.7500000000000004E-2</v>
      </c>
      <c r="MJ17" s="28">
        <v>6.7500000000000004E-2</v>
      </c>
      <c r="MK17" s="28">
        <v>6.7500000000000004E-2</v>
      </c>
      <c r="ML17" s="28">
        <v>6.7500000000000004E-2</v>
      </c>
      <c r="MM17" s="28">
        <v>6.7500000000000004E-2</v>
      </c>
      <c r="MN17" s="28">
        <v>6.7500000000000004E-2</v>
      </c>
      <c r="MO17" s="28">
        <v>6.7500000000000004E-2</v>
      </c>
      <c r="MP17" s="28">
        <v>6.7500000000000004E-2</v>
      </c>
      <c r="MQ17" s="28">
        <v>6.7500000000000004E-2</v>
      </c>
      <c r="MR17" s="28">
        <v>6.7500000000000004E-2</v>
      </c>
      <c r="MS17" s="28">
        <v>6.7500000000000004E-2</v>
      </c>
      <c r="MT17" s="28">
        <v>6.7500000000000004E-2</v>
      </c>
      <c r="MU17" s="28">
        <v>6.7500000000000004E-2</v>
      </c>
      <c r="MV17" s="28">
        <v>6.7500000000000004E-2</v>
      </c>
      <c r="MW17" s="28">
        <v>6.7500000000000004E-2</v>
      </c>
      <c r="MX17" s="28">
        <v>6.7500000000000004E-2</v>
      </c>
      <c r="MY17" s="28">
        <v>6.7500000000000004E-2</v>
      </c>
      <c r="MZ17" s="28">
        <v>6.7500000000000004E-2</v>
      </c>
      <c r="NA17" s="28">
        <v>6.7500000000000004E-2</v>
      </c>
      <c r="NB17" s="28">
        <v>6.7500000000000004E-2</v>
      </c>
      <c r="NC17" s="28">
        <v>6.7500000000000004E-2</v>
      </c>
      <c r="ND17" s="28">
        <v>6.7500000000000004E-2</v>
      </c>
      <c r="NE17" s="28">
        <v>6.7500000000000004E-2</v>
      </c>
      <c r="NF17" s="28">
        <v>6.7500000000000004E-2</v>
      </c>
      <c r="NG17" s="28">
        <v>6.7500000000000004E-2</v>
      </c>
      <c r="NH17" s="28">
        <v>6.7500000000000004E-2</v>
      </c>
      <c r="NI17" s="28">
        <v>6.7500000000000004E-2</v>
      </c>
      <c r="NJ17" s="28">
        <v>6.7500000000000004E-2</v>
      </c>
      <c r="NK17" s="28">
        <v>6.7500000000000004E-2</v>
      </c>
      <c r="NL17" s="28">
        <v>6.7500000000000004E-2</v>
      </c>
      <c r="NM17" s="28">
        <v>6.7500000000000004E-2</v>
      </c>
      <c r="NN17" s="28">
        <v>6.7500000000000004E-2</v>
      </c>
      <c r="NO17" s="28">
        <v>6.7500000000000004E-2</v>
      </c>
      <c r="NP17" s="28">
        <v>6.7500000000000004E-2</v>
      </c>
      <c r="NQ17" s="28">
        <v>6.7500000000000004E-2</v>
      </c>
      <c r="NR17" s="28">
        <v>6.7500000000000004E-2</v>
      </c>
      <c r="NW17" s="188"/>
      <c r="NX17" s="188"/>
    </row>
    <row r="18" spans="1:389" x14ac:dyDescent="0.4"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  <c r="IU18" s="28"/>
      <c r="IV18" s="28"/>
      <c r="IW18" s="28"/>
      <c r="IX18" s="28"/>
      <c r="IY18" s="28"/>
      <c r="IZ18" s="28"/>
      <c r="JA18" s="28"/>
      <c r="JB18" s="28"/>
      <c r="JC18" s="28"/>
      <c r="JD18" s="28"/>
      <c r="JE18" s="28"/>
      <c r="JF18" s="28"/>
      <c r="JG18" s="28"/>
      <c r="JH18" s="28"/>
      <c r="JI18" s="28"/>
      <c r="JJ18" s="28"/>
      <c r="JK18" s="28"/>
      <c r="JL18" s="28"/>
      <c r="JM18" s="28"/>
      <c r="JN18" s="28"/>
      <c r="JO18" s="28"/>
      <c r="JP18" s="28"/>
      <c r="JQ18" s="28"/>
      <c r="JR18" s="28"/>
      <c r="JS18" s="28"/>
      <c r="JT18" s="28"/>
      <c r="JU18" s="28"/>
      <c r="JV18" s="28"/>
      <c r="JW18" s="28"/>
      <c r="JX18" s="28"/>
      <c r="JY18" s="28"/>
      <c r="JZ18" s="28"/>
      <c r="KA18" s="28"/>
      <c r="KB18" s="28"/>
      <c r="KC18" s="28"/>
      <c r="KD18" s="28"/>
      <c r="KE18" s="28"/>
      <c r="KF18" s="28"/>
      <c r="KG18" s="28"/>
      <c r="KH18" s="28"/>
      <c r="KI18" s="28"/>
      <c r="KJ18" s="28"/>
      <c r="KK18" s="28"/>
      <c r="KL18" s="28"/>
      <c r="KM18" s="28"/>
      <c r="KN18" s="28"/>
      <c r="KO18" s="28"/>
      <c r="KP18" s="28"/>
      <c r="KQ18" s="28"/>
      <c r="KR18" s="28"/>
      <c r="KS18" s="28"/>
      <c r="KT18" s="28"/>
      <c r="KU18" s="28"/>
      <c r="KV18" s="28"/>
      <c r="KW18" s="28"/>
      <c r="KX18" s="28"/>
      <c r="KY18" s="28"/>
      <c r="KZ18" s="28"/>
      <c r="LA18" s="28"/>
      <c r="LB18" s="28"/>
      <c r="LC18" s="28"/>
      <c r="LD18" s="28"/>
      <c r="LE18" s="28"/>
      <c r="LF18" s="28"/>
      <c r="LG18" s="28"/>
      <c r="LH18" s="28"/>
      <c r="LI18" s="28"/>
      <c r="LJ18" s="28"/>
      <c r="LK18" s="28"/>
      <c r="LL18" s="28"/>
      <c r="LM18" s="28"/>
      <c r="LN18" s="28"/>
      <c r="LO18" s="28"/>
      <c r="LP18" s="28"/>
      <c r="LQ18" s="28"/>
      <c r="LR18" s="28"/>
      <c r="LS18" s="28"/>
      <c r="LT18" s="28"/>
      <c r="LU18" s="28"/>
      <c r="LV18" s="28"/>
      <c r="LW18" s="28"/>
      <c r="LX18" s="28"/>
      <c r="LY18" s="28"/>
      <c r="LZ18" s="28"/>
      <c r="MA18" s="28"/>
      <c r="MB18" s="28"/>
      <c r="MC18" s="28"/>
      <c r="MD18" s="28"/>
      <c r="ME18" s="28"/>
      <c r="MF18" s="28"/>
      <c r="MG18" s="28"/>
      <c r="MH18" s="28"/>
      <c r="MI18" s="28"/>
      <c r="MJ18" s="28"/>
      <c r="MK18" s="28"/>
      <c r="ML18" s="28"/>
      <c r="MM18" s="28"/>
      <c r="MN18" s="28"/>
      <c r="MO18" s="28"/>
      <c r="MP18" s="28"/>
      <c r="MQ18" s="28"/>
      <c r="MR18" s="28"/>
      <c r="MS18" s="28"/>
      <c r="MT18" s="28"/>
      <c r="MU18" s="28"/>
      <c r="MV18" s="28"/>
      <c r="MW18" s="28"/>
      <c r="MX18" s="28"/>
      <c r="MY18" s="28"/>
      <c r="MZ18" s="28"/>
      <c r="NA18" s="28"/>
      <c r="NB18" s="28"/>
      <c r="NC18" s="28"/>
      <c r="ND18" s="28"/>
      <c r="NE18" s="28"/>
      <c r="NF18" s="28"/>
      <c r="NG18" s="28"/>
      <c r="NH18" s="28"/>
      <c r="NI18" s="28"/>
      <c r="NJ18" s="28"/>
      <c r="NK18" s="28"/>
      <c r="NL18" s="28"/>
      <c r="NM18" s="28"/>
      <c r="NN18" s="28"/>
      <c r="NO18" s="28"/>
      <c r="NP18" s="28"/>
      <c r="NQ18" s="28"/>
      <c r="NR18" s="28"/>
      <c r="NU18" s="185" t="s">
        <v>547</v>
      </c>
      <c r="NV18" s="185" t="s">
        <v>58</v>
      </c>
      <c r="NW18" s="185" t="s">
        <v>556</v>
      </c>
      <c r="NX18" s="185" t="s">
        <v>557</v>
      </c>
      <c r="NY18" s="185" t="s">
        <v>558</v>
      </c>
    </row>
    <row r="19" spans="1:389" x14ac:dyDescent="0.4">
      <c r="A19" t="s">
        <v>559</v>
      </c>
      <c r="C19">
        <v>10.465999999999999</v>
      </c>
      <c r="D19">
        <v>10.465999999999999</v>
      </c>
      <c r="E19">
        <v>10.465999999999999</v>
      </c>
      <c r="F19">
        <v>10.465999999999999</v>
      </c>
      <c r="G19">
        <v>10.465999999999999</v>
      </c>
      <c r="H19">
        <v>10.465999999999999</v>
      </c>
      <c r="I19">
        <v>10.465999999999999</v>
      </c>
      <c r="J19">
        <v>10.465999999999999</v>
      </c>
      <c r="K19">
        <v>10.465999999999999</v>
      </c>
      <c r="L19">
        <v>10.465999999999999</v>
      </c>
      <c r="M19">
        <v>10.465999999999999</v>
      </c>
      <c r="N19">
        <v>10.465999999999999</v>
      </c>
      <c r="O19">
        <v>9.9169999999999998</v>
      </c>
      <c r="P19">
        <v>9.9169999999999998</v>
      </c>
      <c r="Q19">
        <v>9.9169999999999998</v>
      </c>
      <c r="R19">
        <v>9.9169999999999998</v>
      </c>
      <c r="S19">
        <v>9.9169999999999998</v>
      </c>
      <c r="T19">
        <v>9.9169999999999998</v>
      </c>
      <c r="U19">
        <v>9.9169999999999998</v>
      </c>
      <c r="V19">
        <v>9.9169999999999998</v>
      </c>
      <c r="W19">
        <v>9.9169999999999998</v>
      </c>
      <c r="X19">
        <v>9.9169999999999998</v>
      </c>
      <c r="Y19">
        <v>9.9169999999999998</v>
      </c>
      <c r="Z19">
        <v>9.9169999999999998</v>
      </c>
      <c r="AA19">
        <v>9.3960000000000008</v>
      </c>
      <c r="AB19">
        <v>9.3960000000000008</v>
      </c>
      <c r="AC19">
        <v>9.3960000000000008</v>
      </c>
      <c r="AD19">
        <v>9.3960000000000008</v>
      </c>
      <c r="AE19">
        <v>9.3960000000000008</v>
      </c>
      <c r="AF19">
        <v>9.3070000000000004</v>
      </c>
      <c r="AG19">
        <v>9.3070000000000004</v>
      </c>
      <c r="AH19">
        <v>9.3070000000000004</v>
      </c>
      <c r="AI19">
        <v>9.3070000000000004</v>
      </c>
      <c r="AJ19">
        <v>9.3070000000000004</v>
      </c>
      <c r="AK19">
        <v>9.3070000000000004</v>
      </c>
      <c r="AL19">
        <v>9.3070000000000004</v>
      </c>
      <c r="AM19">
        <v>8.8179999999999996</v>
      </c>
      <c r="AN19">
        <v>8.8179999999999996</v>
      </c>
      <c r="AO19">
        <v>8.8179999999999996</v>
      </c>
      <c r="AP19">
        <v>8.8179999999999996</v>
      </c>
      <c r="AQ19">
        <v>8.8179999999999996</v>
      </c>
      <c r="AR19">
        <v>8.8179999999999996</v>
      </c>
      <c r="AS19">
        <v>8.8179999999999996</v>
      </c>
      <c r="AT19">
        <v>8.8179999999999996</v>
      </c>
      <c r="AU19">
        <v>8.8179999999999996</v>
      </c>
      <c r="AV19">
        <v>8.8179999999999996</v>
      </c>
      <c r="AW19">
        <v>8.8179999999999996</v>
      </c>
      <c r="AX19">
        <v>8.8179999999999996</v>
      </c>
      <c r="AY19">
        <v>8.3550000000000004</v>
      </c>
      <c r="AZ19">
        <v>8.3550000000000004</v>
      </c>
      <c r="BA19">
        <v>8.3550000000000004</v>
      </c>
      <c r="BB19">
        <v>8.3550000000000004</v>
      </c>
      <c r="BC19">
        <v>8.3550000000000004</v>
      </c>
      <c r="BD19">
        <v>8.3550000000000004</v>
      </c>
      <c r="BE19">
        <v>8.3550000000000004</v>
      </c>
      <c r="BF19">
        <v>8.3550000000000004</v>
      </c>
      <c r="BG19">
        <v>8.3550000000000004</v>
      </c>
      <c r="BH19">
        <v>8.3550000000000004</v>
      </c>
      <c r="BI19">
        <v>8.3550000000000004</v>
      </c>
      <c r="BJ19">
        <v>8.3550000000000004</v>
      </c>
      <c r="BK19">
        <v>7.9160000000000004</v>
      </c>
      <c r="BL19">
        <v>7.9160000000000004</v>
      </c>
      <c r="BM19">
        <v>7.9160000000000004</v>
      </c>
      <c r="BN19">
        <v>7.9160000000000004</v>
      </c>
      <c r="BO19">
        <v>7.9160000000000004</v>
      </c>
      <c r="BP19">
        <v>7.9160000000000004</v>
      </c>
      <c r="BQ19">
        <v>7.9160000000000004</v>
      </c>
      <c r="BR19">
        <v>7.9160000000000004</v>
      </c>
      <c r="BS19">
        <v>7.9160000000000004</v>
      </c>
      <c r="BT19">
        <v>7.9160000000000004</v>
      </c>
      <c r="BU19">
        <v>7.9160000000000004</v>
      </c>
      <c r="BV19">
        <v>7.9160000000000004</v>
      </c>
      <c r="BW19">
        <v>7.5010000000000003</v>
      </c>
      <c r="BX19">
        <v>7.5010000000000003</v>
      </c>
      <c r="BY19">
        <v>7.5010000000000003</v>
      </c>
      <c r="BZ19">
        <v>7.5010000000000003</v>
      </c>
      <c r="CA19">
        <v>7.5010000000000003</v>
      </c>
      <c r="CB19">
        <v>7.4290000000000003</v>
      </c>
      <c r="CC19">
        <v>7.4290000000000003</v>
      </c>
      <c r="CD19">
        <v>7.4290000000000003</v>
      </c>
      <c r="CE19">
        <v>7.4290000000000003</v>
      </c>
      <c r="CF19">
        <v>7.4290000000000003</v>
      </c>
      <c r="CG19">
        <v>7.4290000000000003</v>
      </c>
      <c r="CH19">
        <v>7.4290000000000003</v>
      </c>
      <c r="CI19">
        <v>7.0389999999999997</v>
      </c>
      <c r="CJ19">
        <v>7.0389999999999997</v>
      </c>
      <c r="CK19">
        <v>7.0389999999999997</v>
      </c>
      <c r="CL19">
        <v>7.0389999999999997</v>
      </c>
      <c r="CM19">
        <v>7.0389999999999997</v>
      </c>
      <c r="CN19">
        <v>7.0389999999999997</v>
      </c>
      <c r="CO19">
        <v>7.0389999999999997</v>
      </c>
      <c r="CP19">
        <v>7.0389999999999997</v>
      </c>
      <c r="CQ19">
        <v>7.0389999999999997</v>
      </c>
      <c r="CR19">
        <v>7.0389999999999997</v>
      </c>
      <c r="CS19">
        <v>7.0389999999999997</v>
      </c>
      <c r="CT19">
        <v>7.0389999999999997</v>
      </c>
      <c r="CU19">
        <v>6.6689999999999996</v>
      </c>
      <c r="CV19">
        <v>6.6689999999999996</v>
      </c>
      <c r="CW19">
        <v>6.6689999999999996</v>
      </c>
      <c r="CX19">
        <v>6.6689999999999996</v>
      </c>
      <c r="CY19">
        <v>6.6689999999999996</v>
      </c>
      <c r="CZ19">
        <v>6.6040000000000001</v>
      </c>
      <c r="DA19">
        <v>6.6040000000000001</v>
      </c>
      <c r="DB19">
        <v>6.6040000000000001</v>
      </c>
      <c r="DC19">
        <v>6.6040000000000001</v>
      </c>
      <c r="DD19">
        <v>6.6040000000000001</v>
      </c>
      <c r="DE19">
        <v>6.6040000000000001</v>
      </c>
      <c r="DF19">
        <v>6.6040000000000001</v>
      </c>
      <c r="DG19">
        <v>6.258</v>
      </c>
      <c r="DH19">
        <v>6.258</v>
      </c>
      <c r="DI19">
        <v>6.258</v>
      </c>
      <c r="DJ19">
        <v>6.258</v>
      </c>
      <c r="DK19">
        <v>6.258</v>
      </c>
      <c r="DL19">
        <v>6.258</v>
      </c>
      <c r="DM19">
        <v>6.258</v>
      </c>
      <c r="DN19">
        <v>6.258</v>
      </c>
      <c r="DO19">
        <v>6.258</v>
      </c>
      <c r="DP19">
        <v>6.258</v>
      </c>
      <c r="DQ19">
        <v>6.258</v>
      </c>
      <c r="DR19">
        <v>6.258</v>
      </c>
      <c r="DS19">
        <v>5.9290000000000003</v>
      </c>
      <c r="DT19">
        <v>5.9290000000000003</v>
      </c>
      <c r="DU19">
        <v>5.9290000000000003</v>
      </c>
      <c r="DV19">
        <v>5.9290000000000003</v>
      </c>
      <c r="DW19">
        <v>5.9290000000000003</v>
      </c>
      <c r="DX19">
        <v>5.8129999999999997</v>
      </c>
      <c r="DY19">
        <v>5.8129999999999997</v>
      </c>
      <c r="DZ19">
        <v>5.8129999999999997</v>
      </c>
      <c r="EA19">
        <v>5.8129999999999997</v>
      </c>
      <c r="EB19">
        <v>5.8129999999999997</v>
      </c>
      <c r="EC19">
        <v>5.8129999999999997</v>
      </c>
      <c r="ED19">
        <v>5.8129999999999997</v>
      </c>
      <c r="EE19">
        <v>5.508</v>
      </c>
      <c r="EF19">
        <v>5.508</v>
      </c>
      <c r="EG19">
        <v>5.508</v>
      </c>
      <c r="EH19">
        <v>5.508</v>
      </c>
      <c r="EI19">
        <v>5.508</v>
      </c>
      <c r="EJ19">
        <v>5.3979999999999997</v>
      </c>
      <c r="EK19">
        <v>5.3979999999999997</v>
      </c>
      <c r="EL19">
        <v>5.3979999999999997</v>
      </c>
      <c r="EM19">
        <v>5.3979999999999997</v>
      </c>
      <c r="EN19">
        <v>5.3979999999999997</v>
      </c>
      <c r="EO19">
        <v>5.3979999999999997</v>
      </c>
      <c r="EP19">
        <v>5.3979999999999997</v>
      </c>
      <c r="EQ19">
        <v>5.1139999999999999</v>
      </c>
      <c r="ER19">
        <v>5.1139999999999999</v>
      </c>
      <c r="ES19">
        <v>5.1139999999999999</v>
      </c>
      <c r="ET19">
        <v>5.1139999999999999</v>
      </c>
      <c r="EU19">
        <v>5.1139999999999999</v>
      </c>
      <c r="EV19">
        <v>5.0620000000000003</v>
      </c>
      <c r="EW19">
        <v>5.0620000000000003</v>
      </c>
      <c r="EX19">
        <v>5.0620000000000003</v>
      </c>
      <c r="EY19">
        <v>5.0620000000000003</v>
      </c>
      <c r="EZ19">
        <v>5.0620000000000003</v>
      </c>
      <c r="FA19">
        <v>5.0620000000000003</v>
      </c>
      <c r="FB19">
        <v>5.0620000000000003</v>
      </c>
      <c r="FC19">
        <v>4.7960000000000003</v>
      </c>
      <c r="FD19">
        <v>4.7960000000000003</v>
      </c>
      <c r="FE19">
        <v>4.7960000000000003</v>
      </c>
      <c r="FF19">
        <v>4.7960000000000003</v>
      </c>
      <c r="FG19">
        <v>4.7960000000000003</v>
      </c>
      <c r="FH19">
        <v>4.5990000000000002</v>
      </c>
      <c r="FI19">
        <v>4.5990000000000002</v>
      </c>
      <c r="FJ19">
        <v>4.5990000000000002</v>
      </c>
      <c r="FK19">
        <v>4.5990000000000002</v>
      </c>
      <c r="FL19">
        <v>4.5990000000000002</v>
      </c>
      <c r="FM19">
        <v>4.5990000000000002</v>
      </c>
      <c r="FN19">
        <v>4.5990000000000002</v>
      </c>
      <c r="FO19">
        <v>4.3570000000000002</v>
      </c>
      <c r="FP19">
        <v>4.3570000000000002</v>
      </c>
      <c r="FQ19">
        <v>4.3570000000000002</v>
      </c>
      <c r="FR19">
        <v>4.3570000000000002</v>
      </c>
      <c r="FS19">
        <v>4.3570000000000002</v>
      </c>
      <c r="FT19">
        <v>4.2169999999999996</v>
      </c>
      <c r="FU19">
        <v>4.2169999999999996</v>
      </c>
      <c r="FV19">
        <v>4.2169999999999996</v>
      </c>
      <c r="FW19">
        <v>4.2169999999999996</v>
      </c>
      <c r="FX19">
        <v>4.2169999999999996</v>
      </c>
      <c r="FY19">
        <v>4.2169999999999996</v>
      </c>
      <c r="FZ19">
        <v>4.2169999999999996</v>
      </c>
      <c r="GA19">
        <v>3.9950000000000001</v>
      </c>
      <c r="GB19">
        <v>3.9950000000000001</v>
      </c>
      <c r="GC19">
        <v>3.9950000000000001</v>
      </c>
      <c r="GD19">
        <v>3.9950000000000001</v>
      </c>
      <c r="GE19">
        <v>3.9950000000000001</v>
      </c>
      <c r="GF19">
        <v>3.7730000000000001</v>
      </c>
      <c r="GG19">
        <v>3.7730000000000001</v>
      </c>
      <c r="GH19">
        <v>3.7730000000000001</v>
      </c>
      <c r="GI19">
        <v>3.7730000000000001</v>
      </c>
      <c r="GJ19">
        <v>3.7730000000000001</v>
      </c>
      <c r="GK19">
        <v>3.7730000000000001</v>
      </c>
      <c r="GL19">
        <v>3.7730000000000001</v>
      </c>
      <c r="GM19">
        <v>3.5750000000000002</v>
      </c>
      <c r="GN19">
        <v>3.5750000000000002</v>
      </c>
      <c r="GO19">
        <v>3.5750000000000002</v>
      </c>
      <c r="GP19">
        <v>3.5750000000000002</v>
      </c>
      <c r="GQ19">
        <v>3.5750000000000002</v>
      </c>
      <c r="GR19">
        <v>3.07</v>
      </c>
      <c r="GS19">
        <v>3.07</v>
      </c>
      <c r="GT19">
        <v>3.07</v>
      </c>
      <c r="GU19">
        <v>3.07</v>
      </c>
      <c r="GV19">
        <v>3.07</v>
      </c>
      <c r="GW19">
        <v>3.07</v>
      </c>
      <c r="GX19">
        <v>3.07</v>
      </c>
      <c r="GY19">
        <v>2.9089999999999998</v>
      </c>
      <c r="GZ19">
        <v>2.9089999999999998</v>
      </c>
      <c r="HA19">
        <v>2.9089999999999998</v>
      </c>
      <c r="HB19">
        <v>2.9089999999999998</v>
      </c>
      <c r="HC19">
        <v>2.9089999999999998</v>
      </c>
      <c r="HD19">
        <v>2.1520000000000001</v>
      </c>
      <c r="HE19">
        <v>2.1520000000000001</v>
      </c>
      <c r="HF19">
        <v>2.1520000000000001</v>
      </c>
      <c r="HG19">
        <v>2.1520000000000001</v>
      </c>
      <c r="HH19">
        <v>2.1520000000000001</v>
      </c>
      <c r="HI19">
        <v>2.1520000000000001</v>
      </c>
      <c r="HJ19">
        <v>2.1520000000000001</v>
      </c>
      <c r="HK19">
        <v>2.0390000000000001</v>
      </c>
      <c r="HL19">
        <v>2.0390000000000001</v>
      </c>
      <c r="HM19">
        <v>2.0390000000000001</v>
      </c>
      <c r="HN19">
        <v>2.0390000000000001</v>
      </c>
      <c r="HO19">
        <v>2.0390000000000001</v>
      </c>
      <c r="HP19">
        <v>1.095</v>
      </c>
      <c r="HQ19">
        <v>1.095</v>
      </c>
      <c r="HR19">
        <v>1.095</v>
      </c>
      <c r="HS19">
        <v>1.095</v>
      </c>
      <c r="HT19">
        <v>1.095</v>
      </c>
      <c r="HU19">
        <v>1.095</v>
      </c>
      <c r="HV19">
        <v>1.095</v>
      </c>
      <c r="HW19">
        <v>1.038</v>
      </c>
      <c r="HX19">
        <v>1.038</v>
      </c>
      <c r="HY19">
        <v>1.038</v>
      </c>
      <c r="HZ19">
        <v>1.038</v>
      </c>
      <c r="IA19">
        <v>1.038</v>
      </c>
      <c r="IB19">
        <v>0</v>
      </c>
      <c r="IC19">
        <v>0</v>
      </c>
      <c r="ID19">
        <v>0</v>
      </c>
      <c r="IE19">
        <v>0</v>
      </c>
      <c r="IF19">
        <v>0</v>
      </c>
      <c r="IG19">
        <v>0</v>
      </c>
      <c r="IH19">
        <v>0</v>
      </c>
      <c r="II19">
        <v>0</v>
      </c>
      <c r="IJ19">
        <v>0</v>
      </c>
      <c r="IK19">
        <v>0</v>
      </c>
      <c r="IL19">
        <v>0</v>
      </c>
      <c r="IM19">
        <v>0</v>
      </c>
      <c r="IN19">
        <v>0</v>
      </c>
      <c r="IO19">
        <v>0</v>
      </c>
      <c r="IP19">
        <v>0</v>
      </c>
      <c r="IQ19">
        <v>0</v>
      </c>
      <c r="IR19">
        <v>0</v>
      </c>
      <c r="IS19">
        <v>0</v>
      </c>
      <c r="IT19">
        <v>0</v>
      </c>
      <c r="IU19">
        <v>0</v>
      </c>
      <c r="IV19">
        <v>0</v>
      </c>
      <c r="IW19">
        <v>0</v>
      </c>
      <c r="IX19">
        <v>0</v>
      </c>
      <c r="IY19">
        <v>0</v>
      </c>
      <c r="IZ19">
        <v>0</v>
      </c>
      <c r="JA19">
        <v>0</v>
      </c>
      <c r="JB19">
        <v>0</v>
      </c>
      <c r="JC19">
        <v>0</v>
      </c>
      <c r="JD19">
        <v>0</v>
      </c>
      <c r="JE19">
        <v>0</v>
      </c>
      <c r="JF19">
        <v>0</v>
      </c>
      <c r="JG19">
        <v>0</v>
      </c>
      <c r="JH19">
        <v>0</v>
      </c>
      <c r="JI19">
        <v>0</v>
      </c>
      <c r="JJ19">
        <v>0</v>
      </c>
      <c r="JK19">
        <v>0</v>
      </c>
      <c r="JL19">
        <v>0</v>
      </c>
      <c r="JM19">
        <v>0</v>
      </c>
      <c r="JN19">
        <v>0</v>
      </c>
      <c r="JO19">
        <v>0</v>
      </c>
      <c r="JP19">
        <v>0</v>
      </c>
      <c r="JQ19">
        <v>0</v>
      </c>
      <c r="JR19">
        <v>0</v>
      </c>
      <c r="JS19">
        <v>0</v>
      </c>
      <c r="JT19">
        <v>0</v>
      </c>
      <c r="JU19">
        <v>0</v>
      </c>
      <c r="JV19">
        <v>0</v>
      </c>
      <c r="JW19">
        <v>0</v>
      </c>
      <c r="JX19">
        <v>0</v>
      </c>
      <c r="JY19">
        <v>0</v>
      </c>
      <c r="JZ19">
        <v>0</v>
      </c>
      <c r="KA19">
        <v>0</v>
      </c>
      <c r="KB19">
        <v>0</v>
      </c>
      <c r="KC19">
        <v>0</v>
      </c>
      <c r="KD19">
        <v>0</v>
      </c>
      <c r="KE19">
        <v>0</v>
      </c>
      <c r="KF19">
        <v>0</v>
      </c>
      <c r="KG19">
        <v>0</v>
      </c>
      <c r="KH19">
        <v>0</v>
      </c>
      <c r="KI19">
        <v>0</v>
      </c>
      <c r="KJ19">
        <v>0</v>
      </c>
      <c r="KK19">
        <v>0</v>
      </c>
      <c r="KL19">
        <v>0</v>
      </c>
      <c r="KM19">
        <v>0</v>
      </c>
      <c r="KN19">
        <v>0</v>
      </c>
      <c r="KO19">
        <v>0</v>
      </c>
      <c r="KP19">
        <v>0</v>
      </c>
      <c r="KQ19">
        <v>0</v>
      </c>
      <c r="KR19">
        <v>0</v>
      </c>
      <c r="KS19">
        <v>0</v>
      </c>
      <c r="KT19">
        <v>0</v>
      </c>
      <c r="KU19">
        <v>0</v>
      </c>
      <c r="KV19">
        <v>0</v>
      </c>
      <c r="KW19">
        <v>0</v>
      </c>
      <c r="KX19">
        <v>0</v>
      </c>
      <c r="KY19">
        <v>0</v>
      </c>
      <c r="KZ19">
        <v>0</v>
      </c>
      <c r="LA19">
        <v>0</v>
      </c>
      <c r="LB19">
        <v>0</v>
      </c>
      <c r="LC19">
        <v>0</v>
      </c>
      <c r="LD19">
        <v>0</v>
      </c>
      <c r="LE19">
        <v>0</v>
      </c>
      <c r="LF19">
        <v>0</v>
      </c>
      <c r="LG19">
        <v>0</v>
      </c>
      <c r="LH19">
        <v>0</v>
      </c>
      <c r="LI19">
        <v>0</v>
      </c>
      <c r="LJ19">
        <v>0</v>
      </c>
      <c r="LK19">
        <v>0</v>
      </c>
      <c r="LL19">
        <v>0</v>
      </c>
      <c r="LM19">
        <v>0</v>
      </c>
      <c r="LN19">
        <v>0</v>
      </c>
      <c r="LO19">
        <v>0</v>
      </c>
      <c r="LP19">
        <v>0</v>
      </c>
      <c r="LQ19">
        <v>0</v>
      </c>
      <c r="LR19">
        <v>0</v>
      </c>
      <c r="LS19">
        <v>0</v>
      </c>
      <c r="LT19">
        <v>0</v>
      </c>
      <c r="LU19">
        <v>0</v>
      </c>
      <c r="LV19">
        <v>0</v>
      </c>
      <c r="LW19">
        <v>0</v>
      </c>
      <c r="LX19">
        <v>0</v>
      </c>
      <c r="LY19">
        <v>0</v>
      </c>
      <c r="LZ19">
        <v>0</v>
      </c>
      <c r="MA19">
        <v>0</v>
      </c>
      <c r="MB19">
        <v>0</v>
      </c>
      <c r="MC19">
        <v>0</v>
      </c>
      <c r="MD19">
        <v>0</v>
      </c>
      <c r="ME19">
        <v>0</v>
      </c>
      <c r="MF19">
        <v>0</v>
      </c>
      <c r="MG19">
        <v>0</v>
      </c>
      <c r="MH19">
        <v>0</v>
      </c>
      <c r="MI19">
        <v>0</v>
      </c>
      <c r="MJ19">
        <v>0</v>
      </c>
      <c r="MK19">
        <v>0</v>
      </c>
      <c r="ML19">
        <v>0</v>
      </c>
      <c r="MM19">
        <v>0</v>
      </c>
      <c r="MN19">
        <v>0</v>
      </c>
      <c r="MO19">
        <v>0</v>
      </c>
      <c r="MP19">
        <v>0</v>
      </c>
      <c r="MQ19">
        <v>0</v>
      </c>
      <c r="MR19">
        <v>0</v>
      </c>
      <c r="MS19">
        <v>0</v>
      </c>
      <c r="MT19">
        <v>0</v>
      </c>
      <c r="MU19">
        <v>0</v>
      </c>
      <c r="MV19">
        <v>0</v>
      </c>
      <c r="MW19">
        <v>0</v>
      </c>
      <c r="MX19">
        <v>0</v>
      </c>
      <c r="MY19">
        <v>0</v>
      </c>
      <c r="MZ19">
        <v>0</v>
      </c>
      <c r="NA19">
        <v>0</v>
      </c>
      <c r="NB19">
        <v>0</v>
      </c>
      <c r="NC19">
        <v>0</v>
      </c>
      <c r="ND19">
        <v>0</v>
      </c>
      <c r="NE19">
        <v>0</v>
      </c>
      <c r="NF19">
        <v>0</v>
      </c>
      <c r="NG19">
        <v>0</v>
      </c>
      <c r="NH19">
        <v>0</v>
      </c>
      <c r="NI19">
        <v>0</v>
      </c>
      <c r="NJ19">
        <v>0</v>
      </c>
      <c r="NK19">
        <v>0</v>
      </c>
      <c r="NL19">
        <v>0</v>
      </c>
      <c r="NM19">
        <v>0</v>
      </c>
      <c r="NN19">
        <v>0</v>
      </c>
      <c r="NO19">
        <v>0</v>
      </c>
      <c r="NP19">
        <v>0</v>
      </c>
      <c r="NQ19">
        <v>0</v>
      </c>
      <c r="NR19">
        <v>0</v>
      </c>
      <c r="NU19">
        <v>8</v>
      </c>
      <c r="NV19">
        <v>2025</v>
      </c>
      <c r="NW19" s="188">
        <v>45809</v>
      </c>
      <c r="NX19" s="188">
        <v>46173</v>
      </c>
      <c r="NY19">
        <v>10.5</v>
      </c>
    </row>
    <row r="20" spans="1:389" x14ac:dyDescent="0.4">
      <c r="A20" t="s">
        <v>560</v>
      </c>
      <c r="C20">
        <v>0</v>
      </c>
      <c r="D20">
        <v>6.444</v>
      </c>
      <c r="E20">
        <v>6.444</v>
      </c>
      <c r="F20">
        <v>6.444</v>
      </c>
      <c r="G20">
        <v>6.444</v>
      </c>
      <c r="H20">
        <v>6.444</v>
      </c>
      <c r="I20">
        <v>6.444</v>
      </c>
      <c r="J20">
        <v>6.444</v>
      </c>
      <c r="K20">
        <v>6.444</v>
      </c>
      <c r="L20">
        <v>6.444</v>
      </c>
      <c r="M20">
        <v>6.444</v>
      </c>
      <c r="N20">
        <v>6.444</v>
      </c>
      <c r="O20">
        <v>6.0739999999999998</v>
      </c>
      <c r="P20">
        <v>6.0739999999999998</v>
      </c>
      <c r="Q20">
        <v>6.0739999999999998</v>
      </c>
      <c r="R20">
        <v>6.0739999999999998</v>
      </c>
      <c r="S20">
        <v>6.0739999999999998</v>
      </c>
      <c r="T20">
        <v>6.0739999999999998</v>
      </c>
      <c r="U20">
        <v>6.0739999999999998</v>
      </c>
      <c r="V20">
        <v>6.0739999999999998</v>
      </c>
      <c r="W20">
        <v>6.0739999999999998</v>
      </c>
      <c r="X20">
        <v>6.0739999999999998</v>
      </c>
      <c r="Y20">
        <v>6.0739999999999998</v>
      </c>
      <c r="Z20">
        <v>6.0739999999999998</v>
      </c>
      <c r="AA20">
        <v>5.7240000000000002</v>
      </c>
      <c r="AB20">
        <v>5.67</v>
      </c>
      <c r="AC20">
        <v>5.67</v>
      </c>
      <c r="AD20">
        <v>5.67</v>
      </c>
      <c r="AE20">
        <v>5.67</v>
      </c>
      <c r="AF20">
        <v>5.67</v>
      </c>
      <c r="AG20">
        <v>5.67</v>
      </c>
      <c r="AH20">
        <v>5.67</v>
      </c>
      <c r="AI20">
        <v>5.67</v>
      </c>
      <c r="AJ20">
        <v>5.67</v>
      </c>
      <c r="AK20">
        <v>5.67</v>
      </c>
      <c r="AL20">
        <v>5.67</v>
      </c>
      <c r="AM20">
        <v>5.3440000000000003</v>
      </c>
      <c r="AN20">
        <v>5.3440000000000003</v>
      </c>
      <c r="AO20">
        <v>5.3440000000000003</v>
      </c>
      <c r="AP20">
        <v>5.3440000000000003</v>
      </c>
      <c r="AQ20">
        <v>5.3440000000000003</v>
      </c>
      <c r="AR20">
        <v>5.3440000000000003</v>
      </c>
      <c r="AS20">
        <v>5.3440000000000003</v>
      </c>
      <c r="AT20">
        <v>5.3440000000000003</v>
      </c>
      <c r="AU20">
        <v>5.3440000000000003</v>
      </c>
      <c r="AV20">
        <v>5.3440000000000003</v>
      </c>
      <c r="AW20">
        <v>5.3440000000000003</v>
      </c>
      <c r="AX20">
        <v>5.3440000000000003</v>
      </c>
      <c r="AY20">
        <v>5.0369999999999999</v>
      </c>
      <c r="AZ20">
        <v>5.0369999999999999</v>
      </c>
      <c r="BA20">
        <v>5.0369999999999999</v>
      </c>
      <c r="BB20">
        <v>5.0369999999999999</v>
      </c>
      <c r="BC20">
        <v>5.0369999999999999</v>
      </c>
      <c r="BD20">
        <v>5.0369999999999999</v>
      </c>
      <c r="BE20">
        <v>5.0369999999999999</v>
      </c>
      <c r="BF20">
        <v>5.0369999999999999</v>
      </c>
      <c r="BG20">
        <v>5.0369999999999999</v>
      </c>
      <c r="BH20">
        <v>5.0369999999999999</v>
      </c>
      <c r="BI20">
        <v>5.0369999999999999</v>
      </c>
      <c r="BJ20">
        <v>5.0369999999999999</v>
      </c>
      <c r="BK20">
        <v>4.7469999999999999</v>
      </c>
      <c r="BL20">
        <v>4.7469999999999999</v>
      </c>
      <c r="BM20">
        <v>4.7469999999999999</v>
      </c>
      <c r="BN20">
        <v>4.7469999999999999</v>
      </c>
      <c r="BO20">
        <v>4.7469999999999999</v>
      </c>
      <c r="BP20">
        <v>4.7469999999999999</v>
      </c>
      <c r="BQ20">
        <v>4.7469999999999999</v>
      </c>
      <c r="BR20">
        <v>4.7469999999999999</v>
      </c>
      <c r="BS20">
        <v>4.7469999999999999</v>
      </c>
      <c r="BT20">
        <v>4.7469999999999999</v>
      </c>
      <c r="BU20">
        <v>4.7469999999999999</v>
      </c>
      <c r="BV20">
        <v>4.7469999999999999</v>
      </c>
      <c r="BW20">
        <v>4.4740000000000002</v>
      </c>
      <c r="BX20">
        <v>4.431</v>
      </c>
      <c r="BY20">
        <v>4.431</v>
      </c>
      <c r="BZ20">
        <v>4.431</v>
      </c>
      <c r="CA20">
        <v>4.431</v>
      </c>
      <c r="CB20">
        <v>4.431</v>
      </c>
      <c r="CC20">
        <v>4.431</v>
      </c>
      <c r="CD20">
        <v>4.431</v>
      </c>
      <c r="CE20">
        <v>4.431</v>
      </c>
      <c r="CF20">
        <v>4.431</v>
      </c>
      <c r="CG20">
        <v>4.431</v>
      </c>
      <c r="CH20">
        <v>4.431</v>
      </c>
      <c r="CI20">
        <v>4.1760000000000002</v>
      </c>
      <c r="CJ20">
        <v>4.1760000000000002</v>
      </c>
      <c r="CK20">
        <v>4.1760000000000002</v>
      </c>
      <c r="CL20">
        <v>4.1760000000000002</v>
      </c>
      <c r="CM20">
        <v>4.1760000000000002</v>
      </c>
      <c r="CN20">
        <v>4.1760000000000002</v>
      </c>
      <c r="CO20">
        <v>4.1760000000000002</v>
      </c>
      <c r="CP20">
        <v>4.1760000000000002</v>
      </c>
      <c r="CQ20">
        <v>4.1760000000000002</v>
      </c>
      <c r="CR20">
        <v>4.1760000000000002</v>
      </c>
      <c r="CS20">
        <v>4.1760000000000002</v>
      </c>
      <c r="CT20">
        <v>4.1760000000000002</v>
      </c>
      <c r="CU20">
        <v>3.9359999999999999</v>
      </c>
      <c r="CV20">
        <v>3.8980000000000001</v>
      </c>
      <c r="CW20">
        <v>3.8980000000000001</v>
      </c>
      <c r="CX20">
        <v>3.8980000000000001</v>
      </c>
      <c r="CY20">
        <v>3.8980000000000001</v>
      </c>
      <c r="CZ20">
        <v>3.8980000000000001</v>
      </c>
      <c r="DA20">
        <v>3.8980000000000001</v>
      </c>
      <c r="DB20">
        <v>3.8980000000000001</v>
      </c>
      <c r="DC20">
        <v>3.8980000000000001</v>
      </c>
      <c r="DD20">
        <v>3.8980000000000001</v>
      </c>
      <c r="DE20">
        <v>3.8980000000000001</v>
      </c>
      <c r="DF20">
        <v>3.8980000000000001</v>
      </c>
      <c r="DG20">
        <v>3.6739999999999999</v>
      </c>
      <c r="DH20">
        <v>3.6739999999999999</v>
      </c>
      <c r="DI20">
        <v>3.6739999999999999</v>
      </c>
      <c r="DJ20">
        <v>3.6739999999999999</v>
      </c>
      <c r="DK20">
        <v>3.6739999999999999</v>
      </c>
      <c r="DL20">
        <v>3.6739999999999999</v>
      </c>
      <c r="DM20">
        <v>3.6739999999999999</v>
      </c>
      <c r="DN20">
        <v>3.6739999999999999</v>
      </c>
      <c r="DO20">
        <v>3.6739999999999999</v>
      </c>
      <c r="DP20">
        <v>3.6739999999999999</v>
      </c>
      <c r="DQ20">
        <v>3.6739999999999999</v>
      </c>
      <c r="DR20">
        <v>3.6739999999999999</v>
      </c>
      <c r="DS20">
        <v>3.4630000000000001</v>
      </c>
      <c r="DT20">
        <v>3.395</v>
      </c>
      <c r="DU20">
        <v>3.395</v>
      </c>
      <c r="DV20">
        <v>3.395</v>
      </c>
      <c r="DW20">
        <v>3.395</v>
      </c>
      <c r="DX20">
        <v>3.395</v>
      </c>
      <c r="DY20">
        <v>3.395</v>
      </c>
      <c r="DZ20">
        <v>3.395</v>
      </c>
      <c r="EA20">
        <v>3.395</v>
      </c>
      <c r="EB20">
        <v>3.395</v>
      </c>
      <c r="EC20">
        <v>3.395</v>
      </c>
      <c r="ED20">
        <v>3.395</v>
      </c>
      <c r="EE20">
        <v>3.1989999999999998</v>
      </c>
      <c r="EF20">
        <v>3.1349999999999998</v>
      </c>
      <c r="EG20">
        <v>3.1349999999999998</v>
      </c>
      <c r="EH20">
        <v>3.1349999999999998</v>
      </c>
      <c r="EI20">
        <v>3.1349999999999998</v>
      </c>
      <c r="EJ20">
        <v>3.1349999999999998</v>
      </c>
      <c r="EK20">
        <v>3.1349999999999998</v>
      </c>
      <c r="EL20">
        <v>3.1349999999999998</v>
      </c>
      <c r="EM20">
        <v>3.1349999999999998</v>
      </c>
      <c r="EN20">
        <v>3.1349999999999998</v>
      </c>
      <c r="EO20">
        <v>3.1349999999999998</v>
      </c>
      <c r="EP20">
        <v>3.1349999999999998</v>
      </c>
      <c r="EQ20">
        <v>2.9550000000000001</v>
      </c>
      <c r="ER20">
        <v>2.9249999999999998</v>
      </c>
      <c r="ES20">
        <v>2.9249999999999998</v>
      </c>
      <c r="ET20">
        <v>2.9249999999999998</v>
      </c>
      <c r="EU20">
        <v>2.9249999999999998</v>
      </c>
      <c r="EV20">
        <v>2.9249999999999998</v>
      </c>
      <c r="EW20">
        <v>2.9249999999999998</v>
      </c>
      <c r="EX20">
        <v>2.9249999999999998</v>
      </c>
      <c r="EY20">
        <v>2.9249999999999998</v>
      </c>
      <c r="EZ20">
        <v>2.9249999999999998</v>
      </c>
      <c r="FA20">
        <v>2.9249999999999998</v>
      </c>
      <c r="FB20">
        <v>2.9249999999999998</v>
      </c>
      <c r="FC20">
        <v>2.7570000000000001</v>
      </c>
      <c r="FD20">
        <v>2.6429999999999998</v>
      </c>
      <c r="FE20">
        <v>2.6429999999999998</v>
      </c>
      <c r="FF20">
        <v>2.6429999999999998</v>
      </c>
      <c r="FG20">
        <v>2.6429999999999998</v>
      </c>
      <c r="FH20">
        <v>2.6429999999999998</v>
      </c>
      <c r="FI20">
        <v>2.6429999999999998</v>
      </c>
      <c r="FJ20">
        <v>2.6429999999999998</v>
      </c>
      <c r="FK20">
        <v>2.6429999999999998</v>
      </c>
      <c r="FL20">
        <v>2.6429999999999998</v>
      </c>
      <c r="FM20">
        <v>2.6429999999999998</v>
      </c>
      <c r="FN20">
        <v>2.6429999999999998</v>
      </c>
      <c r="FO20">
        <v>2.4910000000000001</v>
      </c>
      <c r="FP20">
        <v>2.411</v>
      </c>
      <c r="FQ20">
        <v>2.411</v>
      </c>
      <c r="FR20">
        <v>2.411</v>
      </c>
      <c r="FS20">
        <v>2.411</v>
      </c>
      <c r="FT20">
        <v>2.411</v>
      </c>
      <c r="FU20">
        <v>2.411</v>
      </c>
      <c r="FV20">
        <v>2.411</v>
      </c>
      <c r="FW20">
        <v>2.411</v>
      </c>
      <c r="FX20">
        <v>2.411</v>
      </c>
      <c r="FY20">
        <v>2.411</v>
      </c>
      <c r="FZ20">
        <v>2.411</v>
      </c>
      <c r="GA20">
        <v>2.2719999999999998</v>
      </c>
      <c r="GB20">
        <v>2.1459999999999999</v>
      </c>
      <c r="GC20">
        <v>2.1459999999999999</v>
      </c>
      <c r="GD20">
        <v>2.1459999999999999</v>
      </c>
      <c r="GE20">
        <v>2.1459999999999999</v>
      </c>
      <c r="GF20">
        <v>2.1459999999999999</v>
      </c>
      <c r="GG20">
        <v>2.1459999999999999</v>
      </c>
      <c r="GH20">
        <v>2.1459999999999999</v>
      </c>
      <c r="GI20">
        <v>2.1459999999999999</v>
      </c>
      <c r="GJ20">
        <v>2.1459999999999999</v>
      </c>
      <c r="GK20">
        <v>2.1459999999999999</v>
      </c>
      <c r="GL20">
        <v>2.1459999999999999</v>
      </c>
      <c r="GM20">
        <v>2.0230000000000001</v>
      </c>
      <c r="GN20">
        <v>1.7370000000000001</v>
      </c>
      <c r="GO20">
        <v>1.7370000000000001</v>
      </c>
      <c r="GP20">
        <v>1.7370000000000001</v>
      </c>
      <c r="GQ20">
        <v>1.7370000000000001</v>
      </c>
      <c r="GR20">
        <v>1.7370000000000001</v>
      </c>
      <c r="GS20">
        <v>1.7370000000000001</v>
      </c>
      <c r="GT20">
        <v>1.7370000000000001</v>
      </c>
      <c r="GU20">
        <v>1.7370000000000001</v>
      </c>
      <c r="GV20">
        <v>1.7370000000000001</v>
      </c>
      <c r="GW20">
        <v>1.7370000000000001</v>
      </c>
      <c r="GX20">
        <v>1.7370000000000001</v>
      </c>
      <c r="GY20">
        <v>1.637</v>
      </c>
      <c r="GZ20">
        <v>1.2110000000000001</v>
      </c>
      <c r="HA20">
        <v>1.2110000000000001</v>
      </c>
      <c r="HB20">
        <v>1.2110000000000001</v>
      </c>
      <c r="HC20">
        <v>1.2110000000000001</v>
      </c>
      <c r="HD20">
        <v>1.2110000000000001</v>
      </c>
      <c r="HE20">
        <v>1.2110000000000001</v>
      </c>
      <c r="HF20">
        <v>1.2110000000000001</v>
      </c>
      <c r="HG20">
        <v>1.2110000000000001</v>
      </c>
      <c r="HH20">
        <v>1.2110000000000001</v>
      </c>
      <c r="HI20">
        <v>1.2110000000000001</v>
      </c>
      <c r="HJ20">
        <v>1.2110000000000001</v>
      </c>
      <c r="HK20">
        <v>1.141</v>
      </c>
      <c r="HL20">
        <v>0.61299999999999999</v>
      </c>
      <c r="HM20">
        <v>0.61299999999999999</v>
      </c>
      <c r="HN20">
        <v>0.61299999999999999</v>
      </c>
      <c r="HO20">
        <v>0.61299999999999999</v>
      </c>
      <c r="HP20">
        <v>0.61299999999999999</v>
      </c>
      <c r="HQ20">
        <v>0.61299999999999999</v>
      </c>
      <c r="HR20">
        <v>0.61299999999999999</v>
      </c>
      <c r="HS20">
        <v>0.61299999999999999</v>
      </c>
      <c r="HT20">
        <v>0.61299999999999999</v>
      </c>
      <c r="HU20">
        <v>0.61299999999999999</v>
      </c>
      <c r="HV20">
        <v>0.61299999999999999</v>
      </c>
      <c r="HW20">
        <v>0.57799999999999996</v>
      </c>
      <c r="HX20">
        <v>0</v>
      </c>
      <c r="HY20">
        <v>0</v>
      </c>
      <c r="HZ20">
        <v>0</v>
      </c>
      <c r="IA20">
        <v>0</v>
      </c>
      <c r="IB20">
        <v>0</v>
      </c>
      <c r="IC20">
        <v>0</v>
      </c>
      <c r="ID20">
        <v>0</v>
      </c>
      <c r="IE20">
        <v>0</v>
      </c>
      <c r="IF20">
        <v>0</v>
      </c>
      <c r="IG20">
        <v>0</v>
      </c>
      <c r="IH20">
        <v>0</v>
      </c>
      <c r="II20">
        <v>0</v>
      </c>
      <c r="IJ20">
        <v>0</v>
      </c>
      <c r="IK20">
        <v>0</v>
      </c>
      <c r="IL20">
        <v>0</v>
      </c>
      <c r="IM20">
        <v>0</v>
      </c>
      <c r="IN20">
        <v>0</v>
      </c>
      <c r="IO20">
        <v>0</v>
      </c>
      <c r="IP20">
        <v>0</v>
      </c>
      <c r="IQ20">
        <v>0</v>
      </c>
      <c r="IR20">
        <v>0</v>
      </c>
      <c r="IS20">
        <v>0</v>
      </c>
      <c r="IT20">
        <v>0</v>
      </c>
      <c r="IU20">
        <v>0</v>
      </c>
      <c r="IV20">
        <v>0</v>
      </c>
      <c r="IW20">
        <v>0</v>
      </c>
      <c r="IX20">
        <v>0</v>
      </c>
      <c r="IY20">
        <v>0</v>
      </c>
      <c r="IZ20">
        <v>0</v>
      </c>
      <c r="JA20">
        <v>0</v>
      </c>
      <c r="JB20">
        <v>0</v>
      </c>
      <c r="JC20">
        <v>0</v>
      </c>
      <c r="JD20">
        <v>0</v>
      </c>
      <c r="JE20">
        <v>0</v>
      </c>
      <c r="JF20">
        <v>0</v>
      </c>
      <c r="JG20">
        <v>0</v>
      </c>
      <c r="JH20">
        <v>0</v>
      </c>
      <c r="JI20">
        <v>0</v>
      </c>
      <c r="JJ20">
        <v>0</v>
      </c>
      <c r="JK20">
        <v>0</v>
      </c>
      <c r="JL20">
        <v>0</v>
      </c>
      <c r="JM20">
        <v>0</v>
      </c>
      <c r="JN20">
        <v>0</v>
      </c>
      <c r="JO20">
        <v>0</v>
      </c>
      <c r="JP20">
        <v>0</v>
      </c>
      <c r="JQ20">
        <v>0</v>
      </c>
      <c r="JR20">
        <v>0</v>
      </c>
      <c r="JS20">
        <v>0</v>
      </c>
      <c r="JT20">
        <v>0</v>
      </c>
      <c r="JU20">
        <v>0</v>
      </c>
      <c r="JV20">
        <v>0</v>
      </c>
      <c r="JW20">
        <v>0</v>
      </c>
      <c r="JX20">
        <v>0</v>
      </c>
      <c r="JY20">
        <v>0</v>
      </c>
      <c r="JZ20">
        <v>0</v>
      </c>
      <c r="KA20">
        <v>0</v>
      </c>
      <c r="KB20">
        <v>0</v>
      </c>
      <c r="KC20">
        <v>0</v>
      </c>
      <c r="KD20">
        <v>0</v>
      </c>
      <c r="KE20">
        <v>0</v>
      </c>
      <c r="KF20">
        <v>0</v>
      </c>
      <c r="KG20">
        <v>0</v>
      </c>
      <c r="KH20">
        <v>0</v>
      </c>
      <c r="KI20">
        <v>0</v>
      </c>
      <c r="KJ20">
        <v>0</v>
      </c>
      <c r="KK20">
        <v>0</v>
      </c>
      <c r="KL20">
        <v>0</v>
      </c>
      <c r="KM20">
        <v>0</v>
      </c>
      <c r="KN20">
        <v>0</v>
      </c>
      <c r="KO20">
        <v>0</v>
      </c>
      <c r="KP20">
        <v>0</v>
      </c>
      <c r="KQ20">
        <v>0</v>
      </c>
      <c r="KR20">
        <v>0</v>
      </c>
      <c r="KS20">
        <v>0</v>
      </c>
      <c r="KT20">
        <v>0</v>
      </c>
      <c r="KU20">
        <v>0</v>
      </c>
      <c r="KV20">
        <v>0</v>
      </c>
      <c r="KW20">
        <v>0</v>
      </c>
      <c r="KX20">
        <v>0</v>
      </c>
      <c r="KY20">
        <v>0</v>
      </c>
      <c r="KZ20">
        <v>0</v>
      </c>
      <c r="LA20">
        <v>0</v>
      </c>
      <c r="LB20">
        <v>0</v>
      </c>
      <c r="LC20">
        <v>0</v>
      </c>
      <c r="LD20">
        <v>0</v>
      </c>
      <c r="LE20">
        <v>0</v>
      </c>
      <c r="LF20">
        <v>0</v>
      </c>
      <c r="LG20">
        <v>0</v>
      </c>
      <c r="LH20">
        <v>0</v>
      </c>
      <c r="LI20">
        <v>0</v>
      </c>
      <c r="LJ20">
        <v>0</v>
      </c>
      <c r="LK20">
        <v>0</v>
      </c>
      <c r="LL20">
        <v>0</v>
      </c>
      <c r="LM20">
        <v>0</v>
      </c>
      <c r="LN20">
        <v>0</v>
      </c>
      <c r="LO20">
        <v>0</v>
      </c>
      <c r="LP20">
        <v>0</v>
      </c>
      <c r="LQ20">
        <v>0</v>
      </c>
      <c r="LR20">
        <v>0</v>
      </c>
      <c r="LS20">
        <v>0</v>
      </c>
      <c r="LT20">
        <v>0</v>
      </c>
      <c r="LU20">
        <v>0</v>
      </c>
      <c r="LV20">
        <v>0</v>
      </c>
      <c r="LW20">
        <v>0</v>
      </c>
      <c r="LX20">
        <v>0</v>
      </c>
      <c r="LY20">
        <v>0</v>
      </c>
      <c r="LZ20">
        <v>0</v>
      </c>
      <c r="MA20">
        <v>0</v>
      </c>
      <c r="MB20">
        <v>0</v>
      </c>
      <c r="MC20">
        <v>0</v>
      </c>
      <c r="MD20">
        <v>0</v>
      </c>
      <c r="ME20">
        <v>0</v>
      </c>
      <c r="MF20">
        <v>0</v>
      </c>
      <c r="MG20">
        <v>0</v>
      </c>
      <c r="MH20">
        <v>0</v>
      </c>
      <c r="MI20">
        <v>0</v>
      </c>
      <c r="MJ20">
        <v>0</v>
      </c>
      <c r="MK20">
        <v>0</v>
      </c>
      <c r="ML20">
        <v>0</v>
      </c>
      <c r="MM20">
        <v>0</v>
      </c>
      <c r="MN20">
        <v>0</v>
      </c>
      <c r="MO20">
        <v>0</v>
      </c>
      <c r="MP20">
        <v>0</v>
      </c>
      <c r="MQ20">
        <v>0</v>
      </c>
      <c r="MR20">
        <v>0</v>
      </c>
      <c r="MS20">
        <v>0</v>
      </c>
      <c r="MT20">
        <v>0</v>
      </c>
      <c r="MU20">
        <v>0</v>
      </c>
      <c r="MV20">
        <v>0</v>
      </c>
      <c r="MW20">
        <v>0</v>
      </c>
      <c r="MX20">
        <v>0</v>
      </c>
      <c r="MY20">
        <v>0</v>
      </c>
      <c r="MZ20">
        <v>0</v>
      </c>
      <c r="NA20">
        <v>0</v>
      </c>
      <c r="NB20">
        <v>0</v>
      </c>
      <c r="NC20">
        <v>0</v>
      </c>
      <c r="ND20">
        <v>0</v>
      </c>
      <c r="NE20">
        <v>0</v>
      </c>
      <c r="NF20">
        <v>0</v>
      </c>
      <c r="NG20">
        <v>0</v>
      </c>
      <c r="NH20">
        <v>0</v>
      </c>
      <c r="NI20">
        <v>0</v>
      </c>
      <c r="NJ20">
        <v>0</v>
      </c>
      <c r="NK20">
        <v>0</v>
      </c>
      <c r="NL20">
        <v>0</v>
      </c>
      <c r="NM20">
        <v>0</v>
      </c>
      <c r="NN20">
        <v>0</v>
      </c>
      <c r="NO20">
        <v>0</v>
      </c>
      <c r="NP20">
        <v>0</v>
      </c>
      <c r="NQ20">
        <v>0</v>
      </c>
      <c r="NR20">
        <v>0</v>
      </c>
      <c r="NU20">
        <v>8</v>
      </c>
      <c r="NV20">
        <v>2026</v>
      </c>
      <c r="NW20" s="188">
        <v>46174</v>
      </c>
      <c r="NX20" s="188">
        <v>46538</v>
      </c>
      <c r="NY20">
        <v>10.5</v>
      </c>
    </row>
    <row r="21" spans="1:389" x14ac:dyDescent="0.4">
      <c r="NU21">
        <v>8</v>
      </c>
      <c r="NV21">
        <v>2027</v>
      </c>
      <c r="NW21" s="188">
        <v>46539</v>
      </c>
      <c r="NX21" s="188">
        <v>46904</v>
      </c>
      <c r="NY21">
        <v>10.5</v>
      </c>
    </row>
    <row r="22" spans="1:389" x14ac:dyDescent="0.4">
      <c r="A22" t="s">
        <v>561</v>
      </c>
      <c r="C22" s="189">
        <v>17.494070000000001</v>
      </c>
      <c r="D22" s="189">
        <v>17.537751400000001</v>
      </c>
      <c r="E22" s="189">
        <v>17.537751400000001</v>
      </c>
      <c r="F22" s="189">
        <v>17.537751400000001</v>
      </c>
      <c r="G22" s="189">
        <v>17.537751400000001</v>
      </c>
      <c r="H22" s="189">
        <v>17.537751400000001</v>
      </c>
      <c r="I22" s="189">
        <v>17.537751400000001</v>
      </c>
      <c r="J22" s="189">
        <v>17.537751400000001</v>
      </c>
      <c r="K22" s="189">
        <v>17.537751400000001</v>
      </c>
      <c r="L22" s="189">
        <v>17.537751400000001</v>
      </c>
      <c r="M22" s="189">
        <v>17.537751400000001</v>
      </c>
      <c r="N22" s="189">
        <v>17.537751400000001</v>
      </c>
      <c r="O22" s="189">
        <v>18.357751399999998</v>
      </c>
      <c r="P22" s="189">
        <v>18.402306427999999</v>
      </c>
      <c r="Q22" s="189">
        <v>18.402306427999999</v>
      </c>
      <c r="R22" s="189">
        <v>18.402306427999999</v>
      </c>
      <c r="S22" s="189">
        <v>18.402306427999999</v>
      </c>
      <c r="T22" s="189">
        <v>18.402306427999999</v>
      </c>
      <c r="U22" s="189">
        <v>18.402306427999999</v>
      </c>
      <c r="V22" s="189">
        <v>18.402306427999999</v>
      </c>
      <c r="W22" s="189">
        <v>18.402306427999999</v>
      </c>
      <c r="X22" s="189">
        <v>18.402306427999999</v>
      </c>
      <c r="Y22" s="189">
        <v>18.402306427999999</v>
      </c>
      <c r="Z22" s="189">
        <v>18.402306427999999</v>
      </c>
      <c r="AA22" s="189">
        <v>19.302306428000001</v>
      </c>
      <c r="AB22" s="189">
        <v>19.34775255656</v>
      </c>
      <c r="AC22" s="189">
        <v>19.34775255656</v>
      </c>
      <c r="AD22" s="189">
        <v>19.34775255656</v>
      </c>
      <c r="AE22" s="189">
        <v>19.34775255656</v>
      </c>
      <c r="AF22" s="189">
        <v>19.34775255656</v>
      </c>
      <c r="AG22" s="189">
        <v>19.34775255656</v>
      </c>
      <c r="AH22" s="189">
        <v>19.34775255656</v>
      </c>
      <c r="AI22" s="189">
        <v>19.34775255656</v>
      </c>
      <c r="AJ22" s="189">
        <v>19.34775255656</v>
      </c>
      <c r="AK22" s="189">
        <v>19.34775255656</v>
      </c>
      <c r="AL22" s="189">
        <v>19.34775255656</v>
      </c>
      <c r="AM22" s="189">
        <v>20.16775255656</v>
      </c>
      <c r="AN22" s="189">
        <v>20.214107607691201</v>
      </c>
      <c r="AO22" s="189">
        <v>20.214107607691201</v>
      </c>
      <c r="AP22" s="189">
        <v>20.214107607691201</v>
      </c>
      <c r="AQ22" s="189">
        <v>20.214107607691201</v>
      </c>
      <c r="AR22" s="189">
        <v>20.214107607691201</v>
      </c>
      <c r="AS22" s="189">
        <v>20.214107607691201</v>
      </c>
      <c r="AT22" s="189">
        <v>20.214107607691201</v>
      </c>
      <c r="AU22" s="189">
        <v>20.214107607691201</v>
      </c>
      <c r="AV22" s="189">
        <v>20.214107607691201</v>
      </c>
      <c r="AW22" s="189">
        <v>20.214107607691201</v>
      </c>
      <c r="AX22" s="189">
        <v>20.214107607691201</v>
      </c>
      <c r="AY22" s="189">
        <v>20.6641076076912</v>
      </c>
      <c r="AZ22" s="189">
        <v>20.711389759845027</v>
      </c>
      <c r="BA22" s="189">
        <v>20.711389759845027</v>
      </c>
      <c r="BB22" s="189">
        <v>20.711389759845027</v>
      </c>
      <c r="BC22" s="189">
        <v>20.711389759845027</v>
      </c>
      <c r="BD22" s="189">
        <v>20.711389759845027</v>
      </c>
      <c r="BE22" s="189">
        <v>20.711389759845027</v>
      </c>
      <c r="BF22" s="189">
        <v>20.711389759845027</v>
      </c>
      <c r="BG22" s="189">
        <v>20.711389759845027</v>
      </c>
      <c r="BH22" s="189">
        <v>20.711389759845027</v>
      </c>
      <c r="BI22" s="189">
        <v>20.711389759845027</v>
      </c>
      <c r="BJ22" s="189">
        <v>20.711389759845027</v>
      </c>
      <c r="BK22" s="189">
        <v>20.981389759845023</v>
      </c>
      <c r="BL22" s="189">
        <v>21.029617555041924</v>
      </c>
      <c r="BM22" s="189">
        <v>21.029617555041924</v>
      </c>
      <c r="BN22" s="189">
        <v>21.029617555041924</v>
      </c>
      <c r="BO22" s="189">
        <v>21.029617555041924</v>
      </c>
      <c r="BP22" s="189">
        <v>21.029617555041924</v>
      </c>
      <c r="BQ22" s="189">
        <v>21.029617555041924</v>
      </c>
      <c r="BR22" s="189">
        <v>21.029617555041924</v>
      </c>
      <c r="BS22" s="189">
        <v>21.029617555041924</v>
      </c>
      <c r="BT22" s="189">
        <v>21.029617555041924</v>
      </c>
      <c r="BU22" s="189">
        <v>21.029617555041924</v>
      </c>
      <c r="BV22" s="189">
        <v>21.029617555041924</v>
      </c>
      <c r="BW22" s="189">
        <v>21.309617555041925</v>
      </c>
      <c r="BX22" s="189">
        <v>21.358809906142763</v>
      </c>
      <c r="BY22" s="189">
        <v>21.358809906142763</v>
      </c>
      <c r="BZ22" s="189">
        <v>21.358809906142763</v>
      </c>
      <c r="CA22" s="189">
        <v>21.358809906142763</v>
      </c>
      <c r="CB22" s="189">
        <v>21.358809906142763</v>
      </c>
      <c r="CC22" s="189">
        <v>21.358809906142763</v>
      </c>
      <c r="CD22" s="189">
        <v>21.358809906142763</v>
      </c>
      <c r="CE22" s="189">
        <v>21.358809906142763</v>
      </c>
      <c r="CF22" s="189">
        <v>21.358809906142763</v>
      </c>
      <c r="CG22" s="189">
        <v>21.358809906142763</v>
      </c>
      <c r="CH22" s="189">
        <v>21.358809906142763</v>
      </c>
      <c r="CI22" s="189">
        <v>21.648809906142763</v>
      </c>
      <c r="CJ22" s="189">
        <v>21.698986104265618</v>
      </c>
      <c r="CK22" s="189">
        <v>21.698986104265618</v>
      </c>
      <c r="CL22" s="189">
        <v>21.698986104265618</v>
      </c>
      <c r="CM22" s="189">
        <v>21.698986104265618</v>
      </c>
      <c r="CN22" s="189">
        <v>21.698986104265618</v>
      </c>
      <c r="CO22" s="189">
        <v>21.698986104265618</v>
      </c>
      <c r="CP22" s="189">
        <v>21.698986104265618</v>
      </c>
      <c r="CQ22" s="189">
        <v>21.698986104265618</v>
      </c>
      <c r="CR22" s="189">
        <v>21.698986104265618</v>
      </c>
      <c r="CS22" s="189">
        <v>21.698986104265618</v>
      </c>
      <c r="CT22" s="189">
        <v>21.698986104265618</v>
      </c>
      <c r="CU22" s="189">
        <v>21.978986104265619</v>
      </c>
      <c r="CV22" s="189">
        <v>22.030165826350931</v>
      </c>
      <c r="CW22" s="189">
        <v>22.030165826350931</v>
      </c>
      <c r="CX22" s="189">
        <v>22.030165826350931</v>
      </c>
      <c r="CY22" s="189">
        <v>22.030165826350931</v>
      </c>
      <c r="CZ22" s="189">
        <v>22.030165826350931</v>
      </c>
      <c r="DA22" s="189">
        <v>22.030165826350931</v>
      </c>
      <c r="DB22" s="189">
        <v>22.030165826350931</v>
      </c>
      <c r="DC22" s="189">
        <v>22.030165826350931</v>
      </c>
      <c r="DD22" s="189">
        <v>22.030165826350931</v>
      </c>
      <c r="DE22" s="189">
        <v>22.030165826350931</v>
      </c>
      <c r="DF22" s="189">
        <v>22.030165826350931</v>
      </c>
      <c r="DG22" s="189">
        <v>22.32016582635093</v>
      </c>
      <c r="DH22" s="189">
        <v>22.37236914287795</v>
      </c>
      <c r="DI22" s="189">
        <v>22.37236914287795</v>
      </c>
      <c r="DJ22" s="189">
        <v>22.37236914287795</v>
      </c>
      <c r="DK22" s="189">
        <v>22.37236914287795</v>
      </c>
      <c r="DL22" s="189">
        <v>22.37236914287795</v>
      </c>
      <c r="DM22" s="189">
        <v>22.37236914287795</v>
      </c>
      <c r="DN22" s="189">
        <v>22.37236914287795</v>
      </c>
      <c r="DO22" s="189">
        <v>22.37236914287795</v>
      </c>
      <c r="DP22" s="189">
        <v>22.37236914287795</v>
      </c>
      <c r="DQ22" s="189">
        <v>22.37236914287795</v>
      </c>
      <c r="DR22" s="189">
        <v>22.37236914287795</v>
      </c>
      <c r="DS22" s="189">
        <v>22.672369142877951</v>
      </c>
      <c r="DT22" s="189">
        <v>22.725616525735511</v>
      </c>
      <c r="DU22" s="189">
        <v>22.725616525735511</v>
      </c>
      <c r="DV22" s="189">
        <v>22.725616525735511</v>
      </c>
      <c r="DW22" s="189">
        <v>22.725616525735511</v>
      </c>
      <c r="DX22" s="189">
        <v>22.725616525735511</v>
      </c>
      <c r="DY22" s="189">
        <v>22.725616525735511</v>
      </c>
      <c r="DZ22" s="189">
        <v>22.725616525735511</v>
      </c>
      <c r="EA22" s="189">
        <v>22.725616525735511</v>
      </c>
      <c r="EB22" s="189">
        <v>22.725616525735511</v>
      </c>
      <c r="EC22" s="189">
        <v>22.725616525735511</v>
      </c>
      <c r="ED22" s="189">
        <v>22.725616525735511</v>
      </c>
      <c r="EE22" s="189">
        <v>23.025616525735508</v>
      </c>
      <c r="EF22" s="189">
        <v>23.079928856250216</v>
      </c>
      <c r="EG22" s="189">
        <v>23.079928856250216</v>
      </c>
      <c r="EH22" s="189">
        <v>23.079928856250216</v>
      </c>
      <c r="EI22" s="189">
        <v>23.079928856250216</v>
      </c>
      <c r="EJ22" s="189">
        <v>23.079928856250216</v>
      </c>
      <c r="EK22" s="189">
        <v>23.079928856250216</v>
      </c>
      <c r="EL22" s="189">
        <v>23.079928856250216</v>
      </c>
      <c r="EM22" s="189">
        <v>23.079928856250216</v>
      </c>
      <c r="EN22" s="189">
        <v>23.079928856250216</v>
      </c>
      <c r="EO22" s="189">
        <v>23.079928856250216</v>
      </c>
      <c r="EP22" s="189">
        <v>23.079928856250216</v>
      </c>
      <c r="EQ22" s="189">
        <v>23.379928856250217</v>
      </c>
      <c r="ER22" s="189">
        <v>23.435327433375221</v>
      </c>
      <c r="ES22" s="189">
        <v>23.435327433375221</v>
      </c>
      <c r="ET22" s="189">
        <v>23.435327433375221</v>
      </c>
      <c r="EU22" s="189">
        <v>23.435327433375221</v>
      </c>
      <c r="EV22" s="189">
        <v>23.435327433375221</v>
      </c>
      <c r="EW22" s="189">
        <v>23.435327433375221</v>
      </c>
      <c r="EX22" s="189">
        <v>23.435327433375221</v>
      </c>
      <c r="EY22" s="189">
        <v>23.435327433375221</v>
      </c>
      <c r="EZ22" s="189">
        <v>23.435327433375221</v>
      </c>
      <c r="FA22" s="189">
        <v>23.435327433375221</v>
      </c>
      <c r="FB22" s="189">
        <v>23.435327433375221</v>
      </c>
      <c r="FC22" s="189">
        <v>23.745327433375223</v>
      </c>
      <c r="FD22" s="189">
        <v>23.80183398204273</v>
      </c>
      <c r="FE22" s="189">
        <v>23.80183398204273</v>
      </c>
      <c r="FF22" s="189">
        <v>23.80183398204273</v>
      </c>
      <c r="FG22" s="189">
        <v>23.80183398204273</v>
      </c>
      <c r="FH22" s="189">
        <v>23.80183398204273</v>
      </c>
      <c r="FI22" s="189">
        <v>23.80183398204273</v>
      </c>
      <c r="FJ22" s="189">
        <v>23.80183398204273</v>
      </c>
      <c r="FK22" s="189">
        <v>23.80183398204273</v>
      </c>
      <c r="FL22" s="189">
        <v>23.80183398204273</v>
      </c>
      <c r="FM22" s="189">
        <v>23.80183398204273</v>
      </c>
      <c r="FN22" s="189">
        <v>23.80183398204273</v>
      </c>
      <c r="FO22" s="189">
        <v>24.121833982042727</v>
      </c>
      <c r="FP22" s="189">
        <v>24.179470661683581</v>
      </c>
      <c r="FQ22" s="189">
        <v>24.179470661683581</v>
      </c>
      <c r="FR22" s="189">
        <v>24.179470661683581</v>
      </c>
      <c r="FS22" s="189">
        <v>24.179470661683581</v>
      </c>
      <c r="FT22" s="189">
        <v>24.179470661683581</v>
      </c>
      <c r="FU22" s="189">
        <v>24.179470661683581</v>
      </c>
      <c r="FV22" s="189">
        <v>24.179470661683581</v>
      </c>
      <c r="FW22" s="189">
        <v>24.179470661683581</v>
      </c>
      <c r="FX22" s="189">
        <v>24.179470661683581</v>
      </c>
      <c r="FY22" s="189">
        <v>24.179470661683581</v>
      </c>
      <c r="FZ22" s="189">
        <v>24.179470661683581</v>
      </c>
      <c r="GA22" s="189">
        <v>24.489470661683583</v>
      </c>
      <c r="GB22" s="189">
        <v>24.548260074917255</v>
      </c>
      <c r="GC22" s="189">
        <v>24.548260074917255</v>
      </c>
      <c r="GD22" s="189">
        <v>24.548260074917255</v>
      </c>
      <c r="GE22" s="189">
        <v>24.548260074917255</v>
      </c>
      <c r="GF22" s="189">
        <v>24.548260074917255</v>
      </c>
      <c r="GG22" s="189">
        <v>24.548260074917255</v>
      </c>
      <c r="GH22" s="189">
        <v>24.548260074917255</v>
      </c>
      <c r="GI22" s="189">
        <v>24.548260074917255</v>
      </c>
      <c r="GJ22" s="189">
        <v>24.548260074917255</v>
      </c>
      <c r="GK22" s="189">
        <v>24.548260074917255</v>
      </c>
      <c r="GL22" s="189">
        <v>24.548260074917255</v>
      </c>
      <c r="GM22" s="189">
        <v>24.878260074917254</v>
      </c>
      <c r="GN22" s="189">
        <v>24.938225276415597</v>
      </c>
      <c r="GO22" s="189">
        <v>24.938225276415597</v>
      </c>
      <c r="GP22" s="189">
        <v>24.938225276415597</v>
      </c>
      <c r="GQ22" s="189">
        <v>24.938225276415597</v>
      </c>
      <c r="GR22" s="189">
        <v>24.938225276415597</v>
      </c>
      <c r="GS22" s="189">
        <v>24.938225276415597</v>
      </c>
      <c r="GT22" s="189">
        <v>24.938225276415597</v>
      </c>
      <c r="GU22" s="189">
        <v>24.938225276415597</v>
      </c>
      <c r="GV22" s="189">
        <v>24.938225276415597</v>
      </c>
      <c r="GW22" s="189">
        <v>24.938225276415597</v>
      </c>
      <c r="GX22" s="189">
        <v>24.938225276415597</v>
      </c>
      <c r="GY22" s="189">
        <v>25.268225276415599</v>
      </c>
      <c r="GZ22" s="189">
        <v>25.32938978194391</v>
      </c>
      <c r="HA22" s="189">
        <v>25.32938978194391</v>
      </c>
      <c r="HB22" s="189">
        <v>25.32938978194391</v>
      </c>
      <c r="HC22" s="189">
        <v>25.32938978194391</v>
      </c>
      <c r="HD22" s="189">
        <v>25.32938978194391</v>
      </c>
      <c r="HE22" s="189">
        <v>25.32938978194391</v>
      </c>
      <c r="HF22" s="189">
        <v>25.32938978194391</v>
      </c>
      <c r="HG22" s="189">
        <v>25.32938978194391</v>
      </c>
      <c r="HH22" s="189">
        <v>25.32938978194391</v>
      </c>
      <c r="HI22" s="189">
        <v>25.32938978194391</v>
      </c>
      <c r="HJ22" s="189">
        <v>25.32938978194391</v>
      </c>
      <c r="HK22" s="189">
        <v>25.659389781943908</v>
      </c>
      <c r="HL22" s="189">
        <v>25.721777577582788</v>
      </c>
      <c r="HM22" s="189">
        <v>25.721777577582788</v>
      </c>
      <c r="HN22" s="189">
        <v>25.721777577582788</v>
      </c>
      <c r="HO22" s="189">
        <v>25.721777577582788</v>
      </c>
      <c r="HP22" s="189">
        <v>25.721777577582788</v>
      </c>
      <c r="HQ22" s="189">
        <v>25.721777577582788</v>
      </c>
      <c r="HR22" s="189">
        <v>25.721777577582788</v>
      </c>
      <c r="HS22" s="189">
        <v>25.721777577582788</v>
      </c>
      <c r="HT22" s="189">
        <v>25.721777577582788</v>
      </c>
      <c r="HU22" s="189">
        <v>25.721777577582788</v>
      </c>
      <c r="HV22" s="189">
        <v>25.721777577582788</v>
      </c>
      <c r="HW22" s="189">
        <v>26.061777577582788</v>
      </c>
      <c r="HX22" s="189">
        <v>26.125413129134444</v>
      </c>
      <c r="HY22" s="189">
        <v>26.125413129134444</v>
      </c>
      <c r="HZ22" s="189">
        <v>26.125413129134444</v>
      </c>
      <c r="IA22" s="189">
        <v>26.125413129134444</v>
      </c>
      <c r="IB22" s="189">
        <v>26.125413129134444</v>
      </c>
      <c r="IC22" s="189">
        <v>26.125413129134444</v>
      </c>
      <c r="ID22" s="189">
        <v>26.125413129134444</v>
      </c>
      <c r="IE22" s="189">
        <v>26.125413129134444</v>
      </c>
      <c r="IF22" s="189">
        <v>26.125413129134444</v>
      </c>
      <c r="IG22" s="189">
        <v>26.125413129134444</v>
      </c>
      <c r="IH22" s="189">
        <v>26.125413129134444</v>
      </c>
      <c r="II22" s="189">
        <v>26.465413129134443</v>
      </c>
      <c r="IJ22" s="189">
        <v>26.530321391717131</v>
      </c>
      <c r="IK22" s="189">
        <v>26.530321391717131</v>
      </c>
      <c r="IL22" s="189">
        <v>26.530321391717131</v>
      </c>
      <c r="IM22" s="189">
        <v>26.530321391717131</v>
      </c>
      <c r="IN22" s="189">
        <v>26.530321391717131</v>
      </c>
      <c r="IO22" s="189">
        <v>26.530321391717131</v>
      </c>
      <c r="IP22" s="189">
        <v>26.530321391717131</v>
      </c>
      <c r="IQ22" s="189">
        <v>26.530321391717131</v>
      </c>
      <c r="IR22" s="189">
        <v>26.530321391717131</v>
      </c>
      <c r="IS22" s="189">
        <v>26.530321391717131</v>
      </c>
      <c r="IT22" s="189">
        <v>26.530321391717131</v>
      </c>
      <c r="IU22" s="189">
        <v>26.880321391717132</v>
      </c>
      <c r="IV22" s="189">
        <v>26.946527819551477</v>
      </c>
      <c r="IW22" s="189">
        <v>26.946527819551477</v>
      </c>
      <c r="IX22" s="189">
        <v>26.946527819551477</v>
      </c>
      <c r="IY22" s="189">
        <v>26.946527819551477</v>
      </c>
      <c r="IZ22" s="189">
        <v>26.946527819551477</v>
      </c>
      <c r="JA22" s="189">
        <v>26.946527819551477</v>
      </c>
      <c r="JB22" s="189">
        <v>26.946527819551477</v>
      </c>
      <c r="JC22" s="189">
        <v>26.946527819551477</v>
      </c>
      <c r="JD22" s="189">
        <v>26.946527819551477</v>
      </c>
      <c r="JE22" s="189">
        <v>26.946527819551477</v>
      </c>
      <c r="JF22" s="189">
        <v>26.946527819551477</v>
      </c>
      <c r="JG22" s="189">
        <v>27.296527819551478</v>
      </c>
      <c r="JH22" s="189">
        <v>27.364058375942506</v>
      </c>
      <c r="JI22" s="189">
        <v>27.364058375942506</v>
      </c>
      <c r="JJ22" s="189">
        <v>27.364058375942506</v>
      </c>
      <c r="JK22" s="189">
        <v>27.364058375942506</v>
      </c>
      <c r="JL22" s="189">
        <v>27.364058375942506</v>
      </c>
      <c r="JM22" s="189">
        <v>27.364058375942506</v>
      </c>
      <c r="JN22" s="189">
        <v>27.364058375942506</v>
      </c>
      <c r="JO22" s="189">
        <v>27.364058375942506</v>
      </c>
      <c r="JP22" s="189">
        <v>27.364058375942506</v>
      </c>
      <c r="JQ22" s="189">
        <v>27.364058375942506</v>
      </c>
      <c r="JR22" s="189">
        <v>27.364058375942506</v>
      </c>
      <c r="JS22" s="189">
        <v>27.724058375942505</v>
      </c>
      <c r="JT22" s="189">
        <v>27.792939543461355</v>
      </c>
      <c r="JU22" s="189">
        <v>27.792939543461355</v>
      </c>
      <c r="JV22" s="189">
        <v>27.792939543461355</v>
      </c>
      <c r="JW22" s="189">
        <v>27.792939543461355</v>
      </c>
      <c r="JX22" s="189">
        <v>27.792939543461355</v>
      </c>
      <c r="JY22" s="189">
        <v>27.792939543461355</v>
      </c>
      <c r="JZ22" s="189">
        <v>27.792939543461355</v>
      </c>
      <c r="KA22" s="189">
        <v>27.792939543461355</v>
      </c>
      <c r="KB22" s="189">
        <v>27.792939543461355</v>
      </c>
      <c r="KC22" s="189">
        <v>27.792939543461355</v>
      </c>
      <c r="KD22" s="189">
        <v>27.792939543461355</v>
      </c>
      <c r="KE22" s="189">
        <v>28.162939543461352</v>
      </c>
      <c r="KF22" s="189">
        <v>28.233198334330581</v>
      </c>
      <c r="KG22" s="189">
        <v>28.233198334330581</v>
      </c>
      <c r="KH22" s="189">
        <v>28.233198334330581</v>
      </c>
      <c r="KI22" s="189">
        <v>28.233198334330581</v>
      </c>
      <c r="KJ22" s="189">
        <v>28.233198334330581</v>
      </c>
      <c r="KK22" s="189">
        <v>28.233198334330581</v>
      </c>
      <c r="KL22" s="189">
        <v>28.233198334330581</v>
      </c>
      <c r="KM22" s="189">
        <v>28.233198334330581</v>
      </c>
      <c r="KN22" s="189">
        <v>28.233198334330581</v>
      </c>
      <c r="KO22" s="189">
        <v>28.233198334330581</v>
      </c>
      <c r="KP22" s="189">
        <v>28.233198334330581</v>
      </c>
      <c r="KQ22" s="189">
        <v>28.593198334330584</v>
      </c>
      <c r="KR22" s="189">
        <v>28.664862301017195</v>
      </c>
      <c r="KS22" s="189">
        <v>28.664862301017195</v>
      </c>
      <c r="KT22" s="189">
        <v>28.664862301017195</v>
      </c>
      <c r="KU22" s="189">
        <v>28.664862301017195</v>
      </c>
      <c r="KV22" s="189">
        <v>28.664862301017195</v>
      </c>
      <c r="KW22" s="189">
        <v>28.664862301017195</v>
      </c>
      <c r="KX22" s="189">
        <v>28.664862301017195</v>
      </c>
      <c r="KY22" s="189">
        <v>28.664862301017195</v>
      </c>
      <c r="KZ22" s="189">
        <v>28.664862301017195</v>
      </c>
      <c r="LA22" s="189">
        <v>28.664862301017195</v>
      </c>
      <c r="LB22" s="189">
        <v>28.664862301017195</v>
      </c>
      <c r="LC22" s="189">
        <v>29.044862301017194</v>
      </c>
      <c r="LD22" s="189">
        <v>29.117959547037536</v>
      </c>
      <c r="LE22" s="189">
        <v>29.117959547037536</v>
      </c>
      <c r="LF22" s="189">
        <v>29.117959547037536</v>
      </c>
      <c r="LG22" s="189">
        <v>29.117959547037536</v>
      </c>
      <c r="LH22" s="189">
        <v>29.117959547037536</v>
      </c>
      <c r="LI22" s="189">
        <v>29.117959547037536</v>
      </c>
      <c r="LJ22" s="189">
        <v>29.117959547037536</v>
      </c>
      <c r="LK22" s="189">
        <v>29.117959547037536</v>
      </c>
      <c r="LL22" s="189">
        <v>29.117959547037536</v>
      </c>
      <c r="LM22" s="189">
        <v>29.117959547037536</v>
      </c>
      <c r="LN22" s="189">
        <v>29.117959547037536</v>
      </c>
      <c r="LO22" s="189">
        <v>29.497959547037539</v>
      </c>
      <c r="LP22" s="189">
        <v>29.572518737978289</v>
      </c>
      <c r="LQ22" s="189">
        <v>29.572518737978289</v>
      </c>
      <c r="LR22" s="189">
        <v>29.572518737978289</v>
      </c>
      <c r="LS22" s="189">
        <v>29.572518737978289</v>
      </c>
      <c r="LT22" s="189">
        <v>29.572518737978289</v>
      </c>
      <c r="LU22" s="189">
        <v>29.572518737978289</v>
      </c>
      <c r="LV22" s="189">
        <v>29.572518737978289</v>
      </c>
      <c r="LW22" s="189">
        <v>29.572518737978289</v>
      </c>
      <c r="LX22" s="189">
        <v>29.572518737978289</v>
      </c>
      <c r="LY22" s="189">
        <v>29.572518737978289</v>
      </c>
      <c r="LZ22" s="189">
        <v>29.572518737978289</v>
      </c>
      <c r="MA22" s="189">
        <v>29.962518737978289</v>
      </c>
      <c r="MB22" s="189">
        <v>30.038569112737854</v>
      </c>
      <c r="MC22" s="189">
        <v>30.038569112737854</v>
      </c>
      <c r="MD22" s="189">
        <v>30.038569112737854</v>
      </c>
      <c r="ME22" s="189">
        <v>30.038569112737854</v>
      </c>
      <c r="MF22" s="189">
        <v>30.038569112737854</v>
      </c>
      <c r="MG22" s="189">
        <v>30.038569112737854</v>
      </c>
      <c r="MH22" s="189">
        <v>30.038569112737854</v>
      </c>
      <c r="MI22" s="189">
        <v>30.038569112737854</v>
      </c>
      <c r="MJ22" s="189">
        <v>30.038569112737854</v>
      </c>
      <c r="MK22" s="189">
        <v>30.038569112737854</v>
      </c>
      <c r="ML22" s="189">
        <v>30.038569112737854</v>
      </c>
      <c r="MM22" s="189">
        <v>0</v>
      </c>
      <c r="MN22" s="189">
        <v>0</v>
      </c>
      <c r="MO22" s="189">
        <v>0</v>
      </c>
      <c r="MP22" s="189">
        <v>0</v>
      </c>
      <c r="MQ22" s="189">
        <v>0</v>
      </c>
      <c r="MR22" s="189">
        <v>0</v>
      </c>
      <c r="MS22" s="189">
        <v>0</v>
      </c>
      <c r="MT22" s="189">
        <v>0</v>
      </c>
      <c r="MU22" s="189">
        <v>0</v>
      </c>
      <c r="MV22" s="189">
        <v>0</v>
      </c>
      <c r="MW22" s="189">
        <v>0</v>
      </c>
      <c r="MX22" s="189">
        <v>0</v>
      </c>
      <c r="MY22" s="189">
        <v>0</v>
      </c>
      <c r="MZ22" s="189">
        <v>0</v>
      </c>
      <c r="NA22" s="189">
        <v>0</v>
      </c>
      <c r="NB22" s="189">
        <v>0</v>
      </c>
      <c r="NC22" s="189">
        <v>0</v>
      </c>
      <c r="ND22" s="189">
        <v>0</v>
      </c>
      <c r="NE22" s="189">
        <v>0</v>
      </c>
      <c r="NF22" s="189">
        <v>0</v>
      </c>
      <c r="NG22" s="189">
        <v>0</v>
      </c>
      <c r="NH22" s="189">
        <v>0</v>
      </c>
      <c r="NI22" s="189">
        <v>0</v>
      </c>
      <c r="NJ22" s="189">
        <v>0</v>
      </c>
      <c r="NK22" s="189">
        <v>0</v>
      </c>
      <c r="NL22" s="189">
        <v>0</v>
      </c>
      <c r="NM22" s="189">
        <v>0</v>
      </c>
      <c r="NN22" s="189">
        <v>0</v>
      </c>
      <c r="NO22" s="189">
        <v>0</v>
      </c>
      <c r="NP22" s="189">
        <v>0</v>
      </c>
      <c r="NQ22" s="189">
        <v>0</v>
      </c>
      <c r="NR22" s="189">
        <v>0</v>
      </c>
      <c r="NU22">
        <v>8</v>
      </c>
      <c r="NV22">
        <v>2028</v>
      </c>
      <c r="NW22" s="188">
        <v>46905</v>
      </c>
      <c r="NX22" s="188">
        <v>47269</v>
      </c>
      <c r="NY22">
        <v>10.4</v>
      </c>
    </row>
    <row r="23" spans="1:389" x14ac:dyDescent="0.4">
      <c r="A23" t="s">
        <v>562</v>
      </c>
      <c r="C23" s="189">
        <v>2.5299999999999998</v>
      </c>
      <c r="D23" s="189">
        <v>2.5299999999999998</v>
      </c>
      <c r="E23" s="189">
        <v>2.5299999999999998</v>
      </c>
      <c r="F23" s="189">
        <v>2.5299999999999998</v>
      </c>
      <c r="G23" s="189">
        <v>2.5299999999999998</v>
      </c>
      <c r="H23" s="189">
        <v>2.59</v>
      </c>
      <c r="I23" s="189">
        <v>2.59</v>
      </c>
      <c r="J23" s="189">
        <v>2.59</v>
      </c>
      <c r="K23" s="189">
        <v>2.59</v>
      </c>
      <c r="L23" s="189">
        <v>2.59</v>
      </c>
      <c r="M23" s="189">
        <v>2.59</v>
      </c>
      <c r="N23" s="189">
        <v>2.59</v>
      </c>
      <c r="O23" s="189">
        <v>2.59</v>
      </c>
      <c r="P23" s="189">
        <v>2.59</v>
      </c>
      <c r="Q23" s="189">
        <v>2.59</v>
      </c>
      <c r="R23" s="189">
        <v>2.59</v>
      </c>
      <c r="S23" s="189">
        <v>2.59</v>
      </c>
      <c r="T23" s="189">
        <v>3.58</v>
      </c>
      <c r="U23" s="189">
        <v>3.58</v>
      </c>
      <c r="V23" s="189">
        <v>3.58</v>
      </c>
      <c r="W23" s="189">
        <v>3.58</v>
      </c>
      <c r="X23" s="189">
        <v>3.58</v>
      </c>
      <c r="Y23" s="189">
        <v>3.58</v>
      </c>
      <c r="Z23" s="189">
        <v>3.58</v>
      </c>
      <c r="AA23" s="189">
        <v>3.58</v>
      </c>
      <c r="AB23" s="189">
        <v>3.58</v>
      </c>
      <c r="AC23" s="189">
        <v>3.58</v>
      </c>
      <c r="AD23" s="189">
        <v>3.58</v>
      </c>
      <c r="AE23" s="189">
        <v>3.58</v>
      </c>
      <c r="AF23" s="189">
        <v>5.3490327546352807</v>
      </c>
      <c r="AG23" s="189">
        <v>5.3490327546352807</v>
      </c>
      <c r="AH23" s="189">
        <v>5.3490327546352807</v>
      </c>
      <c r="AI23" s="189">
        <v>5.3490327546352807</v>
      </c>
      <c r="AJ23" s="189">
        <v>5.3490327546352807</v>
      </c>
      <c r="AK23" s="189">
        <v>5.3490327546352807</v>
      </c>
      <c r="AL23" s="189">
        <v>5.3490327546352807</v>
      </c>
      <c r="AM23" s="189">
        <v>5.3490327546352807</v>
      </c>
      <c r="AN23" s="189">
        <v>5.3490327546352807</v>
      </c>
      <c r="AO23" s="189">
        <v>5.3490327546352807</v>
      </c>
      <c r="AP23" s="189">
        <v>5.3490327546352807</v>
      </c>
      <c r="AQ23" s="189">
        <v>5.3490327546352807</v>
      </c>
      <c r="AR23" s="189">
        <v>6.1397939414829956</v>
      </c>
      <c r="AS23" s="189">
        <v>6.1397939414829956</v>
      </c>
      <c r="AT23" s="189">
        <v>6.1397939414829956</v>
      </c>
      <c r="AU23" s="189">
        <v>6.1397939414829956</v>
      </c>
      <c r="AV23" s="189">
        <v>6.1397939414829956</v>
      </c>
      <c r="AW23" s="189">
        <v>6.1397939414829956</v>
      </c>
      <c r="AX23" s="189">
        <v>6.1397939414829956</v>
      </c>
      <c r="AY23" s="189">
        <v>6.1397939414829956</v>
      </c>
      <c r="AZ23" s="189">
        <v>6.1397939414829956</v>
      </c>
      <c r="BA23" s="189">
        <v>6.1397939414829956</v>
      </c>
      <c r="BB23" s="189">
        <v>6.1397939414829956</v>
      </c>
      <c r="BC23" s="189">
        <v>6.1397939414829956</v>
      </c>
      <c r="BD23" s="189">
        <v>6.3794690349065393</v>
      </c>
      <c r="BE23" s="189">
        <v>6.3794690349065393</v>
      </c>
      <c r="BF23" s="189">
        <v>6.3794690349065393</v>
      </c>
      <c r="BG23" s="189">
        <v>6.3794690349065393</v>
      </c>
      <c r="BH23" s="189">
        <v>6.3794690349065393</v>
      </c>
      <c r="BI23" s="189">
        <v>6.3794690349065393</v>
      </c>
      <c r="BJ23" s="189">
        <v>6.3794690349065393</v>
      </c>
      <c r="BK23" s="189">
        <v>6.3794690349065393</v>
      </c>
      <c r="BL23" s="189">
        <v>6.3794690349065393</v>
      </c>
      <c r="BM23" s="189">
        <v>6.3794690349065393</v>
      </c>
      <c r="BN23" s="189">
        <v>6.3794690349065393</v>
      </c>
      <c r="BO23" s="189">
        <v>6.3794690349065393</v>
      </c>
      <c r="BP23" s="189">
        <v>6.6686827380337341</v>
      </c>
      <c r="BQ23" s="189">
        <v>6.6686827380337341</v>
      </c>
      <c r="BR23" s="189">
        <v>6.6686827380337341</v>
      </c>
      <c r="BS23" s="189">
        <v>6.6686827380337341</v>
      </c>
      <c r="BT23" s="189">
        <v>6.6686827380337341</v>
      </c>
      <c r="BU23" s="189">
        <v>6.6686827380337341</v>
      </c>
      <c r="BV23" s="189">
        <v>6.6686827380337341</v>
      </c>
      <c r="BW23" s="189">
        <v>6.6686827380337341</v>
      </c>
      <c r="BX23" s="189">
        <v>6.6686827380337341</v>
      </c>
      <c r="BY23" s="189">
        <v>6.6686827380337341</v>
      </c>
      <c r="BZ23" s="189">
        <v>6.6686827380337341</v>
      </c>
      <c r="CA23" s="189">
        <v>6.6686827380337341</v>
      </c>
      <c r="CB23" s="189">
        <v>7.2889953743174649</v>
      </c>
      <c r="CC23" s="189">
        <v>7.2889953743174649</v>
      </c>
      <c r="CD23" s="189">
        <v>7.2889953743174649</v>
      </c>
      <c r="CE23" s="189">
        <v>7.2889953743174649</v>
      </c>
      <c r="CF23" s="189">
        <v>7.2889953743174649</v>
      </c>
      <c r="CG23" s="189">
        <v>7.2889953743174649</v>
      </c>
      <c r="CH23" s="189">
        <v>7.2889953743174649</v>
      </c>
      <c r="CI23" s="189">
        <v>7.2889953743174649</v>
      </c>
      <c r="CJ23" s="189">
        <v>7.2889953743174649</v>
      </c>
      <c r="CK23" s="189">
        <v>7.2889953743174649</v>
      </c>
      <c r="CL23" s="189">
        <v>7.2889953743174649</v>
      </c>
      <c r="CM23" s="189">
        <v>7.2889953743174649</v>
      </c>
      <c r="CN23" s="189">
        <v>7.5316575539087198</v>
      </c>
      <c r="CO23" s="189">
        <v>7.5316575539087198</v>
      </c>
      <c r="CP23" s="189">
        <v>7.5316575539087198</v>
      </c>
      <c r="CQ23" s="189">
        <v>7.5316575539087198</v>
      </c>
      <c r="CR23" s="189">
        <v>7.5316575539087198</v>
      </c>
      <c r="CS23" s="189">
        <v>7.5316575539087198</v>
      </c>
      <c r="CT23" s="189">
        <v>7.5316575539087198</v>
      </c>
      <c r="CU23" s="189">
        <v>7.5316575539087198</v>
      </c>
      <c r="CV23" s="189">
        <v>7.5316575539087198</v>
      </c>
      <c r="CW23" s="189">
        <v>7.5316575539087198</v>
      </c>
      <c r="CX23" s="189">
        <v>7.5316575539087198</v>
      </c>
      <c r="CY23" s="189">
        <v>7.5316575539087198</v>
      </c>
      <c r="CZ23" s="189">
        <v>7.9505565082778098</v>
      </c>
      <c r="DA23" s="189">
        <v>7.9505565082778098</v>
      </c>
      <c r="DB23" s="189">
        <v>7.9505565082778098</v>
      </c>
      <c r="DC23" s="189">
        <v>7.9505565082778098</v>
      </c>
      <c r="DD23" s="189">
        <v>7.9505565082778098</v>
      </c>
      <c r="DE23" s="189">
        <v>7.9505565082778098</v>
      </c>
      <c r="DF23" s="189">
        <v>7.9505565082778098</v>
      </c>
      <c r="DG23" s="189">
        <v>7.9505565082778098</v>
      </c>
      <c r="DH23" s="189">
        <v>7.9505565082778098</v>
      </c>
      <c r="DI23" s="189">
        <v>7.9505565082778098</v>
      </c>
      <c r="DJ23" s="189">
        <v>7.9505565082778098</v>
      </c>
      <c r="DK23" s="189">
        <v>7.9505565082778098</v>
      </c>
      <c r="DL23" s="189">
        <v>8.7392844663808642</v>
      </c>
      <c r="DM23" s="189">
        <v>8.7392844663808642</v>
      </c>
      <c r="DN23" s="189">
        <v>8.7392844663808642</v>
      </c>
      <c r="DO23" s="189">
        <v>8.7392844663808642</v>
      </c>
      <c r="DP23" s="189">
        <v>8.7392844663808642</v>
      </c>
      <c r="DQ23" s="189">
        <v>8.7392844663808642</v>
      </c>
      <c r="DR23" s="189">
        <v>8.7392844663808642</v>
      </c>
      <c r="DS23" s="189">
        <v>8.7392844663808642</v>
      </c>
      <c r="DT23" s="189">
        <v>8.7392844663808642</v>
      </c>
      <c r="DU23" s="189">
        <v>8.7392844663808642</v>
      </c>
      <c r="DV23" s="189">
        <v>8.7392844663808642</v>
      </c>
      <c r="DW23" s="189">
        <v>8.7392844663808642</v>
      </c>
      <c r="DX23" s="189">
        <v>12.44718447798506</v>
      </c>
      <c r="DY23" s="189">
        <v>12.44718447798506</v>
      </c>
      <c r="DZ23" s="189">
        <v>12.44718447798506</v>
      </c>
      <c r="EA23" s="189">
        <v>12.44718447798506</v>
      </c>
      <c r="EB23" s="189">
        <v>12.44718447798506</v>
      </c>
      <c r="EC23" s="189">
        <v>12.44718447798506</v>
      </c>
      <c r="ED23" s="189">
        <v>12.44718447798506</v>
      </c>
      <c r="EE23" s="189">
        <v>12.44718447798506</v>
      </c>
      <c r="EF23" s="189">
        <v>12.44718447798506</v>
      </c>
      <c r="EG23" s="189">
        <v>12.44718447798506</v>
      </c>
      <c r="EH23" s="189">
        <v>12.44718447798506</v>
      </c>
      <c r="EI23" s="189">
        <v>12.44718447798506</v>
      </c>
      <c r="EJ23" s="189">
        <v>13.367198517359027</v>
      </c>
      <c r="EK23" s="189">
        <v>13.367198517359027</v>
      </c>
      <c r="EL23" s="189">
        <v>13.367198517359027</v>
      </c>
      <c r="EM23" s="189">
        <v>13.367198517359027</v>
      </c>
      <c r="EN23" s="189">
        <v>13.367198517359027</v>
      </c>
      <c r="EO23" s="189">
        <v>13.367198517359027</v>
      </c>
      <c r="EP23" s="189">
        <v>13.367198517359027</v>
      </c>
      <c r="EQ23" s="189">
        <v>13.367198517359027</v>
      </c>
      <c r="ER23" s="189">
        <v>13.367198517359027</v>
      </c>
      <c r="ES23" s="189">
        <v>13.367198517359027</v>
      </c>
      <c r="ET23" s="189">
        <v>13.367198517359027</v>
      </c>
      <c r="EU23" s="189">
        <v>13.367198517359027</v>
      </c>
      <c r="EV23" s="189">
        <v>14.126403159930417</v>
      </c>
      <c r="EW23" s="189">
        <v>14.126403159930417</v>
      </c>
      <c r="EX23" s="189">
        <v>14.126403159930417</v>
      </c>
      <c r="EY23" s="189">
        <v>14.126403159930417</v>
      </c>
      <c r="EZ23" s="189">
        <v>14.126403159930417</v>
      </c>
      <c r="FA23" s="189">
        <v>14.126403159930417</v>
      </c>
      <c r="FB23" s="189">
        <v>14.126403159930417</v>
      </c>
      <c r="FC23" s="189">
        <v>14.126403159930417</v>
      </c>
      <c r="FD23" s="189">
        <v>14.126403159930417</v>
      </c>
      <c r="FE23" s="189">
        <v>14.126403159930417</v>
      </c>
      <c r="FF23" s="189">
        <v>14.126403159930417</v>
      </c>
      <c r="FG23" s="189">
        <v>14.126403159930417</v>
      </c>
      <c r="FH23" s="189">
        <v>14.950994604900108</v>
      </c>
      <c r="FI23" s="189">
        <v>14.950994604900108</v>
      </c>
      <c r="FJ23" s="189">
        <v>14.950994604900108</v>
      </c>
      <c r="FK23" s="189">
        <v>14.950994604900108</v>
      </c>
      <c r="FL23" s="189">
        <v>14.950994604900108</v>
      </c>
      <c r="FM23" s="189">
        <v>14.950994604900108</v>
      </c>
      <c r="FN23" s="189">
        <v>14.950994604900108</v>
      </c>
      <c r="FO23" s="189">
        <v>14.950994604900108</v>
      </c>
      <c r="FP23" s="189">
        <v>14.950994604900108</v>
      </c>
      <c r="FQ23" s="189">
        <v>14.950994604900108</v>
      </c>
      <c r="FR23" s="189">
        <v>14.950994604900108</v>
      </c>
      <c r="FS23" s="189">
        <v>14.950994604900108</v>
      </c>
      <c r="FT23" s="189">
        <v>15.324769470022609</v>
      </c>
      <c r="FU23" s="189">
        <v>15.324769470022609</v>
      </c>
      <c r="FV23" s="189">
        <v>15.324769470022609</v>
      </c>
      <c r="FW23" s="189">
        <v>15.324769470022609</v>
      </c>
      <c r="FX23" s="189">
        <v>15.324769470022609</v>
      </c>
      <c r="FY23" s="189">
        <v>15.324769470022609</v>
      </c>
      <c r="FZ23" s="189">
        <v>15.324769470022609</v>
      </c>
      <c r="GA23" s="189">
        <v>15.324769470022609</v>
      </c>
      <c r="GB23" s="189">
        <v>15.324769470022609</v>
      </c>
      <c r="GC23" s="189">
        <v>15.324769470022609</v>
      </c>
      <c r="GD23" s="189">
        <v>15.324769470022609</v>
      </c>
      <c r="GE23" s="189">
        <v>15.324769470022609</v>
      </c>
      <c r="GF23" s="189">
        <v>15.707888706773174</v>
      </c>
      <c r="GG23" s="189">
        <v>15.707888706773174</v>
      </c>
      <c r="GH23" s="189">
        <v>15.707888706773174</v>
      </c>
      <c r="GI23" s="189">
        <v>15.707888706773174</v>
      </c>
      <c r="GJ23" s="189">
        <v>15.707888706773174</v>
      </c>
      <c r="GK23" s="189">
        <v>15.707888706773174</v>
      </c>
      <c r="GL23" s="189">
        <v>15.707888706773174</v>
      </c>
      <c r="GM23" s="189">
        <v>15.707888706773174</v>
      </c>
      <c r="GN23" s="189">
        <v>15.707888706773174</v>
      </c>
      <c r="GO23" s="189">
        <v>15.707888706773174</v>
      </c>
      <c r="GP23" s="189">
        <v>15.707888706773174</v>
      </c>
      <c r="GQ23" s="189">
        <v>15.707888706773174</v>
      </c>
      <c r="GR23" s="189">
        <v>16.100585924442502</v>
      </c>
      <c r="GS23" s="189">
        <v>16.100585924442502</v>
      </c>
      <c r="GT23" s="189">
        <v>16.100585924442502</v>
      </c>
      <c r="GU23" s="189">
        <v>16.100585924442502</v>
      </c>
      <c r="GV23" s="189">
        <v>16.100585924442502</v>
      </c>
      <c r="GW23" s="189">
        <v>16.100585924442502</v>
      </c>
      <c r="GX23" s="189">
        <v>16.100585924442502</v>
      </c>
      <c r="GY23" s="189">
        <v>16.100585924442502</v>
      </c>
      <c r="GZ23" s="189">
        <v>16.100585924442502</v>
      </c>
      <c r="HA23" s="189">
        <v>16.100585924442502</v>
      </c>
      <c r="HB23" s="189">
        <v>16.100585924442502</v>
      </c>
      <c r="HC23" s="189">
        <v>16.100585924442502</v>
      </c>
      <c r="HD23" s="189">
        <v>16.503100572553564</v>
      </c>
      <c r="HE23" s="189">
        <v>16.503100572553564</v>
      </c>
      <c r="HF23" s="189">
        <v>16.503100572553564</v>
      </c>
      <c r="HG23" s="189">
        <v>16.503100572553564</v>
      </c>
      <c r="HH23" s="189">
        <v>16.503100572553564</v>
      </c>
      <c r="HI23" s="189">
        <v>16.503100572553564</v>
      </c>
      <c r="HJ23" s="189">
        <v>16.503100572553564</v>
      </c>
      <c r="HK23" s="189">
        <v>16.503100572553564</v>
      </c>
      <c r="HL23" s="189">
        <v>16.503100572553564</v>
      </c>
      <c r="HM23" s="189">
        <v>16.503100572553564</v>
      </c>
      <c r="HN23" s="189">
        <v>16.503100572553564</v>
      </c>
      <c r="HO23" s="189">
        <v>16.503100572553564</v>
      </c>
      <c r="HP23" s="189">
        <v>16.915678086867402</v>
      </c>
      <c r="HQ23" s="189">
        <v>16.915678086867402</v>
      </c>
      <c r="HR23" s="189">
        <v>16.915678086867402</v>
      </c>
      <c r="HS23" s="189">
        <v>16.915678086867402</v>
      </c>
      <c r="HT23" s="189">
        <v>16.915678086867402</v>
      </c>
      <c r="HU23" s="189">
        <v>16.915678086867402</v>
      </c>
      <c r="HV23" s="189">
        <v>16.915678086867402</v>
      </c>
      <c r="HW23" s="189">
        <v>16.915678086867402</v>
      </c>
      <c r="HX23" s="189">
        <v>16.915678086867402</v>
      </c>
      <c r="HY23" s="189">
        <v>16.915678086867402</v>
      </c>
      <c r="HZ23" s="189">
        <v>16.915678086867402</v>
      </c>
      <c r="IA23" s="189">
        <v>16.915678086867402</v>
      </c>
      <c r="IB23" s="189">
        <v>17.304738682865352</v>
      </c>
      <c r="IC23" s="189">
        <v>17.304738682865352</v>
      </c>
      <c r="ID23" s="189">
        <v>17.304738682865352</v>
      </c>
      <c r="IE23" s="189">
        <v>17.304738682865352</v>
      </c>
      <c r="IF23" s="189">
        <v>17.304738682865352</v>
      </c>
      <c r="IG23" s="189">
        <v>17.304738682865352</v>
      </c>
      <c r="IH23" s="189">
        <v>17.304738682865352</v>
      </c>
      <c r="II23" s="189">
        <v>17.304738682865352</v>
      </c>
      <c r="IJ23" s="189">
        <v>17.304738682865352</v>
      </c>
      <c r="IK23" s="189">
        <v>17.304738682865352</v>
      </c>
      <c r="IL23" s="189">
        <v>17.304738682865352</v>
      </c>
      <c r="IM23" s="189">
        <v>17.304738682865352</v>
      </c>
      <c r="IN23" s="189">
        <v>17.702747672571256</v>
      </c>
      <c r="IO23" s="189">
        <v>17.702747672571256</v>
      </c>
      <c r="IP23" s="189">
        <v>17.702747672571256</v>
      </c>
      <c r="IQ23" s="189">
        <v>17.702747672571256</v>
      </c>
      <c r="IR23" s="189">
        <v>17.702747672571256</v>
      </c>
      <c r="IS23" s="189">
        <v>17.702747672571256</v>
      </c>
      <c r="IT23" s="189">
        <v>17.702747672571256</v>
      </c>
      <c r="IU23" s="189">
        <v>17.702747672571256</v>
      </c>
      <c r="IV23" s="189">
        <v>17.702747672571256</v>
      </c>
      <c r="IW23" s="189">
        <v>17.702747672571256</v>
      </c>
      <c r="IX23" s="189">
        <v>17.702747672571256</v>
      </c>
      <c r="IY23" s="189">
        <v>17.702747672571256</v>
      </c>
      <c r="IZ23" s="189">
        <v>18.109910869040398</v>
      </c>
      <c r="JA23" s="189">
        <v>18.109910869040398</v>
      </c>
      <c r="JB23" s="189">
        <v>18.109910869040398</v>
      </c>
      <c r="JC23" s="189">
        <v>18.109910869040398</v>
      </c>
      <c r="JD23" s="189">
        <v>18.109910869040398</v>
      </c>
      <c r="JE23" s="189">
        <v>18.109910869040398</v>
      </c>
      <c r="JF23" s="189">
        <v>18.109910869040398</v>
      </c>
      <c r="JG23" s="189">
        <v>18.109910869040398</v>
      </c>
      <c r="JH23" s="189">
        <v>18.109910869040398</v>
      </c>
      <c r="JI23" s="189">
        <v>18.109910869040398</v>
      </c>
      <c r="JJ23" s="189">
        <v>18.109910869040398</v>
      </c>
      <c r="JK23" s="189">
        <v>18.109910869040398</v>
      </c>
      <c r="JL23" s="189">
        <v>18.526438819028332</v>
      </c>
      <c r="JM23" s="189">
        <v>18.526438819028332</v>
      </c>
      <c r="JN23" s="189">
        <v>18.526438819028332</v>
      </c>
      <c r="JO23" s="189">
        <v>18.526438819028332</v>
      </c>
      <c r="JP23" s="189">
        <v>18.526438819028332</v>
      </c>
      <c r="JQ23" s="189">
        <v>18.526438819028332</v>
      </c>
      <c r="JR23" s="189">
        <v>18.526438819028332</v>
      </c>
      <c r="JS23" s="189">
        <v>18.526438819028332</v>
      </c>
      <c r="JT23" s="189">
        <v>18.526438819028332</v>
      </c>
      <c r="JU23" s="189">
        <v>18.526438819028332</v>
      </c>
      <c r="JV23" s="189">
        <v>18.526438819028332</v>
      </c>
      <c r="JW23" s="189">
        <v>18.526438819028332</v>
      </c>
      <c r="JX23" s="189">
        <v>18.952546911865991</v>
      </c>
      <c r="JY23" s="189">
        <v>18.952546911865991</v>
      </c>
      <c r="JZ23" s="189">
        <v>18.952546911865991</v>
      </c>
      <c r="KA23" s="189">
        <v>18.952546911865991</v>
      </c>
      <c r="KB23" s="189">
        <v>18.952546911865991</v>
      </c>
      <c r="KC23" s="189">
        <v>18.952546911865991</v>
      </c>
      <c r="KD23" s="189">
        <v>18.952546911865991</v>
      </c>
      <c r="KE23" s="189">
        <v>18.952546911865991</v>
      </c>
      <c r="KF23" s="189">
        <v>18.952546911865991</v>
      </c>
      <c r="KG23" s="189">
        <v>18.952546911865991</v>
      </c>
      <c r="KH23" s="189">
        <v>18.952546911865991</v>
      </c>
      <c r="KI23" s="189">
        <v>18.952546911865991</v>
      </c>
      <c r="KJ23" s="189">
        <v>19.388455490838915</v>
      </c>
      <c r="KK23" s="189">
        <v>19.388455490838915</v>
      </c>
      <c r="KL23" s="189">
        <v>19.388455490838915</v>
      </c>
      <c r="KM23" s="189">
        <v>19.388455490838915</v>
      </c>
      <c r="KN23" s="189">
        <v>19.388455490838915</v>
      </c>
      <c r="KO23" s="189">
        <v>19.388455490838915</v>
      </c>
      <c r="KP23" s="189">
        <v>19.388455490838915</v>
      </c>
      <c r="KQ23" s="189">
        <v>19.388455490838915</v>
      </c>
      <c r="KR23" s="189">
        <v>19.388455490838915</v>
      </c>
      <c r="KS23" s="189">
        <v>19.388455490838915</v>
      </c>
      <c r="KT23" s="189">
        <v>19.388455490838915</v>
      </c>
      <c r="KU23" s="189">
        <v>19.388455490838915</v>
      </c>
      <c r="KV23" s="189">
        <v>19.834389967128217</v>
      </c>
      <c r="KW23" s="189">
        <v>19.834389967128217</v>
      </c>
      <c r="KX23" s="189">
        <v>19.834389967128217</v>
      </c>
      <c r="KY23" s="189">
        <v>19.834389967128217</v>
      </c>
      <c r="KZ23" s="189">
        <v>19.834389967128217</v>
      </c>
      <c r="LA23" s="189">
        <v>19.834389967128217</v>
      </c>
      <c r="LB23" s="189">
        <v>19.834389967128217</v>
      </c>
      <c r="LC23" s="189">
        <v>19.834389967128217</v>
      </c>
      <c r="LD23" s="189">
        <v>19.834389967128217</v>
      </c>
      <c r="LE23" s="189">
        <v>19.834389967128217</v>
      </c>
      <c r="LF23" s="189">
        <v>19.834389967128217</v>
      </c>
      <c r="LG23" s="189">
        <v>19.834389967128217</v>
      </c>
      <c r="LH23" s="189">
        <v>20.290580936372173</v>
      </c>
      <c r="LI23" s="189">
        <v>20.290580936372173</v>
      </c>
      <c r="LJ23" s="189">
        <v>20.290580936372173</v>
      </c>
      <c r="LK23" s="189">
        <v>20.290580936372173</v>
      </c>
      <c r="LL23" s="189">
        <v>20.290580936372173</v>
      </c>
      <c r="LM23" s="189">
        <v>20.290580936372173</v>
      </c>
      <c r="LN23" s="189">
        <v>20.290580936372173</v>
      </c>
      <c r="LO23" s="189">
        <v>20.290580936372173</v>
      </c>
      <c r="LP23" s="189">
        <v>20.290580936372173</v>
      </c>
      <c r="LQ23" s="189">
        <v>20.290580936372173</v>
      </c>
      <c r="LR23" s="189">
        <v>20.290580936372173</v>
      </c>
      <c r="LS23" s="189">
        <v>20.290580936372173</v>
      </c>
      <c r="LT23" s="189">
        <v>20.757264297908737</v>
      </c>
      <c r="LU23" s="189">
        <v>20.757264297908737</v>
      </c>
      <c r="LV23" s="189">
        <v>20.757264297908737</v>
      </c>
      <c r="LW23" s="189">
        <v>20.757264297908737</v>
      </c>
      <c r="LX23" s="189">
        <v>20.757264297908737</v>
      </c>
      <c r="LY23" s="189">
        <v>20.757264297908737</v>
      </c>
      <c r="LZ23" s="189">
        <v>20.757264297908737</v>
      </c>
      <c r="MA23" s="189">
        <v>20.757264297908737</v>
      </c>
      <c r="MB23" s="189">
        <v>20.757264297908737</v>
      </c>
      <c r="MC23" s="189">
        <v>20.757264297908737</v>
      </c>
      <c r="MD23" s="189">
        <v>20.757264297908737</v>
      </c>
      <c r="ME23" s="189">
        <v>20.757264297908737</v>
      </c>
      <c r="MF23" s="189">
        <v>21.234681376760641</v>
      </c>
      <c r="MG23" s="189">
        <v>21.234681376760641</v>
      </c>
      <c r="MH23" s="189">
        <v>21.234681376760641</v>
      </c>
      <c r="MI23" s="189">
        <v>21.234681376760641</v>
      </c>
      <c r="MJ23" s="189">
        <v>21.234681376760641</v>
      </c>
      <c r="MK23" s="189">
        <v>21.234681376760641</v>
      </c>
      <c r="ML23" s="189">
        <v>21.234681376760641</v>
      </c>
      <c r="MM23" s="189">
        <v>21.234681376760641</v>
      </c>
      <c r="MN23" s="189">
        <v>21.234681376760641</v>
      </c>
      <c r="MO23" s="189">
        <v>21.234681376760641</v>
      </c>
      <c r="MP23" s="189">
        <v>21.234681376760641</v>
      </c>
      <c r="MQ23" s="189">
        <v>21.234681376760641</v>
      </c>
      <c r="MR23" s="189">
        <v>21.72307904842614</v>
      </c>
      <c r="MS23" s="189">
        <v>21.72307904842614</v>
      </c>
      <c r="MT23" s="189">
        <v>21.72307904842614</v>
      </c>
      <c r="MU23" s="189">
        <v>21.72307904842614</v>
      </c>
      <c r="MV23" s="189">
        <v>21.72307904842614</v>
      </c>
      <c r="MW23" s="189">
        <v>21.72307904842614</v>
      </c>
      <c r="MX23" s="189">
        <v>21.72307904842614</v>
      </c>
      <c r="MY23" s="189">
        <v>21.72307904842614</v>
      </c>
      <c r="MZ23" s="189">
        <v>21.72307904842614</v>
      </c>
      <c r="NA23" s="189">
        <v>21.72307904842614</v>
      </c>
      <c r="NB23" s="189">
        <v>21.72307904842614</v>
      </c>
      <c r="NC23" s="189">
        <v>21.72307904842614</v>
      </c>
      <c r="ND23" s="189">
        <v>22.222709866539947</v>
      </c>
      <c r="NE23" s="189">
        <v>22.222709866539947</v>
      </c>
      <c r="NF23" s="189">
        <v>22.222709866539947</v>
      </c>
      <c r="NG23" s="189">
        <v>22.222709866539947</v>
      </c>
      <c r="NH23" s="189">
        <v>22.222709866539947</v>
      </c>
      <c r="NI23" s="189">
        <v>22.222709866539947</v>
      </c>
      <c r="NJ23" s="189">
        <v>22.222709866539947</v>
      </c>
      <c r="NK23" s="189">
        <v>22.222709866539947</v>
      </c>
      <c r="NL23" s="189">
        <v>22.222709866539947</v>
      </c>
      <c r="NM23" s="189">
        <v>22.222709866539947</v>
      </c>
      <c r="NN23" s="189">
        <v>22.222709866539947</v>
      </c>
      <c r="NO23" s="189">
        <v>22.222709866539947</v>
      </c>
      <c r="NP23" s="189">
        <v>0</v>
      </c>
      <c r="NQ23" s="189">
        <v>0</v>
      </c>
      <c r="NR23" s="189">
        <v>0</v>
      </c>
      <c r="NU23">
        <v>8</v>
      </c>
      <c r="NV23">
        <v>2029</v>
      </c>
      <c r="NW23" s="188">
        <v>47270</v>
      </c>
      <c r="NX23" s="188">
        <v>47634</v>
      </c>
      <c r="NY23">
        <v>10.4</v>
      </c>
    </row>
    <row r="24" spans="1:389" x14ac:dyDescent="0.4">
      <c r="NU24">
        <v>8</v>
      </c>
      <c r="NV24">
        <v>2030</v>
      </c>
      <c r="NW24" s="188">
        <v>47635</v>
      </c>
      <c r="NX24" s="188">
        <v>47999</v>
      </c>
      <c r="NY24">
        <v>10.4</v>
      </c>
    </row>
    <row r="25" spans="1:389" x14ac:dyDescent="0.4">
      <c r="A25" s="190" t="s">
        <v>532</v>
      </c>
      <c r="NU25">
        <v>8</v>
      </c>
      <c r="NV25">
        <v>2031</v>
      </c>
      <c r="NW25" s="188">
        <v>48000</v>
      </c>
      <c r="NX25" s="188">
        <v>48365</v>
      </c>
      <c r="NY25">
        <v>10.4</v>
      </c>
    </row>
    <row r="26" spans="1:389" x14ac:dyDescent="0.4">
      <c r="A26" t="s">
        <v>187</v>
      </c>
      <c r="C26" s="184">
        <v>9.0875721176470563</v>
      </c>
      <c r="D26" s="184">
        <v>9.1607039999999955</v>
      </c>
      <c r="E26" s="184">
        <v>10.420822588235296</v>
      </c>
      <c r="F26" s="184">
        <v>11.427229800000003</v>
      </c>
      <c r="G26" s="184">
        <v>11.489673176470589</v>
      </c>
      <c r="H26" s="184">
        <v>12.468515294117648</v>
      </c>
      <c r="I26" s="184">
        <v>13.874897647058823</v>
      </c>
      <c r="J26" s="184">
        <v>14.173050705882353</v>
      </c>
      <c r="K26" s="184">
        <v>12.296936647058823</v>
      </c>
      <c r="L26" s="184">
        <v>11.630311411764705</v>
      </c>
      <c r="M26" s="184">
        <v>10.598589317647058</v>
      </c>
      <c r="N26" s="184">
        <v>10.472014905882354</v>
      </c>
      <c r="O26" s="184">
        <v>8.9836591764705869</v>
      </c>
      <c r="P26" s="184">
        <v>9.6755992941176476</v>
      </c>
      <c r="Q26" s="184">
        <v>10.803517941176469</v>
      </c>
      <c r="R26" s="184">
        <v>12.012444211764704</v>
      </c>
      <c r="S26" s="184">
        <v>12.468674647058823</v>
      </c>
      <c r="T26" s="184">
        <v>12.828708529411763</v>
      </c>
      <c r="U26" s="184">
        <v>14.370103588235294</v>
      </c>
      <c r="V26" s="184">
        <v>14.72451194117647</v>
      </c>
      <c r="W26" s="184">
        <v>12.544619294117647</v>
      </c>
      <c r="X26" s="184">
        <v>12.631815</v>
      </c>
      <c r="Y26" s="184">
        <v>11.55227590588235</v>
      </c>
      <c r="Z26" s="184">
        <v>10.806893258823527</v>
      </c>
      <c r="AA26" s="184">
        <v>12.437297764253611</v>
      </c>
      <c r="AB26" s="184">
        <v>12.692151005867569</v>
      </c>
      <c r="AC26" s="184">
        <v>10.920367733283483</v>
      </c>
      <c r="AD26" s="184">
        <v>11.308160189822743</v>
      </c>
      <c r="AE26" s="184">
        <v>11.441503870288459</v>
      </c>
      <c r="AF26" s="184">
        <v>11.625322657898355</v>
      </c>
      <c r="AG26" s="184">
        <v>12.329424727550849</v>
      </c>
      <c r="AH26" s="184">
        <v>11.430463124875063</v>
      </c>
      <c r="AI26" s="184">
        <v>11.376589268337879</v>
      </c>
      <c r="AJ26" s="184">
        <v>11.274588170777596</v>
      </c>
      <c r="AK26" s="184">
        <v>10.963693999458659</v>
      </c>
      <c r="AL26" s="184">
        <v>10.768740525636673</v>
      </c>
      <c r="AM26" s="184">
        <v>12.510179892382562</v>
      </c>
      <c r="AN26" s="184">
        <v>12.524026924566604</v>
      </c>
      <c r="AO26" s="184">
        <v>11.212944933062396</v>
      </c>
      <c r="AP26" s="184">
        <v>11.593369564554401</v>
      </c>
      <c r="AQ26" s="184">
        <v>11.618136053137651</v>
      </c>
      <c r="AR26" s="184">
        <v>11.765027328551838</v>
      </c>
      <c r="AS26" s="184">
        <v>12.480849804195135</v>
      </c>
      <c r="AT26" s="184">
        <v>11.71413524641369</v>
      </c>
      <c r="AU26" s="184">
        <v>11.558031466251435</v>
      </c>
      <c r="AV26" s="184">
        <v>11.607323530789785</v>
      </c>
      <c r="AW26" s="184">
        <v>11.299847536742174</v>
      </c>
      <c r="AX26" s="184">
        <v>10.856107931158613</v>
      </c>
      <c r="AY26" s="184">
        <v>12.848323215060448</v>
      </c>
      <c r="AZ26" s="184">
        <v>12.889627251468928</v>
      </c>
      <c r="BA26" s="184">
        <v>11.426846127599124</v>
      </c>
      <c r="BB26" s="184">
        <v>11.739017033491606</v>
      </c>
      <c r="BC26" s="184">
        <v>11.919791416693769</v>
      </c>
      <c r="BD26" s="184">
        <v>12.089304167755596</v>
      </c>
      <c r="BE26" s="184">
        <v>12.625828489169475</v>
      </c>
      <c r="BF26" s="184">
        <v>11.91772957904616</v>
      </c>
      <c r="BG26" s="184">
        <v>11.723284023739359</v>
      </c>
      <c r="BH26" s="184">
        <v>11.938108568917102</v>
      </c>
      <c r="BI26" s="184">
        <v>11.300246773246199</v>
      </c>
      <c r="BJ26" s="184">
        <v>11.906978159951114</v>
      </c>
      <c r="BK26" s="184">
        <v>13.458598139792079</v>
      </c>
      <c r="BL26" s="184">
        <v>12.833768120491937</v>
      </c>
      <c r="BM26" s="184">
        <v>11.695111657242215</v>
      </c>
      <c r="BN26" s="184">
        <v>11.98911888302788</v>
      </c>
      <c r="BO26" s="184">
        <v>12.082705178709357</v>
      </c>
      <c r="BP26" s="184">
        <v>12.326491348894949</v>
      </c>
      <c r="BQ26" s="184">
        <v>12.778373828048395</v>
      </c>
      <c r="BR26" s="184">
        <v>12.309642974396303</v>
      </c>
      <c r="BS26" s="184">
        <v>12.114521843379505</v>
      </c>
      <c r="BT26" s="184">
        <v>12.238592283858139</v>
      </c>
      <c r="BU26" s="184">
        <v>11.597888209066699</v>
      </c>
      <c r="BV26" s="184">
        <v>12.071552762885373</v>
      </c>
      <c r="BW26" s="184">
        <v>13.791128536678164</v>
      </c>
      <c r="BX26" s="184">
        <v>13.932117389605859</v>
      </c>
      <c r="BY26" s="184">
        <v>11.8464639247567</v>
      </c>
      <c r="BZ26" s="184">
        <v>12.225439102927611</v>
      </c>
      <c r="CA26" s="184">
        <v>12.24192694927185</v>
      </c>
      <c r="CB26" s="184">
        <v>12.267132000772827</v>
      </c>
      <c r="CC26" s="184">
        <v>12.838153374866557</v>
      </c>
      <c r="CD26" s="184">
        <v>12.593648557110187</v>
      </c>
      <c r="CE26" s="184">
        <v>12.133532827463855</v>
      </c>
      <c r="CF26" s="184">
        <v>12.492438838792957</v>
      </c>
      <c r="CG26" s="184">
        <v>11.550634298302631</v>
      </c>
      <c r="CH26" s="184">
        <v>13.496739431482718</v>
      </c>
      <c r="CI26" s="184">
        <v>14.265947004745296</v>
      </c>
      <c r="CJ26" s="184">
        <v>13.942114269066167</v>
      </c>
      <c r="CK26" s="184">
        <v>12.103977328453922</v>
      </c>
      <c r="CL26" s="184">
        <v>12.426206904913855</v>
      </c>
      <c r="CM26" s="184">
        <v>12.348303740853712</v>
      </c>
      <c r="CN26" s="184">
        <v>12.456889429682697</v>
      </c>
      <c r="CO26" s="184">
        <v>12.977152280529005</v>
      </c>
      <c r="CP26" s="184">
        <v>12.976716023333003</v>
      </c>
      <c r="CQ26" s="184">
        <v>12.271528603015255</v>
      </c>
      <c r="CR26" s="184">
        <v>12.828847693172708</v>
      </c>
      <c r="CS26" s="184">
        <v>12.018887796865677</v>
      </c>
      <c r="CT26" s="184">
        <v>12.79428717146315</v>
      </c>
      <c r="CU26" s="184">
        <v>14.408830027158377</v>
      </c>
      <c r="CV26" s="184">
        <v>14.081925888213007</v>
      </c>
      <c r="CW26" s="184">
        <v>12.226355071462997</v>
      </c>
      <c r="CX26" s="184">
        <v>12.551640845967704</v>
      </c>
      <c r="CY26" s="184">
        <v>12.472998806537094</v>
      </c>
      <c r="CZ26" s="184">
        <v>12.582614380249817</v>
      </c>
      <c r="DA26" s="184">
        <v>13.107811682877349</v>
      </c>
      <c r="DB26" s="184">
        <v>13.107371287984231</v>
      </c>
      <c r="DC26" s="184">
        <v>12.39549549213357</v>
      </c>
      <c r="DD26" s="184">
        <v>12.958100495311074</v>
      </c>
      <c r="DE26" s="184">
        <v>12.140458505142162</v>
      </c>
      <c r="DF26" s="184">
        <v>12.923212183086331</v>
      </c>
      <c r="DG26" s="184">
        <v>14.697006627701537</v>
      </c>
      <c r="DH26" s="184">
        <v>14.363564405977268</v>
      </c>
      <c r="DI26" s="184">
        <v>12.470882172892258</v>
      </c>
      <c r="DJ26" s="184">
        <v>12.802673662887059</v>
      </c>
      <c r="DK26" s="184">
        <v>12.722458782667836</v>
      </c>
      <c r="DL26" s="184">
        <v>12.834266667854816</v>
      </c>
      <c r="DM26" s="184">
        <v>13.369967916534895</v>
      </c>
      <c r="DN26" s="184">
        <v>13.369518713743913</v>
      </c>
      <c r="DO26" s="184">
        <v>12.643405401976242</v>
      </c>
      <c r="DP26" s="184">
        <v>13.217262505217295</v>
      </c>
      <c r="DQ26" s="184">
        <v>12.383267675245005</v>
      </c>
      <c r="DR26" s="184">
        <v>13.181676426748055</v>
      </c>
      <c r="DS26" s="184">
        <v>14.715310564888942</v>
      </c>
      <c r="DT26" s="184">
        <v>14.378742322336002</v>
      </c>
      <c r="DU26" s="184">
        <v>12.468316193315822</v>
      </c>
      <c r="DV26" s="184">
        <v>12.803218228529326</v>
      </c>
      <c r="DW26" s="184">
        <v>12.72225133380805</v>
      </c>
      <c r="DX26" s="184">
        <v>12.835107417918653</v>
      </c>
      <c r="DY26" s="184">
        <v>13.375830865805112</v>
      </c>
      <c r="DZ26" s="184">
        <v>13.375377451737963</v>
      </c>
      <c r="EA26" s="184">
        <v>12.64245682767247</v>
      </c>
      <c r="EB26" s="184">
        <v>13.221693841256407</v>
      </c>
      <c r="EC26" s="184">
        <v>12.37988030975313</v>
      </c>
      <c r="ED26" s="184">
        <v>13.185774143301526</v>
      </c>
      <c r="EE26" s="184">
        <v>14.749627208301401</v>
      </c>
      <c r="EF26" s="184">
        <v>14.406327600897409</v>
      </c>
      <c r="EG26" s="184">
        <v>12.457692949296819</v>
      </c>
      <c r="EH26" s="184">
        <v>12.799293025214595</v>
      </c>
      <c r="EI26" s="184">
        <v>12.716706792598892</v>
      </c>
      <c r="EJ26" s="184">
        <v>12.831819998391708</v>
      </c>
      <c r="EK26" s="184">
        <v>13.383357915235896</v>
      </c>
      <c r="EL26" s="184">
        <v>13.382895432887402</v>
      </c>
      <c r="EM26" s="184">
        <v>12.635316396340601</v>
      </c>
      <c r="EN26" s="184">
        <v>13.226138150196219</v>
      </c>
      <c r="EO26" s="184">
        <v>12.367488348062874</v>
      </c>
      <c r="EP26" s="184">
        <v>13.189500058282238</v>
      </c>
      <c r="EQ26" s="184">
        <v>14.912025072845919</v>
      </c>
      <c r="ER26" s="184">
        <v>14.561859473293834</v>
      </c>
      <c r="ES26" s="184">
        <v>12.574252128661238</v>
      </c>
      <c r="ET26" s="184">
        <v>12.922684206097369</v>
      </c>
      <c r="EU26" s="184">
        <v>12.838446248829353</v>
      </c>
      <c r="EV26" s="184">
        <v>12.955861718738028</v>
      </c>
      <c r="EW26" s="184">
        <v>13.518430393919097</v>
      </c>
      <c r="EX26" s="184">
        <v>13.517958661923636</v>
      </c>
      <c r="EY26" s="184">
        <v>12.755428044645898</v>
      </c>
      <c r="EZ26" s="184">
        <v>13.358066233578626</v>
      </c>
      <c r="FA26" s="184">
        <v>12.482243435402612</v>
      </c>
      <c r="FB26" s="184">
        <v>13.320695379826367</v>
      </c>
      <c r="FC26" s="184">
        <v>14.647265092262323</v>
      </c>
      <c r="FD26" s="184">
        <v>14.293855853472291</v>
      </c>
      <c r="FE26" s="184">
        <v>12.28783698817362</v>
      </c>
      <c r="FF26" s="184">
        <v>12.63949664695863</v>
      </c>
      <c r="FG26" s="184">
        <v>12.554478380191709</v>
      </c>
      <c r="FH26" s="184">
        <v>12.672981488137433</v>
      </c>
      <c r="FI26" s="184">
        <v>13.240761325783337</v>
      </c>
      <c r="FJ26" s="184">
        <v>13.240285224059917</v>
      </c>
      <c r="FK26" s="184">
        <v>12.470691165274763</v>
      </c>
      <c r="FL26" s="184">
        <v>13.078911686904975</v>
      </c>
      <c r="FM26" s="184">
        <v>12.194976003861649</v>
      </c>
      <c r="FN26" s="184">
        <v>13.041194661033749</v>
      </c>
      <c r="FO26" s="184">
        <v>14.503901407104456</v>
      </c>
      <c r="FP26" s="184">
        <v>14.147258849746775</v>
      </c>
      <c r="FQ26" s="184">
        <v>12.122887045893242</v>
      </c>
      <c r="FR26" s="184">
        <v>12.477764016450118</v>
      </c>
      <c r="FS26" s="184">
        <v>12.391967922987241</v>
      </c>
      <c r="FT26" s="184">
        <v>12.511555208303534</v>
      </c>
      <c r="FU26" s="184">
        <v>13.084529627442794</v>
      </c>
      <c r="FV26" s="184">
        <v>13.084049169895096</v>
      </c>
      <c r="FW26" s="184">
        <v>12.307414144189142</v>
      </c>
      <c r="FX26" s="184">
        <v>12.921199236549162</v>
      </c>
      <c r="FY26" s="184">
        <v>12.029176482363098</v>
      </c>
      <c r="FZ26" s="184">
        <v>12.883137140015704</v>
      </c>
      <c r="GA26" s="184">
        <v>14.090426761387606</v>
      </c>
      <c r="GB26" s="184">
        <v>13.72665135288277</v>
      </c>
      <c r="GC26" s="184">
        <v>11.66179211295217</v>
      </c>
      <c r="GD26" s="184">
        <v>12.023766622920183</v>
      </c>
      <c r="GE26" s="184">
        <v>11.936254607588053</v>
      </c>
      <c r="GF26" s="184">
        <v>12.058233638610668</v>
      </c>
      <c r="GG26" s="184">
        <v>12.642667546132714</v>
      </c>
      <c r="GH26" s="184">
        <v>12.642177479434064</v>
      </c>
      <c r="GI26" s="184">
        <v>11.850009753213989</v>
      </c>
      <c r="GJ26" s="184">
        <v>12.476070547421211</v>
      </c>
      <c r="GK26" s="184">
        <v>11.566207338151424</v>
      </c>
      <c r="GL26" s="184">
        <v>12.43724720895708</v>
      </c>
      <c r="GM26" s="184">
        <v>12.626576717332323</v>
      </c>
      <c r="GN26" s="184">
        <v>12.259515595460343</v>
      </c>
      <c r="GO26" s="184">
        <v>10.176006014007788</v>
      </c>
      <c r="GP26" s="184">
        <v>10.541249971162607</v>
      </c>
      <c r="GQ26" s="184">
        <v>10.452947524724252</v>
      </c>
      <c r="GR26" s="184">
        <v>10.576028301833524</v>
      </c>
      <c r="GS26" s="184">
        <v>11.165740967229961</v>
      </c>
      <c r="GT26" s="184">
        <v>11.165246474122421</v>
      </c>
      <c r="GU26" s="184">
        <v>10.365923684568747</v>
      </c>
      <c r="GV26" s="184">
        <v>10.997639221433325</v>
      </c>
      <c r="GW26" s="184">
        <v>10.079557892854002</v>
      </c>
      <c r="GX26" s="184">
        <v>10.958465220557262</v>
      </c>
      <c r="GY26" s="184">
        <v>10.097598684524169</v>
      </c>
      <c r="GZ26" s="184">
        <v>9.7231963402147557</v>
      </c>
      <c r="HA26" s="184">
        <v>7.5980165671331523</v>
      </c>
      <c r="HB26" s="184">
        <v>7.9705654034310669</v>
      </c>
      <c r="HC26" s="184">
        <v>7.8804969080639449</v>
      </c>
      <c r="HD26" s="184">
        <v>8.006039300715404</v>
      </c>
      <c r="HE26" s="184">
        <v>8.6075462194197723</v>
      </c>
      <c r="HF26" s="184">
        <v>8.607041836450076</v>
      </c>
      <c r="HG26" s="184">
        <v>7.7917325911053332</v>
      </c>
      <c r="HH26" s="184">
        <v>8.4360824387071958</v>
      </c>
      <c r="HI26" s="184">
        <v>7.4996394835562921</v>
      </c>
      <c r="HJ26" s="184">
        <v>8.3961249578136119</v>
      </c>
      <c r="HK26" s="184">
        <v>6.5421665849352886</v>
      </c>
      <c r="HL26" s="184">
        <v>6.1644271762526843</v>
      </c>
      <c r="HM26" s="184">
        <v>4.0203055834544772</v>
      </c>
      <c r="HN26" s="184">
        <v>4.3961749637280958</v>
      </c>
      <c r="HO26" s="184">
        <v>4.305303683945743</v>
      </c>
      <c r="HP26" s="184">
        <v>4.4319650414012672</v>
      </c>
      <c r="HQ26" s="184">
        <v>5.0388332174245223</v>
      </c>
      <c r="HR26" s="184">
        <v>5.038324338867489</v>
      </c>
      <c r="HS26" s="184">
        <v>4.2157482067707557</v>
      </c>
      <c r="HT26" s="184">
        <v>4.8658411725795103</v>
      </c>
      <c r="HU26" s="184">
        <v>3.9210516606544372</v>
      </c>
      <c r="HV26" s="184">
        <v>4.82552754892144</v>
      </c>
      <c r="HW26" s="184">
        <v>2.2560312820883439</v>
      </c>
      <c r="HX26" s="184">
        <v>1.8707370852320828</v>
      </c>
      <c r="HY26" s="184">
        <v>-0.31626693942209094</v>
      </c>
      <c r="HZ26" s="184">
        <v>6.7119828457000708E-2</v>
      </c>
      <c r="IA26" s="184">
        <v>-2.556887692099874E-2</v>
      </c>
      <c r="IB26" s="184">
        <v>0.1036257076836371</v>
      </c>
      <c r="IC26" s="184">
        <v>0.72263124722735661</v>
      </c>
      <c r="ID26" s="184">
        <v>0.7221121910991819</v>
      </c>
      <c r="IE26" s="184">
        <v>-0.11691546363948468</v>
      </c>
      <c r="IF26" s="184">
        <v>0.54617936148544288</v>
      </c>
      <c r="IG26" s="184">
        <v>-0.41750594067813296</v>
      </c>
      <c r="IH26" s="184">
        <v>0.50505946535421486</v>
      </c>
      <c r="II26" s="184">
        <v>0</v>
      </c>
      <c r="IJ26" s="184">
        <v>0</v>
      </c>
      <c r="IK26" s="184">
        <v>0</v>
      </c>
      <c r="IL26" s="184">
        <v>0</v>
      </c>
      <c r="IM26" s="184">
        <v>0</v>
      </c>
      <c r="IN26" s="184">
        <v>0</v>
      </c>
      <c r="IO26" s="184">
        <v>0</v>
      </c>
      <c r="IP26" s="184">
        <v>0</v>
      </c>
      <c r="IQ26" s="184">
        <v>0</v>
      </c>
      <c r="IR26" s="184">
        <v>0</v>
      </c>
      <c r="IS26" s="184">
        <v>0</v>
      </c>
      <c r="IT26" s="184">
        <v>0</v>
      </c>
      <c r="IU26" s="184">
        <v>0</v>
      </c>
      <c r="IV26" s="184">
        <v>0</v>
      </c>
      <c r="IW26" s="184">
        <v>0</v>
      </c>
      <c r="IX26" s="184">
        <v>0</v>
      </c>
      <c r="IY26" s="184">
        <v>0</v>
      </c>
      <c r="IZ26" s="184">
        <v>0</v>
      </c>
      <c r="JA26" s="184">
        <v>0</v>
      </c>
      <c r="JB26" s="184">
        <v>0</v>
      </c>
      <c r="JC26" s="184">
        <v>0</v>
      </c>
      <c r="JD26" s="184">
        <v>0</v>
      </c>
      <c r="JE26" s="184">
        <v>0</v>
      </c>
      <c r="JF26" s="184">
        <v>0</v>
      </c>
      <c r="JG26" s="184">
        <v>0</v>
      </c>
      <c r="JH26" s="184">
        <v>0</v>
      </c>
      <c r="JI26" s="184">
        <v>0</v>
      </c>
      <c r="JJ26" s="184">
        <v>0</v>
      </c>
      <c r="JK26" s="184">
        <v>0</v>
      </c>
      <c r="JL26" s="184">
        <v>0</v>
      </c>
      <c r="JM26" s="184">
        <v>0</v>
      </c>
      <c r="JN26" s="184">
        <v>0</v>
      </c>
      <c r="JO26" s="184">
        <v>0</v>
      </c>
      <c r="JP26" s="184">
        <v>0</v>
      </c>
      <c r="JQ26" s="184">
        <v>0</v>
      </c>
      <c r="JR26" s="184">
        <v>0</v>
      </c>
      <c r="JS26" s="184">
        <v>0</v>
      </c>
      <c r="JT26" s="184">
        <v>0</v>
      </c>
      <c r="JU26" s="184">
        <v>0</v>
      </c>
      <c r="JV26" s="184">
        <v>0</v>
      </c>
      <c r="JW26" s="184">
        <v>0</v>
      </c>
      <c r="JX26" s="184">
        <v>0</v>
      </c>
      <c r="JY26" s="184">
        <v>0</v>
      </c>
      <c r="JZ26" s="184">
        <v>0</v>
      </c>
      <c r="KA26" s="184">
        <v>0</v>
      </c>
      <c r="KB26" s="184">
        <v>0</v>
      </c>
      <c r="KC26" s="184">
        <v>0</v>
      </c>
      <c r="KD26" s="184">
        <v>0</v>
      </c>
      <c r="KE26" s="184">
        <v>0</v>
      </c>
      <c r="KF26" s="184">
        <v>0</v>
      </c>
      <c r="KG26" s="184">
        <v>0</v>
      </c>
      <c r="KH26" s="184">
        <v>0</v>
      </c>
      <c r="KI26" s="184">
        <v>0</v>
      </c>
      <c r="KJ26" s="184">
        <v>0</v>
      </c>
      <c r="KK26" s="184">
        <v>0</v>
      </c>
      <c r="KL26" s="184">
        <v>0</v>
      </c>
      <c r="KM26" s="184">
        <v>0</v>
      </c>
      <c r="KN26" s="184">
        <v>0</v>
      </c>
      <c r="KO26" s="184">
        <v>0</v>
      </c>
      <c r="KP26" s="184">
        <v>0</v>
      </c>
      <c r="KQ26" s="184">
        <v>0</v>
      </c>
      <c r="KR26" s="184">
        <v>0</v>
      </c>
      <c r="KS26" s="184">
        <v>0</v>
      </c>
      <c r="KT26" s="184">
        <v>0</v>
      </c>
      <c r="KU26" s="184">
        <v>0</v>
      </c>
      <c r="KV26" s="184">
        <v>0</v>
      </c>
      <c r="KW26" s="184">
        <v>0</v>
      </c>
      <c r="KX26" s="184">
        <v>0</v>
      </c>
      <c r="KY26" s="184">
        <v>0</v>
      </c>
      <c r="KZ26" s="184">
        <v>0</v>
      </c>
      <c r="LA26" s="184">
        <v>0</v>
      </c>
      <c r="LB26" s="184">
        <v>0</v>
      </c>
      <c r="LC26" s="184">
        <v>0</v>
      </c>
      <c r="LD26" s="184">
        <v>0</v>
      </c>
      <c r="LE26" s="184">
        <v>0</v>
      </c>
      <c r="LF26" s="184">
        <v>0</v>
      </c>
      <c r="LG26" s="184">
        <v>0</v>
      </c>
      <c r="LH26" s="184">
        <v>0</v>
      </c>
      <c r="LI26" s="184">
        <v>0</v>
      </c>
      <c r="LJ26" s="184">
        <v>0</v>
      </c>
      <c r="LK26" s="184">
        <v>0</v>
      </c>
      <c r="LL26" s="184">
        <v>0</v>
      </c>
      <c r="LM26" s="184">
        <v>0</v>
      </c>
      <c r="LN26" s="184">
        <v>0</v>
      </c>
      <c r="LO26" s="184">
        <v>0</v>
      </c>
      <c r="LP26" s="184">
        <v>0</v>
      </c>
      <c r="LQ26" s="184">
        <v>0</v>
      </c>
      <c r="LR26" s="184">
        <v>0</v>
      </c>
      <c r="LS26" s="184">
        <v>0</v>
      </c>
      <c r="LT26" s="184">
        <v>0</v>
      </c>
      <c r="LU26" s="184">
        <v>0</v>
      </c>
      <c r="LV26" s="184">
        <v>0</v>
      </c>
      <c r="LW26" s="184">
        <v>0</v>
      </c>
      <c r="LX26" s="184">
        <v>0</v>
      </c>
      <c r="LY26" s="184">
        <v>0</v>
      </c>
      <c r="LZ26" s="184">
        <v>0</v>
      </c>
      <c r="MA26" s="184">
        <v>0</v>
      </c>
      <c r="MB26" s="184">
        <v>0</v>
      </c>
      <c r="MC26" s="184">
        <v>0</v>
      </c>
      <c r="MD26" s="184">
        <v>0</v>
      </c>
      <c r="ME26" s="184">
        <v>0</v>
      </c>
      <c r="MF26" s="184">
        <v>0</v>
      </c>
      <c r="MG26" s="184">
        <v>0</v>
      </c>
      <c r="MH26" s="184">
        <v>0</v>
      </c>
      <c r="MI26" s="184">
        <v>0</v>
      </c>
      <c r="MJ26" s="184">
        <v>0</v>
      </c>
      <c r="MK26" s="184">
        <v>0</v>
      </c>
      <c r="ML26" s="184">
        <v>0</v>
      </c>
      <c r="MM26" s="184">
        <v>0</v>
      </c>
      <c r="MN26" s="184">
        <v>0</v>
      </c>
      <c r="MO26" s="184">
        <v>0</v>
      </c>
      <c r="MP26" s="184">
        <v>0</v>
      </c>
      <c r="MQ26" s="184">
        <v>0</v>
      </c>
      <c r="MR26" s="184">
        <v>0</v>
      </c>
      <c r="MS26" s="184">
        <v>0</v>
      </c>
      <c r="MT26" s="184">
        <v>0</v>
      </c>
      <c r="MU26" s="184">
        <v>0</v>
      </c>
      <c r="MV26" s="184">
        <v>0</v>
      </c>
      <c r="MW26" s="184">
        <v>0</v>
      </c>
      <c r="MX26" s="184">
        <v>0</v>
      </c>
      <c r="MY26" s="184"/>
      <c r="MZ26" s="184"/>
      <c r="NA26" s="184"/>
      <c r="NB26" s="184"/>
      <c r="NC26" s="184"/>
      <c r="ND26" s="184"/>
      <c r="NE26" s="184"/>
      <c r="NF26" s="184"/>
      <c r="NG26" s="184"/>
      <c r="NH26" s="184"/>
      <c r="NI26" s="184"/>
      <c r="NJ26" s="184"/>
      <c r="NK26" s="184"/>
      <c r="NL26" s="184"/>
      <c r="NM26" s="184"/>
      <c r="NN26" s="184"/>
      <c r="NO26" s="184"/>
      <c r="NP26" s="184"/>
      <c r="NQ26" s="184"/>
      <c r="NR26" s="184"/>
      <c r="NU26">
        <v>8</v>
      </c>
      <c r="NV26">
        <v>2032</v>
      </c>
      <c r="NW26" s="188">
        <v>48366</v>
      </c>
      <c r="NX26" s="188">
        <v>48730</v>
      </c>
      <c r="NY26">
        <v>10.3</v>
      </c>
    </row>
    <row r="27" spans="1:389" x14ac:dyDescent="0.4">
      <c r="A27" t="s">
        <v>188</v>
      </c>
      <c r="C27" s="184">
        <v>0.53550000000000009</v>
      </c>
      <c r="D27" s="184">
        <v>0.53550000000000009</v>
      </c>
      <c r="E27" s="184">
        <v>0.53550000000000009</v>
      </c>
      <c r="F27" s="184">
        <v>0.53550000000000009</v>
      </c>
      <c r="G27" s="184">
        <v>0.53550000000000009</v>
      </c>
      <c r="H27" s="184">
        <v>0.53550000000000009</v>
      </c>
      <c r="I27" s="184">
        <v>0.53550000000000009</v>
      </c>
      <c r="J27" s="184">
        <v>0.53550000000000009</v>
      </c>
      <c r="K27" s="184">
        <v>0.53550000000000009</v>
      </c>
      <c r="L27" s="184">
        <v>0.53550000000000009</v>
      </c>
      <c r="M27" s="184">
        <v>0.53550000000000009</v>
      </c>
      <c r="N27" s="184">
        <v>0.53550000000000009</v>
      </c>
      <c r="O27" s="184">
        <v>0.54621000000000008</v>
      </c>
      <c r="P27" s="184">
        <v>0.54621000000000008</v>
      </c>
      <c r="Q27" s="184">
        <v>0.54621000000000008</v>
      </c>
      <c r="R27" s="184">
        <v>0.54621000000000008</v>
      </c>
      <c r="S27" s="184">
        <v>0.54621000000000008</v>
      </c>
      <c r="T27" s="184">
        <v>0.54621000000000008</v>
      </c>
      <c r="U27" s="184">
        <v>0.54621000000000008</v>
      </c>
      <c r="V27" s="184">
        <v>0.54621000000000008</v>
      </c>
      <c r="W27" s="184">
        <v>0.54621000000000008</v>
      </c>
      <c r="X27" s="184">
        <v>0.54621000000000008</v>
      </c>
      <c r="Y27" s="184">
        <v>0.54621000000000008</v>
      </c>
      <c r="Z27" s="184">
        <v>0.54621000000000008</v>
      </c>
      <c r="AA27" s="184">
        <v>0.55182816000000001</v>
      </c>
      <c r="AB27" s="184">
        <v>0.55182816000000001</v>
      </c>
      <c r="AC27" s="184">
        <v>0.55182816000000001</v>
      </c>
      <c r="AD27" s="184">
        <v>0.55182816000000001</v>
      </c>
      <c r="AE27" s="184">
        <v>0.55182816000000001</v>
      </c>
      <c r="AF27" s="184">
        <v>0.55182816000000001</v>
      </c>
      <c r="AG27" s="184">
        <v>0.55182816000000001</v>
      </c>
      <c r="AH27" s="184">
        <v>0.55182816000000001</v>
      </c>
      <c r="AI27" s="184">
        <v>0.55182816000000001</v>
      </c>
      <c r="AJ27" s="184">
        <v>0.55182816000000001</v>
      </c>
      <c r="AK27" s="184">
        <v>0.55182816000000001</v>
      </c>
      <c r="AL27" s="184">
        <v>0.55182816000000001</v>
      </c>
      <c r="AM27" s="184">
        <v>0.56286472320000003</v>
      </c>
      <c r="AN27" s="184">
        <v>0.56286472320000003</v>
      </c>
      <c r="AO27" s="184">
        <v>0.56286472320000003</v>
      </c>
      <c r="AP27" s="184">
        <v>0.56286472320000003</v>
      </c>
      <c r="AQ27" s="184">
        <v>0.56286472320000003</v>
      </c>
      <c r="AR27" s="184">
        <v>0.56286472320000003</v>
      </c>
      <c r="AS27" s="184">
        <v>0.56286472320000003</v>
      </c>
      <c r="AT27" s="184">
        <v>0.56286472320000003</v>
      </c>
      <c r="AU27" s="184">
        <v>0.56286472320000003</v>
      </c>
      <c r="AV27" s="184">
        <v>0.56286472320000003</v>
      </c>
      <c r="AW27" s="184">
        <v>0.56286472320000003</v>
      </c>
      <c r="AX27" s="184">
        <v>0.56286472320000003</v>
      </c>
      <c r="AY27" s="184">
        <v>0.57412201766400006</v>
      </c>
      <c r="AZ27" s="184">
        <v>0.57412201766400006</v>
      </c>
      <c r="BA27" s="184">
        <v>0.57412201766400006</v>
      </c>
      <c r="BB27" s="184">
        <v>0.57412201766400006</v>
      </c>
      <c r="BC27" s="184">
        <v>0.57412201766400006</v>
      </c>
      <c r="BD27" s="184">
        <v>0.57412201766400006</v>
      </c>
      <c r="BE27" s="184">
        <v>0.57412201766400006</v>
      </c>
      <c r="BF27" s="184">
        <v>0.57412201766400006</v>
      </c>
      <c r="BG27" s="184">
        <v>0.57412201766400006</v>
      </c>
      <c r="BH27" s="184">
        <v>0.57412201766400006</v>
      </c>
      <c r="BI27" s="184">
        <v>0.57412201766400006</v>
      </c>
      <c r="BJ27" s="184">
        <v>0.57412201766400006</v>
      </c>
      <c r="BK27" s="184">
        <v>0.58560445801728012</v>
      </c>
      <c r="BL27" s="184">
        <v>0.58560445801728012</v>
      </c>
      <c r="BM27" s="184">
        <v>0.58560445801728012</v>
      </c>
      <c r="BN27" s="184">
        <v>0.58560445801728012</v>
      </c>
      <c r="BO27" s="184">
        <v>0.58560445801728012</v>
      </c>
      <c r="BP27" s="184">
        <v>0.58560445801728012</v>
      </c>
      <c r="BQ27" s="184">
        <v>0.58560445801728012</v>
      </c>
      <c r="BR27" s="184">
        <v>0.58560445801728012</v>
      </c>
      <c r="BS27" s="184">
        <v>0.58560445801728012</v>
      </c>
      <c r="BT27" s="184">
        <v>0.58560445801728012</v>
      </c>
      <c r="BU27" s="184">
        <v>0.58560445801728012</v>
      </c>
      <c r="BV27" s="184">
        <v>0.58560445801728012</v>
      </c>
      <c r="BW27" s="184">
        <v>0.59157311883937913</v>
      </c>
      <c r="BX27" s="184">
        <v>0.59157311883937913</v>
      </c>
      <c r="BY27" s="184">
        <v>0.59157311883937913</v>
      </c>
      <c r="BZ27" s="184">
        <v>0.59157311883937913</v>
      </c>
      <c r="CA27" s="184">
        <v>0.59157311883937913</v>
      </c>
      <c r="CB27" s="184">
        <v>0.59157311883937913</v>
      </c>
      <c r="CC27" s="184">
        <v>0.59157311883937913</v>
      </c>
      <c r="CD27" s="184">
        <v>0.59157311883937913</v>
      </c>
      <c r="CE27" s="184">
        <v>0.59157311883937913</v>
      </c>
      <c r="CF27" s="184">
        <v>0.59157311883937913</v>
      </c>
      <c r="CG27" s="184">
        <v>0.59157311883937913</v>
      </c>
      <c r="CH27" s="184">
        <v>0.59157311883937913</v>
      </c>
      <c r="CI27" s="184">
        <v>0.6034045812161668</v>
      </c>
      <c r="CJ27" s="184">
        <v>0.6034045812161668</v>
      </c>
      <c r="CK27" s="184">
        <v>0.6034045812161668</v>
      </c>
      <c r="CL27" s="184">
        <v>0.6034045812161668</v>
      </c>
      <c r="CM27" s="184">
        <v>0.6034045812161668</v>
      </c>
      <c r="CN27" s="184">
        <v>0.6034045812161668</v>
      </c>
      <c r="CO27" s="184">
        <v>0.6034045812161668</v>
      </c>
      <c r="CP27" s="184">
        <v>0.6034045812161668</v>
      </c>
      <c r="CQ27" s="184">
        <v>0.6034045812161668</v>
      </c>
      <c r="CR27" s="184">
        <v>0.6034045812161668</v>
      </c>
      <c r="CS27" s="184">
        <v>0.6034045812161668</v>
      </c>
      <c r="CT27" s="184">
        <v>0.6034045812161668</v>
      </c>
      <c r="CU27" s="184">
        <v>0.60949720999737855</v>
      </c>
      <c r="CV27" s="184">
        <v>0.60949720999737855</v>
      </c>
      <c r="CW27" s="184">
        <v>0.60949720999737855</v>
      </c>
      <c r="CX27" s="184">
        <v>0.60949720999737855</v>
      </c>
      <c r="CY27" s="184">
        <v>0.60949720999737855</v>
      </c>
      <c r="CZ27" s="184">
        <v>0.60949720999737855</v>
      </c>
      <c r="DA27" s="184">
        <v>0.60949720999737855</v>
      </c>
      <c r="DB27" s="184">
        <v>0.60949720999737855</v>
      </c>
      <c r="DC27" s="184">
        <v>0.60949720999737855</v>
      </c>
      <c r="DD27" s="184">
        <v>0.60949720999737855</v>
      </c>
      <c r="DE27" s="184">
        <v>0.60949720999737855</v>
      </c>
      <c r="DF27" s="184">
        <v>0.60949720999737855</v>
      </c>
      <c r="DG27" s="184">
        <v>0.62168715419732612</v>
      </c>
      <c r="DH27" s="184">
        <v>0.62168715419732612</v>
      </c>
      <c r="DI27" s="184">
        <v>0.62168715419732612</v>
      </c>
      <c r="DJ27" s="184">
        <v>0.62168715419732612</v>
      </c>
      <c r="DK27" s="184">
        <v>0.62168715419732612</v>
      </c>
      <c r="DL27" s="184">
        <v>0.62168715419732612</v>
      </c>
      <c r="DM27" s="184">
        <v>0.62168715419732612</v>
      </c>
      <c r="DN27" s="184">
        <v>0.62168715419732612</v>
      </c>
      <c r="DO27" s="184">
        <v>0.62168715419732612</v>
      </c>
      <c r="DP27" s="184">
        <v>0.62168715419732612</v>
      </c>
      <c r="DQ27" s="184">
        <v>0.62168715419732612</v>
      </c>
      <c r="DR27" s="184">
        <v>0.62168715419732612</v>
      </c>
      <c r="DS27" s="184">
        <v>0.62168715419732601</v>
      </c>
      <c r="DT27" s="184">
        <v>0.62168715419732601</v>
      </c>
      <c r="DU27" s="184">
        <v>0.62168715419732601</v>
      </c>
      <c r="DV27" s="184">
        <v>0.62168715419732601</v>
      </c>
      <c r="DW27" s="184">
        <v>0.62168715419732601</v>
      </c>
      <c r="DX27" s="184">
        <v>0.62168715419732601</v>
      </c>
      <c r="DY27" s="184">
        <v>0.62168715419732601</v>
      </c>
      <c r="DZ27" s="184">
        <v>0.62168715419732601</v>
      </c>
      <c r="EA27" s="184">
        <v>0.62168715419732601</v>
      </c>
      <c r="EB27" s="184">
        <v>0.62168715419732601</v>
      </c>
      <c r="EC27" s="184">
        <v>0.62168715419732601</v>
      </c>
      <c r="ED27" s="184">
        <v>0.62168715419732601</v>
      </c>
      <c r="EE27" s="184">
        <v>0.62143847933564733</v>
      </c>
      <c r="EF27" s="184">
        <v>0.62143847933564733</v>
      </c>
      <c r="EG27" s="184">
        <v>0.62143847933564733</v>
      </c>
      <c r="EH27" s="184">
        <v>0.62143847933564733</v>
      </c>
      <c r="EI27" s="184">
        <v>0.62143847933564733</v>
      </c>
      <c r="EJ27" s="184">
        <v>0.62143847933564733</v>
      </c>
      <c r="EK27" s="184">
        <v>0.62143847933564733</v>
      </c>
      <c r="EL27" s="184">
        <v>0.62143847933564733</v>
      </c>
      <c r="EM27" s="184">
        <v>0.62143847933564733</v>
      </c>
      <c r="EN27" s="184">
        <v>0.62143847933564733</v>
      </c>
      <c r="EO27" s="184">
        <v>0.62143847933564733</v>
      </c>
      <c r="EP27" s="184">
        <v>0.62143847933564733</v>
      </c>
      <c r="EQ27" s="184">
        <v>0.62739921577009106</v>
      </c>
      <c r="ER27" s="184">
        <v>0.62739921577009106</v>
      </c>
      <c r="ES27" s="184">
        <v>0.62739921577009106</v>
      </c>
      <c r="ET27" s="184">
        <v>0.62739921577009106</v>
      </c>
      <c r="EU27" s="184">
        <v>0.62739921577009106</v>
      </c>
      <c r="EV27" s="184">
        <v>0.62739921577009106</v>
      </c>
      <c r="EW27" s="184">
        <v>0.62739921577009106</v>
      </c>
      <c r="EX27" s="184">
        <v>0.62739921577009106</v>
      </c>
      <c r="EY27" s="184">
        <v>0.62739921577009106</v>
      </c>
      <c r="EZ27" s="184">
        <v>0.62739921577009106</v>
      </c>
      <c r="FA27" s="184">
        <v>0.62739921577009106</v>
      </c>
      <c r="FB27" s="184">
        <v>0.62739921577009106</v>
      </c>
      <c r="FC27" s="184">
        <v>0.61355762482423559</v>
      </c>
      <c r="FD27" s="184">
        <v>0.61355762482423559</v>
      </c>
      <c r="FE27" s="184">
        <v>0.61355762482423559</v>
      </c>
      <c r="FF27" s="184">
        <v>0.61355762482423559</v>
      </c>
      <c r="FG27" s="184">
        <v>0.61355762482423559</v>
      </c>
      <c r="FH27" s="184">
        <v>0.61355762482423559</v>
      </c>
      <c r="FI27" s="184">
        <v>0.61355762482423559</v>
      </c>
      <c r="FJ27" s="184">
        <v>0.61355762482423559</v>
      </c>
      <c r="FK27" s="184">
        <v>0.61355762482423559</v>
      </c>
      <c r="FL27" s="184">
        <v>0.61355762482423559</v>
      </c>
      <c r="FM27" s="184">
        <v>0.61355762482423559</v>
      </c>
      <c r="FN27" s="184">
        <v>0.61355762482423559</v>
      </c>
      <c r="FO27" s="184">
        <v>0.60564075224585823</v>
      </c>
      <c r="FP27" s="184">
        <v>0.60564075224585823</v>
      </c>
      <c r="FQ27" s="184">
        <v>0.60564075224585823</v>
      </c>
      <c r="FR27" s="184">
        <v>0.60564075224585823</v>
      </c>
      <c r="FS27" s="184">
        <v>0.60564075224585823</v>
      </c>
      <c r="FT27" s="184">
        <v>0.60564075224585823</v>
      </c>
      <c r="FU27" s="184">
        <v>0.60564075224585823</v>
      </c>
      <c r="FV27" s="184">
        <v>0.60564075224585823</v>
      </c>
      <c r="FW27" s="184">
        <v>0.60564075224585823</v>
      </c>
      <c r="FX27" s="184">
        <v>0.60564075224585823</v>
      </c>
      <c r="FY27" s="184">
        <v>0.60564075224585823</v>
      </c>
      <c r="FZ27" s="184">
        <v>0.60564075224585823</v>
      </c>
      <c r="GA27" s="184">
        <v>0.58343392466351007</v>
      </c>
      <c r="GB27" s="184">
        <v>0.58343392466351007</v>
      </c>
      <c r="GC27" s="184">
        <v>0.58343392466351007</v>
      </c>
      <c r="GD27" s="184">
        <v>0.58343392466351007</v>
      </c>
      <c r="GE27" s="184">
        <v>0.58343392466351007</v>
      </c>
      <c r="GF27" s="184">
        <v>0.58343392466351007</v>
      </c>
      <c r="GG27" s="184">
        <v>0.58343392466351007</v>
      </c>
      <c r="GH27" s="184">
        <v>0.58343392466351007</v>
      </c>
      <c r="GI27" s="184">
        <v>0.58343392466351007</v>
      </c>
      <c r="GJ27" s="184">
        <v>0.58343392466351007</v>
      </c>
      <c r="GK27" s="184">
        <v>0.58343392466351007</v>
      </c>
      <c r="GL27" s="184">
        <v>0.58343392466351007</v>
      </c>
      <c r="GM27" s="184">
        <v>0.5110881180052349</v>
      </c>
      <c r="GN27" s="184">
        <v>0.5110881180052349</v>
      </c>
      <c r="GO27" s="184">
        <v>0.5110881180052349</v>
      </c>
      <c r="GP27" s="184">
        <v>0.5110881180052349</v>
      </c>
      <c r="GQ27" s="184">
        <v>0.5110881180052349</v>
      </c>
      <c r="GR27" s="184">
        <v>0.5110881180052349</v>
      </c>
      <c r="GS27" s="184">
        <v>0.5110881180052349</v>
      </c>
      <c r="GT27" s="184">
        <v>0.5110881180052349</v>
      </c>
      <c r="GU27" s="184">
        <v>0.5110881180052349</v>
      </c>
      <c r="GV27" s="184">
        <v>0.5110881180052349</v>
      </c>
      <c r="GW27" s="184">
        <v>0.5110881180052349</v>
      </c>
      <c r="GX27" s="184">
        <v>0.5110881180052349</v>
      </c>
      <c r="GY27" s="184">
        <v>0.3856264868455937</v>
      </c>
      <c r="GZ27" s="184">
        <v>0.3856264868455937</v>
      </c>
      <c r="HA27" s="184">
        <v>0.3856264868455937</v>
      </c>
      <c r="HB27" s="184">
        <v>0.3856264868455937</v>
      </c>
      <c r="HC27" s="184">
        <v>0.3856264868455937</v>
      </c>
      <c r="HD27" s="184">
        <v>0.3856264868455937</v>
      </c>
      <c r="HE27" s="184">
        <v>0.3856264868455937</v>
      </c>
      <c r="HF27" s="184">
        <v>0.3856264868455937</v>
      </c>
      <c r="HG27" s="184">
        <v>0.3856264868455937</v>
      </c>
      <c r="HH27" s="184">
        <v>0.3856264868455937</v>
      </c>
      <c r="HI27" s="184">
        <v>0.3856264868455937</v>
      </c>
      <c r="HJ27" s="184">
        <v>0.3856264868455937</v>
      </c>
      <c r="HK27" s="184">
        <v>0.21123762001653074</v>
      </c>
      <c r="HL27" s="184">
        <v>0.21123762001653074</v>
      </c>
      <c r="HM27" s="184">
        <v>0.21123762001653074</v>
      </c>
      <c r="HN27" s="184">
        <v>0.21123762001653074</v>
      </c>
      <c r="HO27" s="184">
        <v>0.21123762001653074</v>
      </c>
      <c r="HP27" s="184">
        <v>0.21123762001653074</v>
      </c>
      <c r="HQ27" s="184">
        <v>0.21123762001653074</v>
      </c>
      <c r="HR27" s="184">
        <v>0.21123762001653074</v>
      </c>
      <c r="HS27" s="184">
        <v>0.21123762001653074</v>
      </c>
      <c r="HT27" s="184">
        <v>0.21123762001653074</v>
      </c>
      <c r="HU27" s="184">
        <v>0.21123762001653074</v>
      </c>
      <c r="HV27" s="184">
        <v>0.21123762001653074</v>
      </c>
      <c r="HW27" s="184">
        <v>0</v>
      </c>
      <c r="HX27" s="184">
        <v>0</v>
      </c>
      <c r="HY27" s="184">
        <v>0</v>
      </c>
      <c r="HZ27" s="184">
        <v>0</v>
      </c>
      <c r="IA27" s="184">
        <v>0</v>
      </c>
      <c r="IB27" s="184">
        <v>0</v>
      </c>
      <c r="IC27" s="184">
        <v>0</v>
      </c>
      <c r="ID27" s="184">
        <v>0</v>
      </c>
      <c r="IE27" s="184">
        <v>0</v>
      </c>
      <c r="IF27" s="184">
        <v>0</v>
      </c>
      <c r="IG27" s="184">
        <v>0</v>
      </c>
      <c r="IH27" s="184">
        <v>0</v>
      </c>
      <c r="II27" s="184">
        <v>0</v>
      </c>
      <c r="IJ27" s="184">
        <v>0</v>
      </c>
      <c r="IK27" s="184">
        <v>0</v>
      </c>
      <c r="IL27" s="184">
        <v>0</v>
      </c>
      <c r="IM27" s="184">
        <v>0</v>
      </c>
      <c r="IN27" s="184">
        <v>0</v>
      </c>
      <c r="IO27" s="184">
        <v>0</v>
      </c>
      <c r="IP27" s="184">
        <v>0</v>
      </c>
      <c r="IQ27" s="184">
        <v>0</v>
      </c>
      <c r="IR27" s="184">
        <v>0</v>
      </c>
      <c r="IS27" s="184">
        <v>0</v>
      </c>
      <c r="IT27" s="184">
        <v>0</v>
      </c>
      <c r="IU27" s="184">
        <v>0</v>
      </c>
      <c r="IV27" s="184">
        <v>0</v>
      </c>
      <c r="IW27" s="184">
        <v>0</v>
      </c>
      <c r="IX27" s="184">
        <v>0</v>
      </c>
      <c r="IY27" s="184">
        <v>0</v>
      </c>
      <c r="IZ27" s="184">
        <v>0</v>
      </c>
      <c r="JA27" s="184">
        <v>0</v>
      </c>
      <c r="JB27" s="184">
        <v>0</v>
      </c>
      <c r="JC27" s="184">
        <v>0</v>
      </c>
      <c r="JD27" s="184">
        <v>0</v>
      </c>
      <c r="JE27" s="184">
        <v>0</v>
      </c>
      <c r="JF27" s="184">
        <v>0</v>
      </c>
      <c r="JG27" s="184">
        <v>0</v>
      </c>
      <c r="JH27" s="184">
        <v>0</v>
      </c>
      <c r="JI27" s="184">
        <v>0</v>
      </c>
      <c r="JJ27" s="184">
        <v>0</v>
      </c>
      <c r="JK27" s="184">
        <v>0</v>
      </c>
      <c r="JL27" s="184">
        <v>0</v>
      </c>
      <c r="JM27" s="184">
        <v>0</v>
      </c>
      <c r="JN27" s="184">
        <v>0</v>
      </c>
      <c r="JO27" s="184">
        <v>0</v>
      </c>
      <c r="JP27" s="184">
        <v>0</v>
      </c>
      <c r="JQ27" s="184">
        <v>0</v>
      </c>
      <c r="JR27" s="184">
        <v>0</v>
      </c>
      <c r="JS27" s="184">
        <v>0</v>
      </c>
      <c r="JT27" s="184">
        <v>0</v>
      </c>
      <c r="JU27" s="184">
        <v>0</v>
      </c>
      <c r="JV27" s="184">
        <v>0</v>
      </c>
      <c r="JW27" s="184">
        <v>0</v>
      </c>
      <c r="JX27" s="184">
        <v>0</v>
      </c>
      <c r="JY27" s="184">
        <v>0</v>
      </c>
      <c r="JZ27" s="184">
        <v>0</v>
      </c>
      <c r="KA27" s="184">
        <v>0</v>
      </c>
      <c r="KB27" s="184">
        <v>0</v>
      </c>
      <c r="KC27" s="184">
        <v>0</v>
      </c>
      <c r="KD27" s="184">
        <v>0</v>
      </c>
      <c r="KE27" s="184">
        <v>0</v>
      </c>
      <c r="KF27" s="184">
        <v>0</v>
      </c>
      <c r="KG27" s="184">
        <v>0</v>
      </c>
      <c r="KH27" s="184">
        <v>0</v>
      </c>
      <c r="KI27" s="184">
        <v>0</v>
      </c>
      <c r="KJ27" s="184">
        <v>0</v>
      </c>
      <c r="KK27" s="184">
        <v>0</v>
      </c>
      <c r="KL27" s="184">
        <v>0</v>
      </c>
      <c r="KM27" s="184">
        <v>0</v>
      </c>
      <c r="KN27" s="184">
        <v>0</v>
      </c>
      <c r="KO27" s="184">
        <v>0</v>
      </c>
      <c r="KP27" s="184">
        <v>0</v>
      </c>
      <c r="KQ27" s="184">
        <v>0</v>
      </c>
      <c r="KR27" s="184">
        <v>0</v>
      </c>
      <c r="KS27" s="184">
        <v>0</v>
      </c>
      <c r="KT27" s="184">
        <v>0</v>
      </c>
      <c r="KU27" s="184">
        <v>0</v>
      </c>
      <c r="KV27" s="184">
        <v>0</v>
      </c>
      <c r="KW27" s="184">
        <v>0</v>
      </c>
      <c r="KX27" s="184">
        <v>0</v>
      </c>
      <c r="KY27" s="184">
        <v>0</v>
      </c>
      <c r="KZ27" s="184">
        <v>0</v>
      </c>
      <c r="LA27" s="184">
        <v>0</v>
      </c>
      <c r="LB27" s="184">
        <v>0</v>
      </c>
      <c r="LC27" s="184">
        <v>0</v>
      </c>
      <c r="LD27" s="184">
        <v>0</v>
      </c>
      <c r="LE27" s="184">
        <v>0</v>
      </c>
      <c r="LF27" s="184">
        <v>0</v>
      </c>
      <c r="LG27" s="184">
        <v>0</v>
      </c>
      <c r="LH27" s="184">
        <v>0</v>
      </c>
      <c r="LI27" s="184">
        <v>0</v>
      </c>
      <c r="LJ27" s="184">
        <v>0</v>
      </c>
      <c r="LK27" s="184">
        <v>0</v>
      </c>
      <c r="LL27" s="184">
        <v>0</v>
      </c>
      <c r="LM27" s="184">
        <v>0</v>
      </c>
      <c r="LN27" s="184">
        <v>0</v>
      </c>
      <c r="LO27" s="184">
        <v>0</v>
      </c>
      <c r="LP27" s="184">
        <v>0</v>
      </c>
      <c r="LQ27" s="184">
        <v>0</v>
      </c>
      <c r="LR27" s="184">
        <v>0</v>
      </c>
      <c r="LS27" s="184">
        <v>0</v>
      </c>
      <c r="LT27" s="184">
        <v>0</v>
      </c>
      <c r="LU27" s="184">
        <v>0</v>
      </c>
      <c r="LV27" s="184">
        <v>0</v>
      </c>
      <c r="LW27" s="184">
        <v>0</v>
      </c>
      <c r="LX27" s="184">
        <v>0</v>
      </c>
      <c r="LY27" s="184">
        <v>0</v>
      </c>
      <c r="LZ27" s="184">
        <v>0</v>
      </c>
      <c r="MA27" s="184">
        <v>0</v>
      </c>
      <c r="MB27" s="184">
        <v>0</v>
      </c>
      <c r="MC27" s="184">
        <v>0</v>
      </c>
      <c r="MD27" s="184">
        <v>0</v>
      </c>
      <c r="ME27" s="184">
        <v>0</v>
      </c>
      <c r="MF27" s="184">
        <v>0</v>
      </c>
      <c r="MG27" s="184">
        <v>0</v>
      </c>
      <c r="MH27" s="184">
        <v>0</v>
      </c>
      <c r="MI27" s="184">
        <v>0</v>
      </c>
      <c r="MJ27" s="184">
        <v>0</v>
      </c>
      <c r="MK27" s="184">
        <v>0</v>
      </c>
      <c r="ML27" s="184">
        <v>0</v>
      </c>
      <c r="MM27" s="184">
        <v>0</v>
      </c>
      <c r="MN27" s="184">
        <v>0</v>
      </c>
      <c r="MO27" s="184">
        <v>0</v>
      </c>
      <c r="MP27" s="184">
        <v>0</v>
      </c>
      <c r="MQ27" s="184">
        <v>0</v>
      </c>
      <c r="MR27" s="184">
        <v>0</v>
      </c>
      <c r="MS27" s="184">
        <v>0</v>
      </c>
      <c r="MT27" s="184">
        <v>0</v>
      </c>
      <c r="MU27" s="184">
        <v>0</v>
      </c>
      <c r="MV27" s="184">
        <v>0</v>
      </c>
      <c r="MW27" s="184">
        <v>0</v>
      </c>
      <c r="MX27" s="184">
        <v>0</v>
      </c>
      <c r="MY27" s="184">
        <v>0</v>
      </c>
      <c r="MZ27" s="184">
        <v>0</v>
      </c>
      <c r="NA27" s="184">
        <v>0</v>
      </c>
      <c r="NB27" s="184">
        <v>0</v>
      </c>
      <c r="NC27" s="184">
        <v>0</v>
      </c>
      <c r="ND27" s="184">
        <v>0</v>
      </c>
      <c r="NE27" s="184">
        <v>0</v>
      </c>
      <c r="NF27" s="184">
        <v>0</v>
      </c>
      <c r="NG27" s="184">
        <v>0</v>
      </c>
      <c r="NH27" s="184">
        <v>0</v>
      </c>
      <c r="NI27" s="184">
        <v>0</v>
      </c>
      <c r="NJ27" s="184">
        <v>0</v>
      </c>
      <c r="NK27" s="184">
        <v>0</v>
      </c>
      <c r="NL27" s="184">
        <v>0</v>
      </c>
      <c r="NM27" s="184">
        <v>0</v>
      </c>
      <c r="NN27" s="184">
        <v>0</v>
      </c>
      <c r="NO27" s="184">
        <v>0</v>
      </c>
      <c r="NP27" s="184">
        <v>0</v>
      </c>
      <c r="NQ27" s="184">
        <v>0</v>
      </c>
      <c r="NR27" s="184">
        <v>0</v>
      </c>
      <c r="NW27" s="188"/>
      <c r="NX27" s="188"/>
    </row>
    <row r="28" spans="1:389" x14ac:dyDescent="0.4">
      <c r="A28" t="s">
        <v>177</v>
      </c>
      <c r="C28" s="184">
        <v>5.6207469780000023</v>
      </c>
      <c r="D28" s="184">
        <v>5.6207469780000023</v>
      </c>
      <c r="E28" s="184">
        <v>5.6207469780000023</v>
      </c>
      <c r="F28" s="184">
        <v>5.6207469780000023</v>
      </c>
      <c r="G28" s="184">
        <v>5.6207469780000023</v>
      </c>
      <c r="H28" s="184">
        <v>5.6207469780000023</v>
      </c>
      <c r="I28" s="184">
        <v>5.6207469780000023</v>
      </c>
      <c r="J28" s="184">
        <v>5.6207469780000023</v>
      </c>
      <c r="K28" s="184">
        <v>5.6207469780000023</v>
      </c>
      <c r="L28" s="184">
        <v>5.6207469780000023</v>
      </c>
      <c r="M28" s="184">
        <v>5.6207469780000023</v>
      </c>
      <c r="N28" s="184">
        <v>5.6207469780000023</v>
      </c>
      <c r="O28" s="184">
        <v>5.7331619175600022</v>
      </c>
      <c r="P28" s="184">
        <v>5.7331619175600022</v>
      </c>
      <c r="Q28" s="184">
        <v>5.7331619175600022</v>
      </c>
      <c r="R28" s="184">
        <v>5.7331619175600022</v>
      </c>
      <c r="S28" s="184">
        <v>5.7331619175600022</v>
      </c>
      <c r="T28" s="184">
        <v>5.7331619175600022</v>
      </c>
      <c r="U28" s="184">
        <v>5.7331619175600022</v>
      </c>
      <c r="V28" s="184">
        <v>5.7331619175600022</v>
      </c>
      <c r="W28" s="184">
        <v>5.7331619175600022</v>
      </c>
      <c r="X28" s="184">
        <v>5.7331619175600022</v>
      </c>
      <c r="Y28" s="184">
        <v>5.7331619175600022</v>
      </c>
      <c r="Z28" s="184">
        <v>5.7331619175600022</v>
      </c>
      <c r="AA28" s="184">
        <v>5.7336252033715214</v>
      </c>
      <c r="AB28" s="184">
        <v>5.7336252033715214</v>
      </c>
      <c r="AC28" s="184">
        <v>5.7336252033715214</v>
      </c>
      <c r="AD28" s="184">
        <v>5.7336252033715214</v>
      </c>
      <c r="AE28" s="184">
        <v>5.7336252033715214</v>
      </c>
      <c r="AF28" s="184">
        <v>5.7336252033715214</v>
      </c>
      <c r="AG28" s="184">
        <v>5.7336252033715214</v>
      </c>
      <c r="AH28" s="184">
        <v>5.7336252033715214</v>
      </c>
      <c r="AI28" s="184">
        <v>5.7336252033715214</v>
      </c>
      <c r="AJ28" s="184">
        <v>5.7336252033715214</v>
      </c>
      <c r="AK28" s="184">
        <v>5.7336252033715214</v>
      </c>
      <c r="AL28" s="184">
        <v>5.7336252033715214</v>
      </c>
      <c r="AM28" s="184">
        <v>5.8482977074389515</v>
      </c>
      <c r="AN28" s="184">
        <v>5.8482977074389515</v>
      </c>
      <c r="AO28" s="184">
        <v>5.8482977074389515</v>
      </c>
      <c r="AP28" s="184">
        <v>5.8482977074389515</v>
      </c>
      <c r="AQ28" s="184">
        <v>5.8482977074389515</v>
      </c>
      <c r="AR28" s="184">
        <v>5.8482977074389515</v>
      </c>
      <c r="AS28" s="184">
        <v>5.8482977074389515</v>
      </c>
      <c r="AT28" s="184">
        <v>5.8482977074389515</v>
      </c>
      <c r="AU28" s="184">
        <v>5.8482977074389515</v>
      </c>
      <c r="AV28" s="184">
        <v>5.8482977074389515</v>
      </c>
      <c r="AW28" s="184">
        <v>5.8482977074389515</v>
      </c>
      <c r="AX28" s="184">
        <v>5.8482977074389515</v>
      </c>
      <c r="AY28" s="184">
        <v>5.9652636615877306</v>
      </c>
      <c r="AZ28" s="184">
        <v>5.9652636615877306</v>
      </c>
      <c r="BA28" s="184">
        <v>5.9652636615877306</v>
      </c>
      <c r="BB28" s="184">
        <v>5.9652636615877306</v>
      </c>
      <c r="BC28" s="184">
        <v>5.9652636615877306</v>
      </c>
      <c r="BD28" s="184">
        <v>5.9652636615877306</v>
      </c>
      <c r="BE28" s="184">
        <v>5.9652636615877306</v>
      </c>
      <c r="BF28" s="184">
        <v>5.9652636615877306</v>
      </c>
      <c r="BG28" s="184">
        <v>5.9652636615877306</v>
      </c>
      <c r="BH28" s="184">
        <v>5.9652636615877306</v>
      </c>
      <c r="BI28" s="184">
        <v>5.9652636615877306</v>
      </c>
      <c r="BJ28" s="184">
        <v>5.9652636615877306</v>
      </c>
      <c r="BK28" s="184">
        <v>6.0845689348194858</v>
      </c>
      <c r="BL28" s="184">
        <v>6.0845689348194858</v>
      </c>
      <c r="BM28" s="184">
        <v>6.0845689348194858</v>
      </c>
      <c r="BN28" s="184">
        <v>6.0845689348194858</v>
      </c>
      <c r="BO28" s="184">
        <v>6.0845689348194858</v>
      </c>
      <c r="BP28" s="184">
        <v>6.0845689348194858</v>
      </c>
      <c r="BQ28" s="184">
        <v>6.0845689348194858</v>
      </c>
      <c r="BR28" s="184">
        <v>6.0845689348194858</v>
      </c>
      <c r="BS28" s="184">
        <v>6.0845689348194858</v>
      </c>
      <c r="BT28" s="184">
        <v>6.0845689348194858</v>
      </c>
      <c r="BU28" s="184">
        <v>6.0845689348194858</v>
      </c>
      <c r="BV28" s="184">
        <v>6.0845689348194858</v>
      </c>
      <c r="BW28" s="184">
        <v>6.0838644811947731</v>
      </c>
      <c r="BX28" s="184">
        <v>6.0838644811947731</v>
      </c>
      <c r="BY28" s="184">
        <v>6.0838644811947731</v>
      </c>
      <c r="BZ28" s="184">
        <v>6.0838644811947731</v>
      </c>
      <c r="CA28" s="184">
        <v>6.0838644811947731</v>
      </c>
      <c r="CB28" s="184">
        <v>6.0838644811947731</v>
      </c>
      <c r="CC28" s="184">
        <v>6.0838644811947731</v>
      </c>
      <c r="CD28" s="184">
        <v>6.0838644811947731</v>
      </c>
      <c r="CE28" s="184">
        <v>6.0838644811947731</v>
      </c>
      <c r="CF28" s="184">
        <v>6.0838644811947731</v>
      </c>
      <c r="CG28" s="184">
        <v>6.0838644811947731</v>
      </c>
      <c r="CH28" s="184">
        <v>6.0838644811947731</v>
      </c>
      <c r="CI28" s="184">
        <v>6.2055417708186669</v>
      </c>
      <c r="CJ28" s="184">
        <v>6.2055417708186669</v>
      </c>
      <c r="CK28" s="184">
        <v>6.2055417708186669</v>
      </c>
      <c r="CL28" s="184">
        <v>6.2055417708186669</v>
      </c>
      <c r="CM28" s="184">
        <v>6.2055417708186669</v>
      </c>
      <c r="CN28" s="184">
        <v>6.2055417708186669</v>
      </c>
      <c r="CO28" s="184">
        <v>6.2055417708186669</v>
      </c>
      <c r="CP28" s="184">
        <v>6.2055417708186669</v>
      </c>
      <c r="CQ28" s="184">
        <v>6.2055417708186669</v>
      </c>
      <c r="CR28" s="184">
        <v>6.2055417708186669</v>
      </c>
      <c r="CS28" s="184">
        <v>6.2055417708186669</v>
      </c>
      <c r="CT28" s="184">
        <v>6.2055417708186669</v>
      </c>
      <c r="CU28" s="184">
        <v>6.2035790531732067</v>
      </c>
      <c r="CV28" s="184">
        <v>6.2035790531732067</v>
      </c>
      <c r="CW28" s="184">
        <v>6.2035790531732067</v>
      </c>
      <c r="CX28" s="184">
        <v>6.2035790531732067</v>
      </c>
      <c r="CY28" s="184">
        <v>6.2035790531732067</v>
      </c>
      <c r="CZ28" s="184">
        <v>6.2035790531732067</v>
      </c>
      <c r="DA28" s="184">
        <v>6.2035790531732067</v>
      </c>
      <c r="DB28" s="184">
        <v>6.2035790531732067</v>
      </c>
      <c r="DC28" s="184">
        <v>6.2035790531732067</v>
      </c>
      <c r="DD28" s="184">
        <v>6.2035790531732067</v>
      </c>
      <c r="DE28" s="184">
        <v>6.2035790531732067</v>
      </c>
      <c r="DF28" s="184">
        <v>6.2035790531732067</v>
      </c>
      <c r="DG28" s="184">
        <v>6.3276506342366705</v>
      </c>
      <c r="DH28" s="184">
        <v>6.3276506342366705</v>
      </c>
      <c r="DI28" s="184">
        <v>6.3276506342366705</v>
      </c>
      <c r="DJ28" s="184">
        <v>6.3276506342366705</v>
      </c>
      <c r="DK28" s="184">
        <v>6.3276506342366705</v>
      </c>
      <c r="DL28" s="184">
        <v>6.3276506342366705</v>
      </c>
      <c r="DM28" s="184">
        <v>6.3276506342366705</v>
      </c>
      <c r="DN28" s="184">
        <v>6.3276506342366705</v>
      </c>
      <c r="DO28" s="184">
        <v>6.3276506342366705</v>
      </c>
      <c r="DP28" s="184">
        <v>6.3276506342366705</v>
      </c>
      <c r="DQ28" s="184">
        <v>6.3276506342366705</v>
      </c>
      <c r="DR28" s="184">
        <v>6.3276506342366705</v>
      </c>
      <c r="DS28" s="184">
        <v>6.2617376067967054</v>
      </c>
      <c r="DT28" s="184">
        <v>6.2617376067967054</v>
      </c>
      <c r="DU28" s="184">
        <v>6.2617376067967054</v>
      </c>
      <c r="DV28" s="184">
        <v>6.2617376067967054</v>
      </c>
      <c r="DW28" s="184">
        <v>6.2617376067967054</v>
      </c>
      <c r="DX28" s="184">
        <v>6.2617376067967054</v>
      </c>
      <c r="DY28" s="184">
        <v>6.2617376067967054</v>
      </c>
      <c r="DZ28" s="184">
        <v>6.2617376067967054</v>
      </c>
      <c r="EA28" s="184">
        <v>6.2617376067967054</v>
      </c>
      <c r="EB28" s="184">
        <v>6.2617376067967054</v>
      </c>
      <c r="EC28" s="184">
        <v>6.2617376067967054</v>
      </c>
      <c r="ED28" s="184">
        <v>6.2617376067967054</v>
      </c>
      <c r="EE28" s="184">
        <v>6.259232911753986</v>
      </c>
      <c r="EF28" s="184">
        <v>6.259232911753986</v>
      </c>
      <c r="EG28" s="184">
        <v>6.259232911753986</v>
      </c>
      <c r="EH28" s="184">
        <v>6.259232911753986</v>
      </c>
      <c r="EI28" s="184">
        <v>6.259232911753986</v>
      </c>
      <c r="EJ28" s="184">
        <v>6.259232911753986</v>
      </c>
      <c r="EK28" s="184">
        <v>6.259232911753986</v>
      </c>
      <c r="EL28" s="184">
        <v>6.259232911753986</v>
      </c>
      <c r="EM28" s="184">
        <v>6.259232911753986</v>
      </c>
      <c r="EN28" s="184">
        <v>6.259232911753986</v>
      </c>
      <c r="EO28" s="184">
        <v>6.259232911753986</v>
      </c>
      <c r="EP28" s="184">
        <v>6.259232911753986</v>
      </c>
      <c r="EQ28" s="184">
        <v>6.3192704519279541</v>
      </c>
      <c r="ER28" s="184">
        <v>6.3192704519279541</v>
      </c>
      <c r="ES28" s="184">
        <v>6.3192704519279541</v>
      </c>
      <c r="ET28" s="184">
        <v>6.3192704519279541</v>
      </c>
      <c r="EU28" s="184">
        <v>6.3192704519279541</v>
      </c>
      <c r="EV28" s="184">
        <v>6.3192704519279541</v>
      </c>
      <c r="EW28" s="184">
        <v>6.3192704519279541</v>
      </c>
      <c r="EX28" s="184">
        <v>6.3192704519279541</v>
      </c>
      <c r="EY28" s="184">
        <v>6.3192704519279541</v>
      </c>
      <c r="EZ28" s="184">
        <v>6.3192704519279541</v>
      </c>
      <c r="FA28" s="184">
        <v>6.3192704519279541</v>
      </c>
      <c r="FB28" s="184">
        <v>6.3192704519279541</v>
      </c>
      <c r="FC28" s="184">
        <v>6.1148045074953075</v>
      </c>
      <c r="FD28" s="184">
        <v>6.1148045074953075</v>
      </c>
      <c r="FE28" s="184">
        <v>6.1148045074953075</v>
      </c>
      <c r="FF28" s="184">
        <v>6.1148045074953075</v>
      </c>
      <c r="FG28" s="184">
        <v>6.1148045074953075</v>
      </c>
      <c r="FH28" s="184">
        <v>6.1148045074953075</v>
      </c>
      <c r="FI28" s="184">
        <v>6.1148045074953075</v>
      </c>
      <c r="FJ28" s="184">
        <v>6.1148045074953075</v>
      </c>
      <c r="FK28" s="184">
        <v>6.1148045074953075</v>
      </c>
      <c r="FL28" s="184">
        <v>6.1148045074953075</v>
      </c>
      <c r="FM28" s="184">
        <v>6.1148045074953075</v>
      </c>
      <c r="FN28" s="184">
        <v>6.1148045074953075</v>
      </c>
      <c r="FO28" s="184">
        <v>5.9716920615752045</v>
      </c>
      <c r="FP28" s="184">
        <v>5.9716920615752045</v>
      </c>
      <c r="FQ28" s="184">
        <v>5.9716920615752045</v>
      </c>
      <c r="FR28" s="184">
        <v>5.9716920615752045</v>
      </c>
      <c r="FS28" s="184">
        <v>5.9716920615752045</v>
      </c>
      <c r="FT28" s="184">
        <v>5.9716920615752045</v>
      </c>
      <c r="FU28" s="184">
        <v>5.9716920615752045</v>
      </c>
      <c r="FV28" s="184">
        <v>5.9716920615752045</v>
      </c>
      <c r="FW28" s="184">
        <v>5.9716920615752045</v>
      </c>
      <c r="FX28" s="184">
        <v>5.9716920615752045</v>
      </c>
      <c r="FY28" s="184">
        <v>5.9716920615752045</v>
      </c>
      <c r="FZ28" s="184">
        <v>5.9716920615752045</v>
      </c>
      <c r="GA28" s="184">
        <v>5.7527300193174469</v>
      </c>
      <c r="GB28" s="184">
        <v>5.7527300193174469</v>
      </c>
      <c r="GC28" s="184">
        <v>5.7527300193174469</v>
      </c>
      <c r="GD28" s="184">
        <v>5.7527300193174469</v>
      </c>
      <c r="GE28" s="184">
        <v>5.7527300193174469</v>
      </c>
      <c r="GF28" s="184">
        <v>5.7527300193174469</v>
      </c>
      <c r="GG28" s="184">
        <v>5.7527300193174469</v>
      </c>
      <c r="GH28" s="184">
        <v>5.7527300193174469</v>
      </c>
      <c r="GI28" s="184">
        <v>5.7527300193174469</v>
      </c>
      <c r="GJ28" s="184">
        <v>5.7527300193174469</v>
      </c>
      <c r="GK28" s="184">
        <v>5.7527300193174469</v>
      </c>
      <c r="GL28" s="184">
        <v>5.7527300193174469</v>
      </c>
      <c r="GM28" s="184">
        <v>4.9852044915788349</v>
      </c>
      <c r="GN28" s="184">
        <v>4.9852044915788349</v>
      </c>
      <c r="GO28" s="184">
        <v>4.9852044915788349</v>
      </c>
      <c r="GP28" s="184">
        <v>4.9852044915788349</v>
      </c>
      <c r="GQ28" s="184">
        <v>4.9852044915788349</v>
      </c>
      <c r="GR28" s="184">
        <v>4.9852044915788349</v>
      </c>
      <c r="GS28" s="184">
        <v>4.9852044915788349</v>
      </c>
      <c r="GT28" s="184">
        <v>4.9852044915788349</v>
      </c>
      <c r="GU28" s="184">
        <v>4.9852044915788349</v>
      </c>
      <c r="GV28" s="184">
        <v>4.9852044915788349</v>
      </c>
      <c r="GW28" s="184">
        <v>4.9852044915788349</v>
      </c>
      <c r="GX28" s="184">
        <v>4.9852044915788349</v>
      </c>
      <c r="GY28" s="184">
        <v>3.7614392246049628</v>
      </c>
      <c r="GZ28" s="184">
        <v>3.7614392246049628</v>
      </c>
      <c r="HA28" s="184">
        <v>3.7614392246049628</v>
      </c>
      <c r="HB28" s="184">
        <v>3.7614392246049628</v>
      </c>
      <c r="HC28" s="184">
        <v>3.7614392246049628</v>
      </c>
      <c r="HD28" s="184">
        <v>3.7614392246049628</v>
      </c>
      <c r="HE28" s="184">
        <v>3.7614392246049628</v>
      </c>
      <c r="HF28" s="184">
        <v>3.7614392246049628</v>
      </c>
      <c r="HG28" s="184">
        <v>3.7614392246049628</v>
      </c>
      <c r="HH28" s="184">
        <v>3.7614392246049628</v>
      </c>
      <c r="HI28" s="184">
        <v>3.7614392246049628</v>
      </c>
      <c r="HJ28" s="184">
        <v>3.7614392246049628</v>
      </c>
      <c r="HK28" s="184">
        <v>2.0380368107904876</v>
      </c>
      <c r="HL28" s="184">
        <v>2.0380368107904876</v>
      </c>
      <c r="HM28" s="184">
        <v>2.0380368107904876</v>
      </c>
      <c r="HN28" s="184">
        <v>2.0380368107904876</v>
      </c>
      <c r="HO28" s="184">
        <v>2.0380368107904876</v>
      </c>
      <c r="HP28" s="184">
        <v>2.0380368107904876</v>
      </c>
      <c r="HQ28" s="184">
        <v>2.0380368107904876</v>
      </c>
      <c r="HR28" s="184">
        <v>2.0380368107904876</v>
      </c>
      <c r="HS28" s="184">
        <v>2.0380368107904876</v>
      </c>
      <c r="HT28" s="184">
        <v>2.0380368107904876</v>
      </c>
      <c r="HU28" s="184">
        <v>2.0380368107904876</v>
      </c>
      <c r="HV28" s="184">
        <v>2.0380368107904876</v>
      </c>
      <c r="HW28" s="184">
        <v>0</v>
      </c>
      <c r="HX28" s="184">
        <v>0</v>
      </c>
      <c r="HY28" s="184">
        <v>0</v>
      </c>
      <c r="HZ28" s="184">
        <v>0</v>
      </c>
      <c r="IA28" s="184">
        <v>0</v>
      </c>
      <c r="IB28" s="184">
        <v>0</v>
      </c>
      <c r="IC28" s="184">
        <v>0</v>
      </c>
      <c r="ID28" s="184">
        <v>0</v>
      </c>
      <c r="IE28" s="184">
        <v>0</v>
      </c>
      <c r="IF28" s="184">
        <v>0</v>
      </c>
      <c r="IG28" s="184">
        <v>0</v>
      </c>
      <c r="IH28" s="184">
        <v>0</v>
      </c>
      <c r="II28" s="184">
        <v>0</v>
      </c>
      <c r="IJ28" s="184">
        <v>0</v>
      </c>
      <c r="IK28" s="184">
        <v>0</v>
      </c>
      <c r="IL28" s="184">
        <v>0</v>
      </c>
      <c r="IM28" s="184">
        <v>0</v>
      </c>
      <c r="IN28" s="184">
        <v>0</v>
      </c>
      <c r="IO28" s="184">
        <v>0</v>
      </c>
      <c r="IP28" s="184">
        <v>0</v>
      </c>
      <c r="IQ28" s="184">
        <v>0</v>
      </c>
      <c r="IR28" s="184">
        <v>0</v>
      </c>
      <c r="IS28" s="184">
        <v>0</v>
      </c>
      <c r="IT28" s="184">
        <v>0</v>
      </c>
      <c r="IU28" s="184">
        <v>0</v>
      </c>
      <c r="IV28" s="184">
        <v>0</v>
      </c>
      <c r="IW28" s="184">
        <v>0</v>
      </c>
      <c r="IX28" s="184">
        <v>0</v>
      </c>
      <c r="IY28" s="184">
        <v>0</v>
      </c>
      <c r="IZ28" s="184">
        <v>0</v>
      </c>
      <c r="JA28" s="184">
        <v>0</v>
      </c>
      <c r="JB28" s="184">
        <v>0</v>
      </c>
      <c r="JC28" s="184">
        <v>0</v>
      </c>
      <c r="JD28" s="184">
        <v>0</v>
      </c>
      <c r="JE28" s="184">
        <v>0</v>
      </c>
      <c r="JF28" s="184">
        <v>0</v>
      </c>
      <c r="JG28" s="184">
        <v>0</v>
      </c>
      <c r="JH28" s="184">
        <v>0</v>
      </c>
      <c r="JI28" s="184">
        <v>0</v>
      </c>
      <c r="JJ28" s="184">
        <v>0</v>
      </c>
      <c r="JK28" s="184">
        <v>0</v>
      </c>
      <c r="JL28" s="184">
        <v>0</v>
      </c>
      <c r="JM28" s="184">
        <v>0</v>
      </c>
      <c r="JN28" s="184">
        <v>0</v>
      </c>
      <c r="JO28" s="184">
        <v>0</v>
      </c>
      <c r="JP28" s="184">
        <v>0</v>
      </c>
      <c r="JQ28" s="184">
        <v>0</v>
      </c>
      <c r="JR28" s="184">
        <v>0</v>
      </c>
      <c r="JS28" s="184">
        <v>0</v>
      </c>
      <c r="JT28" s="184">
        <v>0</v>
      </c>
      <c r="JU28" s="184">
        <v>0</v>
      </c>
      <c r="JV28" s="184">
        <v>0</v>
      </c>
      <c r="JW28" s="184">
        <v>0</v>
      </c>
      <c r="JX28" s="184">
        <v>0</v>
      </c>
      <c r="JY28" s="184">
        <v>0</v>
      </c>
      <c r="JZ28" s="184">
        <v>0</v>
      </c>
      <c r="KA28" s="184">
        <v>0</v>
      </c>
      <c r="KB28" s="184">
        <v>0</v>
      </c>
      <c r="KC28" s="184">
        <v>0</v>
      </c>
      <c r="KD28" s="184">
        <v>0</v>
      </c>
      <c r="KE28" s="184">
        <v>0</v>
      </c>
      <c r="KF28" s="184">
        <v>0</v>
      </c>
      <c r="KG28" s="184">
        <v>0</v>
      </c>
      <c r="KH28" s="184">
        <v>0</v>
      </c>
      <c r="KI28" s="184">
        <v>0</v>
      </c>
      <c r="KJ28" s="184">
        <v>0</v>
      </c>
      <c r="KK28" s="184">
        <v>0</v>
      </c>
      <c r="KL28" s="184">
        <v>0</v>
      </c>
      <c r="KM28" s="184">
        <v>0</v>
      </c>
      <c r="KN28" s="184">
        <v>0</v>
      </c>
      <c r="KO28" s="184">
        <v>0</v>
      </c>
      <c r="KP28" s="184">
        <v>0</v>
      </c>
      <c r="KQ28" s="184">
        <v>0</v>
      </c>
      <c r="KR28" s="184">
        <v>0</v>
      </c>
      <c r="KS28" s="184">
        <v>0</v>
      </c>
      <c r="KT28" s="184">
        <v>0</v>
      </c>
      <c r="KU28" s="184">
        <v>0</v>
      </c>
      <c r="KV28" s="184">
        <v>0</v>
      </c>
      <c r="KW28" s="184">
        <v>0</v>
      </c>
      <c r="KX28" s="184">
        <v>0</v>
      </c>
      <c r="KY28" s="184">
        <v>0</v>
      </c>
      <c r="KZ28" s="184">
        <v>0</v>
      </c>
      <c r="LA28" s="184">
        <v>0</v>
      </c>
      <c r="LB28" s="184">
        <v>0</v>
      </c>
      <c r="LC28" s="184">
        <v>0</v>
      </c>
      <c r="LD28" s="184">
        <v>0</v>
      </c>
      <c r="LE28" s="184">
        <v>0</v>
      </c>
      <c r="LF28" s="184">
        <v>0</v>
      </c>
      <c r="LG28" s="184">
        <v>0</v>
      </c>
      <c r="LH28" s="184">
        <v>0</v>
      </c>
      <c r="LI28" s="184">
        <v>0</v>
      </c>
      <c r="LJ28" s="184">
        <v>0</v>
      </c>
      <c r="LK28" s="184">
        <v>0</v>
      </c>
      <c r="LL28" s="184">
        <v>0</v>
      </c>
      <c r="LM28" s="184">
        <v>0</v>
      </c>
      <c r="LN28" s="184">
        <v>0</v>
      </c>
      <c r="LO28" s="184">
        <v>0</v>
      </c>
      <c r="LP28" s="184">
        <v>0</v>
      </c>
      <c r="LQ28" s="184">
        <v>0</v>
      </c>
      <c r="LR28" s="184">
        <v>0</v>
      </c>
      <c r="LS28" s="184">
        <v>0</v>
      </c>
      <c r="LT28" s="184">
        <v>0</v>
      </c>
      <c r="LU28" s="184">
        <v>0</v>
      </c>
      <c r="LV28" s="184">
        <v>0</v>
      </c>
      <c r="LW28" s="184">
        <v>0</v>
      </c>
      <c r="LX28" s="184">
        <v>0</v>
      </c>
      <c r="LY28" s="184">
        <v>0</v>
      </c>
      <c r="LZ28" s="184">
        <v>0</v>
      </c>
      <c r="MA28" s="184">
        <v>0</v>
      </c>
      <c r="MB28" s="184">
        <v>0</v>
      </c>
      <c r="MC28" s="184">
        <v>0</v>
      </c>
      <c r="MD28" s="184">
        <v>0</v>
      </c>
      <c r="ME28" s="184">
        <v>0</v>
      </c>
      <c r="MF28" s="184">
        <v>0</v>
      </c>
      <c r="MG28" s="184">
        <v>0</v>
      </c>
      <c r="MH28" s="184">
        <v>0</v>
      </c>
      <c r="MI28" s="184">
        <v>0</v>
      </c>
      <c r="MJ28" s="184">
        <v>0</v>
      </c>
      <c r="MK28" s="184">
        <v>0</v>
      </c>
      <c r="ML28" s="184">
        <v>0</v>
      </c>
      <c r="MM28" s="184">
        <v>0</v>
      </c>
      <c r="MN28" s="184">
        <v>0</v>
      </c>
      <c r="MO28" s="184">
        <v>0</v>
      </c>
      <c r="MP28" s="184">
        <v>0</v>
      </c>
      <c r="MQ28" s="184">
        <v>0</v>
      </c>
      <c r="MR28" s="184">
        <v>0</v>
      </c>
      <c r="MS28" s="184">
        <v>0</v>
      </c>
      <c r="MT28" s="184">
        <v>0</v>
      </c>
      <c r="MU28" s="184">
        <v>0</v>
      </c>
      <c r="MV28" s="184">
        <v>0</v>
      </c>
      <c r="MW28" s="184">
        <v>0</v>
      </c>
      <c r="MX28" s="184">
        <v>0</v>
      </c>
      <c r="MY28" s="184"/>
      <c r="MZ28" s="184"/>
      <c r="NA28" s="184"/>
      <c r="NB28" s="184"/>
      <c r="NC28" s="184"/>
      <c r="ND28" s="184"/>
      <c r="NE28" s="184"/>
      <c r="NF28" s="184"/>
      <c r="NG28" s="184"/>
      <c r="NH28" s="184"/>
      <c r="NI28" s="184"/>
      <c r="NJ28" s="184"/>
      <c r="NK28" s="184"/>
      <c r="NL28" s="184"/>
      <c r="NM28" s="184"/>
      <c r="NN28" s="184"/>
      <c r="NO28" s="184"/>
      <c r="NP28" s="184"/>
      <c r="NQ28" s="184"/>
      <c r="NR28" s="184"/>
      <c r="NW28" s="188"/>
      <c r="NX28" s="188"/>
    </row>
    <row r="29" spans="1:389" x14ac:dyDescent="0.4">
      <c r="A29" t="s">
        <v>189</v>
      </c>
      <c r="C29" s="184">
        <v>15.9216421875</v>
      </c>
      <c r="D29" s="184">
        <v>15.9216421875</v>
      </c>
      <c r="E29" s="184">
        <v>15.9216421875</v>
      </c>
      <c r="F29" s="184">
        <v>15.9216421875</v>
      </c>
      <c r="G29" s="184">
        <v>15.9216421875</v>
      </c>
      <c r="H29" s="184">
        <v>15.9216421875</v>
      </c>
      <c r="I29" s="184">
        <v>15.9216421875</v>
      </c>
      <c r="J29" s="184">
        <v>15.9216421875</v>
      </c>
      <c r="K29" s="184">
        <v>15.9216421875</v>
      </c>
      <c r="L29" s="184">
        <v>15.9216421875</v>
      </c>
      <c r="M29" s="184">
        <v>15.9216421875</v>
      </c>
      <c r="N29" s="184">
        <v>15.9216421875</v>
      </c>
      <c r="O29" s="184">
        <v>13.533395859375</v>
      </c>
      <c r="P29" s="184">
        <v>13.533395859375</v>
      </c>
      <c r="Q29" s="184">
        <v>13.533395859375</v>
      </c>
      <c r="R29" s="184">
        <v>13.533395859375</v>
      </c>
      <c r="S29" s="184">
        <v>13.533395859375</v>
      </c>
      <c r="T29" s="184">
        <v>13.533395859375</v>
      </c>
      <c r="U29" s="184">
        <v>13.533395859375</v>
      </c>
      <c r="V29" s="184">
        <v>13.533395859375</v>
      </c>
      <c r="W29" s="184">
        <v>13.533395859375</v>
      </c>
      <c r="X29" s="184">
        <v>13.533395859375</v>
      </c>
      <c r="Y29" s="184">
        <v>13.533395859375</v>
      </c>
      <c r="Z29" s="184">
        <v>13.533395859375</v>
      </c>
      <c r="AA29" s="184">
        <v>11.393830418749999</v>
      </c>
      <c r="AB29" s="184">
        <v>11.393830418749999</v>
      </c>
      <c r="AC29" s="184">
        <v>11.393830418749999</v>
      </c>
      <c r="AD29" s="184">
        <v>11.393830418749999</v>
      </c>
      <c r="AE29" s="184">
        <v>11.393830418749999</v>
      </c>
      <c r="AF29" s="184">
        <v>11.393830418749999</v>
      </c>
      <c r="AG29" s="184">
        <v>11.393830418749999</v>
      </c>
      <c r="AH29" s="184">
        <v>11.393830418749999</v>
      </c>
      <c r="AI29" s="184">
        <v>11.393830418749999</v>
      </c>
      <c r="AJ29" s="184">
        <v>11.393830418749999</v>
      </c>
      <c r="AK29" s="184">
        <v>11.393830418749999</v>
      </c>
      <c r="AL29" s="184">
        <v>11.393830418749999</v>
      </c>
      <c r="AM29" s="184">
        <v>9.6847558559374995</v>
      </c>
      <c r="AN29" s="184">
        <v>9.6847558559374995</v>
      </c>
      <c r="AO29" s="184">
        <v>9.6847558559374995</v>
      </c>
      <c r="AP29" s="184">
        <v>9.6847558559374995</v>
      </c>
      <c r="AQ29" s="184">
        <v>9.6847558559374995</v>
      </c>
      <c r="AR29" s="184">
        <v>9.6847558559374995</v>
      </c>
      <c r="AS29" s="184">
        <v>9.6847558559374995</v>
      </c>
      <c r="AT29" s="184">
        <v>9.6847558559374995</v>
      </c>
      <c r="AU29" s="184">
        <v>9.6847558559374995</v>
      </c>
      <c r="AV29" s="184">
        <v>9.6847558559374995</v>
      </c>
      <c r="AW29" s="184">
        <v>9.6847558559374995</v>
      </c>
      <c r="AX29" s="184">
        <v>9.6847558559374995</v>
      </c>
      <c r="AY29" s="184">
        <v>8.232042477546873</v>
      </c>
      <c r="AZ29" s="184">
        <v>8.232042477546873</v>
      </c>
      <c r="BA29" s="184">
        <v>8.232042477546873</v>
      </c>
      <c r="BB29" s="184">
        <v>8.232042477546873</v>
      </c>
      <c r="BC29" s="184">
        <v>8.232042477546873</v>
      </c>
      <c r="BD29" s="184">
        <v>8.232042477546873</v>
      </c>
      <c r="BE29" s="184">
        <v>8.232042477546873</v>
      </c>
      <c r="BF29" s="184">
        <v>8.232042477546873</v>
      </c>
      <c r="BG29" s="184">
        <v>8.232042477546873</v>
      </c>
      <c r="BH29" s="184">
        <v>8.232042477546873</v>
      </c>
      <c r="BI29" s="184">
        <v>8.232042477546873</v>
      </c>
      <c r="BJ29" s="184">
        <v>8.232042477546873</v>
      </c>
      <c r="BK29" s="184">
        <v>6.9972361059148431</v>
      </c>
      <c r="BL29" s="184">
        <v>6.9972361059148431</v>
      </c>
      <c r="BM29" s="184">
        <v>6.9972361059148431</v>
      </c>
      <c r="BN29" s="184">
        <v>6.9972361059148431</v>
      </c>
      <c r="BO29" s="184">
        <v>6.9972361059148431</v>
      </c>
      <c r="BP29" s="184">
        <v>6.9972361059148431</v>
      </c>
      <c r="BQ29" s="184">
        <v>6.9972361059148431</v>
      </c>
      <c r="BR29" s="184">
        <v>6.9972361059148431</v>
      </c>
      <c r="BS29" s="184">
        <v>6.9972361059148431</v>
      </c>
      <c r="BT29" s="184">
        <v>6.9972361059148431</v>
      </c>
      <c r="BU29" s="184">
        <v>6.9972361059148431</v>
      </c>
      <c r="BV29" s="184">
        <v>6.9972361059148431</v>
      </c>
      <c r="BW29" s="184">
        <v>0</v>
      </c>
      <c r="BX29" s="184">
        <v>0</v>
      </c>
      <c r="BY29" s="184">
        <v>0</v>
      </c>
      <c r="BZ29" s="184">
        <v>0</v>
      </c>
      <c r="CA29" s="184">
        <v>0</v>
      </c>
      <c r="CB29" s="184">
        <v>0</v>
      </c>
      <c r="CC29" s="184">
        <v>0</v>
      </c>
      <c r="CD29" s="184">
        <v>0</v>
      </c>
      <c r="CE29" s="184">
        <v>0</v>
      </c>
      <c r="CF29" s="184">
        <v>0</v>
      </c>
      <c r="CG29" s="184">
        <v>0</v>
      </c>
      <c r="CH29" s="184">
        <v>0</v>
      </c>
      <c r="CI29" s="184">
        <v>0</v>
      </c>
      <c r="CJ29" s="184">
        <v>0</v>
      </c>
      <c r="CK29" s="184">
        <v>0</v>
      </c>
      <c r="CL29" s="184">
        <v>0</v>
      </c>
      <c r="CM29" s="184">
        <v>0</v>
      </c>
      <c r="CN29" s="184">
        <v>0</v>
      </c>
      <c r="CO29" s="184">
        <v>0</v>
      </c>
      <c r="CP29" s="184">
        <v>0</v>
      </c>
      <c r="CQ29" s="184">
        <v>0</v>
      </c>
      <c r="CR29" s="184">
        <v>0</v>
      </c>
      <c r="CS29" s="184">
        <v>0</v>
      </c>
      <c r="CT29" s="184">
        <v>0</v>
      </c>
      <c r="CU29" s="184">
        <v>0</v>
      </c>
      <c r="CV29" s="184">
        <v>0</v>
      </c>
      <c r="CW29" s="184">
        <v>0</v>
      </c>
      <c r="CX29" s="184">
        <v>0</v>
      </c>
      <c r="CY29" s="184">
        <v>0</v>
      </c>
      <c r="CZ29" s="184">
        <v>0</v>
      </c>
      <c r="DA29" s="184">
        <v>0</v>
      </c>
      <c r="DB29" s="184">
        <v>0</v>
      </c>
      <c r="DC29" s="184">
        <v>0</v>
      </c>
      <c r="DD29" s="184">
        <v>0</v>
      </c>
      <c r="DE29" s="184">
        <v>0</v>
      </c>
      <c r="DF29" s="184">
        <v>0</v>
      </c>
      <c r="DG29" s="184">
        <v>0</v>
      </c>
      <c r="DH29" s="184">
        <v>0</v>
      </c>
      <c r="DI29" s="184">
        <v>0</v>
      </c>
      <c r="DJ29" s="184">
        <v>0</v>
      </c>
      <c r="DK29" s="184">
        <v>0</v>
      </c>
      <c r="DL29" s="184">
        <v>0</v>
      </c>
      <c r="DM29" s="184">
        <v>0</v>
      </c>
      <c r="DN29" s="184">
        <v>0</v>
      </c>
      <c r="DO29" s="184">
        <v>0</v>
      </c>
      <c r="DP29" s="184">
        <v>0</v>
      </c>
      <c r="DQ29" s="184">
        <v>0</v>
      </c>
      <c r="DR29" s="184">
        <v>0</v>
      </c>
      <c r="DS29" s="184">
        <v>0</v>
      </c>
      <c r="DT29" s="184">
        <v>0</v>
      </c>
      <c r="DU29" s="184">
        <v>0</v>
      </c>
      <c r="DV29" s="184">
        <v>0</v>
      </c>
      <c r="DW29" s="184">
        <v>0</v>
      </c>
      <c r="DX29" s="184">
        <v>0</v>
      </c>
      <c r="DY29" s="184">
        <v>0</v>
      </c>
      <c r="DZ29" s="184">
        <v>0</v>
      </c>
      <c r="EA29" s="184">
        <v>0</v>
      </c>
      <c r="EB29" s="184">
        <v>0</v>
      </c>
      <c r="EC29" s="184">
        <v>0</v>
      </c>
      <c r="ED29" s="184">
        <v>0</v>
      </c>
      <c r="EE29" s="184">
        <v>0</v>
      </c>
      <c r="EF29" s="184">
        <v>0</v>
      </c>
      <c r="EG29" s="184">
        <v>0</v>
      </c>
      <c r="EH29" s="184">
        <v>0</v>
      </c>
      <c r="EI29" s="184">
        <v>0</v>
      </c>
      <c r="EJ29" s="184">
        <v>0</v>
      </c>
      <c r="EK29" s="184">
        <v>0</v>
      </c>
      <c r="EL29" s="184">
        <v>0</v>
      </c>
      <c r="EM29" s="184">
        <v>0</v>
      </c>
      <c r="EN29" s="184">
        <v>0</v>
      </c>
      <c r="EO29" s="184">
        <v>0</v>
      </c>
      <c r="EP29" s="184">
        <v>0</v>
      </c>
      <c r="EQ29" s="184">
        <v>0</v>
      </c>
      <c r="ER29" s="184">
        <v>0</v>
      </c>
      <c r="ES29" s="184">
        <v>0</v>
      </c>
      <c r="ET29" s="184">
        <v>0</v>
      </c>
      <c r="EU29" s="184">
        <v>0</v>
      </c>
      <c r="EV29" s="184">
        <v>0</v>
      </c>
      <c r="EW29" s="184">
        <v>0</v>
      </c>
      <c r="EX29" s="184">
        <v>0</v>
      </c>
      <c r="EY29" s="184">
        <v>0</v>
      </c>
      <c r="EZ29" s="184">
        <v>0</v>
      </c>
      <c r="FA29" s="184">
        <v>0</v>
      </c>
      <c r="FB29" s="184">
        <v>0</v>
      </c>
      <c r="FC29" s="184">
        <v>0</v>
      </c>
      <c r="FD29" s="184">
        <v>0</v>
      </c>
      <c r="FE29" s="184">
        <v>0</v>
      </c>
      <c r="FF29" s="184">
        <v>0</v>
      </c>
      <c r="FG29" s="184">
        <v>0</v>
      </c>
      <c r="FH29" s="184">
        <v>0</v>
      </c>
      <c r="FI29" s="184">
        <v>0</v>
      </c>
      <c r="FJ29" s="184">
        <v>0</v>
      </c>
      <c r="FK29" s="184">
        <v>0</v>
      </c>
      <c r="FL29" s="184">
        <v>0</v>
      </c>
      <c r="FM29" s="184">
        <v>0</v>
      </c>
      <c r="FN29" s="184">
        <v>0</v>
      </c>
      <c r="FO29" s="184">
        <v>0</v>
      </c>
      <c r="FP29" s="184">
        <v>0</v>
      </c>
      <c r="FQ29" s="184">
        <v>0</v>
      </c>
      <c r="FR29" s="184">
        <v>0</v>
      </c>
      <c r="FS29" s="184">
        <v>0</v>
      </c>
      <c r="FT29" s="184">
        <v>0</v>
      </c>
      <c r="FU29" s="184">
        <v>0</v>
      </c>
      <c r="FV29" s="184">
        <v>0</v>
      </c>
      <c r="FW29" s="184">
        <v>0</v>
      </c>
      <c r="FX29" s="184">
        <v>0</v>
      </c>
      <c r="FY29" s="184">
        <v>0</v>
      </c>
      <c r="FZ29" s="184">
        <v>0</v>
      </c>
      <c r="GA29" s="184">
        <v>0</v>
      </c>
      <c r="GB29" s="184">
        <v>0</v>
      </c>
      <c r="GC29" s="184">
        <v>0</v>
      </c>
      <c r="GD29" s="184">
        <v>0</v>
      </c>
      <c r="GE29" s="184">
        <v>0</v>
      </c>
      <c r="GF29" s="184">
        <v>0</v>
      </c>
      <c r="GG29" s="184">
        <v>0</v>
      </c>
      <c r="GH29" s="184">
        <v>0</v>
      </c>
      <c r="GI29" s="184">
        <v>0</v>
      </c>
      <c r="GJ29" s="184">
        <v>0</v>
      </c>
      <c r="GK29" s="184">
        <v>0</v>
      </c>
      <c r="GL29" s="184">
        <v>0</v>
      </c>
      <c r="GM29" s="184">
        <v>0</v>
      </c>
      <c r="GN29" s="184">
        <v>0</v>
      </c>
      <c r="GO29" s="184">
        <v>0</v>
      </c>
      <c r="GP29" s="184">
        <v>0</v>
      </c>
      <c r="GQ29" s="184">
        <v>0</v>
      </c>
      <c r="GR29" s="184">
        <v>0</v>
      </c>
      <c r="GS29" s="184">
        <v>0</v>
      </c>
      <c r="GT29" s="184">
        <v>0</v>
      </c>
      <c r="GU29" s="184">
        <v>0</v>
      </c>
      <c r="GV29" s="184">
        <v>0</v>
      </c>
      <c r="GW29" s="184">
        <v>0</v>
      </c>
      <c r="GX29" s="184">
        <v>0</v>
      </c>
      <c r="GY29" s="184">
        <v>0</v>
      </c>
      <c r="GZ29" s="184">
        <v>0</v>
      </c>
      <c r="HA29" s="184">
        <v>0</v>
      </c>
      <c r="HB29" s="184">
        <v>0</v>
      </c>
      <c r="HC29" s="184">
        <v>0</v>
      </c>
      <c r="HD29" s="184">
        <v>0</v>
      </c>
      <c r="HE29" s="184">
        <v>0</v>
      </c>
      <c r="HF29" s="184">
        <v>0</v>
      </c>
      <c r="HG29" s="184">
        <v>0</v>
      </c>
      <c r="HH29" s="184">
        <v>0</v>
      </c>
      <c r="HI29" s="184">
        <v>0</v>
      </c>
      <c r="HJ29" s="184">
        <v>0</v>
      </c>
      <c r="HK29" s="184">
        <v>0</v>
      </c>
      <c r="HL29" s="184">
        <v>0</v>
      </c>
      <c r="HM29" s="184">
        <v>0</v>
      </c>
      <c r="HN29" s="184">
        <v>0</v>
      </c>
      <c r="HO29" s="184">
        <v>0</v>
      </c>
      <c r="HP29" s="184">
        <v>0</v>
      </c>
      <c r="HQ29" s="184">
        <v>0</v>
      </c>
      <c r="HR29" s="184">
        <v>0</v>
      </c>
      <c r="HS29" s="184">
        <v>0</v>
      </c>
      <c r="HT29" s="184">
        <v>0</v>
      </c>
      <c r="HU29" s="184">
        <v>0</v>
      </c>
      <c r="HV29" s="184">
        <v>0</v>
      </c>
      <c r="HW29" s="184">
        <v>0</v>
      </c>
      <c r="HX29" s="184">
        <v>0</v>
      </c>
      <c r="HY29" s="184">
        <v>0</v>
      </c>
      <c r="HZ29" s="184">
        <v>0</v>
      </c>
      <c r="IA29" s="184">
        <v>0</v>
      </c>
      <c r="IB29" s="184">
        <v>0</v>
      </c>
      <c r="IC29" s="184">
        <v>0</v>
      </c>
      <c r="ID29" s="184">
        <v>0</v>
      </c>
      <c r="IE29" s="184">
        <v>0</v>
      </c>
      <c r="IF29" s="184">
        <v>0</v>
      </c>
      <c r="IG29" s="184">
        <v>0</v>
      </c>
      <c r="IH29" s="184">
        <v>0</v>
      </c>
      <c r="II29" s="184">
        <v>0</v>
      </c>
      <c r="IJ29" s="184">
        <v>0</v>
      </c>
      <c r="IK29" s="184">
        <v>0</v>
      </c>
      <c r="IL29" s="184">
        <v>0</v>
      </c>
      <c r="IM29" s="184">
        <v>0</v>
      </c>
      <c r="IN29" s="184">
        <v>0</v>
      </c>
      <c r="IO29" s="184">
        <v>0</v>
      </c>
      <c r="IP29" s="184">
        <v>0</v>
      </c>
      <c r="IQ29" s="184">
        <v>0</v>
      </c>
      <c r="IR29" s="184">
        <v>0</v>
      </c>
      <c r="IS29" s="184">
        <v>0</v>
      </c>
      <c r="IT29" s="184">
        <v>0</v>
      </c>
      <c r="IU29" s="184">
        <v>0</v>
      </c>
      <c r="IV29" s="184">
        <v>0</v>
      </c>
      <c r="IW29" s="184">
        <v>0</v>
      </c>
      <c r="IX29" s="184">
        <v>0</v>
      </c>
      <c r="IY29" s="184">
        <v>0</v>
      </c>
      <c r="IZ29" s="184">
        <v>0</v>
      </c>
      <c r="JA29" s="184">
        <v>0</v>
      </c>
      <c r="JB29" s="184">
        <v>0</v>
      </c>
      <c r="JC29" s="184">
        <v>0</v>
      </c>
      <c r="JD29" s="184">
        <v>0</v>
      </c>
      <c r="JE29" s="184">
        <v>0</v>
      </c>
      <c r="JF29" s="184">
        <v>0</v>
      </c>
      <c r="JG29" s="184">
        <v>0</v>
      </c>
      <c r="JH29" s="184">
        <v>0</v>
      </c>
      <c r="JI29" s="184">
        <v>0</v>
      </c>
      <c r="JJ29" s="184">
        <v>0</v>
      </c>
      <c r="JK29" s="184">
        <v>0</v>
      </c>
      <c r="JL29" s="184">
        <v>0</v>
      </c>
      <c r="JM29" s="184">
        <v>0</v>
      </c>
      <c r="JN29" s="184">
        <v>0</v>
      </c>
      <c r="JO29" s="184">
        <v>0</v>
      </c>
      <c r="JP29" s="184">
        <v>0</v>
      </c>
      <c r="JQ29" s="184">
        <v>0</v>
      </c>
      <c r="JR29" s="184">
        <v>0</v>
      </c>
      <c r="JS29" s="184">
        <v>0</v>
      </c>
      <c r="JT29" s="184">
        <v>0</v>
      </c>
      <c r="JU29" s="184">
        <v>0</v>
      </c>
      <c r="JV29" s="184">
        <v>0</v>
      </c>
      <c r="JW29" s="184">
        <v>0</v>
      </c>
      <c r="JX29" s="184">
        <v>0</v>
      </c>
      <c r="JY29" s="184">
        <v>0</v>
      </c>
      <c r="JZ29" s="184">
        <v>0</v>
      </c>
      <c r="KA29" s="184">
        <v>0</v>
      </c>
      <c r="KB29" s="184">
        <v>0</v>
      </c>
      <c r="KC29" s="184">
        <v>0</v>
      </c>
      <c r="KD29" s="184">
        <v>0</v>
      </c>
      <c r="KE29" s="184">
        <v>0</v>
      </c>
      <c r="KF29" s="184">
        <v>0</v>
      </c>
      <c r="KG29" s="184">
        <v>0</v>
      </c>
      <c r="KH29" s="184">
        <v>0</v>
      </c>
      <c r="KI29" s="184">
        <v>0</v>
      </c>
      <c r="KJ29" s="184">
        <v>0</v>
      </c>
      <c r="KK29" s="184">
        <v>0</v>
      </c>
      <c r="KL29" s="184">
        <v>0</v>
      </c>
      <c r="KM29" s="184">
        <v>0</v>
      </c>
      <c r="KN29" s="184">
        <v>0</v>
      </c>
      <c r="KO29" s="184">
        <v>0</v>
      </c>
      <c r="KP29" s="184">
        <v>0</v>
      </c>
      <c r="KQ29" s="184">
        <v>0</v>
      </c>
      <c r="KR29" s="184">
        <v>0</v>
      </c>
      <c r="KS29" s="184">
        <v>0</v>
      </c>
      <c r="KT29" s="184">
        <v>0</v>
      </c>
      <c r="KU29" s="184">
        <v>0</v>
      </c>
      <c r="KV29" s="184">
        <v>0</v>
      </c>
      <c r="KW29" s="184">
        <v>0</v>
      </c>
      <c r="KX29" s="184">
        <v>0</v>
      </c>
      <c r="KY29" s="184">
        <v>0</v>
      </c>
      <c r="KZ29" s="184">
        <v>0</v>
      </c>
      <c r="LA29" s="184">
        <v>0</v>
      </c>
      <c r="LB29" s="184">
        <v>0</v>
      </c>
      <c r="LC29" s="184">
        <v>0</v>
      </c>
      <c r="LD29" s="184">
        <v>0</v>
      </c>
      <c r="LE29" s="184">
        <v>0</v>
      </c>
      <c r="LF29" s="184">
        <v>0</v>
      </c>
      <c r="LG29" s="184">
        <v>0</v>
      </c>
      <c r="LH29" s="184">
        <v>0</v>
      </c>
      <c r="LI29" s="184">
        <v>0</v>
      </c>
      <c r="LJ29" s="184">
        <v>0</v>
      </c>
      <c r="LK29" s="184">
        <v>0</v>
      </c>
      <c r="LL29" s="184">
        <v>0</v>
      </c>
      <c r="LM29" s="184">
        <v>0</v>
      </c>
      <c r="LN29" s="184">
        <v>0</v>
      </c>
      <c r="LO29" s="184">
        <v>0</v>
      </c>
      <c r="LP29" s="184">
        <v>0</v>
      </c>
      <c r="LQ29" s="184">
        <v>0</v>
      </c>
      <c r="LR29" s="184">
        <v>0</v>
      </c>
      <c r="LS29" s="184">
        <v>0</v>
      </c>
      <c r="LT29" s="184">
        <v>0</v>
      </c>
      <c r="LU29" s="184">
        <v>0</v>
      </c>
      <c r="LV29" s="184">
        <v>0</v>
      </c>
      <c r="LW29" s="184">
        <v>0</v>
      </c>
      <c r="LX29" s="184">
        <v>0</v>
      </c>
      <c r="LY29" s="184">
        <v>0</v>
      </c>
      <c r="LZ29" s="184">
        <v>0</v>
      </c>
      <c r="MA29" s="184">
        <v>0</v>
      </c>
      <c r="MB29" s="184">
        <v>0</v>
      </c>
      <c r="MC29" s="184">
        <v>0</v>
      </c>
      <c r="MD29" s="184">
        <v>0</v>
      </c>
      <c r="ME29" s="184">
        <v>0</v>
      </c>
      <c r="MF29" s="184">
        <v>0</v>
      </c>
      <c r="MG29" s="184">
        <v>0</v>
      </c>
      <c r="MH29" s="184">
        <v>0</v>
      </c>
      <c r="MI29" s="184">
        <v>0</v>
      </c>
      <c r="MJ29" s="184">
        <v>0</v>
      </c>
      <c r="MK29" s="184">
        <v>0</v>
      </c>
      <c r="ML29" s="184">
        <v>0</v>
      </c>
      <c r="MM29" s="184">
        <v>0</v>
      </c>
      <c r="MN29" s="184">
        <v>0</v>
      </c>
      <c r="MO29" s="184">
        <v>0</v>
      </c>
      <c r="MP29" s="184">
        <v>0</v>
      </c>
      <c r="MQ29" s="184">
        <v>0</v>
      </c>
      <c r="MR29" s="184">
        <v>0</v>
      </c>
      <c r="MS29" s="184">
        <v>0</v>
      </c>
      <c r="MT29" s="184">
        <v>0</v>
      </c>
      <c r="MU29" s="184">
        <v>0</v>
      </c>
      <c r="MV29" s="184">
        <v>0</v>
      </c>
      <c r="MW29" s="184">
        <v>0</v>
      </c>
      <c r="MX29" s="184">
        <v>0</v>
      </c>
      <c r="MY29" s="184">
        <v>0</v>
      </c>
      <c r="MZ29" s="184">
        <v>0</v>
      </c>
      <c r="NA29" s="184">
        <v>0</v>
      </c>
      <c r="NB29" s="184">
        <v>0</v>
      </c>
      <c r="NC29" s="184">
        <v>0</v>
      </c>
      <c r="ND29" s="184">
        <v>0</v>
      </c>
      <c r="NE29" s="184">
        <v>0</v>
      </c>
      <c r="NF29" s="184">
        <v>0</v>
      </c>
      <c r="NG29" s="184">
        <v>0</v>
      </c>
      <c r="NH29" s="184">
        <v>0</v>
      </c>
      <c r="NI29" s="184">
        <v>0</v>
      </c>
      <c r="NJ29" s="184">
        <v>0</v>
      </c>
      <c r="NK29" s="184">
        <v>0</v>
      </c>
      <c r="NL29" s="184">
        <v>0</v>
      </c>
      <c r="NM29" s="184">
        <v>0</v>
      </c>
      <c r="NN29" s="184">
        <v>0</v>
      </c>
      <c r="NO29" s="184">
        <v>0</v>
      </c>
      <c r="NP29" s="184">
        <v>0</v>
      </c>
      <c r="NQ29" s="184">
        <v>0</v>
      </c>
      <c r="NR29" s="184">
        <v>0</v>
      </c>
      <c r="NW29" s="188"/>
      <c r="NX29" s="188"/>
    </row>
    <row r="30" spans="1:389" x14ac:dyDescent="0.4">
      <c r="A30" t="s">
        <v>563</v>
      </c>
      <c r="C30" s="191">
        <v>0</v>
      </c>
      <c r="D30" s="191">
        <v>0</v>
      </c>
      <c r="E30" s="191">
        <v>0</v>
      </c>
      <c r="F30" s="191">
        <v>0</v>
      </c>
      <c r="G30" s="191">
        <v>0</v>
      </c>
      <c r="H30" s="191">
        <v>0</v>
      </c>
      <c r="I30" s="191">
        <v>0</v>
      </c>
      <c r="J30" s="191">
        <v>0</v>
      </c>
      <c r="K30" s="191">
        <v>0</v>
      </c>
      <c r="L30" s="191">
        <v>0</v>
      </c>
      <c r="M30" s="191">
        <v>0</v>
      </c>
      <c r="N30" s="191">
        <v>0</v>
      </c>
      <c r="O30" s="191">
        <v>0</v>
      </c>
      <c r="P30" s="191">
        <v>0</v>
      </c>
      <c r="Q30" s="191">
        <v>0</v>
      </c>
      <c r="R30" s="191">
        <v>0</v>
      </c>
      <c r="S30" s="191">
        <v>0</v>
      </c>
      <c r="T30" s="191">
        <v>0</v>
      </c>
      <c r="U30" s="191">
        <v>0</v>
      </c>
      <c r="V30" s="191">
        <v>0</v>
      </c>
      <c r="W30" s="191">
        <v>0</v>
      </c>
      <c r="X30" s="191">
        <v>0</v>
      </c>
      <c r="Y30" s="191">
        <v>0</v>
      </c>
      <c r="Z30" s="191">
        <v>0</v>
      </c>
      <c r="AA30" s="191">
        <v>0</v>
      </c>
      <c r="AB30" s="191">
        <v>0</v>
      </c>
      <c r="AC30" s="191">
        <v>0</v>
      </c>
      <c r="AD30" s="191">
        <v>0</v>
      </c>
      <c r="AE30" s="191">
        <v>0</v>
      </c>
      <c r="AF30" s="191">
        <v>0</v>
      </c>
      <c r="AG30" s="191">
        <v>0</v>
      </c>
      <c r="AH30" s="191">
        <v>0</v>
      </c>
      <c r="AI30" s="191">
        <v>0</v>
      </c>
      <c r="AJ30" s="191">
        <v>0</v>
      </c>
      <c r="AK30" s="191">
        <v>0</v>
      </c>
      <c r="AL30" s="191">
        <v>0</v>
      </c>
      <c r="AM30" s="191">
        <v>0</v>
      </c>
      <c r="AN30" s="191">
        <v>0</v>
      </c>
      <c r="AO30" s="191">
        <v>0</v>
      </c>
      <c r="AP30" s="191">
        <v>0</v>
      </c>
      <c r="AQ30" s="191">
        <v>0</v>
      </c>
      <c r="AR30" s="191">
        <v>0</v>
      </c>
      <c r="AS30" s="191">
        <v>0</v>
      </c>
      <c r="AT30" s="191">
        <v>0</v>
      </c>
      <c r="AU30" s="191">
        <v>0</v>
      </c>
      <c r="AV30" s="191">
        <v>0</v>
      </c>
      <c r="AW30" s="191">
        <v>0</v>
      </c>
      <c r="AX30" s="191">
        <v>0</v>
      </c>
      <c r="AY30" s="191">
        <v>0</v>
      </c>
      <c r="AZ30" s="191">
        <v>0</v>
      </c>
      <c r="BA30" s="191">
        <v>0</v>
      </c>
      <c r="BB30" s="191">
        <v>0</v>
      </c>
      <c r="BC30" s="191">
        <v>0</v>
      </c>
      <c r="BD30" s="191">
        <v>0</v>
      </c>
      <c r="BE30" s="191">
        <v>0</v>
      </c>
      <c r="BF30" s="191">
        <v>0</v>
      </c>
      <c r="BG30" s="191">
        <v>0</v>
      </c>
      <c r="BH30" s="191">
        <v>0</v>
      </c>
      <c r="BI30" s="191">
        <v>0</v>
      </c>
      <c r="BJ30" s="191">
        <v>0</v>
      </c>
      <c r="BK30" s="191">
        <v>0</v>
      </c>
      <c r="BL30" s="191">
        <v>0</v>
      </c>
      <c r="BM30" s="191">
        <v>0</v>
      </c>
      <c r="BN30" s="191">
        <v>0</v>
      </c>
      <c r="BO30" s="191">
        <v>0</v>
      </c>
      <c r="BP30" s="191">
        <v>0</v>
      </c>
      <c r="BQ30" s="191">
        <v>0</v>
      </c>
      <c r="BR30" s="191">
        <v>0</v>
      </c>
      <c r="BS30" s="191">
        <v>0</v>
      </c>
      <c r="BT30" s="191">
        <v>0</v>
      </c>
      <c r="BU30" s="191">
        <v>0</v>
      </c>
      <c r="BV30" s="191">
        <v>0</v>
      </c>
      <c r="BW30" s="191">
        <v>62.229166666666664</v>
      </c>
      <c r="BX30" s="191">
        <v>62.229166666666664</v>
      </c>
      <c r="BY30" s="191">
        <v>62.229166666666664</v>
      </c>
      <c r="BZ30" s="191">
        <v>62.229166666666664</v>
      </c>
      <c r="CA30" s="191">
        <v>62.229166666666664</v>
      </c>
      <c r="CB30" s="191">
        <v>62.229166666666664</v>
      </c>
      <c r="CC30" s="191">
        <v>62.229166666666664</v>
      </c>
      <c r="CD30" s="191">
        <v>62.229166666666664</v>
      </c>
      <c r="CE30" s="191">
        <v>62.229166666666664</v>
      </c>
      <c r="CF30" s="191">
        <v>62.229166666666664</v>
      </c>
      <c r="CG30" s="191">
        <v>62.229166666666664</v>
      </c>
      <c r="CH30" s="191">
        <v>62.229166666666664</v>
      </c>
      <c r="CI30" s="191">
        <v>62.229166666666664</v>
      </c>
      <c r="CJ30" s="191">
        <v>62.229166666666664</v>
      </c>
      <c r="CK30" s="191">
        <v>62.229166666666664</v>
      </c>
      <c r="CL30" s="191">
        <v>62.229166666666664</v>
      </c>
      <c r="CM30" s="191">
        <v>62.229166666666664</v>
      </c>
      <c r="CN30" s="191">
        <v>62.229166666666664</v>
      </c>
      <c r="CO30" s="191">
        <v>62.229166666666664</v>
      </c>
      <c r="CP30" s="191">
        <v>62.229166666666664</v>
      </c>
      <c r="CQ30" s="191">
        <v>62.229166666666664</v>
      </c>
      <c r="CR30" s="191">
        <v>62.229166666666664</v>
      </c>
      <c r="CS30" s="191">
        <v>62.229166666666664</v>
      </c>
      <c r="CT30" s="191">
        <v>62.229166666666664</v>
      </c>
      <c r="CU30" s="191">
        <v>0</v>
      </c>
      <c r="CV30" s="191">
        <v>0</v>
      </c>
      <c r="CW30" s="191">
        <v>0</v>
      </c>
      <c r="CX30" s="191">
        <v>0</v>
      </c>
      <c r="CY30" s="191">
        <v>0</v>
      </c>
      <c r="CZ30" s="191">
        <v>0</v>
      </c>
      <c r="DA30" s="191">
        <v>0</v>
      </c>
      <c r="DB30" s="191">
        <v>0</v>
      </c>
      <c r="DC30" s="191">
        <v>0</v>
      </c>
      <c r="DD30" s="191">
        <v>0</v>
      </c>
      <c r="DE30" s="191">
        <v>0</v>
      </c>
      <c r="DF30" s="191">
        <v>0</v>
      </c>
      <c r="DG30" s="191">
        <v>0</v>
      </c>
      <c r="DH30" s="191">
        <v>0</v>
      </c>
      <c r="DI30" s="191">
        <v>0</v>
      </c>
      <c r="DJ30" s="191">
        <v>0</v>
      </c>
      <c r="DK30" s="191">
        <v>0</v>
      </c>
      <c r="DL30" s="191">
        <v>0</v>
      </c>
      <c r="DM30" s="191">
        <v>0</v>
      </c>
      <c r="DN30" s="191">
        <v>0</v>
      </c>
      <c r="DO30" s="191">
        <v>0</v>
      </c>
      <c r="DP30" s="191">
        <v>0</v>
      </c>
      <c r="DQ30" s="191">
        <v>0</v>
      </c>
      <c r="DR30" s="191">
        <v>0</v>
      </c>
      <c r="DS30" s="191">
        <v>0</v>
      </c>
      <c r="DT30" s="191">
        <v>0</v>
      </c>
      <c r="DU30" s="191">
        <v>0</v>
      </c>
      <c r="DV30" s="191">
        <v>0</v>
      </c>
      <c r="DW30" s="191">
        <v>0</v>
      </c>
      <c r="DX30" s="191">
        <v>0</v>
      </c>
      <c r="DY30" s="191">
        <v>0</v>
      </c>
      <c r="DZ30" s="191">
        <v>0</v>
      </c>
      <c r="EA30" s="191">
        <v>0</v>
      </c>
      <c r="EB30" s="191">
        <v>0</v>
      </c>
      <c r="EC30" s="191">
        <v>0</v>
      </c>
      <c r="ED30" s="191">
        <v>0</v>
      </c>
      <c r="EE30" s="191">
        <v>0</v>
      </c>
      <c r="EF30" s="191">
        <v>0</v>
      </c>
      <c r="EG30" s="191">
        <v>0</v>
      </c>
      <c r="EH30" s="191">
        <v>0</v>
      </c>
      <c r="EI30" s="191">
        <v>0</v>
      </c>
      <c r="EJ30" s="191">
        <v>0</v>
      </c>
      <c r="EK30" s="191">
        <v>0</v>
      </c>
      <c r="EL30" s="191">
        <v>0</v>
      </c>
      <c r="EM30" s="191">
        <v>0</v>
      </c>
      <c r="EN30" s="191">
        <v>0</v>
      </c>
      <c r="EO30" s="191">
        <v>0</v>
      </c>
      <c r="EP30" s="191">
        <v>0</v>
      </c>
      <c r="EQ30" s="191">
        <v>0</v>
      </c>
      <c r="ER30" s="191">
        <v>0</v>
      </c>
      <c r="ES30" s="191">
        <v>0</v>
      </c>
      <c r="ET30" s="191">
        <v>0</v>
      </c>
      <c r="EU30" s="191">
        <v>0</v>
      </c>
      <c r="EV30" s="191">
        <v>0</v>
      </c>
      <c r="EW30" s="191">
        <v>0</v>
      </c>
      <c r="EX30" s="191">
        <v>0</v>
      </c>
      <c r="EY30" s="191">
        <v>0</v>
      </c>
      <c r="EZ30" s="191">
        <v>0</v>
      </c>
      <c r="FA30" s="191">
        <v>0</v>
      </c>
      <c r="FB30" s="191">
        <v>0</v>
      </c>
      <c r="FC30" s="191">
        <v>0</v>
      </c>
      <c r="FD30" s="191">
        <v>0</v>
      </c>
      <c r="FE30" s="191">
        <v>0</v>
      </c>
      <c r="FF30" s="191">
        <v>0</v>
      </c>
      <c r="FG30" s="191">
        <v>0</v>
      </c>
      <c r="FH30" s="191">
        <v>0</v>
      </c>
      <c r="FI30" s="191">
        <v>0</v>
      </c>
      <c r="FJ30" s="191">
        <v>0</v>
      </c>
      <c r="FK30" s="191">
        <v>0</v>
      </c>
      <c r="FL30" s="191">
        <v>0</v>
      </c>
      <c r="FM30" s="191">
        <v>0</v>
      </c>
      <c r="FN30" s="191">
        <v>0</v>
      </c>
      <c r="FO30" s="191">
        <v>0</v>
      </c>
      <c r="FP30" s="191">
        <v>0</v>
      </c>
      <c r="FQ30" s="191">
        <v>0</v>
      </c>
      <c r="FR30" s="191">
        <v>0</v>
      </c>
      <c r="FS30" s="191">
        <v>0</v>
      </c>
      <c r="FT30" s="191">
        <v>0</v>
      </c>
      <c r="FU30" s="191">
        <v>0</v>
      </c>
      <c r="FV30" s="191">
        <v>0</v>
      </c>
      <c r="FW30" s="191">
        <v>0</v>
      </c>
      <c r="FX30" s="191">
        <v>0</v>
      </c>
      <c r="FY30" s="191">
        <v>0</v>
      </c>
      <c r="FZ30" s="191">
        <v>0</v>
      </c>
      <c r="GA30" s="191">
        <v>0</v>
      </c>
      <c r="GB30" s="191">
        <v>0</v>
      </c>
      <c r="GC30" s="191">
        <v>0</v>
      </c>
      <c r="GD30" s="191">
        <v>0</v>
      </c>
      <c r="GE30" s="191">
        <v>0</v>
      </c>
      <c r="GF30" s="191">
        <v>0</v>
      </c>
      <c r="GG30" s="191">
        <v>0</v>
      </c>
      <c r="GH30" s="191">
        <v>0</v>
      </c>
      <c r="GI30" s="191">
        <v>0</v>
      </c>
      <c r="GJ30" s="191">
        <v>0</v>
      </c>
      <c r="GK30" s="191">
        <v>0</v>
      </c>
      <c r="GL30" s="191">
        <v>0</v>
      </c>
      <c r="GM30" s="191">
        <v>0</v>
      </c>
      <c r="GN30" s="191">
        <v>0</v>
      </c>
      <c r="GO30" s="191">
        <v>0</v>
      </c>
      <c r="GP30" s="191">
        <v>0</v>
      </c>
      <c r="GQ30" s="191">
        <v>0</v>
      </c>
      <c r="GR30" s="191">
        <v>0</v>
      </c>
      <c r="GS30" s="191">
        <v>0</v>
      </c>
      <c r="GT30" s="191">
        <v>0</v>
      </c>
      <c r="GU30" s="191">
        <v>0</v>
      </c>
      <c r="GV30" s="191">
        <v>0</v>
      </c>
      <c r="GW30" s="191">
        <v>0</v>
      </c>
      <c r="GX30" s="191">
        <v>0</v>
      </c>
      <c r="GY30" s="191">
        <v>0</v>
      </c>
      <c r="GZ30" s="191">
        <v>0</v>
      </c>
      <c r="HA30" s="191">
        <v>0</v>
      </c>
      <c r="HB30" s="191">
        <v>0</v>
      </c>
      <c r="HC30" s="191">
        <v>0</v>
      </c>
      <c r="HD30" s="191">
        <v>0</v>
      </c>
      <c r="HE30" s="191">
        <v>0</v>
      </c>
      <c r="HF30" s="191">
        <v>0</v>
      </c>
      <c r="HG30" s="191">
        <v>0</v>
      </c>
      <c r="HH30" s="191">
        <v>0</v>
      </c>
      <c r="HI30" s="191">
        <v>0</v>
      </c>
      <c r="HJ30" s="191">
        <v>0</v>
      </c>
      <c r="HK30" s="191">
        <v>0</v>
      </c>
      <c r="HL30" s="191">
        <v>0</v>
      </c>
      <c r="HM30" s="191">
        <v>0</v>
      </c>
      <c r="HN30" s="191">
        <v>0</v>
      </c>
      <c r="HO30" s="191">
        <v>0</v>
      </c>
      <c r="HP30" s="191">
        <v>0</v>
      </c>
      <c r="HQ30" s="191">
        <v>0</v>
      </c>
      <c r="HR30" s="191">
        <v>0</v>
      </c>
      <c r="HS30" s="191">
        <v>0</v>
      </c>
      <c r="HT30" s="191">
        <v>0</v>
      </c>
      <c r="HU30" s="191">
        <v>0</v>
      </c>
      <c r="HV30" s="191">
        <v>0</v>
      </c>
      <c r="HW30" s="191">
        <v>0</v>
      </c>
      <c r="HX30" s="191">
        <v>0</v>
      </c>
      <c r="HY30" s="191">
        <v>0</v>
      </c>
      <c r="HZ30" s="191">
        <v>0</v>
      </c>
      <c r="IA30" s="191">
        <v>0</v>
      </c>
      <c r="IB30" s="191">
        <v>0</v>
      </c>
      <c r="IC30" s="191">
        <v>0</v>
      </c>
      <c r="ID30" s="191">
        <v>0</v>
      </c>
      <c r="IE30" s="191">
        <v>0</v>
      </c>
      <c r="IF30" s="191">
        <v>0</v>
      </c>
      <c r="IG30" s="191">
        <v>0</v>
      </c>
      <c r="IH30" s="191">
        <v>0</v>
      </c>
      <c r="II30" s="191">
        <v>0</v>
      </c>
      <c r="IJ30" s="191">
        <v>0</v>
      </c>
      <c r="IK30" s="191">
        <v>0</v>
      </c>
      <c r="IL30" s="191">
        <v>0</v>
      </c>
      <c r="IM30" s="191">
        <v>0</v>
      </c>
      <c r="IN30" s="191">
        <v>0</v>
      </c>
      <c r="IO30" s="191">
        <v>0</v>
      </c>
      <c r="IP30" s="191">
        <v>0</v>
      </c>
      <c r="IQ30" s="191">
        <v>0</v>
      </c>
      <c r="IR30" s="191">
        <v>0</v>
      </c>
      <c r="IS30" s="191">
        <v>0</v>
      </c>
      <c r="IT30" s="191">
        <v>0</v>
      </c>
      <c r="IU30" s="191">
        <v>0</v>
      </c>
      <c r="IV30" s="191">
        <v>0</v>
      </c>
      <c r="IW30" s="191">
        <v>0</v>
      </c>
      <c r="IX30" s="191">
        <v>0</v>
      </c>
      <c r="IY30" s="191">
        <v>0</v>
      </c>
      <c r="IZ30" s="191">
        <v>0</v>
      </c>
      <c r="JA30" s="191">
        <v>0</v>
      </c>
      <c r="JB30" s="191">
        <v>0</v>
      </c>
      <c r="JC30" s="191">
        <v>0</v>
      </c>
      <c r="JD30" s="191">
        <v>0</v>
      </c>
      <c r="JE30" s="191">
        <v>0</v>
      </c>
      <c r="JF30" s="191">
        <v>0</v>
      </c>
      <c r="JG30" s="191">
        <v>0</v>
      </c>
      <c r="JH30" s="191">
        <v>0</v>
      </c>
      <c r="JI30" s="191">
        <v>0</v>
      </c>
      <c r="JJ30" s="191">
        <v>0</v>
      </c>
      <c r="JK30" s="191">
        <v>0</v>
      </c>
      <c r="JL30" s="191">
        <v>0</v>
      </c>
      <c r="JM30" s="191">
        <v>0</v>
      </c>
      <c r="JN30" s="191">
        <v>0</v>
      </c>
      <c r="JO30" s="191">
        <v>0</v>
      </c>
      <c r="JP30" s="191">
        <v>0</v>
      </c>
      <c r="JQ30" s="191">
        <v>0</v>
      </c>
      <c r="JR30" s="191">
        <v>0</v>
      </c>
      <c r="JS30" s="191">
        <v>0</v>
      </c>
      <c r="JT30" s="191">
        <v>0</v>
      </c>
      <c r="JU30" s="191">
        <v>0</v>
      </c>
      <c r="JV30" s="191">
        <v>0</v>
      </c>
      <c r="JW30" s="191">
        <v>0</v>
      </c>
      <c r="JX30" s="191">
        <v>0</v>
      </c>
      <c r="JY30" s="191">
        <v>0</v>
      </c>
      <c r="JZ30" s="191">
        <v>0</v>
      </c>
      <c r="KA30" s="191">
        <v>0</v>
      </c>
      <c r="KB30" s="191">
        <v>0</v>
      </c>
      <c r="KC30" s="191">
        <v>0</v>
      </c>
      <c r="KD30" s="191">
        <v>0</v>
      </c>
      <c r="KE30" s="191">
        <v>0</v>
      </c>
      <c r="KF30" s="191">
        <v>0</v>
      </c>
      <c r="KG30" s="191">
        <v>0</v>
      </c>
      <c r="KH30" s="191">
        <v>0</v>
      </c>
      <c r="KI30" s="191">
        <v>0</v>
      </c>
      <c r="KJ30" s="191">
        <v>0</v>
      </c>
      <c r="KK30" s="191">
        <v>0</v>
      </c>
      <c r="KL30" s="191">
        <v>0</v>
      </c>
      <c r="KM30" s="191">
        <v>0</v>
      </c>
      <c r="KN30" s="191">
        <v>0</v>
      </c>
      <c r="KO30" s="191">
        <v>0</v>
      </c>
      <c r="KP30" s="191">
        <v>0</v>
      </c>
      <c r="KQ30" s="191">
        <v>0</v>
      </c>
      <c r="KR30" s="191">
        <v>0</v>
      </c>
      <c r="KS30" s="191">
        <v>0</v>
      </c>
      <c r="KT30" s="191">
        <v>0</v>
      </c>
      <c r="KU30" s="191">
        <v>0</v>
      </c>
      <c r="KV30" s="191">
        <v>0</v>
      </c>
      <c r="KW30" s="191">
        <v>0</v>
      </c>
      <c r="KX30" s="191">
        <v>0</v>
      </c>
      <c r="KY30" s="191">
        <v>0</v>
      </c>
      <c r="KZ30" s="191">
        <v>0</v>
      </c>
      <c r="LA30" s="191">
        <v>0</v>
      </c>
      <c r="LB30" s="191">
        <v>0</v>
      </c>
      <c r="LC30" s="191">
        <v>0</v>
      </c>
      <c r="LD30" s="191">
        <v>0</v>
      </c>
      <c r="LE30" s="191">
        <v>0</v>
      </c>
      <c r="LF30" s="191">
        <v>0</v>
      </c>
      <c r="LG30" s="191">
        <v>0</v>
      </c>
      <c r="LH30" s="191">
        <v>0</v>
      </c>
      <c r="LI30" s="191">
        <v>0</v>
      </c>
      <c r="LJ30" s="191">
        <v>0</v>
      </c>
      <c r="LK30" s="191">
        <v>0</v>
      </c>
      <c r="LL30" s="191">
        <v>0</v>
      </c>
      <c r="LM30" s="191">
        <v>0</v>
      </c>
      <c r="LN30" s="191">
        <v>0</v>
      </c>
      <c r="LO30" s="191">
        <v>0</v>
      </c>
      <c r="LP30" s="191">
        <v>0</v>
      </c>
      <c r="LQ30" s="191">
        <v>0</v>
      </c>
      <c r="LR30" s="191">
        <v>0</v>
      </c>
      <c r="LS30" s="191">
        <v>0</v>
      </c>
      <c r="LT30" s="191">
        <v>0</v>
      </c>
      <c r="LU30" s="191">
        <v>0</v>
      </c>
      <c r="LV30" s="191">
        <v>0</v>
      </c>
      <c r="LW30" s="191">
        <v>0</v>
      </c>
      <c r="LX30" s="191">
        <v>0</v>
      </c>
      <c r="LY30" s="191">
        <v>0</v>
      </c>
      <c r="LZ30" s="191">
        <v>0</v>
      </c>
      <c r="MA30" s="191">
        <v>0</v>
      </c>
      <c r="MB30" s="191">
        <v>0</v>
      </c>
      <c r="MC30" s="191">
        <v>0</v>
      </c>
      <c r="MD30" s="191">
        <v>0</v>
      </c>
      <c r="ME30" s="191">
        <v>0</v>
      </c>
      <c r="MF30" s="191">
        <v>0</v>
      </c>
      <c r="MG30" s="191">
        <v>0</v>
      </c>
      <c r="MH30" s="191">
        <v>0</v>
      </c>
      <c r="MI30" s="191">
        <v>0</v>
      </c>
      <c r="MJ30" s="191">
        <v>0</v>
      </c>
      <c r="MK30" s="191">
        <v>0</v>
      </c>
      <c r="ML30" s="191">
        <v>0</v>
      </c>
      <c r="MM30" s="191">
        <v>0</v>
      </c>
      <c r="MN30" s="191">
        <v>0</v>
      </c>
      <c r="MO30" s="191">
        <v>0</v>
      </c>
      <c r="MP30" s="191">
        <v>0</v>
      </c>
      <c r="MQ30" s="191">
        <v>0</v>
      </c>
      <c r="MR30" s="191">
        <v>0</v>
      </c>
      <c r="MS30" s="191">
        <v>0</v>
      </c>
      <c r="MT30" s="191">
        <v>0</v>
      </c>
      <c r="MU30" s="191">
        <v>0</v>
      </c>
      <c r="MV30" s="191">
        <v>0</v>
      </c>
      <c r="MW30" s="191">
        <v>0</v>
      </c>
      <c r="MX30" s="191">
        <v>0</v>
      </c>
      <c r="MY30" s="191">
        <v>0</v>
      </c>
      <c r="MZ30" s="191">
        <v>0</v>
      </c>
      <c r="NA30" s="191">
        <v>0</v>
      </c>
      <c r="NB30" s="191">
        <v>0</v>
      </c>
      <c r="NC30" s="191">
        <v>0</v>
      </c>
      <c r="ND30" s="191">
        <v>0</v>
      </c>
      <c r="NE30" s="191">
        <v>0</v>
      </c>
      <c r="NF30" s="191">
        <v>0</v>
      </c>
      <c r="NG30" s="191">
        <v>0</v>
      </c>
      <c r="NH30" s="191">
        <v>0</v>
      </c>
      <c r="NI30" s="191">
        <v>0</v>
      </c>
      <c r="NJ30" s="191">
        <v>0</v>
      </c>
      <c r="NK30" s="191">
        <v>0</v>
      </c>
      <c r="NL30" s="191">
        <v>0</v>
      </c>
      <c r="NM30" s="191">
        <v>0</v>
      </c>
      <c r="NN30" s="191">
        <v>0</v>
      </c>
      <c r="NO30" s="191">
        <v>0</v>
      </c>
      <c r="NP30" s="191">
        <v>0</v>
      </c>
      <c r="NQ30" s="191">
        <v>0</v>
      </c>
      <c r="NR30" s="191">
        <v>0</v>
      </c>
      <c r="NW30" s="188"/>
      <c r="NX30" s="188"/>
    </row>
    <row r="31" spans="1:389" x14ac:dyDescent="0.4">
      <c r="A31" t="s">
        <v>191</v>
      </c>
      <c r="C31" s="191">
        <v>0</v>
      </c>
      <c r="D31" s="191">
        <v>0</v>
      </c>
      <c r="E31" s="191">
        <v>0</v>
      </c>
      <c r="F31" s="191">
        <v>0</v>
      </c>
      <c r="G31" s="191">
        <v>0</v>
      </c>
      <c r="H31" s="191">
        <v>0</v>
      </c>
      <c r="I31" s="191">
        <v>0</v>
      </c>
      <c r="J31" s="191">
        <v>0</v>
      </c>
      <c r="K31" s="191">
        <v>0</v>
      </c>
      <c r="L31" s="191">
        <v>0</v>
      </c>
      <c r="M31" s="191">
        <v>0</v>
      </c>
      <c r="N31" s="191">
        <v>0</v>
      </c>
      <c r="O31" s="191">
        <v>0</v>
      </c>
      <c r="P31" s="191">
        <v>0</v>
      </c>
      <c r="Q31" s="191">
        <v>0</v>
      </c>
      <c r="R31" s="191">
        <v>0</v>
      </c>
      <c r="S31" s="191">
        <v>0</v>
      </c>
      <c r="T31" s="191">
        <v>0</v>
      </c>
      <c r="U31" s="191">
        <v>0</v>
      </c>
      <c r="V31" s="191">
        <v>0</v>
      </c>
      <c r="W31" s="191">
        <v>0</v>
      </c>
      <c r="X31" s="191">
        <v>0</v>
      </c>
      <c r="Y31" s="191">
        <v>0</v>
      </c>
      <c r="Z31" s="191">
        <v>0</v>
      </c>
      <c r="AA31" s="191">
        <v>0</v>
      </c>
      <c r="AB31" s="191">
        <v>0</v>
      </c>
      <c r="AC31" s="191">
        <v>0</v>
      </c>
      <c r="AD31" s="191">
        <v>0</v>
      </c>
      <c r="AE31" s="191">
        <v>0</v>
      </c>
      <c r="AF31" s="191">
        <v>0</v>
      </c>
      <c r="AG31" s="191">
        <v>0</v>
      </c>
      <c r="AH31" s="191">
        <v>0</v>
      </c>
      <c r="AI31" s="191">
        <v>0</v>
      </c>
      <c r="AJ31" s="191">
        <v>0</v>
      </c>
      <c r="AK31" s="191">
        <v>0</v>
      </c>
      <c r="AL31" s="191">
        <v>0</v>
      </c>
      <c r="AM31" s="191">
        <v>0</v>
      </c>
      <c r="AN31" s="191">
        <v>0</v>
      </c>
      <c r="AO31" s="191">
        <v>0</v>
      </c>
      <c r="AP31" s="191">
        <v>0</v>
      </c>
      <c r="AQ31" s="191">
        <v>0</v>
      </c>
      <c r="AR31" s="191">
        <v>0</v>
      </c>
      <c r="AS31" s="191">
        <v>0</v>
      </c>
      <c r="AT31" s="191">
        <v>0</v>
      </c>
      <c r="AU31" s="191">
        <v>0</v>
      </c>
      <c r="AV31" s="191">
        <v>0</v>
      </c>
      <c r="AW31" s="191">
        <v>0</v>
      </c>
      <c r="AX31" s="191">
        <v>0</v>
      </c>
      <c r="AY31" s="191">
        <v>0</v>
      </c>
      <c r="AZ31" s="191">
        <v>0</v>
      </c>
      <c r="BA31" s="191">
        <v>0</v>
      </c>
      <c r="BB31" s="191">
        <v>0</v>
      </c>
      <c r="BC31" s="191">
        <v>0</v>
      </c>
      <c r="BD31" s="191">
        <v>0</v>
      </c>
      <c r="BE31" s="191">
        <v>0</v>
      </c>
      <c r="BF31" s="191">
        <v>0</v>
      </c>
      <c r="BG31" s="191">
        <v>0</v>
      </c>
      <c r="BH31" s="191">
        <v>0</v>
      </c>
      <c r="BI31" s="191">
        <v>0</v>
      </c>
      <c r="BJ31" s="191">
        <v>0</v>
      </c>
      <c r="BK31" s="191">
        <v>0</v>
      </c>
      <c r="BL31" s="191">
        <v>0</v>
      </c>
      <c r="BM31" s="191">
        <v>0</v>
      </c>
      <c r="BN31" s="191">
        <v>0</v>
      </c>
      <c r="BO31" s="191">
        <v>0</v>
      </c>
      <c r="BP31" s="191">
        <v>0</v>
      </c>
      <c r="BQ31" s="191">
        <v>0</v>
      </c>
      <c r="BR31" s="191">
        <v>0</v>
      </c>
      <c r="BS31" s="191">
        <v>0</v>
      </c>
      <c r="BT31" s="191">
        <v>0</v>
      </c>
      <c r="BU31" s="191">
        <v>0</v>
      </c>
      <c r="BV31" s="191">
        <v>0</v>
      </c>
      <c r="BW31" s="191">
        <v>0</v>
      </c>
      <c r="BX31" s="191">
        <v>0</v>
      </c>
      <c r="BY31" s="191">
        <v>0</v>
      </c>
      <c r="BZ31" s="191">
        <v>0</v>
      </c>
      <c r="CA31" s="191">
        <v>0</v>
      </c>
      <c r="CB31" s="191">
        <v>0</v>
      </c>
      <c r="CC31" s="191">
        <v>0</v>
      </c>
      <c r="CD31" s="191">
        <v>0</v>
      </c>
      <c r="CE31" s="191">
        <v>0</v>
      </c>
      <c r="CF31" s="191">
        <v>0</v>
      </c>
      <c r="CG31" s="191">
        <v>0</v>
      </c>
      <c r="CH31" s="191">
        <v>0</v>
      </c>
      <c r="CI31" s="191">
        <v>0</v>
      </c>
      <c r="CJ31" s="191">
        <v>0</v>
      </c>
      <c r="CK31" s="191">
        <v>0</v>
      </c>
      <c r="CL31" s="191">
        <v>0</v>
      </c>
      <c r="CM31" s="191">
        <v>0</v>
      </c>
      <c r="CN31" s="191">
        <v>0</v>
      </c>
      <c r="CO31" s="191">
        <v>0</v>
      </c>
      <c r="CP31" s="191">
        <v>0</v>
      </c>
      <c r="CQ31" s="191">
        <v>0</v>
      </c>
      <c r="CR31" s="191">
        <v>0</v>
      </c>
      <c r="CS31" s="191">
        <v>0</v>
      </c>
      <c r="CT31" s="191">
        <v>0</v>
      </c>
      <c r="CU31" s="191">
        <v>0</v>
      </c>
      <c r="CV31" s="191">
        <v>0</v>
      </c>
      <c r="CW31" s="191">
        <v>0</v>
      </c>
      <c r="CX31" s="191">
        <v>0</v>
      </c>
      <c r="CY31" s="191">
        <v>0</v>
      </c>
      <c r="CZ31" s="191">
        <v>0</v>
      </c>
      <c r="DA31" s="191">
        <v>0</v>
      </c>
      <c r="DB31" s="191">
        <v>0</v>
      </c>
      <c r="DC31" s="191">
        <v>0</v>
      </c>
      <c r="DD31" s="191">
        <v>0</v>
      </c>
      <c r="DE31" s="191">
        <v>0</v>
      </c>
      <c r="DF31" s="191">
        <v>0</v>
      </c>
      <c r="DG31" s="191">
        <v>0</v>
      </c>
      <c r="DH31" s="191">
        <v>0</v>
      </c>
      <c r="DI31" s="191">
        <v>0</v>
      </c>
      <c r="DJ31" s="191">
        <v>0</v>
      </c>
      <c r="DK31" s="191">
        <v>0</v>
      </c>
      <c r="DL31" s="191">
        <v>0</v>
      </c>
      <c r="DM31" s="191">
        <v>0</v>
      </c>
      <c r="DN31" s="191">
        <v>0</v>
      </c>
      <c r="DO31" s="191">
        <v>0</v>
      </c>
      <c r="DP31" s="191">
        <v>0</v>
      </c>
      <c r="DQ31" s="191">
        <v>0</v>
      </c>
      <c r="DR31" s="191">
        <v>0</v>
      </c>
      <c r="DS31" s="191">
        <v>0</v>
      </c>
      <c r="DT31" s="191">
        <v>0</v>
      </c>
      <c r="DU31" s="191">
        <v>0</v>
      </c>
      <c r="DV31" s="191">
        <v>0</v>
      </c>
      <c r="DW31" s="191">
        <v>0</v>
      </c>
      <c r="DX31" s="191">
        <v>0</v>
      </c>
      <c r="DY31" s="191">
        <v>0</v>
      </c>
      <c r="DZ31" s="191">
        <v>0</v>
      </c>
      <c r="EA31" s="191">
        <v>0</v>
      </c>
      <c r="EB31" s="191">
        <v>0</v>
      </c>
      <c r="EC31" s="191">
        <v>0</v>
      </c>
      <c r="ED31" s="191">
        <v>0</v>
      </c>
      <c r="EE31" s="191">
        <v>0</v>
      </c>
      <c r="EF31" s="191">
        <v>0</v>
      </c>
      <c r="EG31" s="191">
        <v>0</v>
      </c>
      <c r="EH31" s="191">
        <v>0</v>
      </c>
      <c r="EI31" s="191">
        <v>0</v>
      </c>
      <c r="EJ31" s="191">
        <v>0</v>
      </c>
      <c r="EK31" s="191">
        <v>0</v>
      </c>
      <c r="EL31" s="191">
        <v>0</v>
      </c>
      <c r="EM31" s="191">
        <v>0</v>
      </c>
      <c r="EN31" s="191">
        <v>0</v>
      </c>
      <c r="EO31" s="191">
        <v>0</v>
      </c>
      <c r="EP31" s="191">
        <v>0</v>
      </c>
      <c r="EQ31" s="191">
        <v>0</v>
      </c>
      <c r="ER31" s="191">
        <v>0</v>
      </c>
      <c r="ES31" s="191">
        <v>0</v>
      </c>
      <c r="ET31" s="191">
        <v>0</v>
      </c>
      <c r="EU31" s="191">
        <v>0</v>
      </c>
      <c r="EV31" s="191">
        <v>0</v>
      </c>
      <c r="EW31" s="191">
        <v>0</v>
      </c>
      <c r="EX31" s="191">
        <v>0</v>
      </c>
      <c r="EY31" s="191">
        <v>0</v>
      </c>
      <c r="EZ31" s="191">
        <v>0</v>
      </c>
      <c r="FA31" s="191">
        <v>0</v>
      </c>
      <c r="FB31" s="191">
        <v>0</v>
      </c>
      <c r="FC31" s="191">
        <v>0</v>
      </c>
      <c r="FD31" s="191">
        <v>0</v>
      </c>
      <c r="FE31" s="191">
        <v>0</v>
      </c>
      <c r="FF31" s="191">
        <v>0</v>
      </c>
      <c r="FG31" s="191">
        <v>0</v>
      </c>
      <c r="FH31" s="191">
        <v>0</v>
      </c>
      <c r="FI31" s="191">
        <v>0</v>
      </c>
      <c r="FJ31" s="191">
        <v>0</v>
      </c>
      <c r="FK31" s="191">
        <v>0</v>
      </c>
      <c r="FL31" s="191">
        <v>0</v>
      </c>
      <c r="FM31" s="191">
        <v>0</v>
      </c>
      <c r="FN31" s="191">
        <v>0</v>
      </c>
      <c r="FO31" s="191">
        <v>0</v>
      </c>
      <c r="FP31" s="191">
        <v>0</v>
      </c>
      <c r="FQ31" s="191">
        <v>0</v>
      </c>
      <c r="FR31" s="191">
        <v>0</v>
      </c>
      <c r="FS31" s="191">
        <v>0</v>
      </c>
      <c r="FT31" s="191">
        <v>0</v>
      </c>
      <c r="FU31" s="191">
        <v>0</v>
      </c>
      <c r="FV31" s="191">
        <v>0</v>
      </c>
      <c r="FW31" s="191">
        <v>0</v>
      </c>
      <c r="FX31" s="191">
        <v>0</v>
      </c>
      <c r="FY31" s="191">
        <v>0</v>
      </c>
      <c r="FZ31" s="191">
        <v>0</v>
      </c>
      <c r="GA31" s="191">
        <v>0</v>
      </c>
      <c r="GB31" s="191">
        <v>0</v>
      </c>
      <c r="GC31" s="191">
        <v>0</v>
      </c>
      <c r="GD31" s="191">
        <v>0</v>
      </c>
      <c r="GE31" s="191">
        <v>0</v>
      </c>
      <c r="GF31" s="191">
        <v>0</v>
      </c>
      <c r="GG31" s="191">
        <v>0</v>
      </c>
      <c r="GH31" s="191">
        <v>0</v>
      </c>
      <c r="GI31" s="191">
        <v>0</v>
      </c>
      <c r="GJ31" s="191">
        <v>0</v>
      </c>
      <c r="GK31" s="191">
        <v>0</v>
      </c>
      <c r="GL31" s="191">
        <v>0</v>
      </c>
      <c r="GM31" s="191">
        <v>0</v>
      </c>
      <c r="GN31" s="191">
        <v>0</v>
      </c>
      <c r="GO31" s="191">
        <v>0</v>
      </c>
      <c r="GP31" s="191">
        <v>0</v>
      </c>
      <c r="GQ31" s="191">
        <v>0</v>
      </c>
      <c r="GR31" s="191">
        <v>0</v>
      </c>
      <c r="GS31" s="191">
        <v>0</v>
      </c>
      <c r="GT31" s="191">
        <v>0</v>
      </c>
      <c r="GU31" s="191">
        <v>0</v>
      </c>
      <c r="GV31" s="191">
        <v>0</v>
      </c>
      <c r="GW31" s="191">
        <v>0</v>
      </c>
      <c r="GX31" s="191">
        <v>0</v>
      </c>
      <c r="GY31" s="191">
        <v>0</v>
      </c>
      <c r="GZ31" s="191">
        <v>0</v>
      </c>
      <c r="HA31" s="191">
        <v>0</v>
      </c>
      <c r="HB31" s="191">
        <v>0</v>
      </c>
      <c r="HC31" s="191">
        <v>0</v>
      </c>
      <c r="HD31" s="191">
        <v>0</v>
      </c>
      <c r="HE31" s="191">
        <v>0</v>
      </c>
      <c r="HF31" s="191">
        <v>0</v>
      </c>
      <c r="HG31" s="191">
        <v>0</v>
      </c>
      <c r="HH31" s="191">
        <v>0</v>
      </c>
      <c r="HI31" s="191">
        <v>0</v>
      </c>
      <c r="HJ31" s="191">
        <v>0</v>
      </c>
      <c r="HK31" s="191">
        <v>0</v>
      </c>
      <c r="HL31" s="191">
        <v>0</v>
      </c>
      <c r="HM31" s="191">
        <v>0</v>
      </c>
      <c r="HN31" s="191">
        <v>0</v>
      </c>
      <c r="HO31" s="191">
        <v>0</v>
      </c>
      <c r="HP31" s="191">
        <v>0</v>
      </c>
      <c r="HQ31" s="191">
        <v>0</v>
      </c>
      <c r="HR31" s="191">
        <v>0</v>
      </c>
      <c r="HS31" s="191">
        <v>0</v>
      </c>
      <c r="HT31" s="191">
        <v>0</v>
      </c>
      <c r="HU31" s="191">
        <v>0</v>
      </c>
      <c r="HV31" s="191">
        <v>0</v>
      </c>
      <c r="HW31" s="191">
        <v>0</v>
      </c>
      <c r="HX31" s="191">
        <v>0</v>
      </c>
      <c r="HY31" s="191">
        <v>0</v>
      </c>
      <c r="HZ31" s="191">
        <v>0</v>
      </c>
      <c r="IA31" s="191">
        <v>0</v>
      </c>
      <c r="IB31" s="191">
        <v>0</v>
      </c>
      <c r="IC31" s="191">
        <v>0</v>
      </c>
      <c r="ID31" s="191">
        <v>0</v>
      </c>
      <c r="IE31" s="191">
        <v>0</v>
      </c>
      <c r="IF31" s="191">
        <v>0</v>
      </c>
      <c r="IG31" s="191">
        <v>0</v>
      </c>
      <c r="IH31" s="191">
        <v>0</v>
      </c>
      <c r="II31" s="191">
        <v>0</v>
      </c>
      <c r="IJ31" s="191">
        <v>0</v>
      </c>
      <c r="IK31" s="191">
        <v>0</v>
      </c>
      <c r="IL31" s="191">
        <v>0</v>
      </c>
      <c r="IM31" s="191">
        <v>0</v>
      </c>
      <c r="IN31" s="191">
        <v>0</v>
      </c>
      <c r="IO31" s="191">
        <v>0</v>
      </c>
      <c r="IP31" s="191">
        <v>0</v>
      </c>
      <c r="IQ31" s="191">
        <v>0</v>
      </c>
      <c r="IR31" s="191">
        <v>0</v>
      </c>
      <c r="IS31" s="191">
        <v>0</v>
      </c>
      <c r="IT31" s="191">
        <v>0</v>
      </c>
      <c r="IU31" s="191">
        <v>0</v>
      </c>
      <c r="IV31" s="191">
        <v>0</v>
      </c>
      <c r="IW31" s="191">
        <v>0</v>
      </c>
      <c r="IX31" s="191">
        <v>0</v>
      </c>
      <c r="IY31" s="191">
        <v>0</v>
      </c>
      <c r="IZ31" s="191">
        <v>0</v>
      </c>
      <c r="JA31" s="191">
        <v>0</v>
      </c>
      <c r="JB31" s="191">
        <v>0</v>
      </c>
      <c r="JC31" s="191">
        <v>0</v>
      </c>
      <c r="JD31" s="191">
        <v>0</v>
      </c>
      <c r="JE31" s="191">
        <v>0</v>
      </c>
      <c r="JF31" s="191">
        <v>0</v>
      </c>
      <c r="JG31" s="191">
        <v>0</v>
      </c>
      <c r="JH31" s="191">
        <v>0</v>
      </c>
      <c r="JI31" s="191">
        <v>0</v>
      </c>
      <c r="JJ31" s="191">
        <v>0</v>
      </c>
      <c r="JK31" s="191">
        <v>0</v>
      </c>
      <c r="JL31" s="191">
        <v>0</v>
      </c>
      <c r="JM31" s="191">
        <v>0</v>
      </c>
      <c r="JN31" s="191">
        <v>0</v>
      </c>
      <c r="JO31" s="191">
        <v>0</v>
      </c>
      <c r="JP31" s="191">
        <v>0</v>
      </c>
      <c r="JQ31" s="191">
        <v>0</v>
      </c>
      <c r="JR31" s="191">
        <v>0</v>
      </c>
      <c r="JS31" s="191">
        <v>0</v>
      </c>
      <c r="JT31" s="191">
        <v>0</v>
      </c>
      <c r="JU31" s="191">
        <v>0</v>
      </c>
      <c r="JV31" s="191">
        <v>0</v>
      </c>
      <c r="JW31" s="191">
        <v>0</v>
      </c>
      <c r="JX31" s="191">
        <v>0</v>
      </c>
      <c r="JY31" s="191">
        <v>0</v>
      </c>
      <c r="JZ31" s="191">
        <v>0</v>
      </c>
      <c r="KA31" s="191">
        <v>0</v>
      </c>
      <c r="KB31" s="191">
        <v>0</v>
      </c>
      <c r="KC31" s="191">
        <v>0</v>
      </c>
      <c r="KD31" s="191">
        <v>0</v>
      </c>
      <c r="KE31" s="191">
        <v>0</v>
      </c>
      <c r="KF31" s="191">
        <v>0</v>
      </c>
      <c r="KG31" s="191">
        <v>0</v>
      </c>
      <c r="KH31" s="191">
        <v>0</v>
      </c>
      <c r="KI31" s="191">
        <v>0</v>
      </c>
      <c r="KJ31" s="191">
        <v>0</v>
      </c>
      <c r="KK31" s="191">
        <v>0</v>
      </c>
      <c r="KL31" s="191">
        <v>0</v>
      </c>
      <c r="KM31" s="191">
        <v>0</v>
      </c>
      <c r="KN31" s="191">
        <v>0</v>
      </c>
      <c r="KO31" s="191">
        <v>0</v>
      </c>
      <c r="KP31" s="191">
        <v>0</v>
      </c>
      <c r="KQ31" s="191">
        <v>0</v>
      </c>
      <c r="KR31" s="191">
        <v>0</v>
      </c>
      <c r="KS31" s="191">
        <v>0</v>
      </c>
      <c r="KT31" s="191">
        <v>0</v>
      </c>
      <c r="KU31" s="191">
        <v>0</v>
      </c>
      <c r="KV31" s="191">
        <v>0</v>
      </c>
      <c r="KW31" s="191">
        <v>0</v>
      </c>
      <c r="KX31" s="191">
        <v>0</v>
      </c>
      <c r="KY31" s="191">
        <v>0</v>
      </c>
      <c r="KZ31" s="191">
        <v>0</v>
      </c>
      <c r="LA31" s="191">
        <v>0</v>
      </c>
      <c r="LB31" s="191">
        <v>0</v>
      </c>
      <c r="LC31" s="191">
        <v>0</v>
      </c>
      <c r="LD31" s="191">
        <v>0</v>
      </c>
      <c r="LE31" s="191">
        <v>0</v>
      </c>
      <c r="LF31" s="191">
        <v>0</v>
      </c>
      <c r="LG31" s="191">
        <v>0</v>
      </c>
      <c r="LH31" s="191">
        <v>0</v>
      </c>
      <c r="LI31" s="191">
        <v>0</v>
      </c>
      <c r="LJ31" s="191">
        <v>0</v>
      </c>
      <c r="LK31" s="191">
        <v>0</v>
      </c>
      <c r="LL31" s="191">
        <v>0</v>
      </c>
      <c r="LM31" s="191">
        <v>0</v>
      </c>
      <c r="LN31" s="191">
        <v>0</v>
      </c>
      <c r="LO31" s="191">
        <v>0</v>
      </c>
      <c r="LP31" s="191">
        <v>0</v>
      </c>
      <c r="LQ31" s="191">
        <v>0</v>
      </c>
      <c r="LR31" s="191">
        <v>0</v>
      </c>
      <c r="LS31" s="191">
        <v>0</v>
      </c>
      <c r="LT31" s="191">
        <v>0</v>
      </c>
      <c r="LU31" s="191">
        <v>0</v>
      </c>
      <c r="LV31" s="191">
        <v>0</v>
      </c>
      <c r="LW31" s="191">
        <v>0</v>
      </c>
      <c r="LX31" s="191">
        <v>0</v>
      </c>
      <c r="LY31" s="191">
        <v>0</v>
      </c>
      <c r="LZ31" s="191">
        <v>0</v>
      </c>
      <c r="MA31" s="191">
        <v>0</v>
      </c>
      <c r="MB31" s="191">
        <v>0</v>
      </c>
      <c r="MC31" s="191">
        <v>0</v>
      </c>
      <c r="MD31" s="191">
        <v>0</v>
      </c>
      <c r="ME31" s="191">
        <v>0</v>
      </c>
      <c r="MF31" s="191">
        <v>0</v>
      </c>
      <c r="MG31" s="191">
        <v>0</v>
      </c>
      <c r="MH31" s="191">
        <v>0</v>
      </c>
      <c r="MI31" s="191">
        <v>0</v>
      </c>
      <c r="MJ31" s="191">
        <v>0</v>
      </c>
      <c r="MK31" s="191">
        <v>0</v>
      </c>
      <c r="ML31" s="191">
        <v>0</v>
      </c>
      <c r="MM31" s="191">
        <v>0</v>
      </c>
      <c r="MN31" s="191">
        <v>0</v>
      </c>
      <c r="MO31" s="191">
        <v>0</v>
      </c>
      <c r="MP31" s="191">
        <v>0</v>
      </c>
      <c r="MQ31" s="191">
        <v>0</v>
      </c>
      <c r="MR31" s="191">
        <v>0</v>
      </c>
      <c r="MS31" s="191">
        <v>0</v>
      </c>
      <c r="MT31" s="191">
        <v>0</v>
      </c>
      <c r="MU31" s="191">
        <v>0</v>
      </c>
      <c r="MV31" s="191">
        <v>0</v>
      </c>
      <c r="MW31" s="191">
        <v>0</v>
      </c>
      <c r="MX31" s="191">
        <v>0</v>
      </c>
      <c r="MY31" s="191">
        <v>0</v>
      </c>
      <c r="MZ31" s="191">
        <v>0</v>
      </c>
      <c r="NA31" s="191">
        <v>0</v>
      </c>
      <c r="NB31" s="191">
        <v>0</v>
      </c>
      <c r="NC31" s="191">
        <v>0</v>
      </c>
      <c r="ND31" s="191">
        <v>0</v>
      </c>
      <c r="NE31" s="191">
        <v>0</v>
      </c>
      <c r="NF31" s="191">
        <v>0</v>
      </c>
      <c r="NG31" s="191">
        <v>0</v>
      </c>
      <c r="NH31" s="191">
        <v>0</v>
      </c>
      <c r="NI31" s="191">
        <v>0</v>
      </c>
      <c r="NJ31" s="191">
        <v>0</v>
      </c>
      <c r="NK31" s="191">
        <v>0</v>
      </c>
      <c r="NL31" s="191">
        <v>0</v>
      </c>
      <c r="NM31" s="191">
        <v>0</v>
      </c>
      <c r="NN31" s="191">
        <v>0</v>
      </c>
      <c r="NO31" s="191">
        <v>0</v>
      </c>
      <c r="NP31" s="191">
        <v>0</v>
      </c>
      <c r="NQ31" s="191">
        <v>0</v>
      </c>
      <c r="NR31" s="191">
        <v>0</v>
      </c>
      <c r="NW31" s="188"/>
      <c r="NX31" s="188"/>
    </row>
    <row r="32" spans="1:389" x14ac:dyDescent="0.4">
      <c r="A32" s="101" t="s">
        <v>192</v>
      </c>
      <c r="C32" s="184">
        <v>26.48</v>
      </c>
      <c r="D32" s="184">
        <v>26.48</v>
      </c>
      <c r="E32" s="184">
        <v>26.48</v>
      </c>
      <c r="F32" s="184">
        <v>26.48</v>
      </c>
      <c r="G32" s="184">
        <v>26.48</v>
      </c>
      <c r="H32" s="184">
        <v>27.11</v>
      </c>
      <c r="I32" s="184">
        <v>27.11</v>
      </c>
      <c r="J32" s="184">
        <v>27.11</v>
      </c>
      <c r="K32" s="184">
        <v>27.11</v>
      </c>
      <c r="L32" s="184">
        <v>27.11</v>
      </c>
      <c r="M32" s="184">
        <v>27.11</v>
      </c>
      <c r="N32" s="184">
        <v>27.11</v>
      </c>
      <c r="O32" s="184">
        <v>25.69</v>
      </c>
      <c r="P32" s="184">
        <v>25.69</v>
      </c>
      <c r="Q32" s="184">
        <v>25.69</v>
      </c>
      <c r="R32" s="184">
        <v>25.69</v>
      </c>
      <c r="S32" s="184">
        <v>25.69</v>
      </c>
      <c r="T32" s="184">
        <v>35.5</v>
      </c>
      <c r="U32" s="184">
        <v>35.5</v>
      </c>
      <c r="V32" s="184">
        <v>35.5</v>
      </c>
      <c r="W32" s="184">
        <v>35.5</v>
      </c>
      <c r="X32" s="184">
        <v>35.5</v>
      </c>
      <c r="Y32" s="184">
        <v>35.5</v>
      </c>
      <c r="Z32" s="184">
        <v>35.5</v>
      </c>
      <c r="AA32" s="184">
        <v>33.64</v>
      </c>
      <c r="AB32" s="184">
        <v>33.64</v>
      </c>
      <c r="AC32" s="184">
        <v>33.64</v>
      </c>
      <c r="AD32" s="184">
        <v>33.64</v>
      </c>
      <c r="AE32" s="184">
        <v>33.64</v>
      </c>
      <c r="AF32" s="184">
        <v>49.78</v>
      </c>
      <c r="AG32" s="184">
        <v>49.78</v>
      </c>
      <c r="AH32" s="184">
        <v>49.78</v>
      </c>
      <c r="AI32" s="184">
        <v>49.78</v>
      </c>
      <c r="AJ32" s="184">
        <v>49.78</v>
      </c>
      <c r="AK32" s="184">
        <v>49.78</v>
      </c>
      <c r="AL32" s="184">
        <v>49.78</v>
      </c>
      <c r="AM32" s="184">
        <v>47.17</v>
      </c>
      <c r="AN32" s="184">
        <v>47.17</v>
      </c>
      <c r="AO32" s="184">
        <v>47.17</v>
      </c>
      <c r="AP32" s="184">
        <v>47.17</v>
      </c>
      <c r="AQ32" s="184">
        <v>47.17</v>
      </c>
      <c r="AR32" s="184">
        <v>54.14</v>
      </c>
      <c r="AS32" s="184">
        <v>54.14</v>
      </c>
      <c r="AT32" s="184">
        <v>54.14</v>
      </c>
      <c r="AU32" s="184">
        <v>54.14</v>
      </c>
      <c r="AV32" s="184">
        <v>54.14</v>
      </c>
      <c r="AW32" s="184">
        <v>54.14</v>
      </c>
      <c r="AX32" s="184">
        <v>54.14</v>
      </c>
      <c r="AY32" s="184">
        <v>51.3</v>
      </c>
      <c r="AZ32" s="184">
        <v>51.3</v>
      </c>
      <c r="BA32" s="184">
        <v>51.3</v>
      </c>
      <c r="BB32" s="184">
        <v>51.3</v>
      </c>
      <c r="BC32" s="184">
        <v>51.3</v>
      </c>
      <c r="BD32" s="184">
        <v>53.3</v>
      </c>
      <c r="BE32" s="184">
        <v>53.3</v>
      </c>
      <c r="BF32" s="184">
        <v>53.3</v>
      </c>
      <c r="BG32" s="184">
        <v>53.3</v>
      </c>
      <c r="BH32" s="184">
        <v>53.3</v>
      </c>
      <c r="BI32" s="184">
        <v>53.3</v>
      </c>
      <c r="BJ32" s="184">
        <v>53.3</v>
      </c>
      <c r="BK32" s="184">
        <v>50.5</v>
      </c>
      <c r="BL32" s="184">
        <v>50.5</v>
      </c>
      <c r="BM32" s="184">
        <v>50.5</v>
      </c>
      <c r="BN32" s="184">
        <v>50.5</v>
      </c>
      <c r="BO32" s="184">
        <v>50.5</v>
      </c>
      <c r="BP32" s="184">
        <v>52.79</v>
      </c>
      <c r="BQ32" s="184">
        <v>52.79</v>
      </c>
      <c r="BR32" s="184">
        <v>52.79</v>
      </c>
      <c r="BS32" s="184">
        <v>52.79</v>
      </c>
      <c r="BT32" s="184">
        <v>52.79</v>
      </c>
      <c r="BU32" s="184">
        <v>52.79</v>
      </c>
      <c r="BV32" s="184">
        <v>52.79</v>
      </c>
      <c r="BW32" s="184">
        <v>50.02</v>
      </c>
      <c r="BX32" s="184">
        <v>50.02</v>
      </c>
      <c r="BY32" s="184">
        <v>50.02</v>
      </c>
      <c r="BZ32" s="184">
        <v>50.02</v>
      </c>
      <c r="CA32" s="184">
        <v>50.02</v>
      </c>
      <c r="CB32" s="184">
        <v>54.15</v>
      </c>
      <c r="CC32" s="184">
        <v>54.15</v>
      </c>
      <c r="CD32" s="184">
        <v>54.15</v>
      </c>
      <c r="CE32" s="184">
        <v>54.15</v>
      </c>
      <c r="CF32" s="184">
        <v>54.15</v>
      </c>
      <c r="CG32" s="184">
        <v>54.15</v>
      </c>
      <c r="CH32" s="184">
        <v>54.15</v>
      </c>
      <c r="CI32" s="184">
        <v>51.31</v>
      </c>
      <c r="CJ32" s="184">
        <v>51.31</v>
      </c>
      <c r="CK32" s="184">
        <v>51.31</v>
      </c>
      <c r="CL32" s="184">
        <v>51.31</v>
      </c>
      <c r="CM32" s="184">
        <v>51.31</v>
      </c>
      <c r="CN32" s="184">
        <v>53.02</v>
      </c>
      <c r="CO32" s="184">
        <v>53.02</v>
      </c>
      <c r="CP32" s="184">
        <v>53.02</v>
      </c>
      <c r="CQ32" s="184">
        <v>53.02</v>
      </c>
      <c r="CR32" s="184">
        <v>53.02</v>
      </c>
      <c r="CS32" s="184">
        <v>53.02</v>
      </c>
      <c r="CT32" s="184">
        <v>53.02</v>
      </c>
      <c r="CU32" s="184">
        <v>50.23</v>
      </c>
      <c r="CV32" s="184">
        <v>50.23</v>
      </c>
      <c r="CW32" s="184">
        <v>50.23</v>
      </c>
      <c r="CX32" s="184">
        <v>50.23</v>
      </c>
      <c r="CY32" s="184">
        <v>50.23</v>
      </c>
      <c r="CZ32" s="184">
        <v>52.51</v>
      </c>
      <c r="DA32" s="184">
        <v>52.51</v>
      </c>
      <c r="DB32" s="184">
        <v>52.51</v>
      </c>
      <c r="DC32" s="184">
        <v>52.51</v>
      </c>
      <c r="DD32" s="184">
        <v>52.51</v>
      </c>
      <c r="DE32" s="184">
        <v>52.51</v>
      </c>
      <c r="DF32" s="184">
        <v>52.51</v>
      </c>
      <c r="DG32" s="184">
        <v>49.75</v>
      </c>
      <c r="DH32" s="184">
        <v>49.75</v>
      </c>
      <c r="DI32" s="184">
        <v>49.75</v>
      </c>
      <c r="DJ32" s="184">
        <v>49.75</v>
      </c>
      <c r="DK32" s="184">
        <v>49.75</v>
      </c>
      <c r="DL32" s="184">
        <v>54.69</v>
      </c>
      <c r="DM32" s="184">
        <v>54.69</v>
      </c>
      <c r="DN32" s="184">
        <v>54.69</v>
      </c>
      <c r="DO32" s="184">
        <v>54.69</v>
      </c>
      <c r="DP32" s="184">
        <v>54.69</v>
      </c>
      <c r="DQ32" s="184">
        <v>54.69</v>
      </c>
      <c r="DR32" s="184">
        <v>54.69</v>
      </c>
      <c r="DS32" s="184">
        <v>51.82</v>
      </c>
      <c r="DT32" s="184">
        <v>51.82</v>
      </c>
      <c r="DU32" s="184">
        <v>51.82</v>
      </c>
      <c r="DV32" s="184">
        <v>51.82</v>
      </c>
      <c r="DW32" s="184">
        <v>51.82</v>
      </c>
      <c r="DX32" s="184">
        <v>72.36</v>
      </c>
      <c r="DY32" s="184">
        <v>72.36</v>
      </c>
      <c r="DZ32" s="184">
        <v>72.36</v>
      </c>
      <c r="EA32" s="184">
        <v>72.36</v>
      </c>
      <c r="EB32" s="184">
        <v>72.36</v>
      </c>
      <c r="EC32" s="184">
        <v>72.36</v>
      </c>
      <c r="ED32" s="184">
        <v>72.36</v>
      </c>
      <c r="EE32" s="184">
        <v>68.56</v>
      </c>
      <c r="EF32" s="184">
        <v>68.56</v>
      </c>
      <c r="EG32" s="184">
        <v>68.56</v>
      </c>
      <c r="EH32" s="184">
        <v>68.56</v>
      </c>
      <c r="EI32" s="184">
        <v>68.56</v>
      </c>
      <c r="EJ32" s="184">
        <v>72.16</v>
      </c>
      <c r="EK32" s="184">
        <v>72.16</v>
      </c>
      <c r="EL32" s="184">
        <v>72.16</v>
      </c>
      <c r="EM32" s="184">
        <v>72.16</v>
      </c>
      <c r="EN32" s="184">
        <v>72.16</v>
      </c>
      <c r="EO32" s="184">
        <v>72.16</v>
      </c>
      <c r="EP32" s="184">
        <v>72.16</v>
      </c>
      <c r="EQ32" s="184">
        <v>68.36</v>
      </c>
      <c r="ER32" s="184">
        <v>68.36</v>
      </c>
      <c r="ES32" s="184">
        <v>68.36</v>
      </c>
      <c r="ET32" s="184">
        <v>68.36</v>
      </c>
      <c r="EU32" s="184">
        <v>68.36</v>
      </c>
      <c r="EV32" s="184">
        <v>71.510000000000005</v>
      </c>
      <c r="EW32" s="184">
        <v>71.510000000000005</v>
      </c>
      <c r="EX32" s="184">
        <v>71.510000000000005</v>
      </c>
      <c r="EY32" s="184">
        <v>71.510000000000005</v>
      </c>
      <c r="EZ32" s="184">
        <v>71.510000000000005</v>
      </c>
      <c r="FA32" s="184">
        <v>71.510000000000005</v>
      </c>
      <c r="FB32" s="184">
        <v>71.510000000000005</v>
      </c>
      <c r="FC32" s="184">
        <v>67.75</v>
      </c>
      <c r="FD32" s="184">
        <v>67.75</v>
      </c>
      <c r="FE32" s="184">
        <v>67.75</v>
      </c>
      <c r="FF32" s="184">
        <v>67.75</v>
      </c>
      <c r="FG32" s="184">
        <v>67.75</v>
      </c>
      <c r="FH32" s="184">
        <v>68.760000000000005</v>
      </c>
      <c r="FI32" s="184">
        <v>68.760000000000005</v>
      </c>
      <c r="FJ32" s="184">
        <v>68.760000000000005</v>
      </c>
      <c r="FK32" s="184">
        <v>68.760000000000005</v>
      </c>
      <c r="FL32" s="184">
        <v>68.760000000000005</v>
      </c>
      <c r="FM32" s="184">
        <v>68.760000000000005</v>
      </c>
      <c r="FN32" s="184">
        <v>68.760000000000005</v>
      </c>
      <c r="FO32" s="184">
        <v>65.14</v>
      </c>
      <c r="FP32" s="184">
        <v>65.14</v>
      </c>
      <c r="FQ32" s="184">
        <v>65.14</v>
      </c>
      <c r="FR32" s="184">
        <v>65.14</v>
      </c>
      <c r="FS32" s="184">
        <v>65.14</v>
      </c>
      <c r="FT32" s="184">
        <v>64.62</v>
      </c>
      <c r="FU32" s="184">
        <v>64.62</v>
      </c>
      <c r="FV32" s="184">
        <v>64.62</v>
      </c>
      <c r="FW32" s="184">
        <v>64.62</v>
      </c>
      <c r="FX32" s="184">
        <v>64.62</v>
      </c>
      <c r="FY32" s="184">
        <v>64.62</v>
      </c>
      <c r="FZ32" s="184">
        <v>64.62</v>
      </c>
      <c r="GA32" s="184">
        <v>61.22</v>
      </c>
      <c r="GB32" s="184">
        <v>61.22</v>
      </c>
      <c r="GC32" s="184">
        <v>61.22</v>
      </c>
      <c r="GD32" s="184">
        <v>61.22</v>
      </c>
      <c r="GE32" s="184">
        <v>61.22</v>
      </c>
      <c r="GF32" s="184">
        <v>59.27</v>
      </c>
      <c r="GG32" s="184">
        <v>59.27</v>
      </c>
      <c r="GH32" s="184">
        <v>59.27</v>
      </c>
      <c r="GI32" s="184">
        <v>59.27</v>
      </c>
      <c r="GJ32" s="184">
        <v>59.27</v>
      </c>
      <c r="GK32" s="184">
        <v>59.27</v>
      </c>
      <c r="GL32" s="184">
        <v>59.27</v>
      </c>
      <c r="GM32" s="184">
        <v>56.16</v>
      </c>
      <c r="GN32" s="184">
        <v>56.16</v>
      </c>
      <c r="GO32" s="184">
        <v>56.16</v>
      </c>
      <c r="GP32" s="184">
        <v>56.16</v>
      </c>
      <c r="GQ32" s="184">
        <v>56.16</v>
      </c>
      <c r="GR32" s="184">
        <v>49.43</v>
      </c>
      <c r="GS32" s="184">
        <v>49.43</v>
      </c>
      <c r="GT32" s="184">
        <v>49.43</v>
      </c>
      <c r="GU32" s="184">
        <v>49.43</v>
      </c>
      <c r="GV32" s="184">
        <v>49.43</v>
      </c>
      <c r="GW32" s="184">
        <v>49.43</v>
      </c>
      <c r="GX32" s="184">
        <v>49.43</v>
      </c>
      <c r="GY32" s="184">
        <v>46.84</v>
      </c>
      <c r="GZ32" s="184">
        <v>46.84</v>
      </c>
      <c r="HA32" s="184">
        <v>46.84</v>
      </c>
      <c r="HB32" s="184">
        <v>46.84</v>
      </c>
      <c r="HC32" s="184">
        <v>46.84</v>
      </c>
      <c r="HD32" s="184">
        <v>35.51</v>
      </c>
      <c r="HE32" s="184">
        <v>35.51</v>
      </c>
      <c r="HF32" s="184">
        <v>35.51</v>
      </c>
      <c r="HG32" s="184">
        <v>35.51</v>
      </c>
      <c r="HH32" s="184">
        <v>35.51</v>
      </c>
      <c r="HI32" s="184">
        <v>35.51</v>
      </c>
      <c r="HJ32" s="184">
        <v>35.51</v>
      </c>
      <c r="HK32" s="184">
        <v>33.65</v>
      </c>
      <c r="HL32" s="184">
        <v>33.65</v>
      </c>
      <c r="HM32" s="184">
        <v>33.65</v>
      </c>
      <c r="HN32" s="184">
        <v>33.65</v>
      </c>
      <c r="HO32" s="184">
        <v>33.65</v>
      </c>
      <c r="HP32" s="184">
        <v>18.52</v>
      </c>
      <c r="HQ32" s="184">
        <v>18.52</v>
      </c>
      <c r="HR32" s="184">
        <v>18.52</v>
      </c>
      <c r="HS32" s="184">
        <v>18.52</v>
      </c>
      <c r="HT32" s="184">
        <v>18.52</v>
      </c>
      <c r="HU32" s="184">
        <v>18.52</v>
      </c>
      <c r="HV32" s="184">
        <v>18.52</v>
      </c>
      <c r="HW32" s="184">
        <v>17.559999999999999</v>
      </c>
      <c r="HX32" s="184">
        <v>17.559999999999999</v>
      </c>
      <c r="HY32" s="184">
        <v>17.559999999999999</v>
      </c>
      <c r="HZ32" s="184">
        <v>17.559999999999999</v>
      </c>
      <c r="IA32" s="184">
        <v>17.559999999999999</v>
      </c>
      <c r="IB32" s="184">
        <v>0</v>
      </c>
      <c r="IC32" s="184">
        <v>0</v>
      </c>
      <c r="ID32" s="184">
        <v>0</v>
      </c>
      <c r="IE32" s="184">
        <v>0</v>
      </c>
      <c r="IF32" s="184">
        <v>0</v>
      </c>
      <c r="IG32" s="184">
        <v>0</v>
      </c>
      <c r="IH32" s="184">
        <v>0</v>
      </c>
      <c r="II32" s="184">
        <v>0</v>
      </c>
      <c r="IJ32" s="184">
        <v>0</v>
      </c>
      <c r="IK32" s="184">
        <v>0</v>
      </c>
      <c r="IL32" s="184">
        <v>0</v>
      </c>
      <c r="IM32" s="184">
        <v>0</v>
      </c>
      <c r="IN32" s="184">
        <v>0</v>
      </c>
      <c r="IO32" s="184">
        <v>0</v>
      </c>
      <c r="IP32" s="184">
        <v>0</v>
      </c>
      <c r="IQ32" s="184">
        <v>0</v>
      </c>
      <c r="IR32" s="184">
        <v>0</v>
      </c>
      <c r="IS32" s="184">
        <v>0</v>
      </c>
      <c r="IT32" s="184">
        <v>0</v>
      </c>
      <c r="IU32" s="184">
        <v>0</v>
      </c>
      <c r="IV32" s="184">
        <v>0</v>
      </c>
      <c r="IW32" s="184">
        <v>0</v>
      </c>
      <c r="IX32" s="184">
        <v>0</v>
      </c>
      <c r="IY32" s="184">
        <v>0</v>
      </c>
      <c r="IZ32" s="184">
        <v>0</v>
      </c>
      <c r="JA32" s="184">
        <v>0</v>
      </c>
      <c r="JB32" s="184">
        <v>0</v>
      </c>
      <c r="JC32" s="184">
        <v>0</v>
      </c>
      <c r="JD32" s="184">
        <v>0</v>
      </c>
      <c r="JE32" s="184">
        <v>0</v>
      </c>
      <c r="JF32" s="184">
        <v>0</v>
      </c>
      <c r="JG32" s="184">
        <v>0</v>
      </c>
      <c r="JH32" s="184">
        <v>0</v>
      </c>
      <c r="JI32" s="184">
        <v>0</v>
      </c>
      <c r="JJ32" s="184">
        <v>0</v>
      </c>
      <c r="JK32" s="184">
        <v>0</v>
      </c>
      <c r="JL32" s="184">
        <v>0</v>
      </c>
      <c r="JM32" s="184">
        <v>0</v>
      </c>
      <c r="JN32" s="184">
        <v>0</v>
      </c>
      <c r="JO32" s="184">
        <v>0</v>
      </c>
      <c r="JP32" s="184">
        <v>0</v>
      </c>
      <c r="JQ32" s="184">
        <v>0</v>
      </c>
      <c r="JR32" s="184">
        <v>0</v>
      </c>
      <c r="JS32" s="184">
        <v>0</v>
      </c>
      <c r="JT32" s="184">
        <v>0</v>
      </c>
      <c r="JU32" s="184">
        <v>0</v>
      </c>
      <c r="JV32" s="184">
        <v>0</v>
      </c>
      <c r="JW32" s="184">
        <v>0</v>
      </c>
      <c r="JX32" s="184">
        <v>0</v>
      </c>
      <c r="JY32" s="184">
        <v>0</v>
      </c>
      <c r="JZ32" s="184">
        <v>0</v>
      </c>
      <c r="KA32" s="184">
        <v>0</v>
      </c>
      <c r="KB32" s="184">
        <v>0</v>
      </c>
      <c r="KC32" s="184">
        <v>0</v>
      </c>
      <c r="KD32" s="184">
        <v>0</v>
      </c>
      <c r="KE32" s="184">
        <v>0</v>
      </c>
      <c r="KF32" s="184">
        <v>0</v>
      </c>
      <c r="KG32" s="184">
        <v>0</v>
      </c>
      <c r="KH32" s="184">
        <v>0</v>
      </c>
      <c r="KI32" s="184">
        <v>0</v>
      </c>
      <c r="KJ32" s="184">
        <v>0</v>
      </c>
      <c r="KK32" s="184">
        <v>0</v>
      </c>
      <c r="KL32" s="184">
        <v>0</v>
      </c>
      <c r="KM32" s="184">
        <v>0</v>
      </c>
      <c r="KN32" s="184">
        <v>0</v>
      </c>
      <c r="KO32" s="184">
        <v>0</v>
      </c>
      <c r="KP32" s="184">
        <v>0</v>
      </c>
      <c r="KQ32" s="184">
        <v>0</v>
      </c>
      <c r="KR32" s="184">
        <v>0</v>
      </c>
      <c r="KS32" s="184">
        <v>0</v>
      </c>
      <c r="KT32" s="184">
        <v>0</v>
      </c>
      <c r="KU32" s="184">
        <v>0</v>
      </c>
      <c r="KV32" s="184">
        <v>0</v>
      </c>
      <c r="KW32" s="184">
        <v>0</v>
      </c>
      <c r="KX32" s="184">
        <v>0</v>
      </c>
      <c r="KY32" s="184">
        <v>0</v>
      </c>
      <c r="KZ32" s="184">
        <v>0</v>
      </c>
      <c r="LA32" s="184">
        <v>0</v>
      </c>
      <c r="LB32" s="184">
        <v>0</v>
      </c>
      <c r="LC32" s="184">
        <v>0</v>
      </c>
      <c r="LD32" s="184">
        <v>0</v>
      </c>
      <c r="LE32" s="184">
        <v>0</v>
      </c>
      <c r="LF32" s="184">
        <v>0</v>
      </c>
      <c r="LG32" s="184">
        <v>0</v>
      </c>
      <c r="LH32" s="184">
        <v>0</v>
      </c>
      <c r="LI32" s="184">
        <v>0</v>
      </c>
      <c r="LJ32" s="184">
        <v>0</v>
      </c>
      <c r="LK32" s="184">
        <v>0</v>
      </c>
      <c r="LL32" s="184">
        <v>0</v>
      </c>
      <c r="LM32" s="184">
        <v>0</v>
      </c>
      <c r="LN32" s="184">
        <v>0</v>
      </c>
      <c r="LO32" s="184">
        <v>0</v>
      </c>
      <c r="LP32" s="184">
        <v>0</v>
      </c>
      <c r="LQ32" s="184">
        <v>0</v>
      </c>
      <c r="LR32" s="184">
        <v>0</v>
      </c>
      <c r="LS32" s="184">
        <v>0</v>
      </c>
      <c r="LT32" s="184">
        <v>0</v>
      </c>
      <c r="LU32" s="184">
        <v>0</v>
      </c>
      <c r="LV32" s="184">
        <v>0</v>
      </c>
      <c r="LW32" s="184">
        <v>0</v>
      </c>
      <c r="LX32" s="184">
        <v>0</v>
      </c>
      <c r="LY32" s="184">
        <v>0</v>
      </c>
      <c r="LZ32" s="184">
        <v>0</v>
      </c>
      <c r="MA32" s="184">
        <v>0</v>
      </c>
      <c r="MB32" s="184">
        <v>0</v>
      </c>
      <c r="MC32" s="184">
        <v>0</v>
      </c>
      <c r="MD32" s="184">
        <v>0</v>
      </c>
      <c r="ME32" s="184">
        <v>0</v>
      </c>
      <c r="MF32" s="184">
        <v>0</v>
      </c>
      <c r="MG32" s="184">
        <v>0</v>
      </c>
      <c r="MH32" s="184">
        <v>0</v>
      </c>
      <c r="MI32" s="184">
        <v>0</v>
      </c>
      <c r="MJ32" s="184">
        <v>0</v>
      </c>
      <c r="MK32" s="184">
        <v>0</v>
      </c>
      <c r="ML32" s="184">
        <v>0</v>
      </c>
      <c r="MM32" s="184">
        <v>0</v>
      </c>
      <c r="MN32" s="184">
        <v>0</v>
      </c>
      <c r="MO32" s="184">
        <v>0</v>
      </c>
      <c r="MP32" s="184">
        <v>0</v>
      </c>
      <c r="MQ32" s="184">
        <v>0</v>
      </c>
      <c r="MR32" s="184">
        <v>0</v>
      </c>
      <c r="MS32" s="184">
        <v>0</v>
      </c>
      <c r="MT32" s="184">
        <v>0</v>
      </c>
      <c r="MU32" s="184">
        <v>0</v>
      </c>
      <c r="MV32" s="184">
        <v>0</v>
      </c>
      <c r="MW32" s="184">
        <v>0</v>
      </c>
      <c r="MX32" s="184">
        <v>0</v>
      </c>
      <c r="MY32" s="184">
        <v>0</v>
      </c>
      <c r="MZ32" s="184">
        <v>0</v>
      </c>
      <c r="NA32" s="184">
        <v>0</v>
      </c>
      <c r="NB32" s="184">
        <v>0</v>
      </c>
      <c r="NC32" s="184">
        <v>0</v>
      </c>
      <c r="ND32" s="184">
        <v>0</v>
      </c>
      <c r="NE32" s="184">
        <v>0</v>
      </c>
      <c r="NF32" s="184">
        <v>0</v>
      </c>
      <c r="NG32" s="184">
        <v>0</v>
      </c>
      <c r="NH32" s="184">
        <v>0</v>
      </c>
      <c r="NI32" s="184">
        <v>0</v>
      </c>
      <c r="NJ32" s="184">
        <v>0</v>
      </c>
      <c r="NK32" s="184">
        <v>0</v>
      </c>
      <c r="NL32" s="184">
        <v>0</v>
      </c>
      <c r="NM32" s="184">
        <v>0</v>
      </c>
      <c r="NN32" s="184">
        <v>0</v>
      </c>
      <c r="NO32" s="184">
        <v>0</v>
      </c>
      <c r="NP32" s="184">
        <v>0</v>
      </c>
      <c r="NQ32" s="184">
        <v>0</v>
      </c>
      <c r="NR32" s="184">
        <v>0</v>
      </c>
      <c r="NU32">
        <v>8</v>
      </c>
      <c r="NV32">
        <v>2033</v>
      </c>
      <c r="NW32" s="188">
        <v>48731</v>
      </c>
      <c r="NX32" s="188">
        <v>49095</v>
      </c>
      <c r="NY32">
        <v>10.3</v>
      </c>
    </row>
    <row r="33" spans="1:389" x14ac:dyDescent="0.4">
      <c r="A33" s="101" t="s">
        <v>178</v>
      </c>
      <c r="C33" s="184">
        <v>0</v>
      </c>
      <c r="D33" s="184">
        <v>113.01</v>
      </c>
      <c r="E33" s="184">
        <v>113.01</v>
      </c>
      <c r="F33" s="184">
        <v>113.01</v>
      </c>
      <c r="G33" s="184">
        <v>113.01</v>
      </c>
      <c r="H33" s="184">
        <v>113.01</v>
      </c>
      <c r="I33" s="184">
        <v>113.01</v>
      </c>
      <c r="J33" s="184">
        <v>113.01</v>
      </c>
      <c r="K33" s="184">
        <v>113.01</v>
      </c>
      <c r="L33" s="184">
        <v>113.01</v>
      </c>
      <c r="M33" s="184">
        <v>113.01</v>
      </c>
      <c r="N33" s="184">
        <v>113.01</v>
      </c>
      <c r="O33" s="184">
        <v>111.5</v>
      </c>
      <c r="P33" s="184">
        <v>111.78</v>
      </c>
      <c r="Q33" s="184">
        <v>111.78</v>
      </c>
      <c r="R33" s="184">
        <v>111.78</v>
      </c>
      <c r="S33" s="184">
        <v>111.78</v>
      </c>
      <c r="T33" s="184">
        <v>111.78</v>
      </c>
      <c r="U33" s="184">
        <v>111.78</v>
      </c>
      <c r="V33" s="184">
        <v>111.78</v>
      </c>
      <c r="W33" s="184">
        <v>111.78</v>
      </c>
      <c r="X33" s="184">
        <v>111.78</v>
      </c>
      <c r="Y33" s="184">
        <v>111.78</v>
      </c>
      <c r="Z33" s="184">
        <v>111.78</v>
      </c>
      <c r="AA33" s="184">
        <v>110.49</v>
      </c>
      <c r="AB33" s="184">
        <v>109.7</v>
      </c>
      <c r="AC33" s="184">
        <v>109.7</v>
      </c>
      <c r="AD33" s="184">
        <v>109.7</v>
      </c>
      <c r="AE33" s="184">
        <v>109.7</v>
      </c>
      <c r="AF33" s="184">
        <v>109.7</v>
      </c>
      <c r="AG33" s="184">
        <v>109.7</v>
      </c>
      <c r="AH33" s="184">
        <v>109.7</v>
      </c>
      <c r="AI33" s="184">
        <v>109.7</v>
      </c>
      <c r="AJ33" s="184">
        <v>109.7</v>
      </c>
      <c r="AK33" s="184">
        <v>109.7</v>
      </c>
      <c r="AL33" s="184">
        <v>109.7</v>
      </c>
      <c r="AM33" s="184">
        <v>107.78</v>
      </c>
      <c r="AN33" s="184">
        <v>108.02</v>
      </c>
      <c r="AO33" s="184">
        <v>108.02</v>
      </c>
      <c r="AP33" s="184">
        <v>108.02</v>
      </c>
      <c r="AQ33" s="184">
        <v>108.02</v>
      </c>
      <c r="AR33" s="184">
        <v>108.02</v>
      </c>
      <c r="AS33" s="184">
        <v>108.02</v>
      </c>
      <c r="AT33" s="184">
        <v>108.02</v>
      </c>
      <c r="AU33" s="184">
        <v>108.02</v>
      </c>
      <c r="AV33" s="184">
        <v>108.02</v>
      </c>
      <c r="AW33" s="184">
        <v>108.02</v>
      </c>
      <c r="AX33" s="184">
        <v>108.02</v>
      </c>
      <c r="AY33" s="184">
        <v>104.09</v>
      </c>
      <c r="AZ33" s="184">
        <v>104.32</v>
      </c>
      <c r="BA33" s="184">
        <v>104.32</v>
      </c>
      <c r="BB33" s="184">
        <v>104.32</v>
      </c>
      <c r="BC33" s="184">
        <v>104.32</v>
      </c>
      <c r="BD33" s="184">
        <v>104.32</v>
      </c>
      <c r="BE33" s="184">
        <v>104.32</v>
      </c>
      <c r="BF33" s="184">
        <v>104.32</v>
      </c>
      <c r="BG33" s="184">
        <v>104.32</v>
      </c>
      <c r="BH33" s="184">
        <v>104.32</v>
      </c>
      <c r="BI33" s="184">
        <v>104.32</v>
      </c>
      <c r="BJ33" s="184">
        <v>104.32</v>
      </c>
      <c r="BK33" s="184">
        <v>99.6</v>
      </c>
      <c r="BL33" s="184">
        <v>99.83</v>
      </c>
      <c r="BM33" s="184">
        <v>99.83</v>
      </c>
      <c r="BN33" s="184">
        <v>99.83</v>
      </c>
      <c r="BO33" s="184">
        <v>99.83</v>
      </c>
      <c r="BP33" s="184">
        <v>99.83</v>
      </c>
      <c r="BQ33" s="184">
        <v>99.83</v>
      </c>
      <c r="BR33" s="184">
        <v>99.83</v>
      </c>
      <c r="BS33" s="184">
        <v>99.83</v>
      </c>
      <c r="BT33" s="184">
        <v>99.83</v>
      </c>
      <c r="BU33" s="184">
        <v>99.83</v>
      </c>
      <c r="BV33" s="184">
        <v>99.83</v>
      </c>
      <c r="BW33" s="184">
        <v>95.34</v>
      </c>
      <c r="BX33" s="184">
        <v>94.64</v>
      </c>
      <c r="BY33" s="184">
        <v>94.64</v>
      </c>
      <c r="BZ33" s="184">
        <v>94.64</v>
      </c>
      <c r="CA33" s="184">
        <v>94.64</v>
      </c>
      <c r="CB33" s="184">
        <v>94.64</v>
      </c>
      <c r="CC33" s="184">
        <v>94.64</v>
      </c>
      <c r="CD33" s="184">
        <v>94.64</v>
      </c>
      <c r="CE33" s="184">
        <v>94.64</v>
      </c>
      <c r="CF33" s="184">
        <v>94.64</v>
      </c>
      <c r="CG33" s="184">
        <v>94.64</v>
      </c>
      <c r="CH33" s="184">
        <v>94.64</v>
      </c>
      <c r="CI33" s="184">
        <v>90.41</v>
      </c>
      <c r="CJ33" s="184">
        <v>90.61</v>
      </c>
      <c r="CK33" s="184">
        <v>90.61</v>
      </c>
      <c r="CL33" s="184">
        <v>90.61</v>
      </c>
      <c r="CM33" s="184">
        <v>90.61</v>
      </c>
      <c r="CN33" s="184">
        <v>90.61</v>
      </c>
      <c r="CO33" s="184">
        <v>90.61</v>
      </c>
      <c r="CP33" s="184">
        <v>90.61</v>
      </c>
      <c r="CQ33" s="184">
        <v>90.61</v>
      </c>
      <c r="CR33" s="184">
        <v>90.61</v>
      </c>
      <c r="CS33" s="184">
        <v>90.61</v>
      </c>
      <c r="CT33" s="184">
        <v>90.61</v>
      </c>
      <c r="CU33" s="184">
        <v>86.51</v>
      </c>
      <c r="CV33" s="184">
        <v>85.87</v>
      </c>
      <c r="CW33" s="184">
        <v>85.87</v>
      </c>
      <c r="CX33" s="184">
        <v>85.87</v>
      </c>
      <c r="CY33" s="184">
        <v>85.87</v>
      </c>
      <c r="CZ33" s="184">
        <v>85.87</v>
      </c>
      <c r="DA33" s="184">
        <v>85.87</v>
      </c>
      <c r="DB33" s="184">
        <v>85.87</v>
      </c>
      <c r="DC33" s="184">
        <v>85.87</v>
      </c>
      <c r="DD33" s="184">
        <v>85.87</v>
      </c>
      <c r="DE33" s="184">
        <v>85.87</v>
      </c>
      <c r="DF33" s="184">
        <v>85.87</v>
      </c>
      <c r="DG33" s="184">
        <v>82</v>
      </c>
      <c r="DH33" s="184">
        <v>82.2</v>
      </c>
      <c r="DI33" s="184">
        <v>82.2</v>
      </c>
      <c r="DJ33" s="184">
        <v>82.2</v>
      </c>
      <c r="DK33" s="184">
        <v>82.2</v>
      </c>
      <c r="DL33" s="184">
        <v>82.2</v>
      </c>
      <c r="DM33" s="184">
        <v>82.2</v>
      </c>
      <c r="DN33" s="184">
        <v>82.2</v>
      </c>
      <c r="DO33" s="184">
        <v>82.2</v>
      </c>
      <c r="DP33" s="184">
        <v>82.2</v>
      </c>
      <c r="DQ33" s="184">
        <v>82.2</v>
      </c>
      <c r="DR33" s="184">
        <v>82.2</v>
      </c>
      <c r="DS33" s="184">
        <v>78.510000000000005</v>
      </c>
      <c r="DT33" s="184">
        <v>77.150000000000006</v>
      </c>
      <c r="DU33" s="184">
        <v>77.150000000000006</v>
      </c>
      <c r="DV33" s="184">
        <v>77.150000000000006</v>
      </c>
      <c r="DW33" s="184">
        <v>77.150000000000006</v>
      </c>
      <c r="DX33" s="184">
        <v>77.150000000000006</v>
      </c>
      <c r="DY33" s="184">
        <v>77.150000000000006</v>
      </c>
      <c r="DZ33" s="184">
        <v>77.150000000000006</v>
      </c>
      <c r="EA33" s="184">
        <v>77.150000000000006</v>
      </c>
      <c r="EB33" s="184">
        <v>77.150000000000006</v>
      </c>
      <c r="EC33" s="184">
        <v>77.150000000000006</v>
      </c>
      <c r="ED33" s="184">
        <v>77.150000000000006</v>
      </c>
      <c r="EE33" s="184">
        <v>73.66</v>
      </c>
      <c r="EF33" s="184">
        <v>72.36</v>
      </c>
      <c r="EG33" s="184">
        <v>72.36</v>
      </c>
      <c r="EH33" s="184">
        <v>72.36</v>
      </c>
      <c r="EI33" s="184">
        <v>72.36</v>
      </c>
      <c r="EJ33" s="184">
        <v>72.36</v>
      </c>
      <c r="EK33" s="184">
        <v>72.36</v>
      </c>
      <c r="EL33" s="184">
        <v>72.36</v>
      </c>
      <c r="EM33" s="184">
        <v>72.36</v>
      </c>
      <c r="EN33" s="184">
        <v>72.36</v>
      </c>
      <c r="EO33" s="184">
        <v>72.36</v>
      </c>
      <c r="EP33" s="184">
        <v>72.36</v>
      </c>
      <c r="EQ33" s="184">
        <v>69.09</v>
      </c>
      <c r="ER33" s="184">
        <v>68.55</v>
      </c>
      <c r="ES33" s="184">
        <v>68.55</v>
      </c>
      <c r="ET33" s="184">
        <v>68.55</v>
      </c>
      <c r="EU33" s="184">
        <v>68.55</v>
      </c>
      <c r="EV33" s="184">
        <v>68.55</v>
      </c>
      <c r="EW33" s="184">
        <v>68.55</v>
      </c>
      <c r="EX33" s="184">
        <v>68.55</v>
      </c>
      <c r="EY33" s="184">
        <v>68.55</v>
      </c>
      <c r="EZ33" s="184">
        <v>68.55</v>
      </c>
      <c r="FA33" s="184">
        <v>68.55</v>
      </c>
      <c r="FB33" s="184">
        <v>68.55</v>
      </c>
      <c r="FC33" s="184">
        <v>65.47</v>
      </c>
      <c r="FD33" s="184">
        <v>62.91</v>
      </c>
      <c r="FE33" s="184">
        <v>62.91</v>
      </c>
      <c r="FF33" s="184">
        <v>62.91</v>
      </c>
      <c r="FG33" s="184">
        <v>62.91</v>
      </c>
      <c r="FH33" s="184">
        <v>62.91</v>
      </c>
      <c r="FI33" s="184">
        <v>62.91</v>
      </c>
      <c r="FJ33" s="184">
        <v>62.91</v>
      </c>
      <c r="FK33" s="184">
        <v>62.91</v>
      </c>
      <c r="FL33" s="184">
        <v>62.91</v>
      </c>
      <c r="FM33" s="184">
        <v>62.91</v>
      </c>
      <c r="FN33" s="184">
        <v>62.91</v>
      </c>
      <c r="FO33" s="184">
        <v>60.09</v>
      </c>
      <c r="FP33" s="184">
        <v>58.3</v>
      </c>
      <c r="FQ33" s="184">
        <v>58.3</v>
      </c>
      <c r="FR33" s="184">
        <v>58.3</v>
      </c>
      <c r="FS33" s="184">
        <v>58.3</v>
      </c>
      <c r="FT33" s="184">
        <v>58.3</v>
      </c>
      <c r="FU33" s="184">
        <v>58.3</v>
      </c>
      <c r="FV33" s="184">
        <v>58.3</v>
      </c>
      <c r="FW33" s="184">
        <v>58.3</v>
      </c>
      <c r="FX33" s="184">
        <v>58.3</v>
      </c>
      <c r="FY33" s="184">
        <v>58.3</v>
      </c>
      <c r="FZ33" s="184">
        <v>58.3</v>
      </c>
      <c r="GA33" s="184">
        <v>55.64</v>
      </c>
      <c r="GB33" s="184">
        <v>52.68</v>
      </c>
      <c r="GC33" s="184">
        <v>52.68</v>
      </c>
      <c r="GD33" s="184">
        <v>52.68</v>
      </c>
      <c r="GE33" s="184">
        <v>52.68</v>
      </c>
      <c r="GF33" s="184">
        <v>52.68</v>
      </c>
      <c r="GG33" s="184">
        <v>52.68</v>
      </c>
      <c r="GH33" s="184">
        <v>52.68</v>
      </c>
      <c r="GI33" s="184">
        <v>52.68</v>
      </c>
      <c r="GJ33" s="184">
        <v>52.68</v>
      </c>
      <c r="GK33" s="184">
        <v>52.68</v>
      </c>
      <c r="GL33" s="184">
        <v>52.68</v>
      </c>
      <c r="GM33" s="184">
        <v>50.33</v>
      </c>
      <c r="GN33" s="184">
        <v>43.32</v>
      </c>
      <c r="GO33" s="184">
        <v>43.32</v>
      </c>
      <c r="GP33" s="184">
        <v>43.32</v>
      </c>
      <c r="GQ33" s="184">
        <v>43.32</v>
      </c>
      <c r="GR33" s="184">
        <v>43.32</v>
      </c>
      <c r="GS33" s="184">
        <v>43.32</v>
      </c>
      <c r="GT33" s="184">
        <v>43.32</v>
      </c>
      <c r="GU33" s="184">
        <v>43.32</v>
      </c>
      <c r="GV33" s="184">
        <v>43.32</v>
      </c>
      <c r="GW33" s="184">
        <v>43.32</v>
      </c>
      <c r="GX33" s="184">
        <v>43.32</v>
      </c>
      <c r="GY33" s="184">
        <v>41.36</v>
      </c>
      <c r="GZ33" s="184">
        <v>30.67</v>
      </c>
      <c r="HA33" s="184">
        <v>30.67</v>
      </c>
      <c r="HB33" s="184">
        <v>30.67</v>
      </c>
      <c r="HC33" s="184">
        <v>30.67</v>
      </c>
      <c r="HD33" s="184">
        <v>30.67</v>
      </c>
      <c r="HE33" s="184">
        <v>30.67</v>
      </c>
      <c r="HF33" s="184">
        <v>30.67</v>
      </c>
      <c r="HG33" s="184">
        <v>30.67</v>
      </c>
      <c r="HH33" s="184">
        <v>30.67</v>
      </c>
      <c r="HI33" s="184">
        <v>30.67</v>
      </c>
      <c r="HJ33" s="184">
        <v>30.67</v>
      </c>
      <c r="HK33" s="184">
        <v>29.28</v>
      </c>
      <c r="HL33" s="184">
        <v>15.77</v>
      </c>
      <c r="HM33" s="184">
        <v>15.77</v>
      </c>
      <c r="HN33" s="184">
        <v>15.77</v>
      </c>
      <c r="HO33" s="184">
        <v>15.77</v>
      </c>
      <c r="HP33" s="184">
        <v>15.77</v>
      </c>
      <c r="HQ33" s="184">
        <v>15.77</v>
      </c>
      <c r="HR33" s="184">
        <v>15.77</v>
      </c>
      <c r="HS33" s="184">
        <v>15.77</v>
      </c>
      <c r="HT33" s="184">
        <v>15.77</v>
      </c>
      <c r="HU33" s="184">
        <v>15.77</v>
      </c>
      <c r="HV33" s="184">
        <v>15.77</v>
      </c>
      <c r="HW33" s="184">
        <v>15.06</v>
      </c>
      <c r="HX33" s="184">
        <v>0</v>
      </c>
      <c r="HY33" s="184">
        <v>0</v>
      </c>
      <c r="HZ33" s="184">
        <v>0</v>
      </c>
      <c r="IA33" s="184">
        <v>0</v>
      </c>
      <c r="IB33" s="184">
        <v>0</v>
      </c>
      <c r="IC33" s="184">
        <v>0</v>
      </c>
      <c r="ID33" s="184">
        <v>0</v>
      </c>
      <c r="IE33" s="184">
        <v>0</v>
      </c>
      <c r="IF33" s="184">
        <v>0</v>
      </c>
      <c r="IG33" s="184">
        <v>0</v>
      </c>
      <c r="IH33" s="184">
        <v>0</v>
      </c>
      <c r="II33" s="184">
        <v>0</v>
      </c>
      <c r="IJ33" s="184">
        <v>0</v>
      </c>
      <c r="IK33" s="184">
        <v>0</v>
      </c>
      <c r="IL33" s="184">
        <v>0</v>
      </c>
      <c r="IM33" s="184">
        <v>0</v>
      </c>
      <c r="IN33" s="184">
        <v>0</v>
      </c>
      <c r="IO33" s="184">
        <v>0</v>
      </c>
      <c r="IP33" s="184">
        <v>0</v>
      </c>
      <c r="IQ33" s="184">
        <v>0</v>
      </c>
      <c r="IR33" s="184">
        <v>0</v>
      </c>
      <c r="IS33" s="184">
        <v>0</v>
      </c>
      <c r="IT33" s="184">
        <v>0</v>
      </c>
      <c r="IU33" s="184">
        <v>0</v>
      </c>
      <c r="IV33" s="184">
        <v>0</v>
      </c>
      <c r="IW33" s="184">
        <v>0</v>
      </c>
      <c r="IX33" s="184">
        <v>0</v>
      </c>
      <c r="IY33" s="184">
        <v>0</v>
      </c>
      <c r="IZ33" s="184">
        <v>0</v>
      </c>
      <c r="JA33" s="184">
        <v>0</v>
      </c>
      <c r="JB33" s="184">
        <v>0</v>
      </c>
      <c r="JC33" s="184">
        <v>0</v>
      </c>
      <c r="JD33" s="184">
        <v>0</v>
      </c>
      <c r="JE33" s="184">
        <v>0</v>
      </c>
      <c r="JF33" s="184">
        <v>0</v>
      </c>
      <c r="JG33" s="184">
        <v>0</v>
      </c>
      <c r="JH33" s="184">
        <v>0</v>
      </c>
      <c r="JI33" s="184">
        <v>0</v>
      </c>
      <c r="JJ33" s="184">
        <v>0</v>
      </c>
      <c r="JK33" s="184">
        <v>0</v>
      </c>
      <c r="JL33" s="184">
        <v>0</v>
      </c>
      <c r="JM33" s="184">
        <v>0</v>
      </c>
      <c r="JN33" s="184">
        <v>0</v>
      </c>
      <c r="JO33" s="184">
        <v>0</v>
      </c>
      <c r="JP33" s="184">
        <v>0</v>
      </c>
      <c r="JQ33" s="184">
        <v>0</v>
      </c>
      <c r="JR33" s="184">
        <v>0</v>
      </c>
      <c r="JS33" s="184">
        <v>0</v>
      </c>
      <c r="JT33" s="184">
        <v>0</v>
      </c>
      <c r="JU33" s="184">
        <v>0</v>
      </c>
      <c r="JV33" s="184">
        <v>0</v>
      </c>
      <c r="JW33" s="184">
        <v>0</v>
      </c>
      <c r="JX33" s="184">
        <v>0</v>
      </c>
      <c r="JY33" s="184">
        <v>0</v>
      </c>
      <c r="JZ33" s="184">
        <v>0</v>
      </c>
      <c r="KA33" s="184">
        <v>0</v>
      </c>
      <c r="KB33" s="184">
        <v>0</v>
      </c>
      <c r="KC33" s="184">
        <v>0</v>
      </c>
      <c r="KD33" s="184">
        <v>0</v>
      </c>
      <c r="KE33" s="184">
        <v>0</v>
      </c>
      <c r="KF33" s="184">
        <v>0</v>
      </c>
      <c r="KG33" s="184">
        <v>0</v>
      </c>
      <c r="KH33" s="184">
        <v>0</v>
      </c>
      <c r="KI33" s="184">
        <v>0</v>
      </c>
      <c r="KJ33" s="184">
        <v>0</v>
      </c>
      <c r="KK33" s="184">
        <v>0</v>
      </c>
      <c r="KL33" s="184">
        <v>0</v>
      </c>
      <c r="KM33" s="184">
        <v>0</v>
      </c>
      <c r="KN33" s="184">
        <v>0</v>
      </c>
      <c r="KO33" s="184">
        <v>0</v>
      </c>
      <c r="KP33" s="184">
        <v>0</v>
      </c>
      <c r="KQ33" s="184">
        <v>0</v>
      </c>
      <c r="KR33" s="184">
        <v>0</v>
      </c>
      <c r="KS33" s="184">
        <v>0</v>
      </c>
      <c r="KT33" s="184">
        <v>0</v>
      </c>
      <c r="KU33" s="184">
        <v>0</v>
      </c>
      <c r="KV33" s="184">
        <v>0</v>
      </c>
      <c r="KW33" s="184">
        <v>0</v>
      </c>
      <c r="KX33" s="184">
        <v>0</v>
      </c>
      <c r="KY33" s="184">
        <v>0</v>
      </c>
      <c r="KZ33" s="184">
        <v>0</v>
      </c>
      <c r="LA33" s="184">
        <v>0</v>
      </c>
      <c r="LB33" s="184">
        <v>0</v>
      </c>
      <c r="LC33" s="184">
        <v>0</v>
      </c>
      <c r="LD33" s="184">
        <v>0</v>
      </c>
      <c r="LE33" s="184">
        <v>0</v>
      </c>
      <c r="LF33" s="184">
        <v>0</v>
      </c>
      <c r="LG33" s="184">
        <v>0</v>
      </c>
      <c r="LH33" s="184">
        <v>0</v>
      </c>
      <c r="LI33" s="184">
        <v>0</v>
      </c>
      <c r="LJ33" s="184">
        <v>0</v>
      </c>
      <c r="LK33" s="184">
        <v>0</v>
      </c>
      <c r="LL33" s="184">
        <v>0</v>
      </c>
      <c r="LM33" s="184">
        <v>0</v>
      </c>
      <c r="LN33" s="184">
        <v>0</v>
      </c>
      <c r="LO33" s="184">
        <v>0</v>
      </c>
      <c r="LP33" s="184">
        <v>0</v>
      </c>
      <c r="LQ33" s="184">
        <v>0</v>
      </c>
      <c r="LR33" s="184">
        <v>0</v>
      </c>
      <c r="LS33" s="184">
        <v>0</v>
      </c>
      <c r="LT33" s="184">
        <v>0</v>
      </c>
      <c r="LU33" s="184">
        <v>0</v>
      </c>
      <c r="LV33" s="184">
        <v>0</v>
      </c>
      <c r="LW33" s="184">
        <v>0</v>
      </c>
      <c r="LX33" s="184">
        <v>0</v>
      </c>
      <c r="LY33" s="184">
        <v>0</v>
      </c>
      <c r="LZ33" s="184">
        <v>0</v>
      </c>
      <c r="MA33" s="184">
        <v>0</v>
      </c>
      <c r="MB33" s="184">
        <v>0</v>
      </c>
      <c r="MC33" s="184">
        <v>0</v>
      </c>
      <c r="MD33" s="184">
        <v>0</v>
      </c>
      <c r="ME33" s="184">
        <v>0</v>
      </c>
      <c r="MF33" s="184">
        <v>0</v>
      </c>
      <c r="MG33" s="184">
        <v>0</v>
      </c>
      <c r="MH33" s="184">
        <v>0</v>
      </c>
      <c r="MI33" s="184">
        <v>0</v>
      </c>
      <c r="MJ33" s="184">
        <v>0</v>
      </c>
      <c r="MK33" s="184">
        <v>0</v>
      </c>
      <c r="ML33" s="184">
        <v>0</v>
      </c>
      <c r="MM33" s="184">
        <v>0</v>
      </c>
      <c r="MN33" s="184">
        <v>0</v>
      </c>
      <c r="MO33" s="184">
        <v>0</v>
      </c>
      <c r="MP33" s="184">
        <v>0</v>
      </c>
      <c r="MQ33" s="184">
        <v>0</v>
      </c>
      <c r="MR33" s="184">
        <v>0</v>
      </c>
      <c r="MS33" s="184">
        <v>0</v>
      </c>
      <c r="MT33" s="184">
        <v>0</v>
      </c>
      <c r="MU33" s="184">
        <v>0</v>
      </c>
      <c r="MV33" s="184">
        <v>0</v>
      </c>
      <c r="MW33" s="184">
        <v>0</v>
      </c>
      <c r="MX33" s="184">
        <v>0</v>
      </c>
      <c r="MY33" s="184">
        <v>0</v>
      </c>
      <c r="MZ33" s="184">
        <v>0</v>
      </c>
      <c r="NA33" s="184">
        <v>0</v>
      </c>
      <c r="NB33" s="184">
        <v>0</v>
      </c>
      <c r="NC33" s="184">
        <v>0</v>
      </c>
      <c r="ND33" s="184">
        <v>0</v>
      </c>
      <c r="NE33" s="184">
        <v>0</v>
      </c>
      <c r="NF33" s="184">
        <v>0</v>
      </c>
      <c r="NG33" s="184">
        <v>0</v>
      </c>
      <c r="NH33" s="184">
        <v>0</v>
      </c>
      <c r="NI33" s="184">
        <v>0</v>
      </c>
      <c r="NJ33" s="184">
        <v>0</v>
      </c>
      <c r="NK33" s="184">
        <v>0</v>
      </c>
      <c r="NL33" s="184">
        <v>0</v>
      </c>
      <c r="NM33" s="184">
        <v>0</v>
      </c>
      <c r="NN33" s="184">
        <v>0</v>
      </c>
      <c r="NO33" s="184">
        <v>0</v>
      </c>
      <c r="NP33" s="184">
        <v>0</v>
      </c>
      <c r="NQ33" s="184">
        <v>0</v>
      </c>
      <c r="NR33" s="184">
        <v>0</v>
      </c>
      <c r="NU33">
        <v>8</v>
      </c>
      <c r="NV33">
        <v>2034</v>
      </c>
      <c r="NW33" s="188">
        <v>49096</v>
      </c>
      <c r="NX33" s="188">
        <v>49460</v>
      </c>
      <c r="NY33">
        <v>10.199999999999999</v>
      </c>
    </row>
    <row r="34" spans="1:389" ht="19.5" thickBot="1" x14ac:dyDescent="0.45">
      <c r="A34" t="s">
        <v>564</v>
      </c>
      <c r="C34" s="192">
        <v>57.645461283147057</v>
      </c>
      <c r="D34" s="192">
        <v>170.7285931655</v>
      </c>
      <c r="E34" s="192">
        <v>171.98871175373529</v>
      </c>
      <c r="F34" s="192">
        <v>172.99511896550001</v>
      </c>
      <c r="G34" s="192">
        <v>173.05756234197059</v>
      </c>
      <c r="H34" s="192">
        <v>174.66640445961764</v>
      </c>
      <c r="I34" s="192">
        <v>176.07278681255883</v>
      </c>
      <c r="J34" s="192">
        <v>176.37093987138235</v>
      </c>
      <c r="K34" s="192">
        <v>174.49482581255882</v>
      </c>
      <c r="L34" s="192">
        <v>173.82820057726471</v>
      </c>
      <c r="M34" s="192">
        <v>172.79647848314707</v>
      </c>
      <c r="N34" s="192">
        <v>172.66990407138235</v>
      </c>
      <c r="O34" s="192">
        <v>165.98642695340558</v>
      </c>
      <c r="P34" s="192">
        <v>166.95836707105263</v>
      </c>
      <c r="Q34" s="192">
        <v>168.08628571811147</v>
      </c>
      <c r="R34" s="192">
        <v>169.29521198869969</v>
      </c>
      <c r="S34" s="192">
        <v>169.75144242399381</v>
      </c>
      <c r="T34" s="192">
        <v>179.92147630634676</v>
      </c>
      <c r="U34" s="192">
        <v>181.46287136517029</v>
      </c>
      <c r="V34" s="192">
        <v>181.81727971811148</v>
      </c>
      <c r="W34" s="192">
        <v>179.63738707105264</v>
      </c>
      <c r="X34" s="192">
        <v>179.72458277693499</v>
      </c>
      <c r="Y34" s="192">
        <v>178.64504368281735</v>
      </c>
      <c r="Z34" s="192">
        <v>177.89966103575853</v>
      </c>
      <c r="AA34" s="192">
        <v>174.24658154637513</v>
      </c>
      <c r="AB34" s="192">
        <v>173.71143478798911</v>
      </c>
      <c r="AC34" s="192">
        <v>171.93965151540499</v>
      </c>
      <c r="AD34" s="192">
        <v>172.32744397194426</v>
      </c>
      <c r="AE34" s="192">
        <v>172.46078765240998</v>
      </c>
      <c r="AF34" s="192">
        <v>188.7846064400199</v>
      </c>
      <c r="AG34" s="192">
        <v>189.48870850967239</v>
      </c>
      <c r="AH34" s="192">
        <v>188.5897469069966</v>
      </c>
      <c r="AI34" s="192">
        <v>188.5358730504594</v>
      </c>
      <c r="AJ34" s="192">
        <v>188.43387195289912</v>
      </c>
      <c r="AK34" s="192">
        <v>188.12297778158018</v>
      </c>
      <c r="AL34" s="192">
        <v>187.92802430775819</v>
      </c>
      <c r="AM34" s="192">
        <v>183.55609817895902</v>
      </c>
      <c r="AN34" s="192">
        <v>183.80994521114303</v>
      </c>
      <c r="AO34" s="192">
        <v>182.49886321963885</v>
      </c>
      <c r="AP34" s="192">
        <v>182.87928785113087</v>
      </c>
      <c r="AQ34" s="192">
        <v>182.90405433971409</v>
      </c>
      <c r="AR34" s="192">
        <v>190.02094561512828</v>
      </c>
      <c r="AS34" s="192">
        <v>190.73676809077159</v>
      </c>
      <c r="AT34" s="192">
        <v>189.97005353299014</v>
      </c>
      <c r="AU34" s="192">
        <v>189.81394975282788</v>
      </c>
      <c r="AV34" s="192">
        <v>189.86324181736623</v>
      </c>
      <c r="AW34" s="192">
        <v>189.55576582331861</v>
      </c>
      <c r="AX34" s="192">
        <v>189.11202621773506</v>
      </c>
      <c r="AY34" s="192">
        <v>183.00975137185907</v>
      </c>
      <c r="AZ34" s="192">
        <v>183.28105540826752</v>
      </c>
      <c r="BA34" s="192">
        <v>181.81827428439772</v>
      </c>
      <c r="BB34" s="192">
        <v>182.1304451902902</v>
      </c>
      <c r="BC34" s="192">
        <v>182.31121957349237</v>
      </c>
      <c r="BD34" s="192">
        <v>184.4807323245542</v>
      </c>
      <c r="BE34" s="192">
        <v>185.01725664596808</v>
      </c>
      <c r="BF34" s="192">
        <v>184.30915773584474</v>
      </c>
      <c r="BG34" s="192">
        <v>184.11471218053794</v>
      </c>
      <c r="BH34" s="192">
        <v>184.32953672571568</v>
      </c>
      <c r="BI34" s="192">
        <v>183.6916749300448</v>
      </c>
      <c r="BJ34" s="192">
        <v>184.29840631674972</v>
      </c>
      <c r="BK34" s="192">
        <v>177.22600763854368</v>
      </c>
      <c r="BL34" s="192">
        <v>176.83117761924353</v>
      </c>
      <c r="BM34" s="192">
        <v>175.6925211559938</v>
      </c>
      <c r="BN34" s="192">
        <v>175.98652838177949</v>
      </c>
      <c r="BO34" s="192">
        <v>176.08011467746098</v>
      </c>
      <c r="BP34" s="192">
        <v>178.61390084764656</v>
      </c>
      <c r="BQ34" s="192">
        <v>179.06578332679999</v>
      </c>
      <c r="BR34" s="192">
        <v>178.59705247314793</v>
      </c>
      <c r="BS34" s="192">
        <v>178.40193134213109</v>
      </c>
      <c r="BT34" s="192">
        <v>178.52600178260974</v>
      </c>
      <c r="BU34" s="192">
        <v>177.88529770781832</v>
      </c>
      <c r="BV34" s="192">
        <v>178.35896226163698</v>
      </c>
      <c r="BW34" s="192">
        <v>228.05573280337899</v>
      </c>
      <c r="BX34" s="192">
        <v>227.4967216563067</v>
      </c>
      <c r="BY34" s="192">
        <v>225.4110681914575</v>
      </c>
      <c r="BZ34" s="192">
        <v>225.79004336962845</v>
      </c>
      <c r="CA34" s="192">
        <v>225.80653121597265</v>
      </c>
      <c r="CB34" s="192">
        <v>229.96173626747367</v>
      </c>
      <c r="CC34" s="192">
        <v>230.5327576415674</v>
      </c>
      <c r="CD34" s="192">
        <v>230.28825282381098</v>
      </c>
      <c r="CE34" s="192">
        <v>229.82813709416467</v>
      </c>
      <c r="CF34" s="192">
        <v>230.18704310549379</v>
      </c>
      <c r="CG34" s="192">
        <v>229.24523856500343</v>
      </c>
      <c r="CH34" s="192">
        <v>231.19134369818352</v>
      </c>
      <c r="CI34" s="192">
        <v>225.02406002344679</v>
      </c>
      <c r="CJ34" s="192">
        <v>224.90022728776768</v>
      </c>
      <c r="CK34" s="192">
        <v>223.06209034715545</v>
      </c>
      <c r="CL34" s="192">
        <v>223.38431992361535</v>
      </c>
      <c r="CM34" s="192">
        <v>223.30641675955519</v>
      </c>
      <c r="CN34" s="192">
        <v>225.12500244838418</v>
      </c>
      <c r="CO34" s="192">
        <v>225.64526529923052</v>
      </c>
      <c r="CP34" s="192">
        <v>225.64482904203453</v>
      </c>
      <c r="CQ34" s="192">
        <v>224.93964162171676</v>
      </c>
      <c r="CR34" s="192">
        <v>225.49696071187424</v>
      </c>
      <c r="CS34" s="192">
        <v>224.68700081556716</v>
      </c>
      <c r="CT34" s="192">
        <v>225.46240019016466</v>
      </c>
      <c r="CU34" s="192">
        <v>157.96190629032895</v>
      </c>
      <c r="CV34" s="192">
        <v>156.9950021513836</v>
      </c>
      <c r="CW34" s="192">
        <v>155.13943133463357</v>
      </c>
      <c r="CX34" s="192">
        <v>155.46471710913829</v>
      </c>
      <c r="CY34" s="192">
        <v>155.38607506970769</v>
      </c>
      <c r="CZ34" s="192">
        <v>157.7756906434204</v>
      </c>
      <c r="DA34" s="192">
        <v>158.30088794604794</v>
      </c>
      <c r="DB34" s="192">
        <v>158.30044755115483</v>
      </c>
      <c r="DC34" s="192">
        <v>157.58857175530414</v>
      </c>
      <c r="DD34" s="192">
        <v>158.15117675848165</v>
      </c>
      <c r="DE34" s="192">
        <v>157.33353476831275</v>
      </c>
      <c r="DF34" s="192">
        <v>158.11628844625693</v>
      </c>
      <c r="DG34" s="192">
        <v>153.39634441613555</v>
      </c>
      <c r="DH34" s="192">
        <v>153.26290219441125</v>
      </c>
      <c r="DI34" s="192">
        <v>151.37021996132626</v>
      </c>
      <c r="DJ34" s="192">
        <v>151.70201145132106</v>
      </c>
      <c r="DK34" s="192">
        <v>151.62179657110184</v>
      </c>
      <c r="DL34" s="192">
        <v>156.67360445628881</v>
      </c>
      <c r="DM34" s="192">
        <v>157.20930570496887</v>
      </c>
      <c r="DN34" s="192">
        <v>157.20885650217792</v>
      </c>
      <c r="DO34" s="192">
        <v>156.48274319041025</v>
      </c>
      <c r="DP34" s="192">
        <v>157.05660029365129</v>
      </c>
      <c r="DQ34" s="192">
        <v>156.222605463679</v>
      </c>
      <c r="DR34" s="192">
        <v>157.02101421518205</v>
      </c>
      <c r="DS34" s="192">
        <v>151.928735325883</v>
      </c>
      <c r="DT34" s="192">
        <v>150.23216708333004</v>
      </c>
      <c r="DU34" s="192">
        <v>148.32174095430986</v>
      </c>
      <c r="DV34" s="192">
        <v>148.65664298952336</v>
      </c>
      <c r="DW34" s="192">
        <v>148.57567609480208</v>
      </c>
      <c r="DX34" s="192">
        <v>169.2285321789127</v>
      </c>
      <c r="DY34" s="192">
        <v>169.76925562679915</v>
      </c>
      <c r="DZ34" s="192">
        <v>169.768802212732</v>
      </c>
      <c r="EA34" s="192">
        <v>169.03588158866651</v>
      </c>
      <c r="EB34" s="192">
        <v>169.61511860225045</v>
      </c>
      <c r="EC34" s="192">
        <v>168.77330507074717</v>
      </c>
      <c r="ED34" s="192">
        <v>169.57919890429557</v>
      </c>
      <c r="EE34" s="192">
        <v>163.85029859939104</v>
      </c>
      <c r="EF34" s="192">
        <v>162.20699899198706</v>
      </c>
      <c r="EG34" s="192">
        <v>160.25836434038644</v>
      </c>
      <c r="EH34" s="192">
        <v>160.59996441630423</v>
      </c>
      <c r="EI34" s="192">
        <v>160.51737818368855</v>
      </c>
      <c r="EJ34" s="192">
        <v>164.23249138948134</v>
      </c>
      <c r="EK34" s="192">
        <v>164.78402930632552</v>
      </c>
      <c r="EL34" s="192">
        <v>164.78356682397703</v>
      </c>
      <c r="EM34" s="192">
        <v>164.03598778743023</v>
      </c>
      <c r="EN34" s="192">
        <v>164.62680954128587</v>
      </c>
      <c r="EO34" s="192">
        <v>163.76815973915251</v>
      </c>
      <c r="EP34" s="192">
        <v>164.59017144937187</v>
      </c>
      <c r="EQ34" s="192">
        <v>159.30869474054396</v>
      </c>
      <c r="ER34" s="192">
        <v>158.41852914099189</v>
      </c>
      <c r="ES34" s="192">
        <v>156.43092179635926</v>
      </c>
      <c r="ET34" s="192">
        <v>156.7793538737954</v>
      </c>
      <c r="EU34" s="192">
        <v>156.69511591652741</v>
      </c>
      <c r="EV34" s="192">
        <v>159.96253138643607</v>
      </c>
      <c r="EW34" s="192">
        <v>160.52510006161714</v>
      </c>
      <c r="EX34" s="192">
        <v>160.52462832962169</v>
      </c>
      <c r="EY34" s="192">
        <v>159.76209771234394</v>
      </c>
      <c r="EZ34" s="192">
        <v>160.36473590127667</v>
      </c>
      <c r="FA34" s="192">
        <v>159.48891310310066</v>
      </c>
      <c r="FB34" s="192">
        <v>160.32736504752441</v>
      </c>
      <c r="FC34" s="192">
        <v>154.59562722458185</v>
      </c>
      <c r="FD34" s="192">
        <v>151.68221798579182</v>
      </c>
      <c r="FE34" s="192">
        <v>149.67619912049315</v>
      </c>
      <c r="FF34" s="192">
        <v>150.02785877927818</v>
      </c>
      <c r="FG34" s="192">
        <v>149.94284051251125</v>
      </c>
      <c r="FH34" s="192">
        <v>151.07134362045699</v>
      </c>
      <c r="FI34" s="192">
        <v>151.63912345810289</v>
      </c>
      <c r="FJ34" s="192">
        <v>151.63864735637947</v>
      </c>
      <c r="FK34" s="192">
        <v>150.86905329759429</v>
      </c>
      <c r="FL34" s="192">
        <v>151.47727381922454</v>
      </c>
      <c r="FM34" s="192">
        <v>150.59333813618119</v>
      </c>
      <c r="FN34" s="192">
        <v>151.43955679335329</v>
      </c>
      <c r="FO34" s="192">
        <v>146.31123422092551</v>
      </c>
      <c r="FP34" s="192">
        <v>144.16459166356782</v>
      </c>
      <c r="FQ34" s="192">
        <v>142.14021985971431</v>
      </c>
      <c r="FR34" s="192">
        <v>142.49509683027117</v>
      </c>
      <c r="FS34" s="192">
        <v>142.40930073680829</v>
      </c>
      <c r="FT34" s="192">
        <v>142.00888802212461</v>
      </c>
      <c r="FU34" s="192">
        <v>142.58186244126387</v>
      </c>
      <c r="FV34" s="192">
        <v>142.58138198371614</v>
      </c>
      <c r="FW34" s="192">
        <v>141.80474695801018</v>
      </c>
      <c r="FX34" s="192">
        <v>142.41853205037023</v>
      </c>
      <c r="FY34" s="192">
        <v>141.52650929618414</v>
      </c>
      <c r="FZ34" s="192">
        <v>142.38046995383678</v>
      </c>
      <c r="GA34" s="192">
        <v>137.28659070536855</v>
      </c>
      <c r="GB34" s="192">
        <v>133.96281529686374</v>
      </c>
      <c r="GC34" s="192">
        <v>131.89795605693314</v>
      </c>
      <c r="GD34" s="192">
        <v>132.25993056690115</v>
      </c>
      <c r="GE34" s="192">
        <v>132.17241855156902</v>
      </c>
      <c r="GF34" s="192">
        <v>130.34439758259163</v>
      </c>
      <c r="GG34" s="192">
        <v>130.92883149011368</v>
      </c>
      <c r="GH34" s="192">
        <v>130.92834142341502</v>
      </c>
      <c r="GI34" s="192">
        <v>130.13617369719495</v>
      </c>
      <c r="GJ34" s="192">
        <v>130.76223449140218</v>
      </c>
      <c r="GK34" s="192">
        <v>129.8523712821324</v>
      </c>
      <c r="GL34" s="192">
        <v>130.72341115293804</v>
      </c>
      <c r="GM34" s="192">
        <v>124.6128693269164</v>
      </c>
      <c r="GN34" s="192">
        <v>117.23580820504441</v>
      </c>
      <c r="GO34" s="192">
        <v>115.15229862359186</v>
      </c>
      <c r="GP34" s="192">
        <v>115.51754258074666</v>
      </c>
      <c r="GQ34" s="192">
        <v>115.42924013430832</v>
      </c>
      <c r="GR34" s="192">
        <v>108.82232091141759</v>
      </c>
      <c r="GS34" s="192">
        <v>109.41203357681403</v>
      </c>
      <c r="GT34" s="192">
        <v>109.41153908370649</v>
      </c>
      <c r="GU34" s="192">
        <v>108.6122162941528</v>
      </c>
      <c r="GV34" s="192">
        <v>109.24393183101739</v>
      </c>
      <c r="GW34" s="192">
        <v>108.32585050243807</v>
      </c>
      <c r="GX34" s="192">
        <v>109.20475783014132</v>
      </c>
      <c r="GY34" s="192">
        <v>102.44466439597473</v>
      </c>
      <c r="GZ34" s="192">
        <v>91.380262051665312</v>
      </c>
      <c r="HA34" s="192">
        <v>89.255082278583714</v>
      </c>
      <c r="HB34" s="192">
        <v>89.627631114881638</v>
      </c>
      <c r="HC34" s="192">
        <v>89.537562619514503</v>
      </c>
      <c r="HD34" s="192">
        <v>78.333105012165959</v>
      </c>
      <c r="HE34" s="192">
        <v>78.934611930870332</v>
      </c>
      <c r="HF34" s="192">
        <v>78.934107547900624</v>
      </c>
      <c r="HG34" s="192">
        <v>78.118798302555888</v>
      </c>
      <c r="HH34" s="192">
        <v>78.763148150157747</v>
      </c>
      <c r="HI34" s="192">
        <v>77.826705195006852</v>
      </c>
      <c r="HJ34" s="192">
        <v>78.72319066926417</v>
      </c>
      <c r="HK34" s="192">
        <v>71.7214410157423</v>
      </c>
      <c r="HL34" s="192">
        <v>57.833701607059695</v>
      </c>
      <c r="HM34" s="192">
        <v>55.689580014261495</v>
      </c>
      <c r="HN34" s="192">
        <v>56.065449394535108</v>
      </c>
      <c r="HO34" s="192">
        <v>55.974578114752759</v>
      </c>
      <c r="HP34" s="192">
        <v>40.971239472208282</v>
      </c>
      <c r="HQ34" s="192">
        <v>41.578107648231537</v>
      </c>
      <c r="HR34" s="192">
        <v>41.577598769674509</v>
      </c>
      <c r="HS34" s="192">
        <v>40.755022637577774</v>
      </c>
      <c r="HT34" s="192">
        <v>41.405115603386534</v>
      </c>
      <c r="HU34" s="192">
        <v>40.460326091461454</v>
      </c>
      <c r="HV34" s="192">
        <v>41.364801979728455</v>
      </c>
      <c r="HW34" s="192">
        <v>34.876031282088341</v>
      </c>
      <c r="HX34" s="192">
        <v>19.430737085232082</v>
      </c>
      <c r="HY34" s="192">
        <v>17.24373306057791</v>
      </c>
      <c r="HZ34" s="192">
        <v>17.627119828456998</v>
      </c>
      <c r="IA34" s="192">
        <v>17.534431123078999</v>
      </c>
      <c r="IB34" s="192">
        <v>0.1036257076836371</v>
      </c>
      <c r="IC34" s="192">
        <v>0.72263124722735661</v>
      </c>
      <c r="ID34" s="192">
        <v>0.7221121910991819</v>
      </c>
      <c r="IE34" s="192">
        <v>-0.11691546363948468</v>
      </c>
      <c r="IF34" s="192">
        <v>0.54617936148544288</v>
      </c>
      <c r="IG34" s="192">
        <v>-0.41750594067813296</v>
      </c>
      <c r="IH34" s="192">
        <v>0.50505946535421486</v>
      </c>
      <c r="II34" s="192">
        <v>0</v>
      </c>
      <c r="IJ34" s="192">
        <v>0</v>
      </c>
      <c r="IK34" s="192">
        <v>0</v>
      </c>
      <c r="IL34" s="192">
        <v>0</v>
      </c>
      <c r="IM34" s="192">
        <v>0</v>
      </c>
      <c r="IN34" s="192">
        <v>0</v>
      </c>
      <c r="IO34" s="192">
        <v>0</v>
      </c>
      <c r="IP34" s="192">
        <v>0</v>
      </c>
      <c r="IQ34" s="192">
        <v>0</v>
      </c>
      <c r="IR34" s="192">
        <v>0</v>
      </c>
      <c r="IS34" s="192">
        <v>0</v>
      </c>
      <c r="IT34" s="192">
        <v>0</v>
      </c>
      <c r="IU34" s="192">
        <v>0</v>
      </c>
      <c r="IV34" s="192">
        <v>0</v>
      </c>
      <c r="IW34" s="192">
        <v>0</v>
      </c>
      <c r="IX34" s="192">
        <v>0</v>
      </c>
      <c r="IY34" s="192">
        <v>0</v>
      </c>
      <c r="IZ34" s="192">
        <v>0</v>
      </c>
      <c r="JA34" s="192">
        <v>0</v>
      </c>
      <c r="JB34" s="192">
        <v>0</v>
      </c>
      <c r="JC34" s="192">
        <v>0</v>
      </c>
      <c r="JD34" s="192">
        <v>0</v>
      </c>
      <c r="JE34" s="192">
        <v>0</v>
      </c>
      <c r="JF34" s="192">
        <v>0</v>
      </c>
      <c r="JG34" s="192">
        <v>0</v>
      </c>
      <c r="JH34" s="192">
        <v>0</v>
      </c>
      <c r="JI34" s="192">
        <v>0</v>
      </c>
      <c r="JJ34" s="192">
        <v>0</v>
      </c>
      <c r="JK34" s="192">
        <v>0</v>
      </c>
      <c r="JL34" s="192">
        <v>0</v>
      </c>
      <c r="JM34" s="192">
        <v>0</v>
      </c>
      <c r="JN34" s="192">
        <v>0</v>
      </c>
      <c r="JO34" s="192">
        <v>0</v>
      </c>
      <c r="JP34" s="192">
        <v>0</v>
      </c>
      <c r="JQ34" s="192">
        <v>0</v>
      </c>
      <c r="JR34" s="192">
        <v>0</v>
      </c>
      <c r="JS34" s="192">
        <v>0</v>
      </c>
      <c r="JT34" s="192">
        <v>0</v>
      </c>
      <c r="JU34" s="192">
        <v>0</v>
      </c>
      <c r="JV34" s="192">
        <v>0</v>
      </c>
      <c r="JW34" s="192">
        <v>0</v>
      </c>
      <c r="JX34" s="192">
        <v>0</v>
      </c>
      <c r="JY34" s="192">
        <v>0</v>
      </c>
      <c r="JZ34" s="192">
        <v>0</v>
      </c>
      <c r="KA34" s="192">
        <v>0</v>
      </c>
      <c r="KB34" s="192">
        <v>0</v>
      </c>
      <c r="KC34" s="192">
        <v>0</v>
      </c>
      <c r="KD34" s="192">
        <v>0</v>
      </c>
      <c r="KE34" s="192">
        <v>0</v>
      </c>
      <c r="KF34" s="192">
        <v>0</v>
      </c>
      <c r="KG34" s="192">
        <v>0</v>
      </c>
      <c r="KH34" s="192">
        <v>0</v>
      </c>
      <c r="KI34" s="192">
        <v>0</v>
      </c>
      <c r="KJ34" s="192">
        <v>0</v>
      </c>
      <c r="KK34" s="192">
        <v>0</v>
      </c>
      <c r="KL34" s="192">
        <v>0</v>
      </c>
      <c r="KM34" s="192">
        <v>0</v>
      </c>
      <c r="KN34" s="192">
        <v>0</v>
      </c>
      <c r="KO34" s="192">
        <v>0</v>
      </c>
      <c r="KP34" s="192">
        <v>0</v>
      </c>
      <c r="KQ34" s="192">
        <v>0</v>
      </c>
      <c r="KR34" s="192">
        <v>0</v>
      </c>
      <c r="KS34" s="192">
        <v>0</v>
      </c>
      <c r="KT34" s="192">
        <v>0</v>
      </c>
      <c r="KU34" s="192">
        <v>0</v>
      </c>
      <c r="KV34" s="192">
        <v>0</v>
      </c>
      <c r="KW34" s="192">
        <v>0</v>
      </c>
      <c r="KX34" s="192">
        <v>0</v>
      </c>
      <c r="KY34" s="192">
        <v>0</v>
      </c>
      <c r="KZ34" s="192">
        <v>0</v>
      </c>
      <c r="LA34" s="192">
        <v>0</v>
      </c>
      <c r="LB34" s="192">
        <v>0</v>
      </c>
      <c r="LC34" s="192">
        <v>0</v>
      </c>
      <c r="LD34" s="192">
        <v>0</v>
      </c>
      <c r="LE34" s="192">
        <v>0</v>
      </c>
      <c r="LF34" s="192">
        <v>0</v>
      </c>
      <c r="LG34" s="192">
        <v>0</v>
      </c>
      <c r="LH34" s="192">
        <v>0</v>
      </c>
      <c r="LI34" s="192">
        <v>0</v>
      </c>
      <c r="LJ34" s="192">
        <v>0</v>
      </c>
      <c r="LK34" s="192">
        <v>0</v>
      </c>
      <c r="LL34" s="192">
        <v>0</v>
      </c>
      <c r="LM34" s="192">
        <v>0</v>
      </c>
      <c r="LN34" s="192">
        <v>0</v>
      </c>
      <c r="LO34" s="192">
        <v>0</v>
      </c>
      <c r="LP34" s="192">
        <v>0</v>
      </c>
      <c r="LQ34" s="192">
        <v>0</v>
      </c>
      <c r="LR34" s="192">
        <v>0</v>
      </c>
      <c r="LS34" s="192">
        <v>0</v>
      </c>
      <c r="LT34" s="192">
        <v>0</v>
      </c>
      <c r="LU34" s="192">
        <v>0</v>
      </c>
      <c r="LV34" s="192">
        <v>0</v>
      </c>
      <c r="LW34" s="192">
        <v>0</v>
      </c>
      <c r="LX34" s="192">
        <v>0</v>
      </c>
      <c r="LY34" s="192">
        <v>0</v>
      </c>
      <c r="LZ34" s="192">
        <v>0</v>
      </c>
      <c r="MA34" s="192">
        <v>0</v>
      </c>
      <c r="MB34" s="192">
        <v>0</v>
      </c>
      <c r="MC34" s="192">
        <v>0</v>
      </c>
      <c r="MD34" s="192">
        <v>0</v>
      </c>
      <c r="ME34" s="192">
        <v>0</v>
      </c>
      <c r="MF34" s="192">
        <v>0</v>
      </c>
      <c r="MG34" s="192">
        <v>0</v>
      </c>
      <c r="MH34" s="192">
        <v>0</v>
      </c>
      <c r="MI34" s="192">
        <v>0</v>
      </c>
      <c r="MJ34" s="192">
        <v>0</v>
      </c>
      <c r="MK34" s="192">
        <v>0</v>
      </c>
      <c r="ML34" s="192">
        <v>0</v>
      </c>
      <c r="MM34" s="192">
        <v>0</v>
      </c>
      <c r="MN34" s="192">
        <v>0</v>
      </c>
      <c r="MO34" s="192">
        <v>0</v>
      </c>
      <c r="MP34" s="192">
        <v>0</v>
      </c>
      <c r="MQ34" s="192">
        <v>0</v>
      </c>
      <c r="MR34" s="192">
        <v>0</v>
      </c>
      <c r="MS34" s="192">
        <v>0</v>
      </c>
      <c r="MT34" s="192">
        <v>0</v>
      </c>
      <c r="MU34" s="192">
        <v>0</v>
      </c>
      <c r="MV34" s="192">
        <v>0</v>
      </c>
      <c r="MW34" s="192">
        <v>0</v>
      </c>
      <c r="MX34" s="192">
        <v>0</v>
      </c>
      <c r="MY34" s="192">
        <v>0</v>
      </c>
      <c r="MZ34" s="192">
        <v>0</v>
      </c>
      <c r="NA34" s="192">
        <v>0</v>
      </c>
      <c r="NB34" s="192">
        <v>0</v>
      </c>
      <c r="NC34" s="192">
        <v>0</v>
      </c>
      <c r="ND34" s="192">
        <v>0</v>
      </c>
      <c r="NE34" s="192">
        <v>0</v>
      </c>
      <c r="NF34" s="192">
        <v>0</v>
      </c>
      <c r="NG34" s="192">
        <v>0</v>
      </c>
      <c r="NH34" s="192">
        <v>0</v>
      </c>
      <c r="NI34" s="192">
        <v>0</v>
      </c>
      <c r="NJ34" s="192">
        <v>0</v>
      </c>
      <c r="NK34" s="192">
        <v>0</v>
      </c>
      <c r="NL34" s="192">
        <v>0</v>
      </c>
      <c r="NM34" s="192">
        <v>0</v>
      </c>
      <c r="NN34" s="192">
        <v>0</v>
      </c>
      <c r="NO34" s="192">
        <v>0</v>
      </c>
      <c r="NP34" s="192">
        <v>0</v>
      </c>
      <c r="NQ34" s="192">
        <v>0</v>
      </c>
      <c r="NR34" s="192">
        <v>0</v>
      </c>
      <c r="NU34">
        <v>8</v>
      </c>
      <c r="NV34">
        <v>2035</v>
      </c>
      <c r="NW34" s="188">
        <v>49461</v>
      </c>
      <c r="NX34" s="188">
        <v>49826</v>
      </c>
      <c r="NY34">
        <v>10.199999999999999</v>
      </c>
    </row>
    <row r="35" spans="1:389" ht="19.5" thickTop="1" x14ac:dyDescent="0.4"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  <c r="AI35" s="184"/>
      <c r="AJ35" s="184"/>
      <c r="AK35" s="184"/>
      <c r="AL35" s="184"/>
      <c r="AM35" s="184"/>
      <c r="AN35" s="184"/>
      <c r="AO35" s="184"/>
      <c r="AP35" s="184"/>
      <c r="AQ35" s="184"/>
      <c r="AR35" s="184"/>
      <c r="AS35" s="184"/>
      <c r="AT35" s="184"/>
      <c r="AU35" s="184"/>
      <c r="AV35" s="184"/>
      <c r="AW35" s="184"/>
      <c r="AX35" s="184"/>
      <c r="AY35" s="184"/>
      <c r="AZ35" s="184"/>
      <c r="BA35" s="184"/>
      <c r="BB35" s="184"/>
      <c r="BC35" s="184"/>
      <c r="BD35" s="184"/>
      <c r="BE35" s="184"/>
      <c r="BF35" s="184"/>
      <c r="BG35" s="184"/>
      <c r="BH35" s="184"/>
      <c r="BI35" s="184"/>
      <c r="BJ35" s="184"/>
      <c r="BK35" s="184"/>
      <c r="BL35" s="184"/>
      <c r="BM35" s="184"/>
      <c r="BN35" s="184"/>
      <c r="BO35" s="184"/>
      <c r="BP35" s="184"/>
      <c r="BQ35" s="184"/>
      <c r="BR35" s="184"/>
      <c r="BS35" s="184"/>
      <c r="BT35" s="184"/>
      <c r="BU35" s="184"/>
      <c r="BV35" s="184"/>
      <c r="BW35" s="184"/>
      <c r="BX35" s="184"/>
      <c r="BY35" s="184"/>
      <c r="BZ35" s="184"/>
      <c r="CA35" s="184"/>
      <c r="CB35" s="184"/>
      <c r="CC35" s="184"/>
      <c r="CD35" s="184"/>
      <c r="CE35" s="184"/>
      <c r="CF35" s="184"/>
      <c r="CG35" s="184"/>
      <c r="CH35" s="184"/>
      <c r="CI35" s="184"/>
      <c r="CJ35" s="184"/>
      <c r="CK35" s="184"/>
      <c r="CL35" s="184"/>
      <c r="CM35" s="184"/>
      <c r="CN35" s="184"/>
      <c r="CO35" s="184"/>
      <c r="CP35" s="184"/>
      <c r="CQ35" s="184"/>
      <c r="CR35" s="184"/>
      <c r="CS35" s="184"/>
      <c r="CT35" s="184"/>
      <c r="CU35" s="184"/>
      <c r="CV35" s="184"/>
      <c r="CW35" s="184"/>
      <c r="CX35" s="184"/>
      <c r="CY35" s="184"/>
      <c r="CZ35" s="184"/>
      <c r="DA35" s="184"/>
      <c r="DB35" s="184"/>
      <c r="DC35" s="184"/>
      <c r="DD35" s="184"/>
      <c r="DE35" s="184"/>
      <c r="DF35" s="184"/>
      <c r="DG35" s="184"/>
      <c r="DH35" s="184"/>
      <c r="DI35" s="184"/>
      <c r="DJ35" s="184"/>
      <c r="DK35" s="184"/>
      <c r="DL35" s="184"/>
      <c r="DM35" s="184"/>
      <c r="DN35" s="184"/>
      <c r="DO35" s="184"/>
      <c r="DP35" s="184"/>
      <c r="DQ35" s="184"/>
      <c r="DR35" s="184"/>
      <c r="DS35" s="184"/>
      <c r="DT35" s="184"/>
      <c r="DU35" s="184"/>
      <c r="DV35" s="184"/>
      <c r="DW35" s="184"/>
      <c r="DX35" s="184"/>
      <c r="DY35" s="184"/>
      <c r="DZ35" s="184"/>
      <c r="EA35" s="184"/>
      <c r="EB35" s="184"/>
      <c r="EC35" s="184"/>
      <c r="ED35" s="184"/>
      <c r="EE35" s="184"/>
      <c r="EF35" s="184"/>
      <c r="EG35" s="184"/>
      <c r="EH35" s="184"/>
      <c r="EI35" s="184"/>
      <c r="EJ35" s="184"/>
      <c r="EK35" s="184"/>
      <c r="EL35" s="184"/>
      <c r="EM35" s="184"/>
      <c r="EN35" s="184"/>
      <c r="EO35" s="184"/>
      <c r="EP35" s="184"/>
      <c r="EQ35" s="184"/>
      <c r="ER35" s="184"/>
      <c r="ES35" s="184"/>
      <c r="ET35" s="184"/>
      <c r="EU35" s="184"/>
      <c r="EV35" s="184"/>
      <c r="EW35" s="184"/>
      <c r="EX35" s="184"/>
      <c r="EY35" s="184"/>
      <c r="EZ35" s="184"/>
      <c r="FA35" s="184"/>
      <c r="FB35" s="184"/>
      <c r="FC35" s="184"/>
      <c r="FD35" s="184"/>
      <c r="FE35" s="184"/>
      <c r="FF35" s="184"/>
      <c r="FG35" s="184"/>
      <c r="FH35" s="184"/>
      <c r="FI35" s="184"/>
      <c r="FJ35" s="184"/>
      <c r="FK35" s="184"/>
      <c r="FL35" s="184"/>
      <c r="FM35" s="184"/>
      <c r="FN35" s="184"/>
      <c r="FO35" s="184"/>
      <c r="FP35" s="184"/>
      <c r="FQ35" s="184"/>
      <c r="FR35" s="184"/>
      <c r="FS35" s="184"/>
      <c r="FT35" s="184"/>
      <c r="FU35" s="184"/>
      <c r="FV35" s="184"/>
      <c r="FW35" s="184"/>
      <c r="FX35" s="184"/>
      <c r="FY35" s="184"/>
      <c r="FZ35" s="184"/>
      <c r="GA35" s="184"/>
      <c r="GB35" s="184"/>
      <c r="GC35" s="184"/>
      <c r="GD35" s="184"/>
      <c r="GE35" s="184"/>
      <c r="GF35" s="184"/>
      <c r="GG35" s="184"/>
      <c r="NU35">
        <v>8</v>
      </c>
      <c r="NV35">
        <v>2036</v>
      </c>
      <c r="NW35" s="188">
        <v>49827</v>
      </c>
      <c r="NX35" s="188">
        <v>50191</v>
      </c>
      <c r="NY35">
        <v>10</v>
      </c>
    </row>
    <row r="36" spans="1:389" x14ac:dyDescent="0.4">
      <c r="A36" s="185" t="s">
        <v>565</v>
      </c>
      <c r="B36" s="185" t="s">
        <v>153</v>
      </c>
      <c r="C36" s="185">
        <v>1</v>
      </c>
      <c r="D36" s="185">
        <v>2</v>
      </c>
      <c r="E36" s="185">
        <v>3</v>
      </c>
      <c r="F36" s="185">
        <v>4</v>
      </c>
      <c r="G36" s="185">
        <v>5</v>
      </c>
      <c r="H36" s="185">
        <v>6</v>
      </c>
      <c r="I36" s="185">
        <v>7</v>
      </c>
      <c r="J36" s="185">
        <v>8</v>
      </c>
      <c r="K36" s="185">
        <v>9</v>
      </c>
      <c r="L36" s="185">
        <v>10</v>
      </c>
      <c r="M36" s="185">
        <v>11</v>
      </c>
      <c r="N36" s="185">
        <v>12</v>
      </c>
      <c r="O36" s="185">
        <v>13</v>
      </c>
      <c r="P36" s="185">
        <v>14</v>
      </c>
      <c r="Q36" s="185">
        <v>15</v>
      </c>
      <c r="R36" s="185">
        <v>16</v>
      </c>
      <c r="S36" s="185">
        <v>17</v>
      </c>
      <c r="T36" s="185">
        <v>18</v>
      </c>
      <c r="U36" s="185">
        <v>19</v>
      </c>
      <c r="V36" s="185">
        <v>20</v>
      </c>
      <c r="W36" s="185">
        <v>21</v>
      </c>
      <c r="X36" s="185">
        <v>22</v>
      </c>
      <c r="Y36" s="185">
        <v>23</v>
      </c>
      <c r="Z36" s="185">
        <v>24</v>
      </c>
      <c r="AA36" s="185">
        <v>25</v>
      </c>
      <c r="AB36" s="185">
        <v>26</v>
      </c>
      <c r="AC36" s="185">
        <v>27</v>
      </c>
      <c r="AD36" s="185">
        <v>28</v>
      </c>
      <c r="AE36" s="185">
        <v>29</v>
      </c>
      <c r="AF36" s="185">
        <v>30</v>
      </c>
      <c r="AG36" s="185"/>
      <c r="AH36" s="185"/>
      <c r="AI36" s="185"/>
      <c r="AJ36" s="185"/>
      <c r="AK36" s="185"/>
      <c r="AL36" s="185"/>
      <c r="AM36" s="185"/>
      <c r="NU36">
        <v>8</v>
      </c>
      <c r="NV36">
        <v>2037</v>
      </c>
      <c r="NW36" s="188">
        <v>50192</v>
      </c>
      <c r="NX36" s="188">
        <v>50556</v>
      </c>
      <c r="NY36">
        <v>9.8000000000000007</v>
      </c>
    </row>
    <row r="37" spans="1:389" x14ac:dyDescent="0.4">
      <c r="A37" s="11" t="s">
        <v>532</v>
      </c>
      <c r="B37" s="193"/>
      <c r="NU37">
        <v>8</v>
      </c>
      <c r="NV37">
        <v>2038</v>
      </c>
      <c r="NW37" s="188">
        <v>50557</v>
      </c>
      <c r="NX37" s="188">
        <v>50921</v>
      </c>
      <c r="NY37">
        <v>9.6999999999999993</v>
      </c>
    </row>
    <row r="38" spans="1:389" x14ac:dyDescent="0.4">
      <c r="A38" t="s">
        <v>187</v>
      </c>
      <c r="B38" s="193">
        <v>1551.0087742913904</v>
      </c>
      <c r="C38" s="193">
        <v>137.10031761176472</v>
      </c>
      <c r="D38" s="193">
        <v>143.40282278823528</v>
      </c>
      <c r="E38" s="193">
        <v>138.56830303805094</v>
      </c>
      <c r="F38" s="193">
        <v>140.73998021180628</v>
      </c>
      <c r="G38" s="193">
        <v>144.32508480613888</v>
      </c>
      <c r="H38" s="193">
        <v>147.49636522979284</v>
      </c>
      <c r="I38" s="193">
        <v>151.40935523203194</v>
      </c>
      <c r="J38" s="193">
        <v>153.41085824609442</v>
      </c>
      <c r="K38" s="193">
        <v>154.95681466612373</v>
      </c>
      <c r="L38" s="193">
        <v>158.05595095944619</v>
      </c>
      <c r="M38" s="193">
        <v>158.10395950032341</v>
      </c>
      <c r="N38" s="193">
        <v>158.14616387570604</v>
      </c>
      <c r="O38" s="193">
        <v>159.71795099776196</v>
      </c>
      <c r="P38" s="193">
        <v>156.36273451611441</v>
      </c>
      <c r="Q38" s="193">
        <v>154.46484025094034</v>
      </c>
      <c r="R38" s="193">
        <v>149.11150496965195</v>
      </c>
      <c r="S38" s="193">
        <v>131.36489758528657</v>
      </c>
      <c r="T38" s="193">
        <v>100.61408073113479</v>
      </c>
      <c r="U38" s="193">
        <v>57.76566917893571</v>
      </c>
      <c r="V38" s="193">
        <v>5.9172389479665535</v>
      </c>
      <c r="W38" s="193">
        <v>0</v>
      </c>
      <c r="X38" s="193">
        <v>0</v>
      </c>
      <c r="Y38" s="193">
        <v>0</v>
      </c>
      <c r="Z38" s="193">
        <v>0</v>
      </c>
      <c r="AA38" s="193">
        <v>0</v>
      </c>
      <c r="AB38" s="193">
        <v>0</v>
      </c>
      <c r="AC38" s="193">
        <v>0</v>
      </c>
      <c r="AD38" s="193">
        <v>0</v>
      </c>
      <c r="AE38" s="193">
        <v>0</v>
      </c>
      <c r="AF38" s="193">
        <v>0</v>
      </c>
      <c r="AG38" s="193"/>
      <c r="AH38" s="193"/>
      <c r="AI38" s="193"/>
      <c r="AJ38" s="193"/>
      <c r="AK38" s="193"/>
      <c r="AL38" s="193"/>
      <c r="AM38" s="193"/>
      <c r="NU38">
        <v>8</v>
      </c>
      <c r="NV38">
        <v>2039</v>
      </c>
      <c r="NW38" s="188">
        <v>50922</v>
      </c>
      <c r="NX38" s="188">
        <v>51287</v>
      </c>
      <c r="NY38">
        <v>9.3000000000000007</v>
      </c>
    </row>
    <row r="39" spans="1:389" x14ac:dyDescent="0.4">
      <c r="A39" t="s">
        <v>188</v>
      </c>
      <c r="B39" s="193">
        <v>72.962041015113144</v>
      </c>
      <c r="C39" s="193">
        <v>6.4259999999999993</v>
      </c>
      <c r="D39" s="193">
        <v>6.5545200000000028</v>
      </c>
      <c r="E39" s="193">
        <v>6.6219379200000015</v>
      </c>
      <c r="F39" s="193">
        <v>6.754376678399999</v>
      </c>
      <c r="G39" s="193">
        <v>6.8894642119680007</v>
      </c>
      <c r="H39" s="193">
        <v>7.0272534962073614</v>
      </c>
      <c r="I39" s="193">
        <v>7.0988774260725513</v>
      </c>
      <c r="J39" s="193">
        <v>7.2408549745940034</v>
      </c>
      <c r="K39" s="193">
        <v>7.3139665199685444</v>
      </c>
      <c r="L39" s="193">
        <v>7.4602458503679152</v>
      </c>
      <c r="M39" s="193">
        <v>7.4602458503679108</v>
      </c>
      <c r="N39" s="193">
        <v>7.4572617520277662</v>
      </c>
      <c r="O39" s="193">
        <v>7.5287905892410931</v>
      </c>
      <c r="P39" s="193">
        <v>7.3626914978908253</v>
      </c>
      <c r="Q39" s="193">
        <v>7.2676890269502969</v>
      </c>
      <c r="R39" s="193">
        <v>7.0012070959621191</v>
      </c>
      <c r="S39" s="193">
        <v>6.1330574160628188</v>
      </c>
      <c r="T39" s="193">
        <v>4.6275178421471246</v>
      </c>
      <c r="U39" s="193">
        <v>2.5348514401983686</v>
      </c>
      <c r="V39" s="193">
        <v>0</v>
      </c>
      <c r="W39" s="193">
        <v>0</v>
      </c>
      <c r="X39" s="193">
        <v>0</v>
      </c>
      <c r="Y39" s="193">
        <v>0</v>
      </c>
      <c r="Z39" s="193">
        <v>0</v>
      </c>
      <c r="AA39" s="193">
        <v>0</v>
      </c>
      <c r="AB39" s="193">
        <v>0</v>
      </c>
      <c r="AC39" s="193">
        <v>0</v>
      </c>
      <c r="AD39" s="193">
        <v>0</v>
      </c>
      <c r="AE39" s="193">
        <v>0</v>
      </c>
      <c r="AF39" s="193">
        <v>0</v>
      </c>
      <c r="AG39" s="193"/>
      <c r="AH39" s="193"/>
      <c r="AI39" s="193"/>
      <c r="AJ39" s="193"/>
      <c r="AK39" s="193"/>
      <c r="AL39" s="193"/>
      <c r="AM39" s="193"/>
      <c r="NW39" s="188"/>
      <c r="NX39" s="188"/>
    </row>
    <row r="40" spans="1:389" x14ac:dyDescent="0.4">
      <c r="A40" t="s">
        <v>177</v>
      </c>
      <c r="B40" s="193">
        <v>746.26917374620541</v>
      </c>
      <c r="C40" s="193">
        <v>67.44896373600001</v>
      </c>
      <c r="D40" s="193">
        <v>68.797943010720033</v>
      </c>
      <c r="E40" s="193">
        <v>68.803502440458274</v>
      </c>
      <c r="F40" s="193">
        <v>70.179572489267414</v>
      </c>
      <c r="G40" s="193">
        <v>71.583163939052753</v>
      </c>
      <c r="H40" s="193">
        <v>73.014827217833826</v>
      </c>
      <c r="I40" s="193">
        <v>73.006373774337277</v>
      </c>
      <c r="J40" s="193">
        <v>74.46650124982402</v>
      </c>
      <c r="K40" s="193">
        <v>74.442948638078477</v>
      </c>
      <c r="L40" s="193">
        <v>75.931807610840039</v>
      </c>
      <c r="M40" s="193">
        <v>75.140851281560472</v>
      </c>
      <c r="N40" s="193">
        <v>75.110794941047814</v>
      </c>
      <c r="O40" s="193">
        <v>75.831245423135456</v>
      </c>
      <c r="P40" s="193">
        <v>73.37765408994369</v>
      </c>
      <c r="Q40" s="193">
        <v>71.660304738902454</v>
      </c>
      <c r="R40" s="193">
        <v>69.032760231809362</v>
      </c>
      <c r="S40" s="193">
        <v>59.822453898946016</v>
      </c>
      <c r="T40" s="193">
        <v>45.137270695259552</v>
      </c>
      <c r="U40" s="193">
        <v>24.456441729485849</v>
      </c>
      <c r="V40" s="193">
        <v>0</v>
      </c>
      <c r="W40" s="193">
        <v>0</v>
      </c>
      <c r="X40" s="193">
        <v>0</v>
      </c>
      <c r="Y40" s="193">
        <v>0</v>
      </c>
      <c r="Z40" s="193">
        <v>0</v>
      </c>
      <c r="AA40" s="193">
        <v>0</v>
      </c>
      <c r="AB40" s="193">
        <v>0</v>
      </c>
      <c r="AC40" s="193">
        <v>0</v>
      </c>
      <c r="AD40" s="193">
        <v>0</v>
      </c>
      <c r="AE40" s="193">
        <v>0</v>
      </c>
      <c r="AF40" s="193">
        <v>0</v>
      </c>
      <c r="AG40" s="193"/>
      <c r="AH40" s="193"/>
      <c r="AI40" s="193"/>
      <c r="AJ40" s="193"/>
      <c r="AK40" s="193"/>
      <c r="AL40" s="193"/>
      <c r="AM40" s="193"/>
      <c r="NW40" s="188"/>
      <c r="NX40" s="188"/>
    </row>
    <row r="41" spans="1:389" x14ac:dyDescent="0.4">
      <c r="A41" t="s">
        <v>189</v>
      </c>
      <c r="B41" s="193">
        <v>656.27332914608496</v>
      </c>
      <c r="C41" s="193">
        <v>191.05970625</v>
      </c>
      <c r="D41" s="193">
        <v>162.40075031250001</v>
      </c>
      <c r="E41" s="193">
        <v>136.72596502499999</v>
      </c>
      <c r="F41" s="193">
        <v>116.21707027124997</v>
      </c>
      <c r="G41" s="193">
        <v>98.784509730562448</v>
      </c>
      <c r="H41" s="193">
        <v>83.9668332709781</v>
      </c>
      <c r="I41" s="193">
        <v>0</v>
      </c>
      <c r="J41" s="193">
        <v>0</v>
      </c>
      <c r="K41" s="193">
        <v>0</v>
      </c>
      <c r="L41" s="193">
        <v>0</v>
      </c>
      <c r="M41" s="193">
        <v>0</v>
      </c>
      <c r="N41" s="193">
        <v>0</v>
      </c>
      <c r="O41" s="193">
        <v>0</v>
      </c>
      <c r="P41" s="193">
        <v>0</v>
      </c>
      <c r="Q41" s="193">
        <v>0</v>
      </c>
      <c r="R41" s="193">
        <v>0</v>
      </c>
      <c r="S41" s="193">
        <v>0</v>
      </c>
      <c r="T41" s="193">
        <v>0</v>
      </c>
      <c r="U41" s="193">
        <v>0</v>
      </c>
      <c r="V41" s="193">
        <v>0</v>
      </c>
      <c r="W41" s="193">
        <v>0</v>
      </c>
      <c r="X41" s="193">
        <v>0</v>
      </c>
      <c r="Y41" s="193">
        <v>0</v>
      </c>
      <c r="Z41" s="193">
        <v>0</v>
      </c>
      <c r="AA41" s="193">
        <v>0</v>
      </c>
      <c r="AB41" s="193">
        <v>0</v>
      </c>
      <c r="AC41" s="193">
        <v>0</v>
      </c>
      <c r="AD41" s="193">
        <v>0</v>
      </c>
      <c r="AE41" s="193">
        <v>0</v>
      </c>
      <c r="AF41" s="193">
        <v>0</v>
      </c>
      <c r="AG41" s="193"/>
      <c r="AH41" s="193"/>
      <c r="AI41" s="193"/>
      <c r="AJ41" s="193"/>
      <c r="AK41" s="193"/>
      <c r="AL41" s="193"/>
      <c r="AM41" s="193"/>
      <c r="NW41" s="188"/>
      <c r="NX41" s="188"/>
    </row>
    <row r="42" spans="1:389" x14ac:dyDescent="0.4">
      <c r="A42" t="s">
        <v>190</v>
      </c>
      <c r="B42" s="193">
        <v>933.68356558448329</v>
      </c>
      <c r="C42" s="193">
        <v>0</v>
      </c>
      <c r="D42" s="193">
        <v>0</v>
      </c>
      <c r="E42" s="193">
        <v>0</v>
      </c>
      <c r="F42" s="193">
        <v>0</v>
      </c>
      <c r="G42" s="193">
        <v>0</v>
      </c>
      <c r="H42" s="193">
        <v>0</v>
      </c>
      <c r="I42" s="193">
        <v>746.74999999999989</v>
      </c>
      <c r="J42" s="193">
        <v>746.74999999999989</v>
      </c>
      <c r="K42" s="193">
        <v>0</v>
      </c>
      <c r="L42" s="193">
        <v>0</v>
      </c>
      <c r="M42" s="193">
        <v>0</v>
      </c>
      <c r="N42" s="193">
        <v>0</v>
      </c>
      <c r="O42" s="193">
        <v>0</v>
      </c>
      <c r="P42" s="193">
        <v>0</v>
      </c>
      <c r="Q42" s="193">
        <v>0</v>
      </c>
      <c r="R42" s="193">
        <v>0</v>
      </c>
      <c r="S42" s="193">
        <v>0</v>
      </c>
      <c r="T42" s="193">
        <v>0</v>
      </c>
      <c r="U42" s="193">
        <v>0</v>
      </c>
      <c r="V42" s="193">
        <v>0</v>
      </c>
      <c r="W42" s="193">
        <v>0</v>
      </c>
      <c r="X42" s="193">
        <v>0</v>
      </c>
      <c r="Y42" s="193">
        <v>0</v>
      </c>
      <c r="Z42" s="193">
        <v>0</v>
      </c>
      <c r="AA42" s="193">
        <v>0</v>
      </c>
      <c r="AB42" s="193">
        <v>0</v>
      </c>
      <c r="AC42" s="193">
        <v>0</v>
      </c>
      <c r="AD42" s="193">
        <v>0</v>
      </c>
      <c r="AE42" s="193">
        <v>0</v>
      </c>
      <c r="AF42" s="193">
        <v>0</v>
      </c>
      <c r="AG42" s="193"/>
      <c r="AH42" s="193"/>
      <c r="AI42" s="193"/>
      <c r="AJ42" s="193"/>
      <c r="AK42" s="193"/>
      <c r="AL42" s="193"/>
      <c r="AM42" s="193"/>
      <c r="NW42" s="188"/>
      <c r="NX42" s="188"/>
    </row>
    <row r="43" spans="1:389" x14ac:dyDescent="0.4">
      <c r="A43" t="s">
        <v>191</v>
      </c>
      <c r="B43" s="193">
        <v>0</v>
      </c>
      <c r="C43" s="193">
        <v>0</v>
      </c>
      <c r="D43" s="193">
        <v>0</v>
      </c>
      <c r="E43" s="193">
        <v>0</v>
      </c>
      <c r="F43" s="193">
        <v>0</v>
      </c>
      <c r="G43" s="193">
        <v>0</v>
      </c>
      <c r="H43" s="193">
        <v>0</v>
      </c>
      <c r="I43" s="193">
        <v>0</v>
      </c>
      <c r="J43" s="193">
        <v>0</v>
      </c>
      <c r="K43" s="193">
        <v>0</v>
      </c>
      <c r="L43" s="193">
        <v>0</v>
      </c>
      <c r="M43" s="193">
        <v>0</v>
      </c>
      <c r="N43" s="193">
        <v>0</v>
      </c>
      <c r="O43" s="193">
        <v>0</v>
      </c>
      <c r="P43" s="193">
        <v>0</v>
      </c>
      <c r="Q43" s="193">
        <v>0</v>
      </c>
      <c r="R43" s="193">
        <v>0</v>
      </c>
      <c r="S43" s="193">
        <v>0</v>
      </c>
      <c r="T43" s="193">
        <v>0</v>
      </c>
      <c r="U43" s="193">
        <v>0</v>
      </c>
      <c r="V43" s="193">
        <v>0</v>
      </c>
      <c r="W43" s="193">
        <v>0</v>
      </c>
      <c r="X43" s="193">
        <v>0</v>
      </c>
      <c r="Y43" s="193">
        <v>0</v>
      </c>
      <c r="Z43" s="193">
        <v>0</v>
      </c>
      <c r="AA43" s="193">
        <v>0</v>
      </c>
      <c r="AB43" s="193">
        <v>0</v>
      </c>
      <c r="AC43" s="193">
        <v>0</v>
      </c>
      <c r="AD43" s="193">
        <v>0</v>
      </c>
      <c r="AE43" s="193">
        <v>0</v>
      </c>
      <c r="AF43" s="193">
        <v>0</v>
      </c>
      <c r="AG43" s="193"/>
      <c r="AH43" s="193"/>
      <c r="AI43" s="193"/>
      <c r="AJ43" s="193"/>
      <c r="AK43" s="193"/>
      <c r="AL43" s="193"/>
      <c r="AM43" s="193"/>
      <c r="NW43" s="188"/>
      <c r="NX43" s="188"/>
    </row>
    <row r="44" spans="1:389" x14ac:dyDescent="0.4">
      <c r="A44" t="s">
        <v>192</v>
      </c>
      <c r="B44" s="193">
        <v>6457.1808513677088</v>
      </c>
      <c r="C44" s="193">
        <v>322.17000000000007</v>
      </c>
      <c r="D44" s="193">
        <v>376.95000000000005</v>
      </c>
      <c r="E44" s="193">
        <v>516.65999999999985</v>
      </c>
      <c r="F44" s="193">
        <v>614.82999999999993</v>
      </c>
      <c r="G44" s="193">
        <v>629.59999999999991</v>
      </c>
      <c r="H44" s="193">
        <v>622.03</v>
      </c>
      <c r="I44" s="193">
        <v>629.14999999999986</v>
      </c>
      <c r="J44" s="193">
        <v>627.68999999999994</v>
      </c>
      <c r="K44" s="193">
        <v>618.71999999999991</v>
      </c>
      <c r="L44" s="193">
        <v>631.58000000000015</v>
      </c>
      <c r="M44" s="193">
        <v>765.62000000000012</v>
      </c>
      <c r="N44" s="193">
        <v>847.91999999999985</v>
      </c>
      <c r="O44" s="193">
        <v>842.37</v>
      </c>
      <c r="P44" s="193">
        <v>820.06999999999994</v>
      </c>
      <c r="Q44" s="193">
        <v>778.04</v>
      </c>
      <c r="R44" s="193">
        <v>720.9899999999999</v>
      </c>
      <c r="S44" s="193">
        <v>626.80999999999983</v>
      </c>
      <c r="T44" s="193">
        <v>482.77</v>
      </c>
      <c r="U44" s="193">
        <v>297.89</v>
      </c>
      <c r="V44" s="193">
        <v>87.8</v>
      </c>
      <c r="W44" s="193">
        <v>0</v>
      </c>
      <c r="X44" s="193">
        <v>0</v>
      </c>
      <c r="Y44" s="193">
        <v>0</v>
      </c>
      <c r="Z44" s="193">
        <v>0</v>
      </c>
      <c r="AA44" s="193">
        <v>0</v>
      </c>
      <c r="AB44" s="193">
        <v>0</v>
      </c>
      <c r="AC44" s="193">
        <v>0</v>
      </c>
      <c r="AD44" s="193">
        <v>0</v>
      </c>
      <c r="AE44" s="193">
        <v>0</v>
      </c>
      <c r="AF44" s="193">
        <v>0</v>
      </c>
      <c r="AG44" s="193"/>
      <c r="AH44" s="193"/>
      <c r="AI44" s="193"/>
      <c r="AJ44" s="193"/>
      <c r="AK44" s="193"/>
      <c r="AL44" s="193"/>
      <c r="AM44" s="193"/>
      <c r="NU44">
        <v>8</v>
      </c>
      <c r="NV44">
        <v>2040</v>
      </c>
      <c r="NW44" s="188">
        <v>51288</v>
      </c>
      <c r="NX44" s="188">
        <v>51652</v>
      </c>
      <c r="NY44">
        <v>9</v>
      </c>
    </row>
    <row r="45" spans="1:389" x14ac:dyDescent="0.4">
      <c r="A45" t="s">
        <v>178</v>
      </c>
      <c r="B45" s="193">
        <v>11122.645010379894</v>
      </c>
      <c r="C45" s="193">
        <v>1243.1100000000001</v>
      </c>
      <c r="D45" s="193">
        <v>1341.08</v>
      </c>
      <c r="E45" s="193">
        <v>1317.1900000000003</v>
      </c>
      <c r="F45" s="193">
        <v>1296</v>
      </c>
      <c r="G45" s="193">
        <v>1251.6099999999997</v>
      </c>
      <c r="H45" s="193">
        <v>1197.73</v>
      </c>
      <c r="I45" s="193">
        <v>1136.3800000000001</v>
      </c>
      <c r="J45" s="193">
        <v>1087.1200000000001</v>
      </c>
      <c r="K45" s="193">
        <v>1031.08</v>
      </c>
      <c r="L45" s="193">
        <v>986.20000000000016</v>
      </c>
      <c r="M45" s="193">
        <v>927.15999999999985</v>
      </c>
      <c r="N45" s="193">
        <v>869.62000000000012</v>
      </c>
      <c r="O45" s="193">
        <v>823.13999999999987</v>
      </c>
      <c r="P45" s="193">
        <v>757.47999999999979</v>
      </c>
      <c r="Q45" s="193">
        <v>701.38999999999987</v>
      </c>
      <c r="R45" s="193">
        <v>635.11999999999989</v>
      </c>
      <c r="S45" s="193">
        <v>526.85</v>
      </c>
      <c r="T45" s="193">
        <v>378.73000000000013</v>
      </c>
      <c r="U45" s="193">
        <v>202.75000000000003</v>
      </c>
      <c r="V45" s="193">
        <v>15.06</v>
      </c>
      <c r="W45" s="193">
        <v>0</v>
      </c>
      <c r="X45" s="193">
        <v>0</v>
      </c>
      <c r="Y45" s="193">
        <v>0</v>
      </c>
      <c r="Z45" s="193">
        <v>0</v>
      </c>
      <c r="AA45" s="193">
        <v>0</v>
      </c>
      <c r="AB45" s="193">
        <v>0</v>
      </c>
      <c r="AC45" s="193">
        <v>0</v>
      </c>
      <c r="AD45" s="193">
        <v>0</v>
      </c>
      <c r="AE45" s="193">
        <v>0</v>
      </c>
      <c r="AF45" s="193">
        <v>0</v>
      </c>
      <c r="AG45" s="193"/>
      <c r="AH45" s="193"/>
      <c r="AI45" s="193"/>
      <c r="AJ45" s="193"/>
      <c r="AK45" s="193"/>
      <c r="AL45" s="193"/>
      <c r="AM45" s="193"/>
      <c r="NU45">
        <v>8</v>
      </c>
      <c r="NV45">
        <v>2041</v>
      </c>
      <c r="NW45" s="188">
        <v>51653</v>
      </c>
      <c r="NX45" s="188">
        <v>52017</v>
      </c>
      <c r="NY45">
        <v>8.5</v>
      </c>
    </row>
    <row r="46" spans="1:389" ht="19.5" thickBot="1" x14ac:dyDescent="0.45">
      <c r="A46" t="s">
        <v>74</v>
      </c>
      <c r="B46" s="194">
        <v>21540.022745530878</v>
      </c>
      <c r="C46" s="194">
        <v>1967.3149875977649</v>
      </c>
      <c r="D46" s="194">
        <v>2099.186036111455</v>
      </c>
      <c r="E46" s="194">
        <v>2184.5697084235094</v>
      </c>
      <c r="F46" s="194">
        <v>2244.7209996507236</v>
      </c>
      <c r="G46" s="194">
        <v>2202.7922226877217</v>
      </c>
      <c r="H46" s="194">
        <v>2131.2652792148119</v>
      </c>
      <c r="I46" s="194">
        <v>2743.7946064324415</v>
      </c>
      <c r="J46" s="194">
        <v>2696.6782144705121</v>
      </c>
      <c r="K46" s="194">
        <v>1886.5137298241707</v>
      </c>
      <c r="L46" s="194">
        <v>1859.2280044206545</v>
      </c>
      <c r="M46" s="194">
        <v>1933.4850566322518</v>
      </c>
      <c r="N46" s="194">
        <v>1958.2542205687816</v>
      </c>
      <c r="O46" s="194">
        <v>1908.5879870101385</v>
      </c>
      <c r="P46" s="194">
        <v>1814.6530801039487</v>
      </c>
      <c r="Q46" s="194">
        <v>1712.822834016793</v>
      </c>
      <c r="R46" s="194">
        <v>1581.2554722974232</v>
      </c>
      <c r="S46" s="194">
        <v>1350.9804089002953</v>
      </c>
      <c r="T46" s="194">
        <v>1011.8788692685416</v>
      </c>
      <c r="U46" s="194">
        <v>585.39696234861992</v>
      </c>
      <c r="V46" s="194">
        <v>108.77723894796655</v>
      </c>
      <c r="W46" s="194">
        <v>0</v>
      </c>
      <c r="X46" s="194">
        <v>0</v>
      </c>
      <c r="Y46" s="194">
        <v>0</v>
      </c>
      <c r="Z46" s="194">
        <v>0</v>
      </c>
      <c r="AA46" s="194">
        <v>0</v>
      </c>
      <c r="AB46" s="194">
        <v>0</v>
      </c>
      <c r="AC46" s="194">
        <v>0</v>
      </c>
      <c r="AD46" s="194">
        <v>0</v>
      </c>
      <c r="AE46" s="194">
        <v>0</v>
      </c>
      <c r="AF46" s="194">
        <v>0</v>
      </c>
      <c r="AG46" s="194"/>
      <c r="AH46" s="194"/>
      <c r="AI46" s="194"/>
      <c r="AJ46" s="194"/>
      <c r="AK46" s="194"/>
      <c r="AL46" s="194"/>
      <c r="AM46" s="194"/>
      <c r="NU46">
        <v>8</v>
      </c>
      <c r="NV46">
        <v>2042</v>
      </c>
      <c r="NW46" s="188">
        <v>52018</v>
      </c>
      <c r="NX46" s="188">
        <v>52382</v>
      </c>
      <c r="NY46">
        <v>7.3</v>
      </c>
    </row>
    <row r="47" spans="1:389" ht="19.5" thickTop="1" x14ac:dyDescent="0.4">
      <c r="A47" t="s">
        <v>566</v>
      </c>
      <c r="B47" s="24"/>
      <c r="NU47">
        <v>8</v>
      </c>
      <c r="NV47">
        <v>2043</v>
      </c>
      <c r="NW47" s="188">
        <v>52383</v>
      </c>
      <c r="NX47" s="188">
        <v>52748</v>
      </c>
      <c r="NY47">
        <v>5.4</v>
      </c>
    </row>
    <row r="48" spans="1:389" x14ac:dyDescent="0.4">
      <c r="A48" t="s">
        <v>567</v>
      </c>
      <c r="NU48">
        <v>8</v>
      </c>
      <c r="NV48">
        <v>2044</v>
      </c>
      <c r="NW48" s="188">
        <v>52749</v>
      </c>
      <c r="NX48" s="188">
        <v>53113</v>
      </c>
      <c r="NY48">
        <v>2.9</v>
      </c>
    </row>
    <row r="49" spans="1:389" x14ac:dyDescent="0.4">
      <c r="A49" t="s">
        <v>568</v>
      </c>
      <c r="NU49">
        <v>8</v>
      </c>
      <c r="NV49">
        <v>2045</v>
      </c>
      <c r="NW49" s="188">
        <v>53114</v>
      </c>
      <c r="NX49" s="188">
        <v>53478</v>
      </c>
      <c r="NY49">
        <v>0</v>
      </c>
    </row>
    <row r="50" spans="1:389" x14ac:dyDescent="0.4">
      <c r="NU50">
        <v>8</v>
      </c>
      <c r="NV50">
        <v>2046</v>
      </c>
      <c r="NW50" s="188">
        <v>53479</v>
      </c>
      <c r="NX50" s="188">
        <v>53843</v>
      </c>
      <c r="NY50">
        <v>0</v>
      </c>
    </row>
    <row r="51" spans="1:389" x14ac:dyDescent="0.4">
      <c r="B51" s="54"/>
      <c r="NU51">
        <v>8</v>
      </c>
      <c r="NV51">
        <v>2047</v>
      </c>
      <c r="NW51" s="188">
        <v>53844</v>
      </c>
      <c r="NX51" s="188">
        <v>54209</v>
      </c>
      <c r="NY51">
        <v>0</v>
      </c>
    </row>
    <row r="52" spans="1:389" x14ac:dyDescent="0.4">
      <c r="NU52">
        <v>8</v>
      </c>
      <c r="NV52">
        <v>2048</v>
      </c>
      <c r="NW52" s="188">
        <v>54210</v>
      </c>
      <c r="NX52" s="188">
        <v>54574</v>
      </c>
      <c r="NY52">
        <v>0</v>
      </c>
    </row>
    <row r="53" spans="1:389" x14ac:dyDescent="0.4">
      <c r="A53" s="11" t="s">
        <v>569</v>
      </c>
      <c r="NU53">
        <v>8</v>
      </c>
      <c r="NV53">
        <v>2049</v>
      </c>
      <c r="NW53" s="188">
        <v>54575</v>
      </c>
      <c r="NX53" s="188">
        <v>54939</v>
      </c>
      <c r="NY53">
        <v>0</v>
      </c>
    </row>
    <row r="54" spans="1:389" s="11" customFormat="1" x14ac:dyDescent="0.4">
      <c r="A54" s="11" t="s">
        <v>532</v>
      </c>
      <c r="B54" s="195" t="s">
        <v>570</v>
      </c>
      <c r="C54" s="11">
        <v>2026</v>
      </c>
      <c r="D54" s="11">
        <v>2027</v>
      </c>
      <c r="E54" s="11">
        <v>2028</v>
      </c>
      <c r="F54" s="11">
        <v>2029</v>
      </c>
      <c r="G54" s="11">
        <v>2030</v>
      </c>
      <c r="H54" s="11">
        <v>2031</v>
      </c>
      <c r="I54" s="11">
        <v>2032</v>
      </c>
      <c r="J54" s="11">
        <v>2033</v>
      </c>
      <c r="K54" s="11">
        <v>2034</v>
      </c>
      <c r="L54" s="11">
        <v>2035</v>
      </c>
      <c r="M54" s="11">
        <v>2036</v>
      </c>
      <c r="N54" s="11">
        <v>2037</v>
      </c>
      <c r="O54" s="11">
        <v>2038</v>
      </c>
      <c r="P54" s="11">
        <v>2039</v>
      </c>
      <c r="Q54" s="11">
        <v>2040</v>
      </c>
      <c r="R54" s="11">
        <v>2041</v>
      </c>
      <c r="S54" s="11">
        <v>2042</v>
      </c>
      <c r="T54" s="11">
        <v>2043</v>
      </c>
      <c r="U54" s="11">
        <v>2044</v>
      </c>
      <c r="V54" s="11">
        <v>2045</v>
      </c>
      <c r="W54" s="11">
        <v>2046</v>
      </c>
      <c r="X54" s="11">
        <v>2047</v>
      </c>
      <c r="Y54" s="11">
        <v>2048</v>
      </c>
      <c r="Z54" s="11">
        <v>2049</v>
      </c>
      <c r="AA54" s="11">
        <v>2050</v>
      </c>
      <c r="AB54" s="11">
        <v>2051</v>
      </c>
      <c r="AC54" s="11">
        <v>2052</v>
      </c>
      <c r="AD54" s="11">
        <v>2053</v>
      </c>
      <c r="AE54" s="11">
        <v>2054</v>
      </c>
      <c r="AF54" s="11">
        <v>2055</v>
      </c>
      <c r="NU54" s="11">
        <v>8</v>
      </c>
      <c r="NV54" s="11">
        <v>2050</v>
      </c>
      <c r="NW54" s="196">
        <v>54940</v>
      </c>
      <c r="NX54" s="196">
        <v>55304</v>
      </c>
      <c r="NY54" s="11">
        <v>0</v>
      </c>
    </row>
    <row r="55" spans="1:389" x14ac:dyDescent="0.4">
      <c r="A55" t="s">
        <v>187</v>
      </c>
      <c r="B55" s="193">
        <v>458686.41597195354</v>
      </c>
      <c r="C55" s="193">
        <v>27420.063522352946</v>
      </c>
      <c r="D55" s="193">
        <v>42654.062318823526</v>
      </c>
      <c r="E55" s="193">
        <v>42322.678206433717</v>
      </c>
      <c r="F55" s="193">
        <v>42276.325800886349</v>
      </c>
      <c r="G55" s="193">
        <v>43215.944426222806</v>
      </c>
      <c r="H55" s="193">
        <v>44214.249559263146</v>
      </c>
      <c r="I55" s="193">
        <v>45319.624962730173</v>
      </c>
      <c r="J55" s="193">
        <v>46114.161146891049</v>
      </c>
      <c r="K55" s="193">
        <v>46629.32381179255</v>
      </c>
      <c r="L55" s="193">
        <v>47406.744285820321</v>
      </c>
      <c r="M55" s="193">
        <v>47732.257075874382</v>
      </c>
      <c r="N55" s="193">
        <v>47745.498805038631</v>
      </c>
      <c r="O55" s="193">
        <v>48063.954318956137</v>
      </c>
      <c r="P55" s="193">
        <v>47553.022417157968</v>
      </c>
      <c r="Q55" s="193">
        <v>46831.111853213035</v>
      </c>
      <c r="R55" s="193">
        <v>45566.760269129387</v>
      </c>
      <c r="S55" s="193">
        <v>41471.179504956955</v>
      </c>
      <c r="T55" s="193">
        <v>33510.761258814193</v>
      </c>
      <c r="U55" s="193">
        <v>21804.270140428653</v>
      </c>
      <c r="V55" s="193">
        <v>7063.9436165350153</v>
      </c>
      <c r="W55" s="193">
        <v>591.72389479665537</v>
      </c>
      <c r="X55" s="193">
        <v>0</v>
      </c>
      <c r="Y55" s="193">
        <v>0</v>
      </c>
      <c r="Z55" s="193">
        <v>0</v>
      </c>
      <c r="AA55" s="193">
        <v>0</v>
      </c>
      <c r="AB55" s="193">
        <v>0</v>
      </c>
      <c r="AC55" s="193">
        <v>0</v>
      </c>
      <c r="AD55" s="193">
        <v>0</v>
      </c>
      <c r="AE55" s="193">
        <v>0</v>
      </c>
      <c r="AF55" s="193">
        <v>0</v>
      </c>
      <c r="NU55">
        <v>8</v>
      </c>
      <c r="NV55">
        <v>2051</v>
      </c>
      <c r="NW55" s="188">
        <v>55305</v>
      </c>
      <c r="NX55" s="188">
        <v>55670</v>
      </c>
      <c r="NY55">
        <v>0</v>
      </c>
    </row>
    <row r="56" spans="1:389" x14ac:dyDescent="0.4">
      <c r="A56" t="s">
        <v>188</v>
      </c>
      <c r="B56" s="193">
        <v>21582.259914564722</v>
      </c>
      <c r="C56" s="193">
        <v>1285.1999999999998</v>
      </c>
      <c r="D56" s="193">
        <v>1966.3560000000007</v>
      </c>
      <c r="E56" s="193">
        <v>1992.9486240000003</v>
      </c>
      <c r="F56" s="193">
        <v>2026.3130035199997</v>
      </c>
      <c r="G56" s="193">
        <v>2066.8392635904002</v>
      </c>
      <c r="H56" s="193">
        <v>2108.1760488622085</v>
      </c>
      <c r="I56" s="193">
        <v>2136.5553418276609</v>
      </c>
      <c r="J56" s="193">
        <v>2172.2564923782011</v>
      </c>
      <c r="K56" s="193">
        <v>2201.3605114022971</v>
      </c>
      <c r="L56" s="193">
        <v>2238.0737551103748</v>
      </c>
      <c r="M56" s="193">
        <v>2252.9942468111094</v>
      </c>
      <c r="N56" s="193">
        <v>2252.3974271430807</v>
      </c>
      <c r="O56" s="193">
        <v>2266.3988165550509</v>
      </c>
      <c r="P56" s="193">
        <v>2240.4749396807565</v>
      </c>
      <c r="Q56" s="193">
        <v>2204.5323381749236</v>
      </c>
      <c r="R56" s="193">
        <v>2141.5456999413545</v>
      </c>
      <c r="S56" s="193">
        <v>1940.7346070007002</v>
      </c>
      <c r="T56" s="193">
        <v>1551.0754248678322</v>
      </c>
      <c r="U56" s="193">
        <v>978.97710793868032</v>
      </c>
      <c r="V56" s="193">
        <v>258.5548469002336</v>
      </c>
      <c r="W56" s="193">
        <v>0</v>
      </c>
      <c r="X56" s="193">
        <v>0</v>
      </c>
      <c r="Y56" s="193">
        <v>0</v>
      </c>
      <c r="Z56" s="193">
        <v>0</v>
      </c>
      <c r="AA56" s="193">
        <v>0</v>
      </c>
      <c r="AB56" s="193">
        <v>0</v>
      </c>
      <c r="AC56" s="193">
        <v>0</v>
      </c>
      <c r="AD56" s="193">
        <v>0</v>
      </c>
      <c r="AE56" s="193">
        <v>0</v>
      </c>
      <c r="AF56" s="193">
        <v>0</v>
      </c>
      <c r="NW56" s="188"/>
      <c r="NX56" s="188"/>
    </row>
    <row r="57" spans="1:389" x14ac:dyDescent="0.4">
      <c r="A57" t="s">
        <v>177</v>
      </c>
      <c r="B57" s="193">
        <v>220747.32353885059</v>
      </c>
      <c r="C57" s="193">
        <v>13489.792747200003</v>
      </c>
      <c r="D57" s="193">
        <v>20639.38290321601</v>
      </c>
      <c r="E57" s="193">
        <v>20778.0906751851</v>
      </c>
      <c r="F57" s="193">
        <v>21053.871746780223</v>
      </c>
      <c r="G57" s="193">
        <v>21474.949181715827</v>
      </c>
      <c r="H57" s="193">
        <v>21904.44816535015</v>
      </c>
      <c r="I57" s="193">
        <v>22048.787131086508</v>
      </c>
      <c r="J57" s="193">
        <v>22339.950374947206</v>
      </c>
      <c r="K57" s="193">
        <v>22484.172855097746</v>
      </c>
      <c r="L57" s="193">
        <v>22779.542283252013</v>
      </c>
      <c r="M57" s="193">
        <v>22773.214632617775</v>
      </c>
      <c r="N57" s="193">
        <v>22686.525818928731</v>
      </c>
      <c r="O57" s="193">
        <v>22827.550168613976</v>
      </c>
      <c r="P57" s="193">
        <v>22410.317851148553</v>
      </c>
      <c r="Q57" s="193">
        <v>21816.581664954749</v>
      </c>
      <c r="R57" s="193">
        <v>21115.903129729923</v>
      </c>
      <c r="S57" s="193">
        <v>19005.832323433759</v>
      </c>
      <c r="T57" s="193">
        <v>15129.344436744403</v>
      </c>
      <c r="U57" s="193">
        <v>9495.2899568136436</v>
      </c>
      <c r="V57" s="193">
        <v>2494.5570564075565</v>
      </c>
      <c r="W57" s="193">
        <v>0</v>
      </c>
      <c r="X57" s="193">
        <v>0</v>
      </c>
      <c r="Y57" s="193">
        <v>0</v>
      </c>
      <c r="Z57" s="193">
        <v>0</v>
      </c>
      <c r="AA57" s="193">
        <v>0</v>
      </c>
      <c r="AB57" s="193">
        <v>0</v>
      </c>
      <c r="AC57" s="193">
        <v>0</v>
      </c>
      <c r="AD57" s="193">
        <v>0</v>
      </c>
      <c r="AE57" s="193">
        <v>0</v>
      </c>
      <c r="AF57" s="193">
        <v>0</v>
      </c>
      <c r="NU57">
        <v>8</v>
      </c>
      <c r="NV57">
        <v>2052</v>
      </c>
      <c r="NW57" s="188">
        <v>55671</v>
      </c>
      <c r="NX57" s="188">
        <v>56035</v>
      </c>
      <c r="NY57">
        <v>0</v>
      </c>
    </row>
    <row r="58" spans="1:389" x14ac:dyDescent="0.4">
      <c r="A58" t="s">
        <v>189</v>
      </c>
      <c r="B58" s="193">
        <v>183647.81425211864</v>
      </c>
      <c r="C58" s="193">
        <v>38211.941250000003</v>
      </c>
      <c r="D58" s="193">
        <v>48720.225093749999</v>
      </c>
      <c r="E58" s="193">
        <v>41149.256781562501</v>
      </c>
      <c r="F58" s="193">
        <v>34865.121081374986</v>
      </c>
      <c r="G58" s="193">
        <v>29635.352919168734</v>
      </c>
      <c r="H58" s="193">
        <v>25190.049981293429</v>
      </c>
      <c r="I58" s="193">
        <v>7137.1808280331397</v>
      </c>
      <c r="J58" s="193">
        <v>0</v>
      </c>
      <c r="K58" s="193">
        <v>0</v>
      </c>
      <c r="L58" s="193">
        <v>0</v>
      </c>
      <c r="M58" s="193">
        <v>0</v>
      </c>
      <c r="N58" s="193">
        <v>0</v>
      </c>
      <c r="O58" s="193">
        <v>0</v>
      </c>
      <c r="P58" s="193">
        <v>0</v>
      </c>
      <c r="Q58" s="193">
        <v>0</v>
      </c>
      <c r="R58" s="193">
        <v>0</v>
      </c>
      <c r="S58" s="193">
        <v>0</v>
      </c>
      <c r="T58" s="193">
        <v>0</v>
      </c>
      <c r="U58" s="193">
        <v>0</v>
      </c>
      <c r="V58" s="193">
        <v>0</v>
      </c>
      <c r="W58" s="193">
        <v>0</v>
      </c>
      <c r="X58" s="193">
        <v>0</v>
      </c>
      <c r="Y58" s="193">
        <v>0</v>
      </c>
      <c r="Z58" s="193">
        <v>0</v>
      </c>
      <c r="AA58" s="193">
        <v>0</v>
      </c>
      <c r="AB58" s="193">
        <v>0</v>
      </c>
      <c r="AC58" s="193">
        <v>0</v>
      </c>
      <c r="AD58" s="193">
        <v>0</v>
      </c>
      <c r="AE58" s="193">
        <v>0</v>
      </c>
      <c r="AF58" s="193">
        <v>0</v>
      </c>
      <c r="NU58">
        <v>8</v>
      </c>
      <c r="NV58">
        <v>2053</v>
      </c>
      <c r="NW58" s="188">
        <v>56036</v>
      </c>
      <c r="NX58" s="188">
        <v>56400</v>
      </c>
      <c r="NY58">
        <v>0</v>
      </c>
    </row>
    <row r="59" spans="1:389" x14ac:dyDescent="0.4">
      <c r="A59" t="s">
        <v>190</v>
      </c>
      <c r="B59" s="193">
        <v>274430.84452641115</v>
      </c>
      <c r="C59" s="193">
        <v>0</v>
      </c>
      <c r="D59" s="193">
        <v>0</v>
      </c>
      <c r="E59" s="193">
        <v>0</v>
      </c>
      <c r="F59" s="193">
        <v>0</v>
      </c>
      <c r="G59" s="193">
        <v>0</v>
      </c>
      <c r="H59" s="193">
        <v>0</v>
      </c>
      <c r="I59" s="193">
        <v>149349.99999999997</v>
      </c>
      <c r="J59" s="193">
        <v>224024.99999999994</v>
      </c>
      <c r="K59" s="193">
        <v>74674.999999999985</v>
      </c>
      <c r="L59" s="193">
        <v>0</v>
      </c>
      <c r="M59" s="193">
        <v>0</v>
      </c>
      <c r="N59" s="193">
        <v>0</v>
      </c>
      <c r="O59" s="193">
        <v>0</v>
      </c>
      <c r="P59" s="193">
        <v>0</v>
      </c>
      <c r="Q59" s="193">
        <v>0</v>
      </c>
      <c r="R59" s="193">
        <v>0</v>
      </c>
      <c r="S59" s="193">
        <v>0</v>
      </c>
      <c r="T59" s="193">
        <v>0</v>
      </c>
      <c r="U59" s="193">
        <v>0</v>
      </c>
      <c r="V59" s="193">
        <v>0</v>
      </c>
      <c r="W59" s="193">
        <v>0</v>
      </c>
      <c r="X59" s="193">
        <v>0</v>
      </c>
      <c r="Y59" s="193">
        <v>0</v>
      </c>
      <c r="Z59" s="193">
        <v>0</v>
      </c>
      <c r="AA59" s="193">
        <v>0</v>
      </c>
      <c r="AB59" s="193">
        <v>0</v>
      </c>
      <c r="AC59" s="193">
        <v>0</v>
      </c>
      <c r="AD59" s="193">
        <v>0</v>
      </c>
      <c r="AE59" s="193">
        <v>0</v>
      </c>
      <c r="AF59" s="193">
        <v>0</v>
      </c>
      <c r="NU59">
        <v>8</v>
      </c>
      <c r="NV59">
        <v>2054</v>
      </c>
      <c r="NW59" s="188">
        <v>56401</v>
      </c>
      <c r="NX59" s="188">
        <v>56765</v>
      </c>
      <c r="NY59">
        <v>0</v>
      </c>
    </row>
    <row r="60" spans="1:389" x14ac:dyDescent="0.4">
      <c r="A60" t="s">
        <v>191</v>
      </c>
      <c r="B60" s="193">
        <v>0</v>
      </c>
      <c r="C60" s="193">
        <v>0</v>
      </c>
      <c r="D60" s="193">
        <v>0</v>
      </c>
      <c r="E60" s="193">
        <v>0</v>
      </c>
      <c r="F60" s="193">
        <v>0</v>
      </c>
      <c r="G60" s="193">
        <v>0</v>
      </c>
      <c r="H60" s="193">
        <v>0</v>
      </c>
      <c r="I60" s="193">
        <v>0</v>
      </c>
      <c r="J60" s="193">
        <v>0</v>
      </c>
      <c r="K60" s="193">
        <v>0</v>
      </c>
      <c r="L60" s="193">
        <v>0</v>
      </c>
      <c r="M60" s="193">
        <v>0</v>
      </c>
      <c r="N60" s="193">
        <v>0</v>
      </c>
      <c r="O60" s="193">
        <v>0</v>
      </c>
      <c r="P60" s="193">
        <v>0</v>
      </c>
      <c r="Q60" s="193">
        <v>0</v>
      </c>
      <c r="R60" s="193">
        <v>0</v>
      </c>
      <c r="S60" s="193">
        <v>0</v>
      </c>
      <c r="T60" s="193">
        <v>0</v>
      </c>
      <c r="U60" s="193">
        <v>0</v>
      </c>
      <c r="V60" s="193">
        <v>0</v>
      </c>
      <c r="W60" s="193">
        <v>0</v>
      </c>
      <c r="X60" s="193">
        <v>0</v>
      </c>
      <c r="Y60" s="193">
        <v>0</v>
      </c>
      <c r="Z60" s="193">
        <v>0</v>
      </c>
      <c r="AA60" s="193">
        <v>0</v>
      </c>
      <c r="AB60" s="193">
        <v>0</v>
      </c>
      <c r="AC60" s="193">
        <v>0</v>
      </c>
      <c r="AD60" s="193">
        <v>0</v>
      </c>
      <c r="AE60" s="193">
        <v>0</v>
      </c>
      <c r="AF60" s="193">
        <v>0</v>
      </c>
      <c r="NU60">
        <v>8</v>
      </c>
      <c r="NV60">
        <v>2055</v>
      </c>
      <c r="NW60" s="188">
        <v>56766</v>
      </c>
      <c r="NX60" s="188">
        <v>57131</v>
      </c>
      <c r="NY60">
        <v>0</v>
      </c>
    </row>
    <row r="61" spans="1:389" x14ac:dyDescent="0.4">
      <c r="A61" t="s">
        <v>192</v>
      </c>
      <c r="B61" s="193">
        <v>1921808.5269442168</v>
      </c>
      <c r="C61" s="193">
        <v>64434.000000000015</v>
      </c>
      <c r="D61" s="193">
        <v>100240.00000000001</v>
      </c>
      <c r="E61" s="193">
        <v>155333.99999999997</v>
      </c>
      <c r="F61" s="193">
        <v>184673.99999999997</v>
      </c>
      <c r="G61" s="193">
        <v>188879.99999999997</v>
      </c>
      <c r="H61" s="193">
        <v>186609</v>
      </c>
      <c r="I61" s="193">
        <v>189108.99999999997</v>
      </c>
      <c r="J61" s="193">
        <v>188551.99999999997</v>
      </c>
      <c r="K61" s="193">
        <v>185972.99999999997</v>
      </c>
      <c r="L61" s="193">
        <v>189719.00000000003</v>
      </c>
      <c r="M61" s="193">
        <v>230694.00000000003</v>
      </c>
      <c r="N61" s="193">
        <v>256089.99999999997</v>
      </c>
      <c r="O61" s="193">
        <v>253922</v>
      </c>
      <c r="P61" s="193">
        <v>248434</v>
      </c>
      <c r="Q61" s="193">
        <v>236317</v>
      </c>
      <c r="R61" s="193">
        <v>219752.99999999997</v>
      </c>
      <c r="S61" s="193">
        <v>195378.99999999994</v>
      </c>
      <c r="T61" s="193">
        <v>157426</v>
      </c>
      <c r="U61" s="193">
        <v>106461</v>
      </c>
      <c r="V61" s="193">
        <v>46472</v>
      </c>
      <c r="W61" s="193">
        <v>8505.0000000000018</v>
      </c>
      <c r="X61" s="193">
        <v>0</v>
      </c>
      <c r="Y61" s="193">
        <v>0</v>
      </c>
      <c r="Z61" s="193">
        <v>0</v>
      </c>
      <c r="AA61" s="193">
        <v>0</v>
      </c>
      <c r="AB61" s="193">
        <v>0</v>
      </c>
      <c r="AC61" s="193">
        <v>0</v>
      </c>
      <c r="AD61" s="193">
        <v>0</v>
      </c>
      <c r="AE61" s="193">
        <v>0</v>
      </c>
      <c r="AF61" s="193">
        <v>0</v>
      </c>
      <c r="NU61">
        <v>8</v>
      </c>
      <c r="NV61">
        <v>2056</v>
      </c>
      <c r="NW61" s="188">
        <v>57132</v>
      </c>
      <c r="NX61" s="188">
        <v>57496</v>
      </c>
      <c r="NY61">
        <v>0</v>
      </c>
    </row>
    <row r="62" spans="1:389" x14ac:dyDescent="0.4">
      <c r="A62" t="s">
        <v>178</v>
      </c>
      <c r="B62" s="193">
        <v>3235325.4541546111</v>
      </c>
      <c r="C62" s="193">
        <v>248622.00000000003</v>
      </c>
      <c r="D62" s="193">
        <v>391174</v>
      </c>
      <c r="E62" s="193">
        <v>396312.00000000006</v>
      </c>
      <c r="F62" s="193">
        <v>388903</v>
      </c>
      <c r="G62" s="193">
        <v>375482.99999999988</v>
      </c>
      <c r="H62" s="193">
        <v>359319</v>
      </c>
      <c r="I62" s="193">
        <v>341926</v>
      </c>
      <c r="J62" s="193">
        <v>326224</v>
      </c>
      <c r="K62" s="193">
        <v>310248</v>
      </c>
      <c r="L62" s="193">
        <v>295941.00000000006</v>
      </c>
      <c r="M62" s="193">
        <v>279853</v>
      </c>
      <c r="N62" s="193">
        <v>262650.00000000006</v>
      </c>
      <c r="O62" s="193">
        <v>247851.99999999997</v>
      </c>
      <c r="P62" s="193">
        <v>230290.99999999997</v>
      </c>
      <c r="Q62" s="193">
        <v>212797.99999999997</v>
      </c>
      <c r="R62" s="193">
        <v>194120.99999999994</v>
      </c>
      <c r="S62" s="193">
        <v>166194</v>
      </c>
      <c r="T62" s="193">
        <v>126168.00000000003</v>
      </c>
      <c r="U62" s="193">
        <v>76794.000000000015</v>
      </c>
      <c r="V62" s="193">
        <v>22425.999999999996</v>
      </c>
      <c r="W62" s="193">
        <v>1442</v>
      </c>
      <c r="X62" s="193">
        <v>0</v>
      </c>
      <c r="Y62" s="193">
        <v>0</v>
      </c>
      <c r="Z62" s="193">
        <v>0</v>
      </c>
      <c r="AA62" s="193">
        <v>0</v>
      </c>
      <c r="AB62" s="193">
        <v>0</v>
      </c>
      <c r="AC62" s="193">
        <v>0</v>
      </c>
      <c r="AD62" s="193">
        <v>0</v>
      </c>
      <c r="AE62" s="193">
        <v>0</v>
      </c>
      <c r="AF62" s="193">
        <v>0</v>
      </c>
      <c r="NU62">
        <v>8</v>
      </c>
      <c r="NV62">
        <v>2057</v>
      </c>
      <c r="NW62" s="188">
        <v>57497</v>
      </c>
      <c r="NX62" s="188">
        <v>57861</v>
      </c>
      <c r="NY62">
        <v>0</v>
      </c>
    </row>
    <row r="63" spans="1:389" ht="19.5" thickBot="1" x14ac:dyDescent="0.45">
      <c r="A63" t="s">
        <v>74</v>
      </c>
      <c r="B63" s="194">
        <v>6316228.6393027268</v>
      </c>
      <c r="C63" s="194">
        <v>393462.997519553</v>
      </c>
      <c r="D63" s="194">
        <v>605394.02631578955</v>
      </c>
      <c r="E63" s="194">
        <v>657888.97428718139</v>
      </c>
      <c r="F63" s="194">
        <v>673798.63163256156</v>
      </c>
      <c r="G63" s="194">
        <v>660756.0857906976</v>
      </c>
      <c r="H63" s="194">
        <v>639344.92375476891</v>
      </c>
      <c r="I63" s="194">
        <v>757027.14826367749</v>
      </c>
      <c r="J63" s="194">
        <v>809427.36801421642</v>
      </c>
      <c r="K63" s="194">
        <v>642210.85717829259</v>
      </c>
      <c r="L63" s="194">
        <v>558084.36032418278</v>
      </c>
      <c r="M63" s="194">
        <v>583305.46595530328</v>
      </c>
      <c r="N63" s="194">
        <v>591424.42205111054</v>
      </c>
      <c r="O63" s="194">
        <v>574931.90330412518</v>
      </c>
      <c r="P63" s="194">
        <v>550928.81520798721</v>
      </c>
      <c r="Q63" s="194">
        <v>519967.2258563427</v>
      </c>
      <c r="R63" s="194">
        <v>482698.20909880061</v>
      </c>
      <c r="S63" s="194">
        <v>423990.74643539137</v>
      </c>
      <c r="T63" s="194">
        <v>333785.18112042645</v>
      </c>
      <c r="U63" s="194">
        <v>215533.53720518097</v>
      </c>
      <c r="V63" s="194">
        <v>78715.055519842805</v>
      </c>
      <c r="W63" s="194">
        <v>10538.723894796658</v>
      </c>
      <c r="X63" s="194">
        <v>0</v>
      </c>
      <c r="Y63" s="194">
        <v>0</v>
      </c>
      <c r="Z63" s="194">
        <v>0</v>
      </c>
      <c r="AA63" s="194">
        <v>0</v>
      </c>
      <c r="AB63" s="194">
        <v>0</v>
      </c>
      <c r="AC63" s="194">
        <v>0</v>
      </c>
      <c r="AD63" s="194">
        <v>0</v>
      </c>
      <c r="AE63" s="194">
        <v>0</v>
      </c>
      <c r="AF63" s="194">
        <v>0</v>
      </c>
      <c r="NU63">
        <v>8</v>
      </c>
      <c r="NV63">
        <v>2058</v>
      </c>
      <c r="NW63" s="188">
        <v>57862</v>
      </c>
      <c r="NX63" s="188">
        <v>58226</v>
      </c>
      <c r="NY63">
        <v>0</v>
      </c>
    </row>
    <row r="64" spans="1:389" ht="19.5" thickTop="1" x14ac:dyDescent="0.4">
      <c r="NW64" s="188"/>
      <c r="NX64" s="188"/>
    </row>
    <row r="65" spans="387:388" x14ac:dyDescent="0.4">
      <c r="NW65" s="188"/>
      <c r="NX65" s="188"/>
    </row>
  </sheetData>
  <pageMargins left="0.7" right="0.7" top="0.75" bottom="0.75" header="0.3" footer="0.3"/>
  <pageSetup scale="2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46AF1-53CF-4CA2-9B69-27D9F838416E}">
  <dimension ref="B1:W51"/>
  <sheetViews>
    <sheetView view="pageBreakPreview" zoomScale="60" zoomScaleNormal="85" workbookViewId="0">
      <selection activeCell="L7" sqref="L7"/>
    </sheetView>
  </sheetViews>
  <sheetFormatPr defaultRowHeight="18.75" x14ac:dyDescent="0.4"/>
  <cols>
    <col min="2" max="2" width="10.109375" customWidth="1"/>
    <col min="3" max="3" width="11.77734375" customWidth="1"/>
    <col min="4" max="4" width="8.21875" bestFit="1" customWidth="1"/>
    <col min="5" max="5" width="12.21875" bestFit="1" customWidth="1"/>
    <col min="6" max="6" width="14.77734375" bestFit="1" customWidth="1"/>
    <col min="7" max="7" width="47.109375" bestFit="1" customWidth="1"/>
    <col min="8" max="8" width="9.77734375" bestFit="1" customWidth="1"/>
    <col min="9" max="9" width="8.5546875" customWidth="1"/>
    <col min="10" max="10" width="7.5546875" bestFit="1" customWidth="1"/>
    <col min="11" max="11" width="15.5546875" customWidth="1"/>
    <col min="12" max="12" width="4.77734375" customWidth="1"/>
    <col min="13" max="13" width="26.109375" customWidth="1"/>
    <col min="14" max="14" width="9.77734375" customWidth="1"/>
    <col min="15" max="23" width="15" customWidth="1"/>
  </cols>
  <sheetData>
    <row r="1" spans="2:15" x14ac:dyDescent="0.4">
      <c r="B1" t="s">
        <v>588</v>
      </c>
    </row>
    <row r="2" spans="2:15" ht="37.5" x14ac:dyDescent="0.4">
      <c r="B2" s="78" t="s">
        <v>96</v>
      </c>
      <c r="C2" s="78" t="s">
        <v>70</v>
      </c>
      <c r="D2" s="79" t="s">
        <v>97</v>
      </c>
      <c r="E2" s="79" t="s">
        <v>98</v>
      </c>
      <c r="F2" s="78" t="s">
        <v>99</v>
      </c>
      <c r="G2" s="79" t="s">
        <v>100</v>
      </c>
      <c r="H2" s="79" t="s">
        <v>101</v>
      </c>
      <c r="I2" s="79" t="s">
        <v>102</v>
      </c>
      <c r="J2" s="79" t="s">
        <v>103</v>
      </c>
      <c r="K2" s="79" t="s">
        <v>71</v>
      </c>
    </row>
    <row r="3" spans="2:15" x14ac:dyDescent="0.4">
      <c r="B3" s="212" t="s">
        <v>104</v>
      </c>
      <c r="C3" s="213" t="s">
        <v>105</v>
      </c>
      <c r="D3" s="38" t="s">
        <v>106</v>
      </c>
      <c r="E3" s="38" t="s">
        <v>107</v>
      </c>
      <c r="F3" s="39">
        <v>203031</v>
      </c>
      <c r="G3" s="39" t="s">
        <v>344</v>
      </c>
      <c r="H3" s="39" t="s">
        <v>39</v>
      </c>
      <c r="I3" s="39" t="s">
        <v>15</v>
      </c>
      <c r="J3" s="39">
        <v>3.7</v>
      </c>
      <c r="K3" s="67">
        <v>2754059</v>
      </c>
    </row>
    <row r="4" spans="2:15" x14ac:dyDescent="0.4">
      <c r="B4" s="211"/>
      <c r="C4" s="214"/>
      <c r="D4" s="38" t="s">
        <v>108</v>
      </c>
      <c r="E4" s="38" t="s">
        <v>107</v>
      </c>
      <c r="F4" s="39">
        <v>199623</v>
      </c>
      <c r="G4" s="39" t="s">
        <v>337</v>
      </c>
      <c r="H4" s="39" t="s">
        <v>39</v>
      </c>
      <c r="I4" s="39" t="s">
        <v>15</v>
      </c>
      <c r="J4" s="39">
        <v>1.5</v>
      </c>
      <c r="K4" s="67">
        <v>1109903</v>
      </c>
    </row>
    <row r="5" spans="2:15" x14ac:dyDescent="0.4">
      <c r="B5" s="211"/>
      <c r="C5" s="214"/>
      <c r="D5" s="38" t="s">
        <v>108</v>
      </c>
      <c r="E5" s="38" t="s">
        <v>107</v>
      </c>
      <c r="F5" s="39">
        <v>199973</v>
      </c>
      <c r="G5" s="39" t="s">
        <v>338</v>
      </c>
      <c r="H5" s="39" t="s">
        <v>39</v>
      </c>
      <c r="I5" s="39" t="s">
        <v>15</v>
      </c>
      <c r="J5" s="39">
        <v>2.1</v>
      </c>
      <c r="K5" s="67">
        <v>1553533</v>
      </c>
    </row>
    <row r="6" spans="2:15" x14ac:dyDescent="0.4">
      <c r="B6" s="211"/>
      <c r="C6" s="214"/>
      <c r="D6" s="38" t="s">
        <v>108</v>
      </c>
      <c r="E6" s="38" t="s">
        <v>107</v>
      </c>
      <c r="F6" s="39">
        <v>204892</v>
      </c>
      <c r="G6" s="39" t="s">
        <v>358</v>
      </c>
      <c r="H6" s="39" t="s">
        <v>39</v>
      </c>
      <c r="I6" s="39" t="s">
        <v>15</v>
      </c>
      <c r="J6" s="39">
        <v>1.65</v>
      </c>
      <c r="K6" s="67">
        <v>1214917</v>
      </c>
    </row>
    <row r="7" spans="2:15" x14ac:dyDescent="0.4">
      <c r="B7" s="211"/>
      <c r="C7" s="214"/>
      <c r="D7" s="38" t="s">
        <v>109</v>
      </c>
      <c r="E7" s="38" t="s">
        <v>110</v>
      </c>
      <c r="F7" s="39">
        <v>203325</v>
      </c>
      <c r="G7" s="68" t="s">
        <v>345</v>
      </c>
      <c r="H7" s="39" t="s">
        <v>39</v>
      </c>
      <c r="I7" s="39" t="s">
        <v>15</v>
      </c>
      <c r="J7" s="39">
        <v>2.7</v>
      </c>
      <c r="K7" s="67">
        <v>2009727</v>
      </c>
    </row>
    <row r="8" spans="2:15" x14ac:dyDescent="0.4">
      <c r="B8" s="211"/>
      <c r="C8" s="214"/>
      <c r="D8" s="38" t="s">
        <v>109</v>
      </c>
      <c r="E8" s="38" t="s">
        <v>110</v>
      </c>
      <c r="F8" s="39">
        <v>205188</v>
      </c>
      <c r="G8" s="41" t="s">
        <v>369</v>
      </c>
      <c r="H8" s="39" t="s">
        <v>39</v>
      </c>
      <c r="I8" s="39" t="s">
        <v>15</v>
      </c>
      <c r="J8" s="39">
        <v>2.8</v>
      </c>
      <c r="K8" s="67">
        <v>2073314</v>
      </c>
    </row>
    <row r="9" spans="2:15" x14ac:dyDescent="0.4">
      <c r="B9" s="211"/>
      <c r="C9" s="214"/>
      <c r="D9" s="38" t="s">
        <v>109</v>
      </c>
      <c r="E9" s="38" t="s">
        <v>110</v>
      </c>
      <c r="F9" s="39">
        <v>205534</v>
      </c>
      <c r="G9" s="39" t="s">
        <v>416</v>
      </c>
      <c r="H9" s="39" t="s">
        <v>39</v>
      </c>
      <c r="I9" s="39" t="s">
        <v>15</v>
      </c>
      <c r="J9" s="39">
        <v>1.9</v>
      </c>
      <c r="K9" s="67">
        <v>1400395</v>
      </c>
    </row>
    <row r="10" spans="2:15" x14ac:dyDescent="0.4">
      <c r="B10" s="211"/>
      <c r="C10" s="214"/>
      <c r="D10" s="38" t="s">
        <v>111</v>
      </c>
      <c r="E10" s="38" t="s">
        <v>107</v>
      </c>
      <c r="F10" s="39">
        <v>175351</v>
      </c>
      <c r="G10" s="39" t="s">
        <v>414</v>
      </c>
      <c r="H10" s="39" t="s">
        <v>39</v>
      </c>
      <c r="I10" s="39" t="s">
        <v>15</v>
      </c>
      <c r="J10" s="39">
        <v>1.2</v>
      </c>
      <c r="K10" s="67">
        <v>917484</v>
      </c>
    </row>
    <row r="11" spans="2:15" x14ac:dyDescent="0.4">
      <c r="B11" s="211"/>
      <c r="C11" s="214"/>
      <c r="D11" s="38" t="s">
        <v>111</v>
      </c>
      <c r="E11" s="38" t="s">
        <v>107</v>
      </c>
      <c r="F11" s="39">
        <v>202178</v>
      </c>
      <c r="G11" s="39" t="s">
        <v>343</v>
      </c>
      <c r="H11" s="39" t="s">
        <v>39</v>
      </c>
      <c r="I11" s="39" t="s">
        <v>15</v>
      </c>
      <c r="J11" s="39">
        <v>5.5</v>
      </c>
      <c r="K11" s="67">
        <v>4138361</v>
      </c>
    </row>
    <row r="12" spans="2:15" x14ac:dyDescent="0.4">
      <c r="B12" s="211"/>
      <c r="C12" s="214"/>
      <c r="D12" s="38" t="s">
        <v>112</v>
      </c>
      <c r="E12" s="38" t="s">
        <v>113</v>
      </c>
      <c r="F12" s="39">
        <v>199297</v>
      </c>
      <c r="G12" s="39" t="s">
        <v>331</v>
      </c>
      <c r="H12" s="39" t="s">
        <v>39</v>
      </c>
      <c r="I12" s="39" t="s">
        <v>15</v>
      </c>
      <c r="J12" s="39">
        <v>3.3</v>
      </c>
      <c r="K12" s="67">
        <v>2456234</v>
      </c>
      <c r="N12" s="204"/>
      <c r="O12" s="204" t="s">
        <v>613</v>
      </c>
    </row>
    <row r="13" spans="2:15" x14ac:dyDescent="0.4">
      <c r="B13" s="211"/>
      <c r="C13" s="214"/>
      <c r="D13" s="38" t="s">
        <v>112</v>
      </c>
      <c r="E13" s="38" t="s">
        <v>113</v>
      </c>
      <c r="F13" s="39">
        <v>204888</v>
      </c>
      <c r="G13" s="39" t="s">
        <v>355</v>
      </c>
      <c r="H13" s="39" t="s">
        <v>39</v>
      </c>
      <c r="I13" s="39" t="s">
        <v>15</v>
      </c>
      <c r="J13" s="39">
        <v>5</v>
      </c>
      <c r="K13" s="67">
        <v>3762144</v>
      </c>
      <c r="N13" s="205" t="s">
        <v>106</v>
      </c>
      <c r="O13" s="206">
        <f>SUMIFS(K:K,D:D,N13)</f>
        <v>5638387</v>
      </c>
    </row>
    <row r="14" spans="2:15" x14ac:dyDescent="0.4">
      <c r="B14" s="211"/>
      <c r="C14" s="214"/>
      <c r="D14" s="38" t="s">
        <v>112</v>
      </c>
      <c r="E14" s="38" t="s">
        <v>113</v>
      </c>
      <c r="F14" s="39">
        <v>204889</v>
      </c>
      <c r="G14" s="39" t="s">
        <v>356</v>
      </c>
      <c r="H14" s="39" t="s">
        <v>39</v>
      </c>
      <c r="I14" s="39" t="s">
        <v>15</v>
      </c>
      <c r="J14" s="39">
        <v>4</v>
      </c>
      <c r="K14" s="67">
        <v>940532</v>
      </c>
      <c r="N14" s="205" t="s">
        <v>108</v>
      </c>
      <c r="O14" s="206">
        <f t="shared" ref="O14:O22" si="0">SUMIFS(K:K,D:D,N14)</f>
        <v>7149940</v>
      </c>
    </row>
    <row r="15" spans="2:15" x14ac:dyDescent="0.4">
      <c r="B15" s="211"/>
      <c r="C15" s="214"/>
      <c r="D15" s="38" t="s">
        <v>115</v>
      </c>
      <c r="E15" s="38" t="s">
        <v>116</v>
      </c>
      <c r="F15" s="39">
        <v>197817</v>
      </c>
      <c r="G15" s="39" t="s">
        <v>330</v>
      </c>
      <c r="H15" s="39" t="s">
        <v>39</v>
      </c>
      <c r="I15" s="39" t="s">
        <v>15</v>
      </c>
      <c r="J15" s="39">
        <v>2.4</v>
      </c>
      <c r="K15" s="67">
        <v>1782012</v>
      </c>
      <c r="N15" s="205" t="s">
        <v>109</v>
      </c>
      <c r="O15" s="206">
        <f t="shared" si="0"/>
        <v>7281076</v>
      </c>
    </row>
    <row r="16" spans="2:15" x14ac:dyDescent="0.4">
      <c r="B16" s="211"/>
      <c r="C16" s="214"/>
      <c r="D16" s="38" t="s">
        <v>115</v>
      </c>
      <c r="E16" s="38" t="s">
        <v>116</v>
      </c>
      <c r="F16" s="39">
        <v>199494</v>
      </c>
      <c r="G16" s="39" t="s">
        <v>415</v>
      </c>
      <c r="H16" s="39" t="s">
        <v>39</v>
      </c>
      <c r="I16" s="39" t="s">
        <v>15</v>
      </c>
      <c r="J16" s="39">
        <v>3</v>
      </c>
      <c r="K16" s="67">
        <v>2227005</v>
      </c>
      <c r="N16" s="205" t="s">
        <v>111</v>
      </c>
      <c r="O16" s="206">
        <f t="shared" si="0"/>
        <v>7578187</v>
      </c>
    </row>
    <row r="17" spans="2:23" x14ac:dyDescent="0.4">
      <c r="B17" s="211"/>
      <c r="C17" s="214"/>
      <c r="D17" s="38" t="s">
        <v>115</v>
      </c>
      <c r="E17" s="38" t="s">
        <v>116</v>
      </c>
      <c r="F17" s="39">
        <v>204106</v>
      </c>
      <c r="G17" s="39" t="s">
        <v>352</v>
      </c>
      <c r="H17" s="39" t="s">
        <v>39</v>
      </c>
      <c r="I17" s="39" t="s">
        <v>15</v>
      </c>
      <c r="J17" s="39">
        <v>1.7</v>
      </c>
      <c r="K17" s="67">
        <v>1251737</v>
      </c>
      <c r="N17" s="205" t="s">
        <v>112</v>
      </c>
      <c r="O17" s="206">
        <f t="shared" si="0"/>
        <v>22796856</v>
      </c>
    </row>
    <row r="18" spans="2:23" x14ac:dyDescent="0.4">
      <c r="B18" s="211"/>
      <c r="C18" s="214"/>
      <c r="D18" s="38" t="s">
        <v>115</v>
      </c>
      <c r="E18" s="38" t="s">
        <v>116</v>
      </c>
      <c r="F18" s="39">
        <v>204107</v>
      </c>
      <c r="G18" s="39" t="s">
        <v>353</v>
      </c>
      <c r="H18" s="39" t="s">
        <v>39</v>
      </c>
      <c r="I18" s="39" t="s">
        <v>15</v>
      </c>
      <c r="J18" s="39">
        <v>1.1200000000000001</v>
      </c>
      <c r="K18" s="67">
        <v>822502</v>
      </c>
      <c r="N18" s="205" t="s">
        <v>115</v>
      </c>
      <c r="O18" s="206">
        <f t="shared" si="0"/>
        <v>7243022</v>
      </c>
    </row>
    <row r="19" spans="2:23" x14ac:dyDescent="0.4">
      <c r="B19" s="211"/>
      <c r="C19" s="214"/>
      <c r="D19" s="38" t="s">
        <v>117</v>
      </c>
      <c r="E19" s="38" t="s">
        <v>118</v>
      </c>
      <c r="F19" s="39">
        <v>204891</v>
      </c>
      <c r="G19" s="39" t="s">
        <v>357</v>
      </c>
      <c r="H19" s="39" t="s">
        <v>39</v>
      </c>
      <c r="I19" s="39" t="s">
        <v>15</v>
      </c>
      <c r="J19" s="39">
        <v>3.3</v>
      </c>
      <c r="K19" s="67">
        <v>2418666</v>
      </c>
      <c r="N19" s="205" t="s">
        <v>117</v>
      </c>
      <c r="O19" s="206">
        <f t="shared" si="0"/>
        <v>3928884</v>
      </c>
    </row>
    <row r="20" spans="2:23" x14ac:dyDescent="0.4">
      <c r="B20" s="211"/>
      <c r="C20" s="214"/>
      <c r="D20" s="38" t="s">
        <v>119</v>
      </c>
      <c r="E20" s="38" t="s">
        <v>116</v>
      </c>
      <c r="F20" s="39">
        <v>203716</v>
      </c>
      <c r="G20" s="39" t="s">
        <v>346</v>
      </c>
      <c r="H20" s="39" t="s">
        <v>39</v>
      </c>
      <c r="I20" s="39" t="s">
        <v>15</v>
      </c>
      <c r="J20" s="39">
        <v>1.5</v>
      </c>
      <c r="K20" s="67">
        <v>1110638</v>
      </c>
      <c r="N20" s="205" t="s">
        <v>119</v>
      </c>
      <c r="O20" s="206">
        <f t="shared" si="0"/>
        <v>4594933</v>
      </c>
    </row>
    <row r="21" spans="2:23" x14ac:dyDescent="0.4">
      <c r="B21" s="211"/>
      <c r="C21" s="214"/>
      <c r="D21" s="38" t="s">
        <v>119</v>
      </c>
      <c r="E21" s="38" t="s">
        <v>116</v>
      </c>
      <c r="F21" s="39">
        <v>203723</v>
      </c>
      <c r="G21" s="39" t="s">
        <v>347</v>
      </c>
      <c r="H21" s="39" t="s">
        <v>39</v>
      </c>
      <c r="I21" s="39" t="s">
        <v>15</v>
      </c>
      <c r="J21" s="39">
        <v>0.8</v>
      </c>
      <c r="K21" s="67">
        <v>587651</v>
      </c>
      <c r="N21" s="205" t="s">
        <v>122</v>
      </c>
      <c r="O21" s="206">
        <f t="shared" si="0"/>
        <v>5509379</v>
      </c>
    </row>
    <row r="22" spans="2:23" x14ac:dyDescent="0.4">
      <c r="B22" s="211"/>
      <c r="C22" s="214"/>
      <c r="D22" s="38" t="s">
        <v>119</v>
      </c>
      <c r="E22" s="38" t="s">
        <v>116</v>
      </c>
      <c r="F22" s="39">
        <v>203724</v>
      </c>
      <c r="G22" s="39" t="s">
        <v>348</v>
      </c>
      <c r="H22" s="39" t="s">
        <v>39</v>
      </c>
      <c r="I22" s="39" t="s">
        <v>15</v>
      </c>
      <c r="J22" s="39">
        <v>2.15</v>
      </c>
      <c r="K22" s="67">
        <v>1591909</v>
      </c>
      <c r="N22" s="205" t="s">
        <v>124</v>
      </c>
      <c r="O22" s="206">
        <f t="shared" si="0"/>
        <v>4276212</v>
      </c>
    </row>
    <row r="23" spans="2:23" x14ac:dyDescent="0.4">
      <c r="B23" s="211"/>
      <c r="C23" s="76"/>
      <c r="D23" s="70"/>
      <c r="E23" s="70"/>
      <c r="F23" s="71"/>
      <c r="G23" s="71" t="s">
        <v>120</v>
      </c>
      <c r="H23" s="71"/>
      <c r="I23" s="71"/>
      <c r="J23" s="71">
        <f>SUM(J3:J22)</f>
        <v>51.319999999999993</v>
      </c>
      <c r="K23" s="72">
        <f>SUM(K3:K22)</f>
        <v>36122723</v>
      </c>
      <c r="N23" s="38"/>
      <c r="O23" s="207">
        <f>SUM(O13:O22)</f>
        <v>75996876</v>
      </c>
    </row>
    <row r="24" spans="2:23" x14ac:dyDescent="0.4">
      <c r="B24" s="211"/>
      <c r="C24" s="214" t="s">
        <v>121</v>
      </c>
      <c r="D24" s="38" t="s">
        <v>112</v>
      </c>
      <c r="E24" s="38" t="s">
        <v>113</v>
      </c>
      <c r="F24" s="39">
        <v>199616</v>
      </c>
      <c r="G24" s="39" t="s">
        <v>335</v>
      </c>
      <c r="H24" s="39" t="s">
        <v>37</v>
      </c>
      <c r="I24" s="39" t="s">
        <v>15</v>
      </c>
      <c r="J24" s="39">
        <v>2.5</v>
      </c>
      <c r="K24" s="67">
        <v>1258653</v>
      </c>
      <c r="W24" s="8"/>
    </row>
    <row r="25" spans="2:23" x14ac:dyDescent="0.4">
      <c r="B25" s="211"/>
      <c r="C25" s="214"/>
      <c r="D25" s="38" t="s">
        <v>112</v>
      </c>
      <c r="E25" s="38" t="s">
        <v>113</v>
      </c>
      <c r="F25" s="39">
        <v>199621</v>
      </c>
      <c r="G25" s="41" t="s">
        <v>336</v>
      </c>
      <c r="H25" s="39" t="s">
        <v>37</v>
      </c>
      <c r="I25" s="39" t="s">
        <v>15</v>
      </c>
      <c r="J25" s="39">
        <v>4.75</v>
      </c>
      <c r="K25" s="67">
        <v>2385224</v>
      </c>
      <c r="W25" s="8"/>
    </row>
    <row r="26" spans="2:23" x14ac:dyDescent="0.4">
      <c r="B26" s="211"/>
      <c r="C26" s="214"/>
      <c r="D26" s="38" t="s">
        <v>122</v>
      </c>
      <c r="E26" s="38" t="s">
        <v>107</v>
      </c>
      <c r="F26" s="39">
        <v>201152</v>
      </c>
      <c r="G26" s="39" t="s">
        <v>413</v>
      </c>
      <c r="H26" s="39" t="s">
        <v>37</v>
      </c>
      <c r="I26" s="39" t="s">
        <v>15</v>
      </c>
      <c r="J26" s="39">
        <v>5.2</v>
      </c>
      <c r="K26" s="67">
        <v>2617704</v>
      </c>
      <c r="W26" s="8"/>
    </row>
    <row r="27" spans="2:23" x14ac:dyDescent="0.4">
      <c r="B27" s="211"/>
      <c r="C27" s="214"/>
      <c r="D27" s="38" t="s">
        <v>108</v>
      </c>
      <c r="E27" s="38" t="s">
        <v>107</v>
      </c>
      <c r="F27" s="39">
        <v>204901</v>
      </c>
      <c r="G27" s="39" t="s">
        <v>367</v>
      </c>
      <c r="H27" s="39" t="s">
        <v>37</v>
      </c>
      <c r="I27" s="39" t="s">
        <v>15</v>
      </c>
      <c r="J27" s="39">
        <v>4.5</v>
      </c>
      <c r="K27" s="67">
        <v>2259492</v>
      </c>
      <c r="W27" s="8"/>
    </row>
    <row r="28" spans="2:23" x14ac:dyDescent="0.4">
      <c r="B28" s="211"/>
      <c r="C28" s="214"/>
      <c r="D28" s="38" t="s">
        <v>117</v>
      </c>
      <c r="E28" s="38" t="s">
        <v>118</v>
      </c>
      <c r="F28" s="39">
        <v>204902</v>
      </c>
      <c r="G28" s="39" t="s">
        <v>368</v>
      </c>
      <c r="H28" s="39" t="s">
        <v>37</v>
      </c>
      <c r="I28" s="39" t="s">
        <v>15</v>
      </c>
      <c r="J28" s="39">
        <v>3</v>
      </c>
      <c r="K28" s="67">
        <v>1510218</v>
      </c>
      <c r="W28" s="8"/>
    </row>
    <row r="29" spans="2:23" x14ac:dyDescent="0.4">
      <c r="B29" s="211"/>
      <c r="C29" s="76"/>
      <c r="D29" s="70"/>
      <c r="E29" s="70"/>
      <c r="F29" s="71"/>
      <c r="G29" s="71" t="s">
        <v>123</v>
      </c>
      <c r="H29" s="71"/>
      <c r="I29" s="71"/>
      <c r="J29" s="71">
        <f>SUM(J24:J28)</f>
        <v>19.95</v>
      </c>
      <c r="K29" s="72">
        <f>SUM(K24:K28)</f>
        <v>10031291</v>
      </c>
      <c r="W29" s="8"/>
    </row>
    <row r="30" spans="2:23" x14ac:dyDescent="0.4">
      <c r="B30" s="211" t="s">
        <v>370</v>
      </c>
      <c r="C30" s="214" t="s">
        <v>121</v>
      </c>
      <c r="D30" s="38" t="s">
        <v>106</v>
      </c>
      <c r="E30" s="38" t="s">
        <v>107</v>
      </c>
      <c r="F30" s="39">
        <v>201153</v>
      </c>
      <c r="G30" s="39" t="s">
        <v>342</v>
      </c>
      <c r="H30" s="39" t="s">
        <v>37</v>
      </c>
      <c r="I30" s="39" t="s">
        <v>16</v>
      </c>
      <c r="J30" s="39">
        <v>1.5</v>
      </c>
      <c r="K30" s="67">
        <v>1442345</v>
      </c>
      <c r="W30" s="8"/>
    </row>
    <row r="31" spans="2:23" x14ac:dyDescent="0.4">
      <c r="B31" s="211"/>
      <c r="C31" s="214"/>
      <c r="D31" s="38" t="s">
        <v>106</v>
      </c>
      <c r="E31" s="38" t="s">
        <v>107</v>
      </c>
      <c r="F31" s="39">
        <v>204899</v>
      </c>
      <c r="G31" s="39" t="s">
        <v>365</v>
      </c>
      <c r="H31" s="39" t="s">
        <v>37</v>
      </c>
      <c r="I31" s="39" t="s">
        <v>16</v>
      </c>
      <c r="J31" s="39">
        <v>1.5</v>
      </c>
      <c r="K31" s="67">
        <v>1441983</v>
      </c>
    </row>
    <row r="32" spans="2:23" x14ac:dyDescent="0.4">
      <c r="B32" s="211"/>
      <c r="C32" s="214"/>
      <c r="D32" s="38" t="s">
        <v>108</v>
      </c>
      <c r="E32" s="38" t="s">
        <v>107</v>
      </c>
      <c r="F32" s="39">
        <v>204893</v>
      </c>
      <c r="G32" s="39" t="s">
        <v>359</v>
      </c>
      <c r="H32" s="39" t="s">
        <v>37</v>
      </c>
      <c r="I32" s="39" t="s">
        <v>16</v>
      </c>
      <c r="J32" s="39">
        <v>1.75</v>
      </c>
      <c r="K32" s="67">
        <v>1012095</v>
      </c>
    </row>
    <row r="33" spans="2:11" x14ac:dyDescent="0.4">
      <c r="B33" s="211"/>
      <c r="C33" s="214"/>
      <c r="D33" s="38" t="s">
        <v>122</v>
      </c>
      <c r="E33" s="38" t="s">
        <v>107</v>
      </c>
      <c r="F33" s="39">
        <v>204900</v>
      </c>
      <c r="G33" s="39" t="s">
        <v>366</v>
      </c>
      <c r="H33" s="39" t="s">
        <v>37</v>
      </c>
      <c r="I33" s="39" t="s">
        <v>16</v>
      </c>
      <c r="J33" s="39">
        <v>5</v>
      </c>
      <c r="K33" s="67">
        <v>2891675</v>
      </c>
    </row>
    <row r="34" spans="2:11" x14ac:dyDescent="0.4">
      <c r="B34" s="211"/>
      <c r="C34" s="214"/>
      <c r="D34" s="38" t="s">
        <v>109</v>
      </c>
      <c r="E34" s="38" t="s">
        <v>110</v>
      </c>
      <c r="F34" s="39">
        <v>204898</v>
      </c>
      <c r="G34" s="39" t="s">
        <v>364</v>
      </c>
      <c r="H34" s="39" t="s">
        <v>37</v>
      </c>
      <c r="I34" s="39" t="s">
        <v>16</v>
      </c>
      <c r="J34" s="69">
        <v>3.1</v>
      </c>
      <c r="K34" s="67">
        <v>1797640</v>
      </c>
    </row>
    <row r="35" spans="2:11" x14ac:dyDescent="0.4">
      <c r="B35" s="211"/>
      <c r="C35" s="214"/>
      <c r="D35" s="38" t="s">
        <v>111</v>
      </c>
      <c r="E35" s="38" t="s">
        <v>107</v>
      </c>
      <c r="F35" s="39">
        <v>201142</v>
      </c>
      <c r="G35" s="39" t="s">
        <v>339</v>
      </c>
      <c r="H35" s="39" t="s">
        <v>37</v>
      </c>
      <c r="I35" s="39" t="s">
        <v>16</v>
      </c>
      <c r="J35" s="39">
        <v>1.9</v>
      </c>
      <c r="K35" s="67">
        <v>1076503</v>
      </c>
    </row>
    <row r="36" spans="2:11" x14ac:dyDescent="0.4">
      <c r="B36" s="211"/>
      <c r="C36" s="214"/>
      <c r="D36" s="38" t="s">
        <v>111</v>
      </c>
      <c r="E36" s="38" t="s">
        <v>107</v>
      </c>
      <c r="F36" s="39">
        <v>204894</v>
      </c>
      <c r="G36" s="39" t="s">
        <v>360</v>
      </c>
      <c r="H36" s="39" t="s">
        <v>37</v>
      </c>
      <c r="I36" s="39" t="s">
        <v>16</v>
      </c>
      <c r="J36" s="39">
        <v>2.5</v>
      </c>
      <c r="K36" s="67">
        <v>1445839</v>
      </c>
    </row>
    <row r="37" spans="2:11" x14ac:dyDescent="0.4">
      <c r="B37" s="211"/>
      <c r="C37" s="214"/>
      <c r="D37" s="38" t="s">
        <v>112</v>
      </c>
      <c r="E37" s="38" t="s">
        <v>113</v>
      </c>
      <c r="F37" s="39">
        <v>201143</v>
      </c>
      <c r="G37" s="39" t="s">
        <v>340</v>
      </c>
      <c r="H37" s="39" t="s">
        <v>37</v>
      </c>
      <c r="I37" s="39" t="s">
        <v>16</v>
      </c>
      <c r="J37" s="39">
        <v>4.25</v>
      </c>
      <c r="K37" s="67">
        <v>2458013</v>
      </c>
    </row>
    <row r="38" spans="2:11" x14ac:dyDescent="0.4">
      <c r="B38" s="211"/>
      <c r="C38" s="214"/>
      <c r="D38" s="38" t="s">
        <v>112</v>
      </c>
      <c r="E38" s="38" t="s">
        <v>113</v>
      </c>
      <c r="F38" s="39">
        <v>201149</v>
      </c>
      <c r="G38" s="39" t="s">
        <v>341</v>
      </c>
      <c r="H38" s="39" t="s">
        <v>37</v>
      </c>
      <c r="I38" s="39" t="s">
        <v>16</v>
      </c>
      <c r="J38" s="39">
        <v>4.3499999999999996</v>
      </c>
      <c r="K38" s="67">
        <v>2515767</v>
      </c>
    </row>
    <row r="39" spans="2:11" x14ac:dyDescent="0.4">
      <c r="B39" s="211"/>
      <c r="C39" s="214"/>
      <c r="D39" s="38" t="s">
        <v>112</v>
      </c>
      <c r="E39" s="38" t="s">
        <v>113</v>
      </c>
      <c r="F39" s="39">
        <v>203953</v>
      </c>
      <c r="G39" s="39" t="s">
        <v>350</v>
      </c>
      <c r="H39" s="39" t="s">
        <v>37</v>
      </c>
      <c r="I39" s="39" t="s">
        <v>16</v>
      </c>
      <c r="J39" s="39">
        <v>2</v>
      </c>
      <c r="K39" s="67">
        <v>1156671</v>
      </c>
    </row>
    <row r="40" spans="2:11" x14ac:dyDescent="0.4">
      <c r="B40" s="211"/>
      <c r="C40" s="214"/>
      <c r="D40" s="38" t="s">
        <v>112</v>
      </c>
      <c r="E40" s="38" t="s">
        <v>113</v>
      </c>
      <c r="F40" s="39">
        <v>203954</v>
      </c>
      <c r="G40" s="39" t="s">
        <v>351</v>
      </c>
      <c r="H40" s="39" t="s">
        <v>37</v>
      </c>
      <c r="I40" s="39" t="s">
        <v>16</v>
      </c>
      <c r="J40" s="39">
        <v>2.75</v>
      </c>
      <c r="K40" s="67">
        <v>1590420</v>
      </c>
    </row>
    <row r="41" spans="2:11" x14ac:dyDescent="0.4">
      <c r="B41" s="211"/>
      <c r="C41" s="214"/>
      <c r="D41" s="38" t="s">
        <v>112</v>
      </c>
      <c r="E41" s="38" t="s">
        <v>113</v>
      </c>
      <c r="F41" s="39">
        <v>204895</v>
      </c>
      <c r="G41" s="39" t="s">
        <v>361</v>
      </c>
      <c r="H41" s="39" t="s">
        <v>37</v>
      </c>
      <c r="I41" s="39" t="s">
        <v>16</v>
      </c>
      <c r="J41" s="39">
        <v>3.35</v>
      </c>
      <c r="K41" s="67">
        <v>1958291</v>
      </c>
    </row>
    <row r="42" spans="2:11" x14ac:dyDescent="0.4">
      <c r="B42" s="211"/>
      <c r="C42" s="214"/>
      <c r="D42" s="38" t="s">
        <v>112</v>
      </c>
      <c r="E42" s="38" t="s">
        <v>113</v>
      </c>
      <c r="F42" s="39">
        <v>204896</v>
      </c>
      <c r="G42" s="39" t="s">
        <v>362</v>
      </c>
      <c r="H42" s="39" t="s">
        <v>37</v>
      </c>
      <c r="I42" s="39" t="s">
        <v>16</v>
      </c>
      <c r="J42" s="39">
        <v>3</v>
      </c>
      <c r="K42" s="67">
        <v>1739649</v>
      </c>
    </row>
    <row r="43" spans="2:11" x14ac:dyDescent="0.4">
      <c r="B43" s="211"/>
      <c r="C43" s="214"/>
      <c r="D43" s="38" t="s">
        <v>112</v>
      </c>
      <c r="E43" s="38" t="s">
        <v>113</v>
      </c>
      <c r="F43" s="39">
        <v>204897</v>
      </c>
      <c r="G43" s="39" t="s">
        <v>363</v>
      </c>
      <c r="H43" s="39" t="s">
        <v>37</v>
      </c>
      <c r="I43" s="39" t="s">
        <v>16</v>
      </c>
      <c r="J43" s="39">
        <v>1</v>
      </c>
      <c r="K43" s="67">
        <v>575258</v>
      </c>
    </row>
    <row r="44" spans="2:11" x14ac:dyDescent="0.4">
      <c r="B44" s="211"/>
      <c r="C44" s="214"/>
      <c r="D44" s="38" t="s">
        <v>115</v>
      </c>
      <c r="E44" s="38" t="s">
        <v>116</v>
      </c>
      <c r="F44" s="39">
        <v>204108</v>
      </c>
      <c r="G44" s="69" t="s">
        <v>354</v>
      </c>
      <c r="H44" s="39" t="s">
        <v>37</v>
      </c>
      <c r="I44" s="39" t="s">
        <v>16</v>
      </c>
      <c r="J44" s="39">
        <v>2</v>
      </c>
      <c r="K44" s="67">
        <v>1159766</v>
      </c>
    </row>
    <row r="45" spans="2:11" x14ac:dyDescent="0.4">
      <c r="B45" s="211"/>
      <c r="C45" s="214"/>
      <c r="D45" s="38" t="s">
        <v>124</v>
      </c>
      <c r="E45" s="38" t="s">
        <v>110</v>
      </c>
      <c r="F45" s="39">
        <v>199309</v>
      </c>
      <c r="G45" s="39" t="s">
        <v>332</v>
      </c>
      <c r="H45" s="39" t="s">
        <v>37</v>
      </c>
      <c r="I45" s="39" t="s">
        <v>16</v>
      </c>
      <c r="J45" s="39">
        <v>1.2</v>
      </c>
      <c r="K45" s="67">
        <v>694311</v>
      </c>
    </row>
    <row r="46" spans="2:11" x14ac:dyDescent="0.4">
      <c r="B46" s="211"/>
      <c r="C46" s="214"/>
      <c r="D46" s="38" t="s">
        <v>124</v>
      </c>
      <c r="E46" s="38" t="s">
        <v>110</v>
      </c>
      <c r="F46" s="39">
        <v>199373</v>
      </c>
      <c r="G46" s="39" t="s">
        <v>333</v>
      </c>
      <c r="H46" s="39" t="s">
        <v>37</v>
      </c>
      <c r="I46" s="39" t="s">
        <v>16</v>
      </c>
      <c r="J46" s="39">
        <v>1.5</v>
      </c>
      <c r="K46" s="67">
        <v>867921</v>
      </c>
    </row>
    <row r="47" spans="2:11" x14ac:dyDescent="0.4">
      <c r="B47" s="211"/>
      <c r="C47" s="214"/>
      <c r="D47" s="38" t="s">
        <v>124</v>
      </c>
      <c r="E47" s="38" t="s">
        <v>110</v>
      </c>
      <c r="F47" s="39">
        <v>199498</v>
      </c>
      <c r="G47" s="39" t="s">
        <v>334</v>
      </c>
      <c r="H47" s="39" t="s">
        <v>37</v>
      </c>
      <c r="I47" s="39" t="s">
        <v>16</v>
      </c>
      <c r="J47" s="39">
        <v>3</v>
      </c>
      <c r="K47" s="67">
        <v>1735452</v>
      </c>
    </row>
    <row r="48" spans="2:11" x14ac:dyDescent="0.4">
      <c r="B48" s="211"/>
      <c r="C48" s="214"/>
      <c r="D48" s="38" t="s">
        <v>124</v>
      </c>
      <c r="E48" s="38" t="s">
        <v>110</v>
      </c>
      <c r="F48" s="39">
        <v>199569</v>
      </c>
      <c r="G48" s="39" t="s">
        <v>417</v>
      </c>
      <c r="H48" s="39" t="s">
        <v>37</v>
      </c>
      <c r="I48" s="39" t="s">
        <v>16</v>
      </c>
      <c r="J48" s="39">
        <v>1.7</v>
      </c>
      <c r="K48" s="67">
        <v>978528</v>
      </c>
    </row>
    <row r="49" spans="2:11" x14ac:dyDescent="0.4">
      <c r="B49" s="211"/>
      <c r="C49" s="214"/>
      <c r="D49" s="38" t="s">
        <v>119</v>
      </c>
      <c r="E49" s="38" t="s">
        <v>116</v>
      </c>
      <c r="F49" s="39">
        <v>203725</v>
      </c>
      <c r="G49" s="39" t="s">
        <v>349</v>
      </c>
      <c r="H49" s="39" t="s">
        <v>37</v>
      </c>
      <c r="I49" s="39" t="s">
        <v>16</v>
      </c>
      <c r="J49" s="39">
        <v>2.25</v>
      </c>
      <c r="K49" s="67">
        <v>1304735</v>
      </c>
    </row>
    <row r="50" spans="2:11" x14ac:dyDescent="0.4">
      <c r="B50" s="211"/>
      <c r="C50" s="6"/>
      <c r="D50" s="70"/>
      <c r="E50" s="70"/>
      <c r="F50" s="71"/>
      <c r="G50" s="71" t="s">
        <v>125</v>
      </c>
      <c r="H50" s="71"/>
      <c r="I50" s="71"/>
      <c r="J50" s="71">
        <f>SUM(J30:J49)</f>
        <v>49.600000000000009</v>
      </c>
      <c r="K50" s="72">
        <f>SUM(K30:K49)</f>
        <v>29842862</v>
      </c>
    </row>
    <row r="51" spans="2:11" x14ac:dyDescent="0.4">
      <c r="C51" s="77"/>
      <c r="D51" s="73"/>
      <c r="E51" s="73"/>
      <c r="F51" s="74"/>
      <c r="G51" s="74" t="s">
        <v>126</v>
      </c>
      <c r="H51" s="74"/>
      <c r="I51" s="74"/>
      <c r="J51" s="74">
        <f>J23+J29+J50</f>
        <v>120.87</v>
      </c>
      <c r="K51" s="75">
        <f>K23+K29+K50</f>
        <v>75996876</v>
      </c>
    </row>
  </sheetData>
  <sortState xmlns:xlrd2="http://schemas.microsoft.com/office/spreadsheetml/2017/richdata2" ref="D66:O112">
    <sortCondition ref="K66:K112"/>
    <sortCondition ref="J66:J112"/>
    <sortCondition ref="F66:F112"/>
  </sortState>
  <mergeCells count="5">
    <mergeCell ref="B30:B50"/>
    <mergeCell ref="B3:B29"/>
    <mergeCell ref="C3:C22"/>
    <mergeCell ref="C24:C28"/>
    <mergeCell ref="C30:C49"/>
  </mergeCells>
  <pageMargins left="0.7" right="0.7" top="0.75" bottom="0.75" header="0.3" footer="0.3"/>
  <pageSetup scale="3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6BC84-5E42-45A5-A505-51C51F58A8B3}">
  <sheetPr>
    <tabColor theme="3" tint="0.249977111117893"/>
  </sheetPr>
  <dimension ref="B1:AC28"/>
  <sheetViews>
    <sheetView view="pageBreakPreview" zoomScale="60" zoomScaleNormal="70" workbookViewId="0">
      <selection activeCell="M1" sqref="M1"/>
    </sheetView>
  </sheetViews>
  <sheetFormatPr defaultRowHeight="18.75" x14ac:dyDescent="0.4"/>
  <cols>
    <col min="2" max="3" width="12.109375" customWidth="1"/>
    <col min="4" max="5" width="15.21875" customWidth="1"/>
    <col min="6" max="6" width="17.77734375" customWidth="1"/>
    <col min="7" max="9" width="15.21875" customWidth="1"/>
    <col min="10" max="11" width="17.21875" customWidth="1"/>
    <col min="12" max="13" width="15.21875" customWidth="1"/>
    <col min="14" max="14" width="13.77734375" customWidth="1"/>
    <col min="15" max="17" width="14.77734375" customWidth="1"/>
    <col min="18" max="18" width="12" customWidth="1"/>
    <col min="19" max="19" width="9.21875" customWidth="1"/>
    <col min="20" max="20" width="15.33203125" customWidth="1"/>
    <col min="21" max="21" width="12.44140625" customWidth="1"/>
    <col min="22" max="22" width="14" customWidth="1"/>
    <col min="23" max="23" width="12.21875" customWidth="1"/>
    <col min="24" max="24" width="9.21875" customWidth="1"/>
    <col min="25" max="26" width="11.77734375" customWidth="1"/>
    <col min="27" max="29" width="15.21875" customWidth="1"/>
    <col min="30" max="30" width="13.77734375" customWidth="1"/>
    <col min="31" max="31" width="16.5546875" customWidth="1"/>
    <col min="32" max="32" width="13.77734375" customWidth="1"/>
    <col min="33" max="33" width="16.5546875" customWidth="1"/>
  </cols>
  <sheetData>
    <row r="1" spans="2:29" x14ac:dyDescent="0.4">
      <c r="B1" t="s">
        <v>60</v>
      </c>
      <c r="R1" t="s">
        <v>506</v>
      </c>
      <c r="Y1" s="96"/>
    </row>
    <row r="2" spans="2:29" ht="93.75" x14ac:dyDescent="0.4">
      <c r="B2" s="18" t="s">
        <v>61</v>
      </c>
      <c r="C2" s="18" t="s">
        <v>62</v>
      </c>
      <c r="D2" s="46" t="s">
        <v>63</v>
      </c>
      <c r="E2" s="46" t="s">
        <v>64</v>
      </c>
      <c r="F2" s="46" t="s">
        <v>65</v>
      </c>
      <c r="G2" s="47" t="s">
        <v>66</v>
      </c>
      <c r="H2" s="47" t="s">
        <v>67</v>
      </c>
      <c r="I2" s="47" t="s">
        <v>68</v>
      </c>
      <c r="J2" s="47" t="s">
        <v>69</v>
      </c>
      <c r="K2" s="47" t="s">
        <v>580</v>
      </c>
      <c r="L2" s="47" t="s">
        <v>581</v>
      </c>
      <c r="M2" s="47" t="s">
        <v>309</v>
      </c>
      <c r="N2" s="47" t="s">
        <v>76</v>
      </c>
      <c r="O2" s="47" t="s">
        <v>324</v>
      </c>
      <c r="P2" s="47" t="s">
        <v>325</v>
      </c>
      <c r="R2" s="18" t="s">
        <v>62</v>
      </c>
      <c r="S2" s="18" t="s">
        <v>505</v>
      </c>
      <c r="T2" s="18" t="s">
        <v>71</v>
      </c>
      <c r="U2" s="46" t="s">
        <v>508</v>
      </c>
      <c r="V2" s="46" t="s">
        <v>507</v>
      </c>
    </row>
    <row r="3" spans="2:29" x14ac:dyDescent="0.4">
      <c r="B3" s="19" t="s">
        <v>15</v>
      </c>
      <c r="C3" s="19" t="s">
        <v>72</v>
      </c>
      <c r="D3" s="20">
        <f>D10*BASELINE_CAP_SPEND</f>
        <v>1003129.1000000001</v>
      </c>
      <c r="E3" s="20">
        <f>SUM(G3:J3,M3)</f>
        <v>12461947.854001954</v>
      </c>
      <c r="F3" s="20">
        <f>SUM(K3:L3,O3:P3)</f>
        <v>0</v>
      </c>
      <c r="G3" s="20">
        <f>NPV(AVG_POST_TAX_RATE,Costs_Baseline!G24:BQ24)</f>
        <v>9657187.1671729069</v>
      </c>
      <c r="H3" s="20">
        <f>NPV(AVG_POST_TAX_RATE,Costs_Baseline!G27:BQ27)</f>
        <v>716777.08642508287</v>
      </c>
      <c r="I3" s="20">
        <f>NPV(AVG_POST_TAX_RATE,Costs_Baseline!G21:BQ21)</f>
        <v>1998373.1225748861</v>
      </c>
      <c r="J3" s="20">
        <f>NPV(AVG_POST_TAX_RATE,Costs_Baseline!G26:BQ26)</f>
        <v>0</v>
      </c>
      <c r="K3" s="203"/>
      <c r="L3" s="203"/>
      <c r="M3" s="20">
        <f>NPV(AVG_POST_TAX_RATE,Costs_Baseline!G16:BQ16)</f>
        <v>89610.477829077659</v>
      </c>
      <c r="N3" s="20">
        <f>NPV(AVG_POST_TAX_RATE,Benefits_Baseline!E9:BO9)</f>
        <v>4406.8166540204438</v>
      </c>
      <c r="O3" s="20">
        <f>NPV(AVG_POST_TAX_RATE,Benefits_Baseline!$E$7:$BO$7)</f>
        <v>0</v>
      </c>
      <c r="P3" s="20">
        <f>NPV(AVG_POST_TAX_RATE,Benefits_Baseline!$E$8:$BO$8)</f>
        <v>0</v>
      </c>
      <c r="R3" s="19" t="s">
        <v>15</v>
      </c>
      <c r="S3" s="19" t="s">
        <v>37</v>
      </c>
      <c r="T3" s="20">
        <f>SUMIFS('Mitigation Projects'!$L:$L,'Mitigation Projects'!$G:$G,Results!S3,'Mitigation Projects'!$H:$H,Results!R3)</f>
        <v>10031291</v>
      </c>
      <c r="U3" s="21">
        <f>SUMIFS('Mitigation Projects'!$I$4:$I$48,'Mitigation Projects'!$G$4:$G$48,Results!S3,'Mitigation Projects'!$H$4:$H$48,Results!R3)</f>
        <v>19.95</v>
      </c>
      <c r="V3" s="20">
        <f>T3/U3</f>
        <v>502821.6040100251</v>
      </c>
      <c r="AC3" s="92"/>
    </row>
    <row r="4" spans="2:29" x14ac:dyDescent="0.4">
      <c r="B4" s="19" t="s">
        <v>15</v>
      </c>
      <c r="C4" s="19" t="s">
        <v>73</v>
      </c>
      <c r="D4" s="20">
        <f>D11*BASELINE_CAP_SPEND</f>
        <v>3612272.3000000003</v>
      </c>
      <c r="E4" s="20">
        <f>SUM(G4:J4,M4)</f>
        <v>44825609.399445303</v>
      </c>
      <c r="F4" s="20">
        <f>SUM(K4:L4,O4:P4)</f>
        <v>0</v>
      </c>
      <c r="G4" s="20">
        <f>NPV(AVG_POST_TAX_RATE,Costs_Baseline!G50:BQ50)</f>
        <v>34775573.453002363</v>
      </c>
      <c r="H4" s="20">
        <f>NPV(AVG_POST_TAX_RATE,Costs_Baseline!G53:BQ53)</f>
        <v>1843859.6528990103</v>
      </c>
      <c r="I4" s="20">
        <f>NPV(AVG_POST_TAX_RATE,Costs_Baseline!G47:BQ47)</f>
        <v>7196150.4015203658</v>
      </c>
      <c r="J4" s="20">
        <f>NPV(AVG_POST_TAX_RATE,Costs_Baseline!G52:BQ52)</f>
        <v>0</v>
      </c>
      <c r="K4" s="203"/>
      <c r="L4" s="203"/>
      <c r="M4" s="20">
        <f>NPV(AVG_POST_TAX_RATE,Costs_Baseline!G42:BQ42)</f>
        <v>1010025.8920235659</v>
      </c>
      <c r="N4" s="20">
        <f>NPV(AVG_POST_TAX_RATE,Benefits_Baseline!E18:BO18)</f>
        <v>230539.13773275315</v>
      </c>
      <c r="O4" s="203"/>
      <c r="P4" s="203"/>
      <c r="R4" s="19" t="s">
        <v>15</v>
      </c>
      <c r="S4" t="s">
        <v>39</v>
      </c>
      <c r="T4" s="20">
        <f>SUMIFS('Mitigation Projects'!$L:$L,'Mitigation Projects'!$G:$G,Results!S4,'Mitigation Projects'!$H:$H,Results!R4)</f>
        <v>36122723</v>
      </c>
      <c r="U4" s="21">
        <f>SUMIFS('Mitigation Projects'!$I$4:$I$48,'Mitigation Projects'!$G$4:$G$48,Results!S4,'Mitigation Projects'!$H$4:$H$48,Results!R4)</f>
        <v>51.319999999999993</v>
      </c>
      <c r="V4" s="20">
        <f>T4/U4</f>
        <v>703872.23304754496</v>
      </c>
      <c r="AC4" s="92"/>
    </row>
    <row r="5" spans="2:29" x14ac:dyDescent="0.4">
      <c r="B5" s="19" t="s">
        <v>16</v>
      </c>
      <c r="C5" s="19" t="s">
        <v>72</v>
      </c>
      <c r="D5" s="20">
        <f>D12*BASELINE_CAP_SPEND</f>
        <v>2984286.2</v>
      </c>
      <c r="E5" s="20">
        <f>SUM(G5:J5,M5)</f>
        <v>37488972.476144463</v>
      </c>
      <c r="F5" s="20">
        <f>SUM(K5:L5,O5:P5)</f>
        <v>0</v>
      </c>
      <c r="G5" s="20">
        <f>NPV(AVG_POST_TAX_RATE,Costs_Baseline!G77:BQ77)</f>
        <v>28729911.6273381</v>
      </c>
      <c r="H5" s="20">
        <f>NPV(AVG_POST_TAX_RATE,Costs_Baseline!G80:BT80)</f>
        <v>1499383.5858388315</v>
      </c>
      <c r="I5" s="20">
        <f>NPV(AVG_POST_TAX_RATE,Costs_Baseline!G74:BT74)</f>
        <v>5945114.4744491382</v>
      </c>
      <c r="J5" s="20">
        <f>NPV(AVG_POST_TAX_RATE,Costs_Baseline!G79:BQ79)</f>
        <v>1073826.108463479</v>
      </c>
      <c r="K5" s="203"/>
      <c r="L5" s="203"/>
      <c r="M5" s="20">
        <f>NPV(AVG_POST_TAX_RATE,Costs_Baseline!G69:BM69)</f>
        <v>240736.68005491162</v>
      </c>
      <c r="N5" s="20">
        <f>NPV(AVG_POST_TAX_RATE,Benefits_Baseline!E28:BO28)</f>
        <v>56692.980007481463</v>
      </c>
      <c r="O5" s="20">
        <f>NPV(AVG_POST_TAX_RATE,Benefits_Baseline!$E$26:$BO$26)</f>
        <v>0</v>
      </c>
      <c r="P5" s="20">
        <f>NPV(AVG_POST_TAX_RATE,Benefits_Baseline!$E$27:$BO$27)</f>
        <v>0</v>
      </c>
      <c r="R5" s="19" t="s">
        <v>16</v>
      </c>
      <c r="S5" s="19" t="s">
        <v>37</v>
      </c>
      <c r="T5" s="20">
        <f>SUMIFS('Mitigation Projects'!$L:$L,'Mitigation Projects'!$G:$G,Results!S5,'Mitigation Projects'!$H:$H,Results!R5)</f>
        <v>29842862</v>
      </c>
      <c r="U5" s="21">
        <f>SUMIFS('Mitigation Projects'!$I$4:$I$48,'Mitigation Projects'!$G$4:$G$48,Results!S5,'Mitigation Projects'!$H$4:$H$48,Results!R5)</f>
        <v>49.600000000000009</v>
      </c>
      <c r="V5" s="20">
        <f>T5/U5</f>
        <v>601670.60483870958</v>
      </c>
      <c r="AC5" s="92"/>
    </row>
    <row r="6" spans="2:29" x14ac:dyDescent="0.4">
      <c r="B6" s="48" t="s">
        <v>74</v>
      </c>
      <c r="C6" s="48"/>
      <c r="D6" s="49">
        <f t="shared" ref="D6:P6" si="0">SUM(D3:D5)</f>
        <v>7599687.6000000006</v>
      </c>
      <c r="E6" s="49">
        <f t="shared" si="0"/>
        <v>94776529.729591727</v>
      </c>
      <c r="F6" s="49">
        <f t="shared" si="0"/>
        <v>0</v>
      </c>
      <c r="G6" s="49">
        <f t="shared" si="0"/>
        <v>73162672.247513369</v>
      </c>
      <c r="H6" s="49">
        <f t="shared" si="0"/>
        <v>4060020.3251629248</v>
      </c>
      <c r="I6" s="49">
        <f t="shared" si="0"/>
        <v>15139637.998544391</v>
      </c>
      <c r="J6" s="49">
        <f t="shared" si="0"/>
        <v>1073826.108463479</v>
      </c>
      <c r="K6" s="49">
        <f t="shared" si="0"/>
        <v>0</v>
      </c>
      <c r="L6" s="49">
        <f t="shared" si="0"/>
        <v>0</v>
      </c>
      <c r="M6" s="49">
        <f t="shared" si="0"/>
        <v>1340373.0499075553</v>
      </c>
      <c r="N6" s="49">
        <f t="shared" si="0"/>
        <v>291638.93439425505</v>
      </c>
      <c r="O6" s="49">
        <f t="shared" si="0"/>
        <v>0</v>
      </c>
      <c r="P6" s="49">
        <f t="shared" si="0"/>
        <v>0</v>
      </c>
      <c r="R6" s="23" t="s">
        <v>74</v>
      </c>
      <c r="S6" s="23"/>
      <c r="T6" s="95">
        <f>SUM(T3:T5)</f>
        <v>75996876</v>
      </c>
      <c r="U6" s="163">
        <f>SUM(U3:U5)</f>
        <v>120.87</v>
      </c>
      <c r="V6" s="95">
        <f>T6/U6</f>
        <v>628748.87068751547</v>
      </c>
    </row>
    <row r="8" spans="2:29" x14ac:dyDescent="0.4">
      <c r="B8" t="s">
        <v>75</v>
      </c>
    </row>
    <row r="9" spans="2:29" ht="93.4" customHeight="1" x14ac:dyDescent="0.4">
      <c r="B9" s="18" t="s">
        <v>61</v>
      </c>
      <c r="C9" s="18" t="s">
        <v>62</v>
      </c>
      <c r="D9" s="46" t="s">
        <v>63</v>
      </c>
      <c r="E9" s="46" t="s">
        <v>64</v>
      </c>
      <c r="F9" s="46" t="s">
        <v>65</v>
      </c>
      <c r="G9" s="47" t="s">
        <v>66</v>
      </c>
      <c r="H9" s="47" t="s">
        <v>67</v>
      </c>
      <c r="I9" s="47" t="s">
        <v>68</v>
      </c>
      <c r="J9" s="47" t="s">
        <v>69</v>
      </c>
      <c r="K9" s="47" t="s">
        <v>580</v>
      </c>
      <c r="L9" s="47" t="s">
        <v>581</v>
      </c>
      <c r="M9" s="47" t="s">
        <v>309</v>
      </c>
      <c r="N9" s="47" t="s">
        <v>76</v>
      </c>
      <c r="O9" s="47" t="s">
        <v>326</v>
      </c>
      <c r="P9" s="47" t="s">
        <v>327</v>
      </c>
    </row>
    <row r="10" spans="2:29" x14ac:dyDescent="0.4">
      <c r="B10" s="19" t="s">
        <v>15</v>
      </c>
      <c r="C10" s="19" t="s">
        <v>72</v>
      </c>
      <c r="D10" s="20">
        <f>T3</f>
        <v>10031291</v>
      </c>
      <c r="E10" s="20">
        <f>SUM(G10:J10,M10)</f>
        <v>14185830.088687932</v>
      </c>
      <c r="F10" s="20">
        <f>SUM(K10:L10,O10:P10)</f>
        <v>0</v>
      </c>
      <c r="G10" s="20">
        <f>NPV(AVG_POST_TAX_RATE,Costs_Mitigation!G25:BQ25)</f>
        <v>11525963.186905544</v>
      </c>
      <c r="H10" s="20">
        <f>NPV(AVG_POST_TAX_RATE,Costs_Mitigation!G28:BQ28)</f>
        <v>194607.7913592351</v>
      </c>
      <c r="I10" s="20">
        <f>NPV(AVG_POST_TAX_RATE,Costs_Mitigation!G22:BQ22)</f>
        <v>2398181.5586287291</v>
      </c>
      <c r="J10" s="20">
        <f>NPV(AVG_POST_TAX_RATE,Costs_Mitigation!G27:BQ27)</f>
        <v>0</v>
      </c>
      <c r="K10" s="203"/>
      <c r="L10" s="203"/>
      <c r="M10" s="20">
        <f>NPV(AVG_POST_TAX_RATE,Costs_Mitigation!G17:BA17)</f>
        <v>67077.551794423896</v>
      </c>
      <c r="N10" s="20">
        <f>NPV(AVG_POST_TAX_RATE,Benefits_Mitigation!E9:BO9)</f>
        <v>6518.6255699359908</v>
      </c>
      <c r="O10" s="20">
        <f>NPV(AVG_POST_TAX_RATE,Benefits_Mitigation!$E$7:$BO$7)</f>
        <v>0</v>
      </c>
      <c r="P10" s="20">
        <f>NPV(AVG_POST_TAX_RATE,Benefits_Mitigation!$E$8:$BO$8)</f>
        <v>0</v>
      </c>
      <c r="R10" s="8"/>
    </row>
    <row r="11" spans="2:29" x14ac:dyDescent="0.4">
      <c r="B11" s="19" t="s">
        <v>15</v>
      </c>
      <c r="C11" s="19" t="s">
        <v>73</v>
      </c>
      <c r="D11" s="20">
        <f>T4</f>
        <v>36122723</v>
      </c>
      <c r="E11" s="20">
        <f>SUM(G11:J11,M11)</f>
        <v>51146501.716700673</v>
      </c>
      <c r="F11" s="20">
        <f>SUM(K11:L11,O11:P11)</f>
        <v>0</v>
      </c>
      <c r="G11" s="20">
        <f>NPV(AVG_POST_TAX_RATE,Costs_Mitigation!G52:BQ52)</f>
        <v>41505044.11733105</v>
      </c>
      <c r="H11" s="20">
        <f>NPV(AVG_POST_TAX_RATE,Costs_Mitigation!G55:BQ55)</f>
        <v>500615.13045393239</v>
      </c>
      <c r="I11" s="20">
        <f>NPV(AVG_POST_TAX_RATE,Costs_Mitigation!G49:BQ49)</f>
        <v>8635862.3377642948</v>
      </c>
      <c r="J11" s="20">
        <f>NPV(AVG_POST_TAX_RATE,Costs_Mitigation!G54:BQ54)</f>
        <v>0</v>
      </c>
      <c r="K11" s="203"/>
      <c r="L11" s="203"/>
      <c r="M11" s="20">
        <f>NPV(AVG_POST_TAX_RATE,Costs_Mitigation!G44:BA44)</f>
        <v>504980.1311513994</v>
      </c>
      <c r="N11" s="20">
        <f>NPV(AVG_POST_TAX_RATE,Benefits_Mitigation!E18:BO18)</f>
        <v>877242.10024693341</v>
      </c>
      <c r="O11" s="203"/>
      <c r="P11" s="203"/>
      <c r="R11" s="8"/>
    </row>
    <row r="12" spans="2:29" x14ac:dyDescent="0.4">
      <c r="B12" s="19" t="s">
        <v>16</v>
      </c>
      <c r="C12" s="19" t="s">
        <v>72</v>
      </c>
      <c r="D12" s="20">
        <f>T5</f>
        <v>29842862</v>
      </c>
      <c r="E12" s="20">
        <f>SUM(G12:J12,M12)</f>
        <v>41972359.489804462</v>
      </c>
      <c r="F12" s="20">
        <f>SUM(K12:L12,O12:P12)</f>
        <v>0</v>
      </c>
      <c r="G12" s="20">
        <f>NPV(AVG_POST_TAX_RATE,Costs_Mitigation!G80:BQ80)</f>
        <v>34289477.675794885</v>
      </c>
      <c r="H12" s="20">
        <f>NPV(AVG_POST_TAX_RATE,Costs_Mitigation!G83:BQ83)</f>
        <v>102448.81696737897</v>
      </c>
      <c r="I12" s="20">
        <f>NPV(AVG_POST_TAX_RATE,Costs_Mitigation!G77:BQ77)</f>
        <v>7134535.4556160467</v>
      </c>
      <c r="J12" s="20">
        <f>NPV(AVG_POST_TAX_RATE,Costs_Mitigation!G82:BQ82)</f>
        <v>326317.66386567516</v>
      </c>
      <c r="K12" s="203"/>
      <c r="L12" s="203"/>
      <c r="M12" s="20">
        <f>NPV(AVG_POST_TAX_RATE,Costs_Mitigation!G72:BJ72)</f>
        <v>119579.87756047287</v>
      </c>
      <c r="N12" s="20">
        <f>NPV(AVG_POST_TAX_RATE,Benefits_Mitigation!E28:BO28)</f>
        <v>206254.57032501392</v>
      </c>
      <c r="O12" s="20">
        <f>NPV(AVG_POST_TAX_RATE,Benefits_Mitigation!$E$26:$BO$26)</f>
        <v>0</v>
      </c>
      <c r="P12" s="20">
        <f>NPV(AVG_POST_TAX_RATE,Benefits_Mitigation!$E$27:$BO$27)</f>
        <v>0</v>
      </c>
      <c r="R12" s="8"/>
    </row>
    <row r="13" spans="2:29" x14ac:dyDescent="0.4">
      <c r="B13" s="48" t="s">
        <v>74</v>
      </c>
      <c r="C13" s="48"/>
      <c r="D13" s="49">
        <f>SUM(D10:D12)</f>
        <v>75996876</v>
      </c>
      <c r="E13" s="49">
        <f t="shared" ref="E13:P13" si="1">SUM(E10:E12)</f>
        <v>107304691.29519308</v>
      </c>
      <c r="F13" s="49">
        <f t="shared" si="1"/>
        <v>0</v>
      </c>
      <c r="G13" s="49">
        <f t="shared" si="1"/>
        <v>87320484.980031475</v>
      </c>
      <c r="H13" s="49">
        <f t="shared" si="1"/>
        <v>797671.73878054647</v>
      </c>
      <c r="I13" s="49">
        <f t="shared" si="1"/>
        <v>18168579.352009069</v>
      </c>
      <c r="J13" s="49">
        <f t="shared" si="1"/>
        <v>326317.66386567516</v>
      </c>
      <c r="K13" s="49">
        <f t="shared" si="1"/>
        <v>0</v>
      </c>
      <c r="L13" s="49">
        <f t="shared" si="1"/>
        <v>0</v>
      </c>
      <c r="M13" s="49">
        <f t="shared" si="1"/>
        <v>691637.56050629611</v>
      </c>
      <c r="N13" s="49">
        <f t="shared" si="1"/>
        <v>1090015.2961418834</v>
      </c>
      <c r="O13" s="49">
        <f t="shared" si="1"/>
        <v>0</v>
      </c>
      <c r="P13" s="49">
        <f t="shared" si="1"/>
        <v>0</v>
      </c>
      <c r="R13" s="8"/>
    </row>
    <row r="14" spans="2:29" x14ac:dyDescent="0.4">
      <c r="B14" s="11"/>
      <c r="C14" s="11"/>
      <c r="D14" s="50"/>
      <c r="E14" s="50"/>
      <c r="F14" s="120"/>
      <c r="G14" s="50"/>
      <c r="H14" s="50"/>
      <c r="I14" s="50"/>
      <c r="J14" s="50"/>
      <c r="K14" s="50"/>
      <c r="L14" s="50"/>
      <c r="M14" s="50"/>
      <c r="N14" s="50"/>
    </row>
    <row r="15" spans="2:29" x14ac:dyDescent="0.4">
      <c r="B15" s="58" t="s">
        <v>425</v>
      </c>
    </row>
    <row r="16" spans="2:29" x14ac:dyDescent="0.4">
      <c r="E16" s="215" t="s">
        <v>77</v>
      </c>
      <c r="F16" s="215"/>
      <c r="H16" s="215" t="s">
        <v>78</v>
      </c>
      <c r="I16" s="215"/>
      <c r="J16" s="215"/>
      <c r="K16" s="215"/>
      <c r="L16" s="215"/>
      <c r="M16" s="215"/>
      <c r="N16" s="215"/>
      <c r="O16" s="215"/>
    </row>
    <row r="17" spans="2:18" ht="93.75" x14ac:dyDescent="0.4">
      <c r="B17" s="47" t="s">
        <v>79</v>
      </c>
      <c r="C17" s="47" t="s">
        <v>80</v>
      </c>
      <c r="D17" s="47" t="s">
        <v>81</v>
      </c>
      <c r="E17" s="93" t="s">
        <v>82</v>
      </c>
      <c r="F17" s="93" t="s">
        <v>83</v>
      </c>
      <c r="G17" s="47" t="s">
        <v>84</v>
      </c>
      <c r="H17" s="86" t="s">
        <v>85</v>
      </c>
      <c r="I17" s="86" t="s">
        <v>86</v>
      </c>
      <c r="J17" s="86" t="s">
        <v>87</v>
      </c>
      <c r="K17" s="86" t="s">
        <v>88</v>
      </c>
      <c r="L17" s="86" t="s">
        <v>89</v>
      </c>
      <c r="M17" s="86" t="s">
        <v>308</v>
      </c>
      <c r="N17" s="86" t="s">
        <v>328</v>
      </c>
      <c r="O17" s="86" t="s">
        <v>329</v>
      </c>
      <c r="P17" s="47" t="s">
        <v>90</v>
      </c>
    </row>
    <row r="18" spans="2:18" x14ac:dyDescent="0.4">
      <c r="B18" s="19" t="s">
        <v>15</v>
      </c>
      <c r="C18" s="19" t="s">
        <v>72</v>
      </c>
      <c r="D18" s="20">
        <f>SUM(E18:F18)</f>
        <v>2268584.4557864806</v>
      </c>
      <c r="E18" s="20">
        <f>G10-G3</f>
        <v>1868776.0197326373</v>
      </c>
      <c r="F18" s="20">
        <f>I10-I3</f>
        <v>399808.436053843</v>
      </c>
      <c r="G18" s="20">
        <f>SUM(H18:O18)</f>
        <v>546814.03001641715</v>
      </c>
      <c r="H18" s="20">
        <f>H3-H10</f>
        <v>522169.29506584781</v>
      </c>
      <c r="I18" s="20">
        <f t="shared" ref="I18:K20" si="2">J3-J10</f>
        <v>0</v>
      </c>
      <c r="J18" s="20">
        <f t="shared" si="2"/>
        <v>0</v>
      </c>
      <c r="K18" s="20">
        <f t="shared" si="2"/>
        <v>0</v>
      </c>
      <c r="L18" s="20">
        <f>N10-N3</f>
        <v>2111.808915915547</v>
      </c>
      <c r="M18" s="20">
        <f>M3-M10</f>
        <v>22532.926034653763</v>
      </c>
      <c r="N18" s="20">
        <f t="shared" ref="N18:O20" si="3">O10-O3</f>
        <v>0</v>
      </c>
      <c r="O18" s="20">
        <f t="shared" si="3"/>
        <v>0</v>
      </c>
      <c r="P18" s="21">
        <f>G18/D18</f>
        <v>0.24103754595587484</v>
      </c>
    </row>
    <row r="19" spans="2:18" x14ac:dyDescent="0.4">
      <c r="B19" s="19" t="s">
        <v>15</v>
      </c>
      <c r="C19" s="19" t="s">
        <v>73</v>
      </c>
      <c r="D19" s="20">
        <f t="shared" ref="D19:D20" si="4">SUM(E19:F19)</f>
        <v>8169182.6005726159</v>
      </c>
      <c r="E19" s="20">
        <f>G11-G4</f>
        <v>6729470.6643286869</v>
      </c>
      <c r="F19" s="20">
        <f>I11-I4</f>
        <v>1439711.936243929</v>
      </c>
      <c r="G19" s="20">
        <f>SUM(H19:O19)</f>
        <v>2494993.2458314248</v>
      </c>
      <c r="H19" s="20">
        <f>H4-H11</f>
        <v>1343244.522445078</v>
      </c>
      <c r="I19" s="20">
        <f t="shared" si="2"/>
        <v>0</v>
      </c>
      <c r="J19" s="20">
        <f t="shared" si="2"/>
        <v>0</v>
      </c>
      <c r="K19" s="20">
        <f t="shared" si="2"/>
        <v>0</v>
      </c>
      <c r="L19" s="20">
        <f>N11-N4</f>
        <v>646702.96251418022</v>
      </c>
      <c r="M19" s="20">
        <f>M4-M11</f>
        <v>505045.76087216655</v>
      </c>
      <c r="N19" s="20">
        <f t="shared" si="3"/>
        <v>0</v>
      </c>
      <c r="O19" s="20">
        <f t="shared" si="3"/>
        <v>0</v>
      </c>
      <c r="P19" s="21">
        <f>G19/D19</f>
        <v>0.30541528667219892</v>
      </c>
    </row>
    <row r="20" spans="2:18" x14ac:dyDescent="0.4">
      <c r="B20" s="19" t="s">
        <v>16</v>
      </c>
      <c r="C20" s="19" t="s">
        <v>72</v>
      </c>
      <c r="D20" s="20">
        <f t="shared" si="4"/>
        <v>6748987.0296236929</v>
      </c>
      <c r="E20" s="20">
        <f>G12-G5</f>
        <v>5559566.0484567843</v>
      </c>
      <c r="F20" s="20">
        <f>I12-I5</f>
        <v>1189420.9811669085</v>
      </c>
      <c r="G20" s="20">
        <f>SUM(H20:O20)</f>
        <v>2415161.6062812274</v>
      </c>
      <c r="H20" s="20">
        <f>H5-H12</f>
        <v>1396934.7688714524</v>
      </c>
      <c r="I20" s="20">
        <f t="shared" si="2"/>
        <v>747508.44459780375</v>
      </c>
      <c r="J20" s="20">
        <f t="shared" si="2"/>
        <v>0</v>
      </c>
      <c r="K20" s="20">
        <f t="shared" si="2"/>
        <v>0</v>
      </c>
      <c r="L20" s="20">
        <f>N12-N5</f>
        <v>149561.59031753245</v>
      </c>
      <c r="M20" s="20">
        <f>M5-M12</f>
        <v>121156.80249443874</v>
      </c>
      <c r="N20" s="20">
        <f t="shared" si="3"/>
        <v>0</v>
      </c>
      <c r="O20" s="20">
        <f t="shared" si="3"/>
        <v>0</v>
      </c>
      <c r="P20" s="21">
        <f>G20/D20</f>
        <v>0.35785542269976639</v>
      </c>
    </row>
    <row r="21" spans="2:18" ht="16.149999999999999" customHeight="1" x14ac:dyDescent="0.4">
      <c r="B21" s="48" t="s">
        <v>74</v>
      </c>
      <c r="C21" s="48"/>
      <c r="D21" s="88">
        <f t="shared" ref="D21:O21" si="5">SUM(D18:D20)</f>
        <v>17186754.085982792</v>
      </c>
      <c r="E21" s="88">
        <f t="shared" si="5"/>
        <v>14157812.732518109</v>
      </c>
      <c r="F21" s="88">
        <f t="shared" si="5"/>
        <v>3028941.3534646807</v>
      </c>
      <c r="G21" s="88">
        <f t="shared" si="5"/>
        <v>5456968.8821290694</v>
      </c>
      <c r="H21" s="88">
        <f t="shared" si="5"/>
        <v>3262348.5863823779</v>
      </c>
      <c r="I21" s="88">
        <f t="shared" si="5"/>
        <v>747508.44459780375</v>
      </c>
      <c r="J21" s="88">
        <f t="shared" si="5"/>
        <v>0</v>
      </c>
      <c r="K21" s="88">
        <f t="shared" si="5"/>
        <v>0</v>
      </c>
      <c r="L21" s="88">
        <f t="shared" si="5"/>
        <v>798376.36174762819</v>
      </c>
      <c r="M21" s="88">
        <f t="shared" si="5"/>
        <v>648735.48940125899</v>
      </c>
      <c r="N21" s="88">
        <f t="shared" si="5"/>
        <v>0</v>
      </c>
      <c r="O21" s="88">
        <f t="shared" si="5"/>
        <v>0</v>
      </c>
      <c r="P21" s="64">
        <f>G21/D21</f>
        <v>0.31751015083061407</v>
      </c>
    </row>
    <row r="22" spans="2:18" x14ac:dyDescent="0.4">
      <c r="E22" s="54"/>
      <c r="F22" s="54"/>
      <c r="G22" s="45"/>
      <c r="H22" s="102"/>
      <c r="I22" s="102"/>
      <c r="J22" s="102"/>
      <c r="K22" s="102"/>
      <c r="L22" s="102"/>
      <c r="M22" s="102"/>
      <c r="N22" s="102"/>
      <c r="O22" s="102"/>
      <c r="P22" s="89"/>
    </row>
    <row r="23" spans="2:18" x14ac:dyDescent="0.4">
      <c r="H23" s="26"/>
      <c r="I23" s="26"/>
      <c r="J23" s="26"/>
      <c r="L23" s="26"/>
      <c r="M23" s="26"/>
      <c r="P23" s="25"/>
      <c r="Q23" s="25"/>
      <c r="R23" s="25"/>
    </row>
    <row r="24" spans="2:18" x14ac:dyDescent="0.4">
      <c r="B24" s="58" t="s">
        <v>426</v>
      </c>
      <c r="F24" s="26"/>
      <c r="G24" s="26"/>
      <c r="H24" s="26"/>
    </row>
    <row r="25" spans="2:18" x14ac:dyDescent="0.4">
      <c r="E25" s="87" t="s">
        <v>78</v>
      </c>
      <c r="F25" s="87"/>
    </row>
    <row r="26" spans="2:18" ht="75" x14ac:dyDescent="0.4">
      <c r="B26" s="47" t="s">
        <v>79</v>
      </c>
      <c r="C26" s="47" t="s">
        <v>81</v>
      </c>
      <c r="D26" s="47" t="s">
        <v>84</v>
      </c>
      <c r="E26" s="86" t="s">
        <v>91</v>
      </c>
      <c r="F26" s="86" t="s">
        <v>92</v>
      </c>
      <c r="G26" s="47" t="s">
        <v>93</v>
      </c>
      <c r="H26" s="47" t="s">
        <v>94</v>
      </c>
    </row>
    <row r="27" spans="2:18" x14ac:dyDescent="0.4">
      <c r="B27" s="19" t="s">
        <v>412</v>
      </c>
      <c r="C27" s="20">
        <f>NPV(AVG_POST_TAX_RATE,Benefits_Mitigation!D40:Y40)</f>
        <v>5941546.1689316221</v>
      </c>
      <c r="D27" s="20">
        <f>SUM(F27,E27)</f>
        <v>6454954.0606147414</v>
      </c>
      <c r="E27" s="20">
        <f>NPV(AVG_POST_TAX_RATE,Benefits_Mitigation!D52:Y52)</f>
        <v>6454954.0606147414</v>
      </c>
      <c r="F27" s="203"/>
      <c r="G27" s="21">
        <f>D27/C27</f>
        <v>1.086409812713016</v>
      </c>
      <c r="H27" s="21">
        <f>E27/C27</f>
        <v>1.086409812713016</v>
      </c>
    </row>
    <row r="28" spans="2:18" x14ac:dyDescent="0.4">
      <c r="E28" s="89"/>
      <c r="F28" s="136"/>
      <c r="G28" s="136"/>
      <c r="H28" s="26"/>
    </row>
  </sheetData>
  <mergeCells count="2">
    <mergeCell ref="H16:O16"/>
    <mergeCell ref="E16:F16"/>
  </mergeCells>
  <pageMargins left="0.7" right="0.7" top="0.75" bottom="0.75" header="0.3" footer="0.3"/>
  <pageSetup scale="24" orientation="portrait" r:id="rId1"/>
  <headerFooter>
    <oddHeader>&amp;C&amp;F&amp;A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44D7F-82C5-4A05-BBF8-F457D2243E10}">
  <sheetPr>
    <tabColor theme="4" tint="0.79998168889431442"/>
  </sheetPr>
  <dimension ref="A1:BV93"/>
  <sheetViews>
    <sheetView tabSelected="1" view="pageBreakPreview" zoomScale="10" zoomScaleNormal="70" zoomScaleSheetLayoutView="10" workbookViewId="0">
      <selection activeCell="BR85" sqref="BR85"/>
    </sheetView>
  </sheetViews>
  <sheetFormatPr defaultRowHeight="18.75" x14ac:dyDescent="0.4"/>
  <cols>
    <col min="3" max="3" width="11.77734375" customWidth="1"/>
    <col min="4" max="4" width="34.21875" customWidth="1"/>
    <col min="5" max="5" width="27.77734375" bestFit="1" customWidth="1"/>
    <col min="6" max="55" width="15.77734375" customWidth="1"/>
    <col min="56" max="56" width="29.77734375" customWidth="1"/>
    <col min="57" max="69" width="15.77734375" customWidth="1"/>
    <col min="70" max="72" width="12.77734375" customWidth="1"/>
  </cols>
  <sheetData>
    <row r="1" spans="1:72" x14ac:dyDescent="0.4">
      <c r="F1">
        <v>0</v>
      </c>
      <c r="G1">
        <v>1</v>
      </c>
      <c r="H1">
        <v>2</v>
      </c>
      <c r="I1">
        <v>3</v>
      </c>
      <c r="J1">
        <v>4</v>
      </c>
      <c r="K1">
        <v>5</v>
      </c>
      <c r="L1">
        <v>6</v>
      </c>
      <c r="M1">
        <v>7</v>
      </c>
      <c r="N1">
        <v>8</v>
      </c>
      <c r="O1">
        <v>9</v>
      </c>
      <c r="P1">
        <v>10</v>
      </c>
      <c r="Q1">
        <v>11</v>
      </c>
      <c r="R1">
        <v>12</v>
      </c>
      <c r="S1">
        <v>13</v>
      </c>
      <c r="T1">
        <v>14</v>
      </c>
      <c r="U1">
        <v>15</v>
      </c>
      <c r="V1">
        <v>16</v>
      </c>
      <c r="W1">
        <v>17</v>
      </c>
      <c r="X1">
        <v>18</v>
      </c>
      <c r="Y1">
        <v>19</v>
      </c>
      <c r="Z1">
        <v>20</v>
      </c>
      <c r="AA1">
        <v>21</v>
      </c>
      <c r="AB1">
        <v>22</v>
      </c>
      <c r="AC1">
        <v>23</v>
      </c>
      <c r="AD1">
        <v>24</v>
      </c>
      <c r="AE1">
        <v>25</v>
      </c>
      <c r="AF1">
        <v>26</v>
      </c>
      <c r="AG1">
        <v>27</v>
      </c>
      <c r="AH1">
        <v>28</v>
      </c>
      <c r="AI1">
        <v>29</v>
      </c>
      <c r="AJ1">
        <v>30</v>
      </c>
      <c r="AK1">
        <v>31</v>
      </c>
      <c r="AL1">
        <v>32</v>
      </c>
      <c r="AM1">
        <v>33</v>
      </c>
      <c r="AN1">
        <v>34</v>
      </c>
      <c r="AO1">
        <v>35</v>
      </c>
      <c r="AP1">
        <v>36</v>
      </c>
      <c r="AQ1">
        <v>37</v>
      </c>
      <c r="AR1">
        <v>38</v>
      </c>
      <c r="AS1">
        <v>39</v>
      </c>
      <c r="AT1">
        <v>40</v>
      </c>
      <c r="AU1">
        <v>41</v>
      </c>
      <c r="AV1">
        <v>42</v>
      </c>
      <c r="AW1">
        <v>43</v>
      </c>
      <c r="AX1">
        <v>44</v>
      </c>
      <c r="AY1">
        <v>45</v>
      </c>
      <c r="AZ1">
        <v>46</v>
      </c>
      <c r="BA1">
        <v>47</v>
      </c>
      <c r="BB1">
        <v>48</v>
      </c>
      <c r="BC1">
        <v>49</v>
      </c>
      <c r="BD1">
        <v>50</v>
      </c>
      <c r="BE1">
        <v>51</v>
      </c>
      <c r="BF1">
        <v>52</v>
      </c>
      <c r="BG1">
        <v>53</v>
      </c>
      <c r="BH1">
        <v>54</v>
      </c>
      <c r="BI1">
        <v>55</v>
      </c>
      <c r="BJ1">
        <v>56</v>
      </c>
      <c r="BK1">
        <v>57</v>
      </c>
      <c r="BL1">
        <v>58</v>
      </c>
      <c r="BM1">
        <v>59</v>
      </c>
      <c r="BN1">
        <v>60</v>
      </c>
      <c r="BO1">
        <v>61</v>
      </c>
      <c r="BP1">
        <v>62</v>
      </c>
      <c r="BQ1">
        <v>63</v>
      </c>
      <c r="BR1">
        <v>64</v>
      </c>
      <c r="BS1">
        <v>65</v>
      </c>
      <c r="BT1">
        <v>66</v>
      </c>
    </row>
    <row r="2" spans="1:72" x14ac:dyDescent="0.4">
      <c r="B2" s="11" t="s">
        <v>430</v>
      </c>
      <c r="K2" s="91"/>
      <c r="L2" s="92"/>
      <c r="M2" s="92"/>
      <c r="N2" s="92"/>
      <c r="O2" s="92"/>
    </row>
    <row r="3" spans="1:72" x14ac:dyDescent="0.4">
      <c r="A3" t="s">
        <v>70</v>
      </c>
      <c r="B3" t="s">
        <v>149</v>
      </c>
      <c r="C3" s="5" t="s">
        <v>150</v>
      </c>
      <c r="D3" s="5" t="s">
        <v>151</v>
      </c>
      <c r="E3" s="5" t="s">
        <v>152</v>
      </c>
      <c r="F3" s="5">
        <v>2027</v>
      </c>
      <c r="G3" s="5">
        <v>2028</v>
      </c>
      <c r="H3" s="5">
        <v>2029</v>
      </c>
      <c r="I3" s="5">
        <v>2030</v>
      </c>
      <c r="J3" s="5">
        <v>2031</v>
      </c>
      <c r="K3" s="5">
        <v>2032</v>
      </c>
      <c r="L3" s="5">
        <v>2033</v>
      </c>
      <c r="M3" s="5">
        <v>2034</v>
      </c>
      <c r="N3" s="5">
        <v>2035</v>
      </c>
      <c r="O3" s="5">
        <v>2036</v>
      </c>
      <c r="P3" s="5">
        <v>2037</v>
      </c>
      <c r="Q3" s="5">
        <v>2038</v>
      </c>
      <c r="R3" s="5">
        <v>2039</v>
      </c>
      <c r="S3" s="5">
        <v>2040</v>
      </c>
      <c r="T3" s="5">
        <v>2041</v>
      </c>
      <c r="U3" s="5">
        <v>2042</v>
      </c>
      <c r="V3" s="5">
        <v>2043</v>
      </c>
      <c r="W3" s="5">
        <v>2044</v>
      </c>
      <c r="X3" s="5">
        <v>2045</v>
      </c>
      <c r="Y3" s="5">
        <v>2046</v>
      </c>
      <c r="Z3" s="5">
        <v>2047</v>
      </c>
      <c r="AA3" s="5">
        <v>2048</v>
      </c>
      <c r="AB3" s="5">
        <v>2049</v>
      </c>
      <c r="AC3" s="5">
        <v>2050</v>
      </c>
      <c r="AD3" s="5">
        <v>2051</v>
      </c>
      <c r="AE3" s="5">
        <v>2052</v>
      </c>
      <c r="AF3" s="5">
        <v>2053</v>
      </c>
      <c r="AG3" s="5">
        <v>2054</v>
      </c>
      <c r="AH3" s="5">
        <v>2055</v>
      </c>
      <c r="AI3" s="5">
        <v>2056</v>
      </c>
      <c r="AJ3" s="5">
        <v>2057</v>
      </c>
      <c r="AK3" s="5">
        <v>2058</v>
      </c>
      <c r="AL3" s="5">
        <v>2059</v>
      </c>
      <c r="AM3" s="5">
        <v>2060</v>
      </c>
      <c r="AN3" s="5">
        <v>2061</v>
      </c>
      <c r="AO3" s="5">
        <v>2062</v>
      </c>
      <c r="AP3" s="5">
        <v>2063</v>
      </c>
      <c r="AQ3" s="5">
        <v>2064</v>
      </c>
      <c r="AR3" s="5">
        <v>2065</v>
      </c>
      <c r="AS3" s="5">
        <v>2066</v>
      </c>
      <c r="AT3" s="5">
        <v>2067</v>
      </c>
      <c r="AU3" s="5">
        <v>2068</v>
      </c>
      <c r="AV3" s="5">
        <v>2069</v>
      </c>
      <c r="AW3" s="5">
        <v>2070</v>
      </c>
      <c r="AX3" s="5">
        <v>2071</v>
      </c>
      <c r="AY3" s="5">
        <v>2072</v>
      </c>
      <c r="AZ3" s="5">
        <v>2073</v>
      </c>
      <c r="BA3" s="5">
        <v>2074</v>
      </c>
      <c r="BB3" s="5">
        <v>2075</v>
      </c>
      <c r="BC3" s="5">
        <v>2076</v>
      </c>
      <c r="BD3" s="5">
        <v>2077</v>
      </c>
      <c r="BE3" s="5">
        <v>2078</v>
      </c>
      <c r="BF3" s="5">
        <v>2079</v>
      </c>
      <c r="BG3" s="5">
        <v>2080</v>
      </c>
      <c r="BH3" s="5">
        <v>2081</v>
      </c>
      <c r="BI3" s="5">
        <v>2082</v>
      </c>
      <c r="BJ3" s="5">
        <v>2083</v>
      </c>
      <c r="BK3" s="5">
        <v>2084</v>
      </c>
      <c r="BL3" s="5">
        <v>2085</v>
      </c>
      <c r="BM3" s="5">
        <v>2086</v>
      </c>
      <c r="BN3" s="5">
        <v>2087</v>
      </c>
      <c r="BO3" s="5">
        <v>2088</v>
      </c>
      <c r="BP3" s="5">
        <v>2089</v>
      </c>
      <c r="BQ3" s="5">
        <v>2090</v>
      </c>
      <c r="BR3" s="5">
        <v>2091</v>
      </c>
      <c r="BS3" s="5">
        <v>2092</v>
      </c>
      <c r="BT3" s="5">
        <v>2093</v>
      </c>
    </row>
    <row r="4" spans="1:72" x14ac:dyDescent="0.4"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  <c r="AN4" s="216"/>
      <c r="AO4" s="216"/>
      <c r="AP4" s="216"/>
      <c r="AQ4" s="216"/>
      <c r="AR4" s="216"/>
      <c r="AS4" s="216"/>
      <c r="AT4" s="216"/>
      <c r="AU4" s="216"/>
      <c r="AV4" s="216"/>
      <c r="AW4" s="216"/>
      <c r="AX4" s="216"/>
      <c r="AY4" s="216"/>
      <c r="AZ4" s="216"/>
      <c r="BA4" s="216"/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  <c r="BM4" s="216"/>
      <c r="BN4" s="216"/>
      <c r="BO4" s="216"/>
      <c r="BP4" s="216"/>
      <c r="BQ4" s="216"/>
      <c r="BR4" s="216"/>
      <c r="BS4" s="216"/>
      <c r="BT4" s="216"/>
    </row>
    <row r="5" spans="1:72" x14ac:dyDescent="0.4">
      <c r="A5" t="s">
        <v>37</v>
      </c>
      <c r="B5" t="s">
        <v>15</v>
      </c>
      <c r="C5" t="s">
        <v>127</v>
      </c>
      <c r="D5" t="s">
        <v>154</v>
      </c>
      <c r="E5" t="s">
        <v>431</v>
      </c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81"/>
      <c r="BS5" s="81"/>
      <c r="BT5" s="81"/>
    </row>
    <row r="6" spans="1:72" x14ac:dyDescent="0.4">
      <c r="A6" t="s">
        <v>37</v>
      </c>
      <c r="B6" t="s">
        <v>15</v>
      </c>
      <c r="C6" t="s">
        <v>127</v>
      </c>
      <c r="D6" t="s">
        <v>155</v>
      </c>
      <c r="E6" t="s">
        <v>431</v>
      </c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81"/>
      <c r="BS6" s="81"/>
      <c r="BT6" s="81"/>
    </row>
    <row r="7" spans="1:72" x14ac:dyDescent="0.4">
      <c r="A7" t="s">
        <v>37</v>
      </c>
      <c r="B7" t="s">
        <v>15</v>
      </c>
      <c r="C7" t="s">
        <v>127</v>
      </c>
      <c r="D7" t="s">
        <v>156</v>
      </c>
      <c r="E7" t="s">
        <v>431</v>
      </c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81"/>
      <c r="BS7" s="81"/>
      <c r="BT7" s="81"/>
    </row>
    <row r="8" spans="1:72" x14ac:dyDescent="0.4">
      <c r="A8" t="s">
        <v>37</v>
      </c>
      <c r="B8" t="s">
        <v>15</v>
      </c>
      <c r="C8" t="s">
        <v>127</v>
      </c>
      <c r="D8" t="s">
        <v>157</v>
      </c>
      <c r="E8" t="s">
        <v>431</v>
      </c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81"/>
      <c r="BS8" s="81"/>
      <c r="BT8" s="81"/>
    </row>
    <row r="9" spans="1:72" x14ac:dyDescent="0.4">
      <c r="A9" t="s">
        <v>37</v>
      </c>
      <c r="B9" t="s">
        <v>15</v>
      </c>
      <c r="C9" t="s">
        <v>127</v>
      </c>
      <c r="D9" t="s">
        <v>158</v>
      </c>
      <c r="E9" t="s">
        <v>431</v>
      </c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81"/>
      <c r="BS9" s="81"/>
      <c r="BT9" s="81"/>
    </row>
    <row r="10" spans="1:72" x14ac:dyDescent="0.4">
      <c r="A10" t="s">
        <v>37</v>
      </c>
      <c r="B10" t="s">
        <v>15</v>
      </c>
      <c r="C10" t="s">
        <v>127</v>
      </c>
      <c r="D10" t="s">
        <v>159</v>
      </c>
      <c r="E10" t="s">
        <v>431</v>
      </c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81"/>
      <c r="BS10" s="81"/>
      <c r="BT10" s="81"/>
    </row>
    <row r="11" spans="1:72" x14ac:dyDescent="0.4">
      <c r="A11" t="s">
        <v>37</v>
      </c>
      <c r="B11" t="s">
        <v>15</v>
      </c>
      <c r="C11" t="s">
        <v>127</v>
      </c>
      <c r="D11" t="s">
        <v>7</v>
      </c>
      <c r="E11" t="s">
        <v>431</v>
      </c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81"/>
      <c r="BS11" s="81"/>
      <c r="BT11" s="81"/>
    </row>
    <row r="12" spans="1:72" x14ac:dyDescent="0.4"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  <c r="BC12" s="216"/>
      <c r="BD12" s="216"/>
      <c r="BE12" s="216"/>
      <c r="BF12" s="216"/>
      <c r="BG12" s="216"/>
      <c r="BH12" s="216"/>
      <c r="BI12" s="216"/>
      <c r="BJ12" s="216"/>
      <c r="BK12" s="216"/>
      <c r="BL12" s="216"/>
      <c r="BM12" s="216"/>
      <c r="BN12" s="216"/>
      <c r="BO12" s="216"/>
      <c r="BP12" s="216"/>
      <c r="BQ12" s="216"/>
      <c r="BR12" s="216"/>
      <c r="BS12" s="216"/>
      <c r="BT12" s="216"/>
    </row>
    <row r="13" spans="1:72" x14ac:dyDescent="0.4">
      <c r="A13" t="s">
        <v>37</v>
      </c>
      <c r="B13" t="s">
        <v>15</v>
      </c>
      <c r="C13" t="s">
        <v>127</v>
      </c>
      <c r="D13" t="s">
        <v>128</v>
      </c>
      <c r="F13" s="8"/>
      <c r="G13" s="8">
        <f>'Rev Req''t_Baseline_OH1PH'!F27+'Rev Req''t_Baseline_OH1PH'!F44+'Rev Req''t_Baseline_OH1PH'!F61+'Rev Req''t_Baseline_OH1PH'!F78+'Rev Req''t_Baseline_OH1PH'!F95+'Rev Req''t_Baseline_OH1PH'!F112+'Rev Req''t_Baseline_OH1PH'!F129+'Rev Req''t_Baseline_OH1PH'!F146+'Rev Req''t_Baseline_OH1PH'!F163+'Rev Req''t_Baseline_OH1PH'!F180</f>
        <v>88466.398630557975</v>
      </c>
      <c r="H13" s="8">
        <f>'Rev Req''t_Baseline_OH1PH'!G27+'Rev Req''t_Baseline_OH1PH'!G44+'Rev Req''t_Baseline_OH1PH'!G61+'Rev Req''t_Baseline_OH1PH'!G78+'Rev Req''t_Baseline_OH1PH'!G95+'Rev Req''t_Baseline_OH1PH'!G112+'Rev Req''t_Baseline_OH1PH'!G129+'Rev Req''t_Baseline_OH1PH'!G146+'Rev Req''t_Baseline_OH1PH'!G163+'Rev Req''t_Baseline_OH1PH'!G180</f>
        <v>176222.37478131001</v>
      </c>
      <c r="I13" s="8">
        <f>'Rev Req''t_Baseline_OH1PH'!H27+'Rev Req''t_Baseline_OH1PH'!H44+'Rev Req''t_Baseline_OH1PH'!H61+'Rev Req''t_Baseline_OH1PH'!H78+'Rev Req''t_Baseline_OH1PH'!H95+'Rev Req''t_Baseline_OH1PH'!H112+'Rev Req''t_Baseline_OH1PH'!H129+'Rev Req''t_Baseline_OH1PH'!H146+'Rev Req''t_Baseline_OH1PH'!H163+'Rev Req''t_Baseline_OH1PH'!H180</f>
        <v>262888.95691063366</v>
      </c>
      <c r="J13" s="8">
        <f>'Rev Req''t_Baseline_OH1PH'!I27+'Rev Req''t_Baseline_OH1PH'!I44+'Rev Req''t_Baseline_OH1PH'!I61+'Rev Req''t_Baseline_OH1PH'!I78+'Rev Req''t_Baseline_OH1PH'!I95+'Rev Req''t_Baseline_OH1PH'!I112+'Rev Req''t_Baseline_OH1PH'!I129+'Rev Req''t_Baseline_OH1PH'!I146+'Rev Req''t_Baseline_OH1PH'!I163+'Rev Req''t_Baseline_OH1PH'!I180</f>
        <v>348571.52670039696</v>
      </c>
      <c r="K13" s="8">
        <f>'Rev Req''t_Baseline_OH1PH'!J27+'Rev Req''t_Baseline_OH1PH'!J44+'Rev Req''t_Baseline_OH1PH'!J61+'Rev Req''t_Baseline_OH1PH'!J78+'Rev Req''t_Baseline_OH1PH'!J95+'Rev Req''t_Baseline_OH1PH'!J112+'Rev Req''t_Baseline_OH1PH'!J129+'Rev Req''t_Baseline_OH1PH'!J146+'Rev Req''t_Baseline_OH1PH'!J163+'Rev Req''t_Baseline_OH1PH'!J180</f>
        <v>433368.1017233975</v>
      </c>
      <c r="L13" s="8">
        <f>'Rev Req''t_Baseline_OH1PH'!K27+'Rev Req''t_Baseline_OH1PH'!K44+'Rev Req''t_Baseline_OH1PH'!K61+'Rev Req''t_Baseline_OH1PH'!K78+'Rev Req''t_Baseline_OH1PH'!K95+'Rev Req''t_Baseline_OH1PH'!K112+'Rev Req''t_Baseline_OH1PH'!K129+'Rev Req''t_Baseline_OH1PH'!K146+'Rev Req''t_Baseline_OH1PH'!K163+'Rev Req''t_Baseline_OH1PH'!K180</f>
        <v>517369.91824112227</v>
      </c>
      <c r="M13" s="8">
        <f>'Rev Req''t_Baseline_OH1PH'!L27+'Rev Req''t_Baseline_OH1PH'!L44+'Rev Req''t_Baseline_OH1PH'!L61+'Rev Req''t_Baseline_OH1PH'!L78+'Rev Req''t_Baseline_OH1PH'!L95+'Rev Req''t_Baseline_OH1PH'!L112+'Rev Req''t_Baseline_OH1PH'!L129+'Rev Req''t_Baseline_OH1PH'!L146+'Rev Req''t_Baseline_OH1PH'!L163+'Rev Req''t_Baseline_OH1PH'!L180</f>
        <v>600661.9026883652</v>
      </c>
      <c r="N13" s="8">
        <f>'Rev Req''t_Baseline_OH1PH'!M27+'Rev Req''t_Baseline_OH1PH'!M44+'Rev Req''t_Baseline_OH1PH'!M61+'Rev Req''t_Baseline_OH1PH'!M78+'Rev Req''t_Baseline_OH1PH'!M95+'Rev Req''t_Baseline_OH1PH'!M112+'Rev Req''t_Baseline_OH1PH'!M129+'Rev Req''t_Baseline_OH1PH'!M146+'Rev Req''t_Baseline_OH1PH'!M163+'Rev Req''t_Baseline_OH1PH'!M180</f>
        <v>683323.1535305056</v>
      </c>
      <c r="O13" s="8">
        <f>'Rev Req''t_Baseline_OH1PH'!N27+'Rev Req''t_Baseline_OH1PH'!N44+'Rev Req''t_Baseline_OH1PH'!N61+'Rev Req''t_Baseline_OH1PH'!N78+'Rev Req''t_Baseline_OH1PH'!N95+'Rev Req''t_Baseline_OH1PH'!N112+'Rev Req''t_Baseline_OH1PH'!N129+'Rev Req''t_Baseline_OH1PH'!N146+'Rev Req''t_Baseline_OH1PH'!N163+'Rev Req''t_Baseline_OH1PH'!N180</f>
        <v>765392.67600754439</v>
      </c>
      <c r="P13" s="8">
        <f>'Rev Req''t_Baseline_OH1PH'!O27+'Rev Req''t_Baseline_OH1PH'!O44+'Rev Req''t_Baseline_OH1PH'!O61+'Rev Req''t_Baseline_OH1PH'!O78+'Rev Req''t_Baseline_OH1PH'!O95+'Rev Req''t_Baseline_OH1PH'!O112+'Rev Req''t_Baseline_OH1PH'!O129+'Rev Req''t_Baseline_OH1PH'!O146+'Rev Req''t_Baseline_OH1PH'!O163+'Rev Req''t_Baseline_OH1PH'!O180</f>
        <v>846865.02431173623</v>
      </c>
      <c r="Q13" s="8">
        <f>'Rev Req''t_Baseline_OH1PH'!P27+'Rev Req''t_Baseline_OH1PH'!P44+'Rev Req''t_Baseline_OH1PH'!P61+'Rev Req''t_Baseline_OH1PH'!P78+'Rev Req''t_Baseline_OH1PH'!P95+'Rev Req''t_Baseline_OH1PH'!P112+'Rev Req''t_Baseline_OH1PH'!P129+'Rev Req''t_Baseline_OH1PH'!P146+'Rev Req''t_Baseline_OH1PH'!P163+'Rev Req''t_Baseline_OH1PH'!P180</f>
        <v>817753.74827380024</v>
      </c>
      <c r="R13" s="8">
        <f>'Rev Req''t_Baseline_OH1PH'!Q27+'Rev Req''t_Baseline_OH1PH'!Q44+'Rev Req''t_Baseline_OH1PH'!Q61+'Rev Req''t_Baseline_OH1PH'!Q78+'Rev Req''t_Baseline_OH1PH'!Q95+'Rev Req''t_Baseline_OH1PH'!Q112+'Rev Req''t_Baseline_OH1PH'!Q129+'Rev Req''t_Baseline_OH1PH'!Q146+'Rev Req''t_Baseline_OH1PH'!Q163+'Rev Req''t_Baseline_OH1PH'!Q180</f>
        <v>788901.86543163261</v>
      </c>
      <c r="S13" s="8">
        <f>'Rev Req''t_Baseline_OH1PH'!R27+'Rev Req''t_Baseline_OH1PH'!R44+'Rev Req''t_Baseline_OH1PH'!R61+'Rev Req''t_Baseline_OH1PH'!R78+'Rev Req''t_Baseline_OH1PH'!R95+'Rev Req''t_Baseline_OH1PH'!R112+'Rev Req''t_Baseline_OH1PH'!R129+'Rev Req''t_Baseline_OH1PH'!R146+'Rev Req''t_Baseline_OH1PH'!R163+'Rev Req''t_Baseline_OH1PH'!R180</f>
        <v>760766.75619010231</v>
      </c>
      <c r="T13" s="8">
        <f>'Rev Req''t_Baseline_OH1PH'!S27+'Rev Req''t_Baseline_OH1PH'!S44+'Rev Req''t_Baseline_OH1PH'!S61+'Rev Req''t_Baseline_OH1PH'!S78+'Rev Req''t_Baseline_OH1PH'!S95+'Rev Req''t_Baseline_OH1PH'!S112+'Rev Req''t_Baseline_OH1PH'!S129+'Rev Req''t_Baseline_OH1PH'!S146+'Rev Req''t_Baseline_OH1PH'!S163+'Rev Req''t_Baseline_OH1PH'!S180</f>
        <v>733203.39556355367</v>
      </c>
      <c r="U13" s="8">
        <f>'Rev Req''t_Baseline_OH1PH'!T27+'Rev Req''t_Baseline_OH1PH'!T44+'Rev Req''t_Baseline_OH1PH'!T61+'Rev Req''t_Baseline_OH1PH'!T78+'Rev Req''t_Baseline_OH1PH'!T95+'Rev Req''t_Baseline_OH1PH'!T112+'Rev Req''t_Baseline_OH1PH'!T129+'Rev Req''t_Baseline_OH1PH'!T146+'Rev Req''t_Baseline_OH1PH'!T163+'Rev Req''t_Baseline_OH1PH'!T180</f>
        <v>706075.60442008183</v>
      </c>
      <c r="V13" s="8">
        <f>'Rev Req''t_Baseline_OH1PH'!U27+'Rev Req''t_Baseline_OH1PH'!U44+'Rev Req''t_Baseline_OH1PH'!U61+'Rev Req''t_Baseline_OH1PH'!U78+'Rev Req''t_Baseline_OH1PH'!U95+'Rev Req''t_Baseline_OH1PH'!U112+'Rev Req''t_Baseline_OH1PH'!U129+'Rev Req''t_Baseline_OH1PH'!U146+'Rev Req''t_Baseline_OH1PH'!U163+'Rev Req''t_Baseline_OH1PH'!U180</f>
        <v>679255.3182131286</v>
      </c>
      <c r="W13" s="8">
        <f>'Rev Req''t_Baseline_OH1PH'!V27+'Rev Req''t_Baseline_OH1PH'!V44+'Rev Req''t_Baseline_OH1PH'!V61+'Rev Req''t_Baseline_OH1PH'!V78+'Rev Req''t_Baseline_OH1PH'!V95+'Rev Req''t_Baseline_OH1PH'!V112+'Rev Req''t_Baseline_OH1PH'!V129+'Rev Req''t_Baseline_OH1PH'!V146+'Rev Req''t_Baseline_OH1PH'!V163+'Rev Req''t_Baseline_OH1PH'!V180</f>
        <v>652621.99393803673</v>
      </c>
      <c r="X13" s="8">
        <f>'Rev Req''t_Baseline_OH1PH'!W27+'Rev Req''t_Baseline_OH1PH'!W44+'Rev Req''t_Baseline_OH1PH'!W61+'Rev Req''t_Baseline_OH1PH'!W78+'Rev Req''t_Baseline_OH1PH'!W95+'Rev Req''t_Baseline_OH1PH'!W112+'Rev Req''t_Baseline_OH1PH'!W129+'Rev Req''t_Baseline_OH1PH'!W146+'Rev Req''t_Baseline_OH1PH'!W163+'Rev Req''t_Baseline_OH1PH'!W180</f>
        <v>626062.00404164917</v>
      </c>
      <c r="Y13" s="8">
        <f>'Rev Req''t_Baseline_OH1PH'!X27+'Rev Req''t_Baseline_OH1PH'!X44+'Rev Req''t_Baseline_OH1PH'!X61+'Rev Req''t_Baseline_OH1PH'!X78+'Rev Req''t_Baseline_OH1PH'!X95+'Rev Req''t_Baseline_OH1PH'!X112+'Rev Req''t_Baseline_OH1PH'!X129+'Rev Req''t_Baseline_OH1PH'!X146+'Rev Req''t_Baseline_OH1PH'!X163+'Rev Req''t_Baseline_OH1PH'!X180</f>
        <v>599511.22459999553</v>
      </c>
      <c r="Z13" s="8">
        <f>'Rev Req''t_Baseline_OH1PH'!Y27+'Rev Req''t_Baseline_OH1PH'!Y44+'Rev Req''t_Baseline_OH1PH'!Y61+'Rev Req''t_Baseline_OH1PH'!Y78+'Rev Req''t_Baseline_OH1PH'!Y95+'Rev Req''t_Baseline_OH1PH'!Y112+'Rev Req''t_Baseline_OH1PH'!Y129+'Rev Req''t_Baseline_OH1PH'!Y146+'Rev Req''t_Baseline_OH1PH'!Y163+'Rev Req''t_Baseline_OH1PH'!Y180</f>
        <v>572960.44515834178</v>
      </c>
      <c r="AA13" s="8">
        <f>'Rev Req''t_Baseline_OH1PH'!Z27+'Rev Req''t_Baseline_OH1PH'!Z44+'Rev Req''t_Baseline_OH1PH'!Z61+'Rev Req''t_Baseline_OH1PH'!Z78+'Rev Req''t_Baseline_OH1PH'!Z95+'Rev Req''t_Baseline_OH1PH'!Z112+'Rev Req''t_Baseline_OH1PH'!Z129+'Rev Req''t_Baseline_OH1PH'!Z146+'Rev Req''t_Baseline_OH1PH'!Z163+'Rev Req''t_Baseline_OH1PH'!Z180</f>
        <v>546686.61021727102</v>
      </c>
      <c r="AB13" s="8">
        <f>'Rev Req''t_Baseline_OH1PH'!AA27+'Rev Req''t_Baseline_OH1PH'!AA44+'Rev Req''t_Baseline_OH1PH'!AA61+'Rev Req''t_Baseline_OH1PH'!AA78+'Rev Req''t_Baseline_OH1PH'!AA95+'Rev Req''t_Baseline_OH1PH'!AA112+'Rev Req''t_Baseline_OH1PH'!AA129+'Rev Req''t_Baseline_OH1PH'!AA146+'Rev Req''t_Baseline_OH1PH'!AA163+'Rev Req''t_Baseline_OH1PH'!AA180</f>
        <v>521249.57742226816</v>
      </c>
      <c r="AC13" s="8">
        <f>'Rev Req''t_Baseline_OH1PH'!AB27+'Rev Req''t_Baseline_OH1PH'!AB44+'Rev Req''t_Baseline_OH1PH'!AB61+'Rev Req''t_Baseline_OH1PH'!AB78+'Rev Req''t_Baseline_OH1PH'!AB95+'Rev Req''t_Baseline_OH1PH'!AB112+'Rev Req''t_Baseline_OH1PH'!AB129+'Rev Req''t_Baseline_OH1PH'!AB146+'Rev Req''t_Baseline_OH1PH'!AB163+'Rev Req''t_Baseline_OH1PH'!AB180</f>
        <v>496944.70092112944</v>
      </c>
      <c r="AD13" s="8">
        <f>'Rev Req''t_Baseline_OH1PH'!AC27+'Rev Req''t_Baseline_OH1PH'!AC44+'Rev Req''t_Baseline_OH1PH'!AC61+'Rev Req''t_Baseline_OH1PH'!AC78+'Rev Req''t_Baseline_OH1PH'!AC95+'Rev Req''t_Baseline_OH1PH'!AC112+'Rev Req''t_Baseline_OH1PH'!AC129+'Rev Req''t_Baseline_OH1PH'!AC146+'Rev Req''t_Baseline_OH1PH'!AC163+'Rev Req''t_Baseline_OH1PH'!AC180</f>
        <v>473796.88815232011</v>
      </c>
      <c r="AE13" s="8">
        <f>'Rev Req''t_Baseline_OH1PH'!AD27+'Rev Req''t_Baseline_OH1PH'!AD44+'Rev Req''t_Baseline_OH1PH'!AD61+'Rev Req''t_Baseline_OH1PH'!AD78+'Rev Req''t_Baseline_OH1PH'!AD95+'Rev Req''t_Baseline_OH1PH'!AD112+'Rev Req''t_Baseline_OH1PH'!AD129+'Rev Req''t_Baseline_OH1PH'!AD146+'Rev Req''t_Baseline_OH1PH'!AD163+'Rev Req''t_Baseline_OH1PH'!AD180</f>
        <v>451831.59451795137</v>
      </c>
      <c r="AF13" s="8">
        <f>'Rev Req''t_Baseline_OH1PH'!AE27+'Rev Req''t_Baseline_OH1PH'!AE44+'Rev Req''t_Baseline_OH1PH'!AE61+'Rev Req''t_Baseline_OH1PH'!AE78+'Rev Req''t_Baseline_OH1PH'!AE95+'Rev Req''t_Baseline_OH1PH'!AE112+'Rev Req''t_Baseline_OH1PH'!AE129+'Rev Req''t_Baseline_OH1PH'!AE146+'Rev Req''t_Baseline_OH1PH'!AE163+'Rev Req''t_Baseline_OH1PH'!AE180</f>
        <v>431074.83543898072</v>
      </c>
      <c r="AG13" s="8">
        <f>'Rev Req''t_Baseline_OH1PH'!AF27+'Rev Req''t_Baseline_OH1PH'!AF44+'Rev Req''t_Baseline_OH1PH'!AF61+'Rev Req''t_Baseline_OH1PH'!AF78+'Rev Req''t_Baseline_OH1PH'!AF95+'Rev Req''t_Baseline_OH1PH'!AF112+'Rev Req''t_Baseline_OH1PH'!AF129+'Rev Req''t_Baseline_OH1PH'!AF146+'Rev Req''t_Baseline_OH1PH'!AF163+'Rev Req''t_Baseline_OH1PH'!AF180</f>
        <v>411553.19867562724</v>
      </c>
      <c r="AH13" s="8">
        <f>'Rev Req''t_Baseline_OH1PH'!AG27+'Rev Req''t_Baseline_OH1PH'!AG44+'Rev Req''t_Baseline_OH1PH'!AG61+'Rev Req''t_Baseline_OH1PH'!AG78+'Rev Req''t_Baseline_OH1PH'!AG95+'Rev Req''t_Baseline_OH1PH'!AG112+'Rev Req''t_Baseline_OH1PH'!AG129+'Rev Req''t_Baseline_OH1PH'!AG146+'Rev Req''t_Baseline_OH1PH'!AG163+'Rev Req''t_Baseline_OH1PH'!AG180</f>
        <v>393293.85691883415</v>
      </c>
      <c r="AI13" s="8">
        <f>'Rev Req''t_Baseline_OH1PH'!AH27+'Rev Req''t_Baseline_OH1PH'!AH44+'Rev Req''t_Baseline_OH1PH'!AH61+'Rev Req''t_Baseline_OH1PH'!AH78+'Rev Req''t_Baseline_OH1PH'!AH95+'Rev Req''t_Baseline_OH1PH'!AH112+'Rev Req''t_Baseline_OH1PH'!AH129+'Rev Req''t_Baseline_OH1PH'!AH146+'Rev Req''t_Baseline_OH1PH'!AH163+'Rev Req''t_Baseline_OH1PH'!AH180</f>
        <v>376324.58065874595</v>
      </c>
      <c r="AJ13" s="8">
        <f>'Rev Req''t_Baseline_OH1PH'!AI27+'Rev Req''t_Baseline_OH1PH'!AI44+'Rev Req''t_Baseline_OH1PH'!AI61+'Rev Req''t_Baseline_OH1PH'!AI78+'Rev Req''t_Baseline_OH1PH'!AI95+'Rev Req''t_Baseline_OH1PH'!AI112+'Rev Req''t_Baseline_OH1PH'!AI129+'Rev Req''t_Baseline_OH1PH'!AI146+'Rev Req''t_Baseline_OH1PH'!AI163+'Rev Req''t_Baseline_OH1PH'!AI180</f>
        <v>360673.75133629021</v>
      </c>
      <c r="AK13" s="8">
        <f>'Rev Req''t_Baseline_OH1PH'!AJ27+'Rev Req''t_Baseline_OH1PH'!AJ44+'Rev Req''t_Baseline_OH1PH'!AJ61+'Rev Req''t_Baseline_OH1PH'!AJ78+'Rev Req''t_Baseline_OH1PH'!AJ95+'Rev Req''t_Baseline_OH1PH'!AJ112+'Rev Req''t_Baseline_OH1PH'!AJ129+'Rev Req''t_Baseline_OH1PH'!AJ146+'Rev Req''t_Baseline_OH1PH'!AJ163+'Rev Req''t_Baseline_OH1PH'!AJ180</f>
        <v>346026.102783265</v>
      </c>
      <c r="AL13" s="8">
        <f>'Rev Req''t_Baseline_OH1PH'!AK27+'Rev Req''t_Baseline_OH1PH'!AK44+'Rev Req''t_Baseline_OH1PH'!AK61+'Rev Req''t_Baseline_OH1PH'!AK78+'Rev Req''t_Baseline_OH1PH'!AK95+'Rev Req''t_Baseline_OH1PH'!AK112+'Rev Req''t_Baseline_OH1PH'!AK129+'Rev Req''t_Baseline_OH1PH'!AK146+'Rev Req''t_Baseline_OH1PH'!AK163+'Rev Req''t_Baseline_OH1PH'!AK180</f>
        <v>331715.31528780318</v>
      </c>
      <c r="AM13" s="8">
        <f>'Rev Req''t_Baseline_OH1PH'!AL27+'Rev Req''t_Baseline_OH1PH'!AL44+'Rev Req''t_Baseline_OH1PH'!AL61+'Rev Req''t_Baseline_OH1PH'!AL78+'Rev Req''t_Baseline_OH1PH'!AL95+'Rev Req''t_Baseline_OH1PH'!AL112+'Rev Req''t_Baseline_OH1PH'!AL129+'Rev Req''t_Baseline_OH1PH'!AL146+'Rev Req''t_Baseline_OH1PH'!AL163+'Rev Req''t_Baseline_OH1PH'!AL180</f>
        <v>317404.52779234131</v>
      </c>
      <c r="AN13" s="8">
        <f>'Rev Req''t_Baseline_OH1PH'!AM27+'Rev Req''t_Baseline_OH1PH'!AM44+'Rev Req''t_Baseline_OH1PH'!AM61+'Rev Req''t_Baseline_OH1PH'!AM78+'Rev Req''t_Baseline_OH1PH'!AM95+'Rev Req''t_Baseline_OH1PH'!AM112+'Rev Req''t_Baseline_OH1PH'!AM129+'Rev Req''t_Baseline_OH1PH'!AM146+'Rev Req''t_Baseline_OH1PH'!AM163+'Rev Req''t_Baseline_OH1PH'!AM180</f>
        <v>303093.74029687949</v>
      </c>
      <c r="AO13" s="8">
        <f>'Rev Req''t_Baseline_OH1PH'!AN27+'Rev Req''t_Baseline_OH1PH'!AN44+'Rev Req''t_Baseline_OH1PH'!AN61+'Rev Req''t_Baseline_OH1PH'!AN78+'Rev Req''t_Baseline_OH1PH'!AN95+'Rev Req''t_Baseline_OH1PH'!AN112+'Rev Req''t_Baseline_OH1PH'!AN129+'Rev Req''t_Baseline_OH1PH'!AN146+'Rev Req''t_Baseline_OH1PH'!AN163+'Rev Req''t_Baseline_OH1PH'!AN180</f>
        <v>288782.95280141762</v>
      </c>
      <c r="AP13" s="8">
        <f>'Rev Req''t_Baseline_OH1PH'!AO27+'Rev Req''t_Baseline_OH1PH'!AO44+'Rev Req''t_Baseline_OH1PH'!AO61+'Rev Req''t_Baseline_OH1PH'!AO78+'Rev Req''t_Baseline_OH1PH'!AO95+'Rev Req''t_Baseline_OH1PH'!AO112+'Rev Req''t_Baseline_OH1PH'!AO129+'Rev Req''t_Baseline_OH1PH'!AO146+'Rev Req''t_Baseline_OH1PH'!AO163+'Rev Req''t_Baseline_OH1PH'!AO180</f>
        <v>274472.16530595574</v>
      </c>
      <c r="AQ13" s="8">
        <f>'Rev Req''t_Baseline_OH1PH'!AP27+'Rev Req''t_Baseline_OH1PH'!AP44+'Rev Req''t_Baseline_OH1PH'!AP61+'Rev Req''t_Baseline_OH1PH'!AP78+'Rev Req''t_Baseline_OH1PH'!AP95+'Rev Req''t_Baseline_OH1PH'!AP112+'Rev Req''t_Baseline_OH1PH'!AP129+'Rev Req''t_Baseline_OH1PH'!AP146+'Rev Req''t_Baseline_OH1PH'!AP163+'Rev Req''t_Baseline_OH1PH'!AP180</f>
        <v>260161.3778104939</v>
      </c>
      <c r="AR13" s="8">
        <f>'Rev Req''t_Baseline_OH1PH'!AQ27+'Rev Req''t_Baseline_OH1PH'!AQ44+'Rev Req''t_Baseline_OH1PH'!AQ61+'Rev Req''t_Baseline_OH1PH'!AQ78+'Rev Req''t_Baseline_OH1PH'!AQ95+'Rev Req''t_Baseline_OH1PH'!AQ112+'Rev Req''t_Baseline_OH1PH'!AQ129+'Rev Req''t_Baseline_OH1PH'!AQ146+'Rev Req''t_Baseline_OH1PH'!AQ163+'Rev Req''t_Baseline_OH1PH'!AQ180</f>
        <v>245850.59031503208</v>
      </c>
      <c r="AS13" s="8">
        <f>'Rev Req''t_Baseline_OH1PH'!AR27+'Rev Req''t_Baseline_OH1PH'!AR44+'Rev Req''t_Baseline_OH1PH'!AR61+'Rev Req''t_Baseline_OH1PH'!AR78+'Rev Req''t_Baseline_OH1PH'!AR95+'Rev Req''t_Baseline_OH1PH'!AR112+'Rev Req''t_Baseline_OH1PH'!AR129+'Rev Req''t_Baseline_OH1PH'!AR146+'Rev Req''t_Baseline_OH1PH'!AR163+'Rev Req''t_Baseline_OH1PH'!AR180</f>
        <v>231539.80281957018</v>
      </c>
      <c r="AT13" s="8">
        <f>'Rev Req''t_Baseline_OH1PH'!AS27+'Rev Req''t_Baseline_OH1PH'!AS44+'Rev Req''t_Baseline_OH1PH'!AS61+'Rev Req''t_Baseline_OH1PH'!AS78+'Rev Req''t_Baseline_OH1PH'!AS95+'Rev Req''t_Baseline_OH1PH'!AS112+'Rev Req''t_Baseline_OH1PH'!AS129+'Rev Req''t_Baseline_OH1PH'!AS146+'Rev Req''t_Baseline_OH1PH'!AS163+'Rev Req''t_Baseline_OH1PH'!AS180</f>
        <v>217229.01532410833</v>
      </c>
      <c r="AU13" s="8">
        <f>'Rev Req''t_Baseline_OH1PH'!AT27+'Rev Req''t_Baseline_OH1PH'!AT44+'Rev Req''t_Baseline_OH1PH'!AT61+'Rev Req''t_Baseline_OH1PH'!AT78+'Rev Req''t_Baseline_OH1PH'!AT95+'Rev Req''t_Baseline_OH1PH'!AT112+'Rev Req''t_Baseline_OH1PH'!AT129+'Rev Req''t_Baseline_OH1PH'!AT146+'Rev Req''t_Baseline_OH1PH'!AT163+'Rev Req''t_Baseline_OH1PH'!AT180</f>
        <v>202918.22782864646</v>
      </c>
      <c r="AV13" s="8">
        <f>'Rev Req''t_Baseline_OH1PH'!AU27+'Rev Req''t_Baseline_OH1PH'!AU44+'Rev Req''t_Baseline_OH1PH'!AU61+'Rev Req''t_Baseline_OH1PH'!AU78+'Rev Req''t_Baseline_OH1PH'!AU95+'Rev Req''t_Baseline_OH1PH'!AU112+'Rev Req''t_Baseline_OH1PH'!AU129+'Rev Req''t_Baseline_OH1PH'!AU146+'Rev Req''t_Baseline_OH1PH'!AU163+'Rev Req''t_Baseline_OH1PH'!AU180</f>
        <v>188607.44033318458</v>
      </c>
      <c r="AW13" s="8">
        <f>'Rev Req''t_Baseline_OH1PH'!AV27+'Rev Req''t_Baseline_OH1PH'!AV44+'Rev Req''t_Baseline_OH1PH'!AV61+'Rev Req''t_Baseline_OH1PH'!AV78+'Rev Req''t_Baseline_OH1PH'!AV95+'Rev Req''t_Baseline_OH1PH'!AV112+'Rev Req''t_Baseline_OH1PH'!AV129+'Rev Req''t_Baseline_OH1PH'!AV146+'Rev Req''t_Baseline_OH1PH'!AV163+'Rev Req''t_Baseline_OH1PH'!AV180</f>
        <v>174296.65283772274</v>
      </c>
      <c r="AX13" s="8">
        <f>'Rev Req''t_Baseline_OH1PH'!AW27+'Rev Req''t_Baseline_OH1PH'!AW44+'Rev Req''t_Baseline_OH1PH'!AW61+'Rev Req''t_Baseline_OH1PH'!AW78+'Rev Req''t_Baseline_OH1PH'!AW95+'Rev Req''t_Baseline_OH1PH'!AW112+'Rev Req''t_Baseline_OH1PH'!AW129+'Rev Req''t_Baseline_OH1PH'!AW146+'Rev Req''t_Baseline_OH1PH'!AW163+'Rev Req''t_Baseline_OH1PH'!AW180</f>
        <v>159985.86534226089</v>
      </c>
      <c r="AY13" s="8">
        <f>'Rev Req''t_Baseline_OH1PH'!AX27+'Rev Req''t_Baseline_OH1PH'!AX44+'Rev Req''t_Baseline_OH1PH'!AX61+'Rev Req''t_Baseline_OH1PH'!AX78+'Rev Req''t_Baseline_OH1PH'!AX95+'Rev Req''t_Baseline_OH1PH'!AX112+'Rev Req''t_Baseline_OH1PH'!AX129+'Rev Req''t_Baseline_OH1PH'!AX146+'Rev Req''t_Baseline_OH1PH'!AX163+'Rev Req''t_Baseline_OH1PH'!AX180</f>
        <v>145675.07784679899</v>
      </c>
      <c r="AZ13" s="8">
        <f>'Rev Req''t_Baseline_OH1PH'!AY27+'Rev Req''t_Baseline_OH1PH'!AY44+'Rev Req''t_Baseline_OH1PH'!AY61+'Rev Req''t_Baseline_OH1PH'!AY78+'Rev Req''t_Baseline_OH1PH'!AY95+'Rev Req''t_Baseline_OH1PH'!AY112+'Rev Req''t_Baseline_OH1PH'!AY129+'Rev Req''t_Baseline_OH1PH'!AY146+'Rev Req''t_Baseline_OH1PH'!AY163+'Rev Req''t_Baseline_OH1PH'!AY180</f>
        <v>131364.29035133717</v>
      </c>
      <c r="BA13" s="8">
        <f>'Rev Req''t_Baseline_OH1PH'!AZ27+'Rev Req''t_Baseline_OH1PH'!AZ44+'Rev Req''t_Baseline_OH1PH'!AZ61+'Rev Req''t_Baseline_OH1PH'!AZ78+'Rev Req''t_Baseline_OH1PH'!AZ95+'Rev Req''t_Baseline_OH1PH'!AZ112+'Rev Req''t_Baseline_OH1PH'!AZ129+'Rev Req''t_Baseline_OH1PH'!AZ146+'Rev Req''t_Baseline_OH1PH'!AZ163+'Rev Req''t_Baseline_OH1PH'!AZ180</f>
        <v>117053.5028558753</v>
      </c>
      <c r="BB13" s="8">
        <f>'Rev Req''t_Baseline_OH1PH'!BA27+'Rev Req''t_Baseline_OH1PH'!BA44+'Rev Req''t_Baseline_OH1PH'!BA61+'Rev Req''t_Baseline_OH1PH'!BA78+'Rev Req''t_Baseline_OH1PH'!BA95+'Rev Req''t_Baseline_OH1PH'!BA112+'Rev Req''t_Baseline_OH1PH'!BA129+'Rev Req''t_Baseline_OH1PH'!BA146+'Rev Req''t_Baseline_OH1PH'!BA163+'Rev Req''t_Baseline_OH1PH'!BA180</f>
        <v>102742.71536041345</v>
      </c>
      <c r="BC13" s="8">
        <f>'Rev Req''t_Baseline_OH1PH'!BB27+'Rev Req''t_Baseline_OH1PH'!BB44+'Rev Req''t_Baseline_OH1PH'!BB61+'Rev Req''t_Baseline_OH1PH'!BB78+'Rev Req''t_Baseline_OH1PH'!BB95+'Rev Req''t_Baseline_OH1PH'!BB112+'Rev Req''t_Baseline_OH1PH'!BB129+'Rev Req''t_Baseline_OH1PH'!BB146+'Rev Req''t_Baseline_OH1PH'!BB163+'Rev Req''t_Baseline_OH1PH'!BB180</f>
        <v>88431.927864951576</v>
      </c>
      <c r="BD13" s="8">
        <f>'Rev Req''t_Baseline_OH1PH'!BC27+'Rev Req''t_Baseline_OH1PH'!BC44+'Rev Req''t_Baseline_OH1PH'!BC61+'Rev Req''t_Baseline_OH1PH'!BC78+'Rev Req''t_Baseline_OH1PH'!BC95+'Rev Req''t_Baseline_OH1PH'!BC112+'Rev Req''t_Baseline_OH1PH'!BC129+'Rev Req''t_Baseline_OH1PH'!BC146+'Rev Req''t_Baseline_OH1PH'!BC163+'Rev Req''t_Baseline_OH1PH'!BC180</f>
        <v>74121.140369489716</v>
      </c>
      <c r="BE13" s="8">
        <f>'Rev Req''t_Baseline_OH1PH'!BD27+'Rev Req''t_Baseline_OH1PH'!BD44+'Rev Req''t_Baseline_OH1PH'!BD61+'Rev Req''t_Baseline_OH1PH'!BD78+'Rev Req''t_Baseline_OH1PH'!BD95+'Rev Req''t_Baseline_OH1PH'!BD112+'Rev Req''t_Baseline_OH1PH'!BD129+'Rev Req''t_Baseline_OH1PH'!BD146+'Rev Req''t_Baseline_OH1PH'!BD163+'Rev Req''t_Baseline_OH1PH'!BD180</f>
        <v>60457.877773879867</v>
      </c>
      <c r="BF13" s="8">
        <f>'Rev Req''t_Baseline_OH1PH'!BE27+'Rev Req''t_Baseline_OH1PH'!BE44+'Rev Req''t_Baseline_OH1PH'!BE61+'Rev Req''t_Baseline_OH1PH'!BE78+'Rev Req''t_Baseline_OH1PH'!BE95+'Rev Req''t_Baseline_OH1PH'!BE112+'Rev Req''t_Baseline_OH1PH'!BE129+'Rev Req''t_Baseline_OH1PH'!BE146+'Rev Req''t_Baseline_OH1PH'!BE163+'Rev Req''t_Baseline_OH1PH'!BE180</f>
        <v>48103.910525770771</v>
      </c>
      <c r="BG13" s="8">
        <f>'Rev Req''t_Baseline_OH1PH'!BF27+'Rev Req''t_Baseline_OH1PH'!BF44+'Rev Req''t_Baseline_OH1PH'!BF61+'Rev Req''t_Baseline_OH1PH'!BF78+'Rev Req''t_Baseline_OH1PH'!BF95+'Rev Req''t_Baseline_OH1PH'!BF112+'Rev Req''t_Baseline_OH1PH'!BF129+'Rev Req''t_Baseline_OH1PH'!BF146+'Rev Req''t_Baseline_OH1PH'!BF163+'Rev Req''t_Baseline_OH1PH'!BF180</f>
        <v>37088.043122807314</v>
      </c>
      <c r="BH13" s="8">
        <f>'Rev Req''t_Baseline_OH1PH'!BG27+'Rev Req''t_Baseline_OH1PH'!BG44+'Rev Req''t_Baseline_OH1PH'!BG61+'Rev Req''t_Baseline_OH1PH'!BG78+'Rev Req''t_Baseline_OH1PH'!BG95+'Rev Req''t_Baseline_OH1PH'!BG112+'Rev Req''t_Baseline_OH1PH'!BG129+'Rev Req''t_Baseline_OH1PH'!BG146+'Rev Req''t_Baseline_OH1PH'!BG163+'Rev Req''t_Baseline_OH1PH'!BG180</f>
        <v>27439.7137615826</v>
      </c>
      <c r="BI13" s="8">
        <f>'Rev Req''t_Baseline_OH1PH'!BH27+'Rev Req''t_Baseline_OH1PH'!BH44+'Rev Req''t_Baseline_OH1PH'!BH61+'Rev Req''t_Baseline_OH1PH'!BH78+'Rev Req''t_Baseline_OH1PH'!BH95+'Rev Req''t_Baseline_OH1PH'!BH112+'Rev Req''t_Baseline_OH1PH'!BH129+'Rev Req''t_Baseline_OH1PH'!BH146+'Rev Req''t_Baseline_OH1PH'!BH163+'Rev Req''t_Baseline_OH1PH'!BH180</f>
        <v>19189.008279015008</v>
      </c>
      <c r="BJ13" s="8">
        <f>'Rev Req''t_Baseline_OH1PH'!BI27+'Rev Req''t_Baseline_OH1PH'!BI44+'Rev Req''t_Baseline_OH1PH'!BI61+'Rev Req''t_Baseline_OH1PH'!BI78+'Rev Req''t_Baseline_OH1PH'!BI95+'Rev Req''t_Baseline_OH1PH'!BI112+'Rev Req''t_Baseline_OH1PH'!BI129+'Rev Req''t_Baseline_OH1PH'!BI146+'Rev Req''t_Baseline_OH1PH'!BI163+'Rev Req''t_Baseline_OH1PH'!BI180</f>
        <v>12366.674400435058</v>
      </c>
      <c r="BK13" s="8">
        <f>'Rev Req''t_Baseline_OH1PH'!BJ27+'Rev Req''t_Baseline_OH1PH'!BJ44+'Rev Req''t_Baseline_OH1PH'!BJ61+'Rev Req''t_Baseline_OH1PH'!BJ78+'Rev Req''t_Baseline_OH1PH'!BJ95+'Rev Req''t_Baseline_OH1PH'!BJ112+'Rev Req''t_Baseline_OH1PH'!BJ129+'Rev Req''t_Baseline_OH1PH'!BJ146+'Rev Req''t_Baseline_OH1PH'!BJ163+'Rev Req''t_Baseline_OH1PH'!BJ180</f>
        <v>7004.1363011303902</v>
      </c>
      <c r="BL13" s="8">
        <f>'Rev Req''t_Baseline_OH1PH'!BK27+'Rev Req''t_Baseline_OH1PH'!BK44+'Rev Req''t_Baseline_OH1PH'!BK61+'Rev Req''t_Baseline_OH1PH'!BK78+'Rev Req''t_Baseline_OH1PH'!BK95+'Rev Req''t_Baseline_OH1PH'!BK112+'Rev Req''t_Baseline_OH1PH'!BK129+'Rev Req''t_Baseline_OH1PH'!BK146+'Rev Req''t_Baseline_OH1PH'!BK163+'Rev Req''t_Baseline_OH1PH'!BK180</f>
        <v>3133.5094882450458</v>
      </c>
      <c r="BM13" s="8">
        <f>'Rev Req''t_Baseline_OH1PH'!BL27+'Rev Req''t_Baseline_OH1PH'!BL44+'Rev Req''t_Baseline_OH1PH'!BL61+'Rev Req''t_Baseline_OH1PH'!BL78+'Rev Req''t_Baseline_OH1PH'!BL95+'Rev Req''t_Baseline_OH1PH'!BL112+'Rev Req''t_Baseline_OH1PH'!BL129+'Rev Req''t_Baseline_OH1PH'!BL146+'Rev Req''t_Baseline_OH1PH'!BL163+'Rev Req''t_Baseline_OH1PH'!BL180</f>
        <v>787.61601008030152</v>
      </c>
      <c r="BN13" s="8">
        <f>'Rev Req''t_Baseline_OH1PH'!BM27+'Rev Req''t_Baseline_OH1PH'!BM44+'Rev Req''t_Baseline_OH1PH'!BM61+'Rev Req''t_Baseline_OH1PH'!BM78+'Rev Req''t_Baseline_OH1PH'!BM95+'Rev Req''t_Baseline_OH1PH'!BM112+'Rev Req''t_Baseline_OH1PH'!BM129+'Rev Req''t_Baseline_OH1PH'!BM146+'Rev Req''t_Baseline_OH1PH'!BM163+'Rev Req''t_Baseline_OH1PH'!BM180</f>
        <v>3.5410994314588609E-11</v>
      </c>
      <c r="BO13" s="8">
        <f>'Rev Req''t_Baseline_OH1PH'!BN27+'Rev Req''t_Baseline_OH1PH'!BN44+'Rev Req''t_Baseline_OH1PH'!BN61+'Rev Req''t_Baseline_OH1PH'!BN78+'Rev Req''t_Baseline_OH1PH'!BN95+'Rev Req''t_Baseline_OH1PH'!BN112+'Rev Req''t_Baseline_OH1PH'!BN129+'Rev Req''t_Baseline_OH1PH'!BN146+'Rev Req''t_Baseline_OH1PH'!BN163+'Rev Req''t_Baseline_OH1PH'!BN180</f>
        <v>3.5410994314588609E-11</v>
      </c>
      <c r="BP13" s="8">
        <f>'Rev Req''t_Baseline_OH1PH'!BO27+'Rev Req''t_Baseline_OH1PH'!BO44+'Rev Req''t_Baseline_OH1PH'!BO61+'Rev Req''t_Baseline_OH1PH'!BO78+'Rev Req''t_Baseline_OH1PH'!BO95+'Rev Req''t_Baseline_OH1PH'!BO112+'Rev Req''t_Baseline_OH1PH'!BO129+'Rev Req''t_Baseline_OH1PH'!BO146+'Rev Req''t_Baseline_OH1PH'!BO163+'Rev Req''t_Baseline_OH1PH'!BO180</f>
        <v>3.5410994314588609E-11</v>
      </c>
      <c r="BQ13" s="8">
        <f>'Rev Req''t_Baseline_OH1PH'!BP27+'Rev Req''t_Baseline_OH1PH'!BP44+'Rev Req''t_Baseline_OH1PH'!BP61+'Rev Req''t_Baseline_OH1PH'!BP78+'Rev Req''t_Baseline_OH1PH'!BP95+'Rev Req''t_Baseline_OH1PH'!BP112+'Rev Req''t_Baseline_OH1PH'!BP129+'Rev Req''t_Baseline_OH1PH'!BP146+'Rev Req''t_Baseline_OH1PH'!BP163+'Rev Req''t_Baseline_OH1PH'!BP180</f>
        <v>3.5410994314588609E-11</v>
      </c>
    </row>
    <row r="14" spans="1:72" x14ac:dyDescent="0.4">
      <c r="A14" t="s">
        <v>37</v>
      </c>
      <c r="B14" t="s">
        <v>15</v>
      </c>
      <c r="C14" t="s">
        <v>127</v>
      </c>
      <c r="D14" t="s">
        <v>129</v>
      </c>
      <c r="F14" s="8"/>
      <c r="G14" s="8">
        <f>'Rev Req''t_Baseline_OH1PH'!F15+'Rev Req''t_Baseline_OH1PH'!F32+'Rev Req''t_Baseline_OH1PH'!F49+'Rev Req''t_Baseline_OH1PH'!F66+'Rev Req''t_Baseline_OH1PH'!F83+'Rev Req''t_Baseline_OH1PH'!F100+'Rev Req''t_Baseline_OH1PH'!F117+'Rev Req''t_Baseline_OH1PH'!F134+'Rev Req''t_Baseline_OH1PH'!F151+'Rev Req''t_Baseline_OH1PH'!F168</f>
        <v>20062.582000000002</v>
      </c>
      <c r="H14" s="8">
        <f>'Rev Req''t_Baseline_OH1PH'!G15+'Rev Req''t_Baseline_OH1PH'!G32+'Rev Req''t_Baseline_OH1PH'!G49+'Rev Req''t_Baseline_OH1PH'!G66+'Rev Req''t_Baseline_OH1PH'!G83+'Rev Req''t_Baseline_OH1PH'!G100+'Rev Req''t_Baseline_OH1PH'!G117+'Rev Req''t_Baseline_OH1PH'!G134+'Rev Req''t_Baseline_OH1PH'!G151+'Rev Req''t_Baseline_OH1PH'!G168</f>
        <v>40566.540804000004</v>
      </c>
      <c r="I14" s="8">
        <f>'Rev Req''t_Baseline_OH1PH'!H15+'Rev Req''t_Baseline_OH1PH'!H32+'Rev Req''t_Baseline_OH1PH'!H49+'Rev Req''t_Baseline_OH1PH'!H66+'Rev Req''t_Baseline_OH1PH'!H83+'Rev Req''t_Baseline_OH1PH'!H100+'Rev Req''t_Baseline_OH1PH'!H117+'Rev Req''t_Baseline_OH1PH'!H134+'Rev Req''t_Baseline_OH1PH'!H151+'Rev Req''t_Baseline_OH1PH'!H168</f>
        <v>61521.586701688007</v>
      </c>
      <c r="J14" s="8">
        <f>'Rev Req''t_Baseline_OH1PH'!I15+'Rev Req''t_Baseline_OH1PH'!I32+'Rev Req''t_Baseline_OH1PH'!I49+'Rev Req''t_Baseline_OH1PH'!I66+'Rev Req''t_Baseline_OH1PH'!I83+'Rev Req''t_Baseline_OH1PH'!I100+'Rev Req''t_Baseline_OH1PH'!I117+'Rev Req''t_Baseline_OH1PH'!I134+'Rev Req''t_Baseline_OH1PH'!I151+'Rev Req''t_Baseline_OH1PH'!I168</f>
        <v>82937.643609125138</v>
      </c>
      <c r="K14" s="8">
        <f>'Rev Req''t_Baseline_OH1PH'!J15+'Rev Req''t_Baseline_OH1PH'!J32+'Rev Req''t_Baseline_OH1PH'!J49+'Rev Req''t_Baseline_OH1PH'!J66+'Rev Req''t_Baseline_OH1PH'!J83+'Rev Req''t_Baseline_OH1PH'!J100+'Rev Req''t_Baseline_OH1PH'!J117+'Rev Req''t_Baseline_OH1PH'!J134+'Rev Req''t_Baseline_OH1PH'!J151+'Rev Req''t_Baseline_OH1PH'!J168</f>
        <v>104824.85376852589</v>
      </c>
      <c r="L14" s="8">
        <f>'Rev Req''t_Baseline_OH1PH'!K15+'Rev Req''t_Baseline_OH1PH'!K32+'Rev Req''t_Baseline_OH1PH'!K49+'Rev Req''t_Baseline_OH1PH'!K66+'Rev Req''t_Baseline_OH1PH'!K83+'Rev Req''t_Baseline_OH1PH'!K100+'Rev Req''t_Baseline_OH1PH'!K117+'Rev Req''t_Baseline_OH1PH'!K134+'Rev Req''t_Baseline_OH1PH'!K151+'Rev Req''t_Baseline_OH1PH'!K168</f>
        <v>127193.58255143347</v>
      </c>
      <c r="M14" s="8">
        <f>'Rev Req''t_Baseline_OH1PH'!L15+'Rev Req''t_Baseline_OH1PH'!L32+'Rev Req''t_Baseline_OH1PH'!L49+'Rev Req''t_Baseline_OH1PH'!L66+'Rev Req''t_Baseline_OH1PH'!L83+'Rev Req''t_Baseline_OH1PH'!L100+'Rev Req''t_Baseline_OH1PH'!L117+'Rev Req''t_Baseline_OH1PH'!L134+'Rev Req''t_Baseline_OH1PH'!L151+'Rev Req''t_Baseline_OH1PH'!L168</f>
        <v>150054.423367565</v>
      </c>
      <c r="N14" s="8">
        <f>'Rev Req''t_Baseline_OH1PH'!M15+'Rev Req''t_Baseline_OH1PH'!M32+'Rev Req''t_Baseline_OH1PH'!M49+'Rev Req''t_Baseline_OH1PH'!M66+'Rev Req''t_Baseline_OH1PH'!M83+'Rev Req''t_Baseline_OH1PH'!M100+'Rev Req''t_Baseline_OH1PH'!M117+'Rev Req''t_Baseline_OH1PH'!M134+'Rev Req''t_Baseline_OH1PH'!M151+'Rev Req''t_Baseline_OH1PH'!M168</f>
        <v>173418.20268165146</v>
      </c>
      <c r="O14" s="8">
        <f>'Rev Req''t_Baseline_OH1PH'!N15+'Rev Req''t_Baseline_OH1PH'!N32+'Rev Req''t_Baseline_OH1PH'!N49+'Rev Req''t_Baseline_OH1PH'!N66+'Rev Req''t_Baseline_OH1PH'!N83+'Rev Req''t_Baseline_OH1PH'!N100+'Rev Req''t_Baseline_OH1PH'!N117+'Rev Req''t_Baseline_OH1PH'!N134+'Rev Req''t_Baseline_OH1PH'!N151+'Rev Req''t_Baseline_OH1PH'!N168</f>
        <v>197295.9851406478</v>
      </c>
      <c r="P14" s="8">
        <f>'Rev Req''t_Baseline_OH1PH'!O15+'Rev Req''t_Baseline_OH1PH'!O32+'Rev Req''t_Baseline_OH1PH'!O49+'Rev Req''t_Baseline_OH1PH'!O66+'Rev Req''t_Baseline_OH1PH'!O83+'Rev Req''t_Baseline_OH1PH'!O100+'Rev Req''t_Baseline_OH1PH'!O117+'Rev Req''t_Baseline_OH1PH'!O134+'Rev Req''t_Baseline_OH1PH'!O151+'Rev Req''t_Baseline_OH1PH'!O168</f>
        <v>221699.07881374206</v>
      </c>
      <c r="Q14" s="8">
        <f>'Rev Req''t_Baseline_OH1PH'!P15+'Rev Req''t_Baseline_OH1PH'!P32+'Rev Req''t_Baseline_OH1PH'!P49+'Rev Req''t_Baseline_OH1PH'!P66+'Rev Req''t_Baseline_OH1PH'!P83+'Rev Req''t_Baseline_OH1PH'!P100+'Rev Req''t_Baseline_OH1PH'!P117+'Rev Req''t_Baseline_OH1PH'!P134+'Rev Req''t_Baseline_OH1PH'!P151+'Rev Req''t_Baseline_OH1PH'!P168</f>
        <v>221699.07881374206</v>
      </c>
      <c r="R14" s="8">
        <f>'Rev Req''t_Baseline_OH1PH'!Q15+'Rev Req''t_Baseline_OH1PH'!Q32+'Rev Req''t_Baseline_OH1PH'!Q49+'Rev Req''t_Baseline_OH1PH'!Q66+'Rev Req''t_Baseline_OH1PH'!Q83+'Rev Req''t_Baseline_OH1PH'!Q100+'Rev Req''t_Baseline_OH1PH'!Q117+'Rev Req''t_Baseline_OH1PH'!Q134+'Rev Req''t_Baseline_OH1PH'!Q151+'Rev Req''t_Baseline_OH1PH'!Q168</f>
        <v>221699.07881374206</v>
      </c>
      <c r="S14" s="8">
        <f>'Rev Req''t_Baseline_OH1PH'!R15+'Rev Req''t_Baseline_OH1PH'!R32+'Rev Req''t_Baseline_OH1PH'!R49+'Rev Req''t_Baseline_OH1PH'!R66+'Rev Req''t_Baseline_OH1PH'!R83+'Rev Req''t_Baseline_OH1PH'!R100+'Rev Req''t_Baseline_OH1PH'!R117+'Rev Req''t_Baseline_OH1PH'!R134+'Rev Req''t_Baseline_OH1PH'!R151+'Rev Req''t_Baseline_OH1PH'!R168</f>
        <v>221699.07881374206</v>
      </c>
      <c r="T14" s="8">
        <f>'Rev Req''t_Baseline_OH1PH'!S15+'Rev Req''t_Baseline_OH1PH'!S32+'Rev Req''t_Baseline_OH1PH'!S49+'Rev Req''t_Baseline_OH1PH'!S66+'Rev Req''t_Baseline_OH1PH'!S83+'Rev Req''t_Baseline_OH1PH'!S100+'Rev Req''t_Baseline_OH1PH'!S117+'Rev Req''t_Baseline_OH1PH'!S134+'Rev Req''t_Baseline_OH1PH'!S151+'Rev Req''t_Baseline_OH1PH'!S168</f>
        <v>221699.07881374206</v>
      </c>
      <c r="U14" s="8">
        <f>'Rev Req''t_Baseline_OH1PH'!T15+'Rev Req''t_Baseline_OH1PH'!T32+'Rev Req''t_Baseline_OH1PH'!T49+'Rev Req''t_Baseline_OH1PH'!T66+'Rev Req''t_Baseline_OH1PH'!T83+'Rev Req''t_Baseline_OH1PH'!T100+'Rev Req''t_Baseline_OH1PH'!T117+'Rev Req''t_Baseline_OH1PH'!T134+'Rev Req''t_Baseline_OH1PH'!T151+'Rev Req''t_Baseline_OH1PH'!T168</f>
        <v>221699.07881374206</v>
      </c>
      <c r="V14" s="8">
        <f>'Rev Req''t_Baseline_OH1PH'!U15+'Rev Req''t_Baseline_OH1PH'!U32+'Rev Req''t_Baseline_OH1PH'!U49+'Rev Req''t_Baseline_OH1PH'!U66+'Rev Req''t_Baseline_OH1PH'!U83+'Rev Req''t_Baseline_OH1PH'!U100+'Rev Req''t_Baseline_OH1PH'!U117+'Rev Req''t_Baseline_OH1PH'!U134+'Rev Req''t_Baseline_OH1PH'!U151+'Rev Req''t_Baseline_OH1PH'!U168</f>
        <v>221699.07881374206</v>
      </c>
      <c r="W14" s="8">
        <f>'Rev Req''t_Baseline_OH1PH'!V15+'Rev Req''t_Baseline_OH1PH'!V32+'Rev Req''t_Baseline_OH1PH'!V49+'Rev Req''t_Baseline_OH1PH'!V66+'Rev Req''t_Baseline_OH1PH'!V83+'Rev Req''t_Baseline_OH1PH'!V100+'Rev Req''t_Baseline_OH1PH'!V117+'Rev Req''t_Baseline_OH1PH'!V134+'Rev Req''t_Baseline_OH1PH'!V151+'Rev Req''t_Baseline_OH1PH'!V168</f>
        <v>221699.07881374206</v>
      </c>
      <c r="X14" s="8">
        <f>'Rev Req''t_Baseline_OH1PH'!W15+'Rev Req''t_Baseline_OH1PH'!W32+'Rev Req''t_Baseline_OH1PH'!W49+'Rev Req''t_Baseline_OH1PH'!W66+'Rev Req''t_Baseline_OH1PH'!W83+'Rev Req''t_Baseline_OH1PH'!W100+'Rev Req''t_Baseline_OH1PH'!W117+'Rev Req''t_Baseline_OH1PH'!W134+'Rev Req''t_Baseline_OH1PH'!W151+'Rev Req''t_Baseline_OH1PH'!W168</f>
        <v>221699.07881374206</v>
      </c>
      <c r="Y14" s="8">
        <f>'Rev Req''t_Baseline_OH1PH'!X15+'Rev Req''t_Baseline_OH1PH'!X32+'Rev Req''t_Baseline_OH1PH'!X49+'Rev Req''t_Baseline_OH1PH'!X66+'Rev Req''t_Baseline_OH1PH'!X83+'Rev Req''t_Baseline_OH1PH'!X100+'Rev Req''t_Baseline_OH1PH'!X117+'Rev Req''t_Baseline_OH1PH'!X134+'Rev Req''t_Baseline_OH1PH'!X151+'Rev Req''t_Baseline_OH1PH'!X168</f>
        <v>221699.07881374206</v>
      </c>
      <c r="Z14" s="8">
        <f>'Rev Req''t_Baseline_OH1PH'!Y15+'Rev Req''t_Baseline_OH1PH'!Y32+'Rev Req''t_Baseline_OH1PH'!Y49+'Rev Req''t_Baseline_OH1PH'!Y66+'Rev Req''t_Baseline_OH1PH'!Y83+'Rev Req''t_Baseline_OH1PH'!Y100+'Rev Req''t_Baseline_OH1PH'!Y117+'Rev Req''t_Baseline_OH1PH'!Y134+'Rev Req''t_Baseline_OH1PH'!Y151+'Rev Req''t_Baseline_OH1PH'!Y168</f>
        <v>221699.07881374206</v>
      </c>
      <c r="AA14" s="8">
        <f>'Rev Req''t_Baseline_OH1PH'!Z15+'Rev Req''t_Baseline_OH1PH'!Z32+'Rev Req''t_Baseline_OH1PH'!Z49+'Rev Req''t_Baseline_OH1PH'!Z66+'Rev Req''t_Baseline_OH1PH'!Z83+'Rev Req''t_Baseline_OH1PH'!Z100+'Rev Req''t_Baseline_OH1PH'!Z117+'Rev Req''t_Baseline_OH1PH'!Z134+'Rev Req''t_Baseline_OH1PH'!Z151+'Rev Req''t_Baseline_OH1PH'!Z168</f>
        <v>221699.07881374206</v>
      </c>
      <c r="AB14" s="8">
        <f>'Rev Req''t_Baseline_OH1PH'!AA15+'Rev Req''t_Baseline_OH1PH'!AA32+'Rev Req''t_Baseline_OH1PH'!AA49+'Rev Req''t_Baseline_OH1PH'!AA66+'Rev Req''t_Baseline_OH1PH'!AA83+'Rev Req''t_Baseline_OH1PH'!AA100+'Rev Req''t_Baseline_OH1PH'!AA117+'Rev Req''t_Baseline_OH1PH'!AA134+'Rev Req''t_Baseline_OH1PH'!AA151+'Rev Req''t_Baseline_OH1PH'!AA168</f>
        <v>221699.07881374206</v>
      </c>
      <c r="AC14" s="8">
        <f>'Rev Req''t_Baseline_OH1PH'!AB15+'Rev Req''t_Baseline_OH1PH'!AB32+'Rev Req''t_Baseline_OH1PH'!AB49+'Rev Req''t_Baseline_OH1PH'!AB66+'Rev Req''t_Baseline_OH1PH'!AB83+'Rev Req''t_Baseline_OH1PH'!AB100+'Rev Req''t_Baseline_OH1PH'!AB117+'Rev Req''t_Baseline_OH1PH'!AB134+'Rev Req''t_Baseline_OH1PH'!AB151+'Rev Req''t_Baseline_OH1PH'!AB168</f>
        <v>221699.07881374206</v>
      </c>
      <c r="AD14" s="8">
        <f>'Rev Req''t_Baseline_OH1PH'!AC15+'Rev Req''t_Baseline_OH1PH'!AC32+'Rev Req''t_Baseline_OH1PH'!AC49+'Rev Req''t_Baseline_OH1PH'!AC66+'Rev Req''t_Baseline_OH1PH'!AC83+'Rev Req''t_Baseline_OH1PH'!AC100+'Rev Req''t_Baseline_OH1PH'!AC117+'Rev Req''t_Baseline_OH1PH'!AC134+'Rev Req''t_Baseline_OH1PH'!AC151+'Rev Req''t_Baseline_OH1PH'!AC168</f>
        <v>221699.07881374206</v>
      </c>
      <c r="AE14" s="8">
        <f>'Rev Req''t_Baseline_OH1PH'!AD15+'Rev Req''t_Baseline_OH1PH'!AD32+'Rev Req''t_Baseline_OH1PH'!AD49+'Rev Req''t_Baseline_OH1PH'!AD66+'Rev Req''t_Baseline_OH1PH'!AD83+'Rev Req''t_Baseline_OH1PH'!AD100+'Rev Req''t_Baseline_OH1PH'!AD117+'Rev Req''t_Baseline_OH1PH'!AD134+'Rev Req''t_Baseline_OH1PH'!AD151+'Rev Req''t_Baseline_OH1PH'!AD168</f>
        <v>221699.07881374206</v>
      </c>
      <c r="AF14" s="8">
        <f>'Rev Req''t_Baseline_OH1PH'!AE15+'Rev Req''t_Baseline_OH1PH'!AE32+'Rev Req''t_Baseline_OH1PH'!AE49+'Rev Req''t_Baseline_OH1PH'!AE66+'Rev Req''t_Baseline_OH1PH'!AE83+'Rev Req''t_Baseline_OH1PH'!AE100+'Rev Req''t_Baseline_OH1PH'!AE117+'Rev Req''t_Baseline_OH1PH'!AE134+'Rev Req''t_Baseline_OH1PH'!AE151+'Rev Req''t_Baseline_OH1PH'!AE168</f>
        <v>221699.07881374206</v>
      </c>
      <c r="AG14" s="8">
        <f>'Rev Req''t_Baseline_OH1PH'!AF15+'Rev Req''t_Baseline_OH1PH'!AF32+'Rev Req''t_Baseline_OH1PH'!AF49+'Rev Req''t_Baseline_OH1PH'!AF66+'Rev Req''t_Baseline_OH1PH'!AF83+'Rev Req''t_Baseline_OH1PH'!AF100+'Rev Req''t_Baseline_OH1PH'!AF117+'Rev Req''t_Baseline_OH1PH'!AF134+'Rev Req''t_Baseline_OH1PH'!AF151+'Rev Req''t_Baseline_OH1PH'!AF168</f>
        <v>221699.07881374206</v>
      </c>
      <c r="AH14" s="8">
        <f>'Rev Req''t_Baseline_OH1PH'!AG15+'Rev Req''t_Baseline_OH1PH'!AG32+'Rev Req''t_Baseline_OH1PH'!AG49+'Rev Req''t_Baseline_OH1PH'!AG66+'Rev Req''t_Baseline_OH1PH'!AG83+'Rev Req''t_Baseline_OH1PH'!AG100+'Rev Req''t_Baseline_OH1PH'!AG117+'Rev Req''t_Baseline_OH1PH'!AG134+'Rev Req''t_Baseline_OH1PH'!AG151+'Rev Req''t_Baseline_OH1PH'!AG168</f>
        <v>221699.07881374206</v>
      </c>
      <c r="AI14" s="8">
        <f>'Rev Req''t_Baseline_OH1PH'!AH15+'Rev Req''t_Baseline_OH1PH'!AH32+'Rev Req''t_Baseline_OH1PH'!AH49+'Rev Req''t_Baseline_OH1PH'!AH66+'Rev Req''t_Baseline_OH1PH'!AH83+'Rev Req''t_Baseline_OH1PH'!AH100+'Rev Req''t_Baseline_OH1PH'!AH117+'Rev Req''t_Baseline_OH1PH'!AH134+'Rev Req''t_Baseline_OH1PH'!AH151+'Rev Req''t_Baseline_OH1PH'!AH168</f>
        <v>221699.07881374206</v>
      </c>
      <c r="AJ14" s="8">
        <f>'Rev Req''t_Baseline_OH1PH'!AI15+'Rev Req''t_Baseline_OH1PH'!AI32+'Rev Req''t_Baseline_OH1PH'!AI49+'Rev Req''t_Baseline_OH1PH'!AI66+'Rev Req''t_Baseline_OH1PH'!AI83+'Rev Req''t_Baseline_OH1PH'!AI100+'Rev Req''t_Baseline_OH1PH'!AI117+'Rev Req''t_Baseline_OH1PH'!AI134+'Rev Req''t_Baseline_OH1PH'!AI151+'Rev Req''t_Baseline_OH1PH'!AI168</f>
        <v>221699.07881374206</v>
      </c>
      <c r="AK14" s="8">
        <f>'Rev Req''t_Baseline_OH1PH'!AJ15+'Rev Req''t_Baseline_OH1PH'!AJ32+'Rev Req''t_Baseline_OH1PH'!AJ49+'Rev Req''t_Baseline_OH1PH'!AJ66+'Rev Req''t_Baseline_OH1PH'!AJ83+'Rev Req''t_Baseline_OH1PH'!AJ100+'Rev Req''t_Baseline_OH1PH'!AJ117+'Rev Req''t_Baseline_OH1PH'!AJ134+'Rev Req''t_Baseline_OH1PH'!AJ151+'Rev Req''t_Baseline_OH1PH'!AJ168</f>
        <v>221699.07881374206</v>
      </c>
      <c r="AL14" s="8">
        <f>'Rev Req''t_Baseline_OH1PH'!AK15+'Rev Req''t_Baseline_OH1PH'!AK32+'Rev Req''t_Baseline_OH1PH'!AK49+'Rev Req''t_Baseline_OH1PH'!AK66+'Rev Req''t_Baseline_OH1PH'!AK83+'Rev Req''t_Baseline_OH1PH'!AK100+'Rev Req''t_Baseline_OH1PH'!AK117+'Rev Req''t_Baseline_OH1PH'!AK134+'Rev Req''t_Baseline_OH1PH'!AK151+'Rev Req''t_Baseline_OH1PH'!AK168</f>
        <v>221699.07881374206</v>
      </c>
      <c r="AM14" s="8">
        <f>'Rev Req''t_Baseline_OH1PH'!AL15+'Rev Req''t_Baseline_OH1PH'!AL32+'Rev Req''t_Baseline_OH1PH'!AL49+'Rev Req''t_Baseline_OH1PH'!AL66+'Rev Req''t_Baseline_OH1PH'!AL83+'Rev Req''t_Baseline_OH1PH'!AL100+'Rev Req''t_Baseline_OH1PH'!AL117+'Rev Req''t_Baseline_OH1PH'!AL134+'Rev Req''t_Baseline_OH1PH'!AL151+'Rev Req''t_Baseline_OH1PH'!AL168</f>
        <v>221699.07881374206</v>
      </c>
      <c r="AN14" s="8">
        <f>'Rev Req''t_Baseline_OH1PH'!AM15+'Rev Req''t_Baseline_OH1PH'!AM32+'Rev Req''t_Baseline_OH1PH'!AM49+'Rev Req''t_Baseline_OH1PH'!AM66+'Rev Req''t_Baseline_OH1PH'!AM83+'Rev Req''t_Baseline_OH1PH'!AM100+'Rev Req''t_Baseline_OH1PH'!AM117+'Rev Req''t_Baseline_OH1PH'!AM134+'Rev Req''t_Baseline_OH1PH'!AM151+'Rev Req''t_Baseline_OH1PH'!AM168</f>
        <v>221699.07881374206</v>
      </c>
      <c r="AO14" s="8">
        <f>'Rev Req''t_Baseline_OH1PH'!AN15+'Rev Req''t_Baseline_OH1PH'!AN32+'Rev Req''t_Baseline_OH1PH'!AN49+'Rev Req''t_Baseline_OH1PH'!AN66+'Rev Req''t_Baseline_OH1PH'!AN83+'Rev Req''t_Baseline_OH1PH'!AN100+'Rev Req''t_Baseline_OH1PH'!AN117+'Rev Req''t_Baseline_OH1PH'!AN134+'Rev Req''t_Baseline_OH1PH'!AN151+'Rev Req''t_Baseline_OH1PH'!AN168</f>
        <v>221699.07881374206</v>
      </c>
      <c r="AP14" s="8">
        <f>'Rev Req''t_Baseline_OH1PH'!AO15+'Rev Req''t_Baseline_OH1PH'!AO32+'Rev Req''t_Baseline_OH1PH'!AO49+'Rev Req''t_Baseline_OH1PH'!AO66+'Rev Req''t_Baseline_OH1PH'!AO83+'Rev Req''t_Baseline_OH1PH'!AO100+'Rev Req''t_Baseline_OH1PH'!AO117+'Rev Req''t_Baseline_OH1PH'!AO134+'Rev Req''t_Baseline_OH1PH'!AO151+'Rev Req''t_Baseline_OH1PH'!AO168</f>
        <v>221699.07881374206</v>
      </c>
      <c r="AQ14" s="8">
        <f>'Rev Req''t_Baseline_OH1PH'!AP15+'Rev Req''t_Baseline_OH1PH'!AP32+'Rev Req''t_Baseline_OH1PH'!AP49+'Rev Req''t_Baseline_OH1PH'!AP66+'Rev Req''t_Baseline_OH1PH'!AP83+'Rev Req''t_Baseline_OH1PH'!AP100+'Rev Req''t_Baseline_OH1PH'!AP117+'Rev Req''t_Baseline_OH1PH'!AP134+'Rev Req''t_Baseline_OH1PH'!AP151+'Rev Req''t_Baseline_OH1PH'!AP168</f>
        <v>221699.07881374206</v>
      </c>
      <c r="AR14" s="8">
        <f>'Rev Req''t_Baseline_OH1PH'!AQ15+'Rev Req''t_Baseline_OH1PH'!AQ32+'Rev Req''t_Baseline_OH1PH'!AQ49+'Rev Req''t_Baseline_OH1PH'!AQ66+'Rev Req''t_Baseline_OH1PH'!AQ83+'Rev Req''t_Baseline_OH1PH'!AQ100+'Rev Req''t_Baseline_OH1PH'!AQ117+'Rev Req''t_Baseline_OH1PH'!AQ134+'Rev Req''t_Baseline_OH1PH'!AQ151+'Rev Req''t_Baseline_OH1PH'!AQ168</f>
        <v>221699.07881374206</v>
      </c>
      <c r="AS14" s="8">
        <f>'Rev Req''t_Baseline_OH1PH'!AR15+'Rev Req''t_Baseline_OH1PH'!AR32+'Rev Req''t_Baseline_OH1PH'!AR49+'Rev Req''t_Baseline_OH1PH'!AR66+'Rev Req''t_Baseline_OH1PH'!AR83+'Rev Req''t_Baseline_OH1PH'!AR100+'Rev Req''t_Baseline_OH1PH'!AR117+'Rev Req''t_Baseline_OH1PH'!AR134+'Rev Req''t_Baseline_OH1PH'!AR151+'Rev Req''t_Baseline_OH1PH'!AR168</f>
        <v>221699.07881374206</v>
      </c>
      <c r="AT14" s="8">
        <f>'Rev Req''t_Baseline_OH1PH'!AS15+'Rev Req''t_Baseline_OH1PH'!AS32+'Rev Req''t_Baseline_OH1PH'!AS49+'Rev Req''t_Baseline_OH1PH'!AS66+'Rev Req''t_Baseline_OH1PH'!AS83+'Rev Req''t_Baseline_OH1PH'!AS100+'Rev Req''t_Baseline_OH1PH'!AS117+'Rev Req''t_Baseline_OH1PH'!AS134+'Rev Req''t_Baseline_OH1PH'!AS151+'Rev Req''t_Baseline_OH1PH'!AS168</f>
        <v>221699.07881374206</v>
      </c>
      <c r="AU14" s="8">
        <f>'Rev Req''t_Baseline_OH1PH'!AT15+'Rev Req''t_Baseline_OH1PH'!AT32+'Rev Req''t_Baseline_OH1PH'!AT49+'Rev Req''t_Baseline_OH1PH'!AT66+'Rev Req''t_Baseline_OH1PH'!AT83+'Rev Req''t_Baseline_OH1PH'!AT100+'Rev Req''t_Baseline_OH1PH'!AT117+'Rev Req''t_Baseline_OH1PH'!AT134+'Rev Req''t_Baseline_OH1PH'!AT151+'Rev Req''t_Baseline_OH1PH'!AT168</f>
        <v>221699.07881374206</v>
      </c>
      <c r="AV14" s="8">
        <f>'Rev Req''t_Baseline_OH1PH'!AU15+'Rev Req''t_Baseline_OH1PH'!AU32+'Rev Req''t_Baseline_OH1PH'!AU49+'Rev Req''t_Baseline_OH1PH'!AU66+'Rev Req''t_Baseline_OH1PH'!AU83+'Rev Req''t_Baseline_OH1PH'!AU100+'Rev Req''t_Baseline_OH1PH'!AU117+'Rev Req''t_Baseline_OH1PH'!AU134+'Rev Req''t_Baseline_OH1PH'!AU151+'Rev Req''t_Baseline_OH1PH'!AU168</f>
        <v>221699.07881374206</v>
      </c>
      <c r="AW14" s="8">
        <f>'Rev Req''t_Baseline_OH1PH'!AV15+'Rev Req''t_Baseline_OH1PH'!AV32+'Rev Req''t_Baseline_OH1PH'!AV49+'Rev Req''t_Baseline_OH1PH'!AV66+'Rev Req''t_Baseline_OH1PH'!AV83+'Rev Req''t_Baseline_OH1PH'!AV100+'Rev Req''t_Baseline_OH1PH'!AV117+'Rev Req''t_Baseline_OH1PH'!AV134+'Rev Req''t_Baseline_OH1PH'!AV151+'Rev Req''t_Baseline_OH1PH'!AV168</f>
        <v>221699.07881374206</v>
      </c>
      <c r="AX14" s="8">
        <f>'Rev Req''t_Baseline_OH1PH'!AW15+'Rev Req''t_Baseline_OH1PH'!AW32+'Rev Req''t_Baseline_OH1PH'!AW49+'Rev Req''t_Baseline_OH1PH'!AW66+'Rev Req''t_Baseline_OH1PH'!AW83+'Rev Req''t_Baseline_OH1PH'!AW100+'Rev Req''t_Baseline_OH1PH'!AW117+'Rev Req''t_Baseline_OH1PH'!AW134+'Rev Req''t_Baseline_OH1PH'!AW151+'Rev Req''t_Baseline_OH1PH'!AW168</f>
        <v>221699.07881374206</v>
      </c>
      <c r="AY14" s="8">
        <f>'Rev Req''t_Baseline_OH1PH'!AX15+'Rev Req''t_Baseline_OH1PH'!AX32+'Rev Req''t_Baseline_OH1PH'!AX49+'Rev Req''t_Baseline_OH1PH'!AX66+'Rev Req''t_Baseline_OH1PH'!AX83+'Rev Req''t_Baseline_OH1PH'!AX100+'Rev Req''t_Baseline_OH1PH'!AX117+'Rev Req''t_Baseline_OH1PH'!AX134+'Rev Req''t_Baseline_OH1PH'!AX151+'Rev Req''t_Baseline_OH1PH'!AX168</f>
        <v>221699.07881374206</v>
      </c>
      <c r="AZ14" s="8">
        <f>'Rev Req''t_Baseline_OH1PH'!AY15+'Rev Req''t_Baseline_OH1PH'!AY32+'Rev Req''t_Baseline_OH1PH'!AY49+'Rev Req''t_Baseline_OH1PH'!AY66+'Rev Req''t_Baseline_OH1PH'!AY83+'Rev Req''t_Baseline_OH1PH'!AY100+'Rev Req''t_Baseline_OH1PH'!AY117+'Rev Req''t_Baseline_OH1PH'!AY134+'Rev Req''t_Baseline_OH1PH'!AY151+'Rev Req''t_Baseline_OH1PH'!AY168</f>
        <v>221699.07881374206</v>
      </c>
      <c r="BA14" s="8">
        <f>'Rev Req''t_Baseline_OH1PH'!AZ15+'Rev Req''t_Baseline_OH1PH'!AZ32+'Rev Req''t_Baseline_OH1PH'!AZ49+'Rev Req''t_Baseline_OH1PH'!AZ66+'Rev Req''t_Baseline_OH1PH'!AZ83+'Rev Req''t_Baseline_OH1PH'!AZ100+'Rev Req''t_Baseline_OH1PH'!AZ117+'Rev Req''t_Baseline_OH1PH'!AZ134+'Rev Req''t_Baseline_OH1PH'!AZ151+'Rev Req''t_Baseline_OH1PH'!AZ168</f>
        <v>221699.07881374206</v>
      </c>
      <c r="BB14" s="8">
        <f>'Rev Req''t_Baseline_OH1PH'!BA15+'Rev Req''t_Baseline_OH1PH'!BA32+'Rev Req''t_Baseline_OH1PH'!BA49+'Rev Req''t_Baseline_OH1PH'!BA66+'Rev Req''t_Baseline_OH1PH'!BA83+'Rev Req''t_Baseline_OH1PH'!BA100+'Rev Req''t_Baseline_OH1PH'!BA117+'Rev Req''t_Baseline_OH1PH'!BA134+'Rev Req''t_Baseline_OH1PH'!BA151+'Rev Req''t_Baseline_OH1PH'!BA168</f>
        <v>221699.07881374206</v>
      </c>
      <c r="BC14" s="8">
        <f>'Rev Req''t_Baseline_OH1PH'!BB15+'Rev Req''t_Baseline_OH1PH'!BB32+'Rev Req''t_Baseline_OH1PH'!BB49+'Rev Req''t_Baseline_OH1PH'!BB66+'Rev Req''t_Baseline_OH1PH'!BB83+'Rev Req''t_Baseline_OH1PH'!BB100+'Rev Req''t_Baseline_OH1PH'!BB117+'Rev Req''t_Baseline_OH1PH'!BB134+'Rev Req''t_Baseline_OH1PH'!BB151+'Rev Req''t_Baseline_OH1PH'!BB168</f>
        <v>221699.07881374206</v>
      </c>
      <c r="BD14" s="8">
        <f>'Rev Req''t_Baseline_OH1PH'!BC15+'Rev Req''t_Baseline_OH1PH'!BC32+'Rev Req''t_Baseline_OH1PH'!BC49+'Rev Req''t_Baseline_OH1PH'!BC66+'Rev Req''t_Baseline_OH1PH'!BC83+'Rev Req''t_Baseline_OH1PH'!BC100+'Rev Req''t_Baseline_OH1PH'!BC117+'Rev Req''t_Baseline_OH1PH'!BC134+'Rev Req''t_Baseline_OH1PH'!BC151+'Rev Req''t_Baseline_OH1PH'!BC168</f>
        <v>221699.07881374206</v>
      </c>
      <c r="BE14" s="8">
        <f>'Rev Req''t_Baseline_OH1PH'!BD15+'Rev Req''t_Baseline_OH1PH'!BD32+'Rev Req''t_Baseline_OH1PH'!BD49+'Rev Req''t_Baseline_OH1PH'!BD66+'Rev Req''t_Baseline_OH1PH'!BD83+'Rev Req''t_Baseline_OH1PH'!BD100+'Rev Req''t_Baseline_OH1PH'!BD117+'Rev Req''t_Baseline_OH1PH'!BD134+'Rev Req''t_Baseline_OH1PH'!BD151+'Rev Req''t_Baseline_OH1PH'!BD168</f>
        <v>201636.49681374207</v>
      </c>
      <c r="BF14" s="8">
        <f>'Rev Req''t_Baseline_OH1PH'!BE15+'Rev Req''t_Baseline_OH1PH'!BE32+'Rev Req''t_Baseline_OH1PH'!BE49+'Rev Req''t_Baseline_OH1PH'!BE66+'Rev Req''t_Baseline_OH1PH'!BE83+'Rev Req''t_Baseline_OH1PH'!BE100+'Rev Req''t_Baseline_OH1PH'!BE117+'Rev Req''t_Baseline_OH1PH'!BE134+'Rev Req''t_Baseline_OH1PH'!BE151+'Rev Req''t_Baseline_OH1PH'!BE168</f>
        <v>181132.53800974207</v>
      </c>
      <c r="BG14" s="8">
        <f>'Rev Req''t_Baseline_OH1PH'!BF15+'Rev Req''t_Baseline_OH1PH'!BF32+'Rev Req''t_Baseline_OH1PH'!BF49+'Rev Req''t_Baseline_OH1PH'!BF66+'Rev Req''t_Baseline_OH1PH'!BF83+'Rev Req''t_Baseline_OH1PH'!BF100+'Rev Req''t_Baseline_OH1PH'!BF117+'Rev Req''t_Baseline_OH1PH'!BF134+'Rev Req''t_Baseline_OH1PH'!BF151+'Rev Req''t_Baseline_OH1PH'!BF168</f>
        <v>160177.49211205405</v>
      </c>
      <c r="BH14" s="8">
        <f>'Rev Req''t_Baseline_OH1PH'!BG15+'Rev Req''t_Baseline_OH1PH'!BG32+'Rev Req''t_Baseline_OH1PH'!BG49+'Rev Req''t_Baseline_OH1PH'!BG66+'Rev Req''t_Baseline_OH1PH'!BG83+'Rev Req''t_Baseline_OH1PH'!BG100+'Rev Req''t_Baseline_OH1PH'!BG117+'Rev Req''t_Baseline_OH1PH'!BG134+'Rev Req''t_Baseline_OH1PH'!BG151+'Rev Req''t_Baseline_OH1PH'!BG168</f>
        <v>138761.43520461692</v>
      </c>
      <c r="BI14" s="8">
        <f>'Rev Req''t_Baseline_OH1PH'!BH15+'Rev Req''t_Baseline_OH1PH'!BH32+'Rev Req''t_Baseline_OH1PH'!BH49+'Rev Req''t_Baseline_OH1PH'!BH66+'Rev Req''t_Baseline_OH1PH'!BH83+'Rev Req''t_Baseline_OH1PH'!BH100+'Rev Req''t_Baseline_OH1PH'!BH117+'Rev Req''t_Baseline_OH1PH'!BH134+'Rev Req''t_Baseline_OH1PH'!BH151+'Rev Req''t_Baseline_OH1PH'!BH168</f>
        <v>116874.22504521615</v>
      </c>
      <c r="BJ14" s="8">
        <f>'Rev Req''t_Baseline_OH1PH'!BI15+'Rev Req''t_Baseline_OH1PH'!BI32+'Rev Req''t_Baseline_OH1PH'!BI49+'Rev Req''t_Baseline_OH1PH'!BI66+'Rev Req''t_Baseline_OH1PH'!BI83+'Rev Req''t_Baseline_OH1PH'!BI100+'Rev Req''t_Baseline_OH1PH'!BI117+'Rev Req''t_Baseline_OH1PH'!BI134+'Rev Req''t_Baseline_OH1PH'!BI151+'Rev Req''t_Baseline_OH1PH'!BI168</f>
        <v>94505.496262308588</v>
      </c>
      <c r="BK14" s="8">
        <f>'Rev Req''t_Baseline_OH1PH'!BJ15+'Rev Req''t_Baseline_OH1PH'!BJ32+'Rev Req''t_Baseline_OH1PH'!BJ49+'Rev Req''t_Baseline_OH1PH'!BJ66+'Rev Req''t_Baseline_OH1PH'!BJ83+'Rev Req''t_Baseline_OH1PH'!BJ100+'Rev Req''t_Baseline_OH1PH'!BJ117+'Rev Req''t_Baseline_OH1PH'!BJ134+'Rev Req''t_Baseline_OH1PH'!BJ151+'Rev Req''t_Baseline_OH1PH'!BJ168</f>
        <v>71644.655446177028</v>
      </c>
      <c r="BL14" s="8">
        <f>'Rev Req''t_Baseline_OH1PH'!BK15+'Rev Req''t_Baseline_OH1PH'!BK32+'Rev Req''t_Baseline_OH1PH'!BK49+'Rev Req''t_Baseline_OH1PH'!BK66+'Rev Req''t_Baseline_OH1PH'!BK83+'Rev Req''t_Baseline_OH1PH'!BK100+'Rev Req''t_Baseline_OH1PH'!BK117+'Rev Req''t_Baseline_OH1PH'!BK134+'Rev Req''t_Baseline_OH1PH'!BK151+'Rev Req''t_Baseline_OH1PH'!BK168</f>
        <v>48280.876132090591</v>
      </c>
      <c r="BM14" s="8">
        <f>'Rev Req''t_Baseline_OH1PH'!BL15+'Rev Req''t_Baseline_OH1PH'!BL32+'Rev Req''t_Baseline_OH1PH'!BL49+'Rev Req''t_Baseline_OH1PH'!BL66+'Rev Req''t_Baseline_OH1PH'!BL83+'Rev Req''t_Baseline_OH1PH'!BL100+'Rev Req''t_Baseline_OH1PH'!BL117+'Rev Req''t_Baseline_OH1PH'!BL134+'Rev Req''t_Baseline_OH1PH'!BL151+'Rev Req''t_Baseline_OH1PH'!BL168</f>
        <v>24403.093673094256</v>
      </c>
      <c r="BN14" s="8">
        <f>'Rev Req''t_Baseline_OH1PH'!BM15+'Rev Req''t_Baseline_OH1PH'!BM32+'Rev Req''t_Baseline_OH1PH'!BM49+'Rev Req''t_Baseline_OH1PH'!BM66+'Rev Req''t_Baseline_OH1PH'!BM83+'Rev Req''t_Baseline_OH1PH'!BM100+'Rev Req''t_Baseline_OH1PH'!BM117+'Rev Req''t_Baseline_OH1PH'!BM134+'Rev Req''t_Baseline_OH1PH'!BM151+'Rev Req''t_Baseline_OH1PH'!BM168</f>
        <v>0</v>
      </c>
      <c r="BO14" s="8">
        <f>'Rev Req''t_Baseline_OH1PH'!BN15+'Rev Req''t_Baseline_OH1PH'!BN32+'Rev Req''t_Baseline_OH1PH'!BN49+'Rev Req''t_Baseline_OH1PH'!BN66+'Rev Req''t_Baseline_OH1PH'!BN83+'Rev Req''t_Baseline_OH1PH'!BN100+'Rev Req''t_Baseline_OH1PH'!BN117+'Rev Req''t_Baseline_OH1PH'!BN134+'Rev Req''t_Baseline_OH1PH'!BN151+'Rev Req''t_Baseline_OH1PH'!BN168</f>
        <v>0</v>
      </c>
      <c r="BP14" s="8">
        <f>'Rev Req''t_Baseline_OH1PH'!BO15+'Rev Req''t_Baseline_OH1PH'!BO32+'Rev Req''t_Baseline_OH1PH'!BO49+'Rev Req''t_Baseline_OH1PH'!BO66+'Rev Req''t_Baseline_OH1PH'!BO83+'Rev Req''t_Baseline_OH1PH'!BO100+'Rev Req''t_Baseline_OH1PH'!BO117+'Rev Req''t_Baseline_OH1PH'!BO134+'Rev Req''t_Baseline_OH1PH'!BO151+'Rev Req''t_Baseline_OH1PH'!BO168</f>
        <v>0</v>
      </c>
      <c r="BQ14" s="8">
        <f>'Rev Req''t_Baseline_OH1PH'!BP15+'Rev Req''t_Baseline_OH1PH'!BP32+'Rev Req''t_Baseline_OH1PH'!BP49+'Rev Req''t_Baseline_OH1PH'!BP66+'Rev Req''t_Baseline_OH1PH'!BP83+'Rev Req''t_Baseline_OH1PH'!BP100+'Rev Req''t_Baseline_OH1PH'!BP117+'Rev Req''t_Baseline_OH1PH'!BP134+'Rev Req''t_Baseline_OH1PH'!BP151+'Rev Req''t_Baseline_OH1PH'!BP168</f>
        <v>0</v>
      </c>
    </row>
    <row r="15" spans="1:72" x14ac:dyDescent="0.4">
      <c r="A15" t="s">
        <v>37</v>
      </c>
      <c r="B15" t="s">
        <v>15</v>
      </c>
      <c r="C15" t="s">
        <v>136</v>
      </c>
      <c r="D15" t="s">
        <v>148</v>
      </c>
      <c r="E15" s="8"/>
      <c r="F15" s="8"/>
      <c r="G15" s="8">
        <f>'Baseline scaling factors'!B10*(1+Inflation)^(G$3-2025)</f>
        <v>51950.12860953762</v>
      </c>
      <c r="H15" s="8">
        <f>'Baseline scaling factors'!C10*(1+Inflation)^(H$3-2025)</f>
        <v>52825.707544699326</v>
      </c>
      <c r="I15" s="8">
        <f>'Baseline scaling factors'!D10*(1+Inflation)^(I$3-2025)</f>
        <v>52971.149074829802</v>
      </c>
      <c r="J15" s="8">
        <f>'Baseline scaling factors'!E10*(1+Inflation)^(J$3-2025)</f>
        <v>52392.85820761988</v>
      </c>
      <c r="K15" s="8">
        <f>'Baseline scaling factors'!F10*(1+Inflation)^(K$3-2025)</f>
        <v>51096.475176378568</v>
      </c>
      <c r="L15" s="8">
        <f>'Baseline scaling factors'!G10*(1+Inflation)^(L$3-2025)</f>
        <v>49086.882513781231</v>
      </c>
      <c r="M15" s="8">
        <f>'Baseline scaling factors'!H10*(1+Inflation)^(M$3-2025)</f>
        <v>46368.211530973364</v>
      </c>
      <c r="N15" s="8">
        <f>'Baseline scaling factors'!I10*(1+Inflation)^(N$3-2025)</f>
        <v>42943.848207973992</v>
      </c>
      <c r="O15" s="8">
        <f>'Baseline scaling factors'!J10*(1+Inflation)^(O$3-2025)</f>
        <v>38816.438500911921</v>
      </c>
      <c r="P15" s="8">
        <f>'Baseline scaling factors'!K10*(1+Inflation)^(P$3-2025)</f>
        <v>33987.89307122233</v>
      </c>
      <c r="Q15" s="8">
        <f t="shared" ref="Q15:BJ16" si="0">P15*(1+Inflation)</f>
        <v>34735.626718789223</v>
      </c>
      <c r="R15" s="8">
        <f t="shared" si="0"/>
        <v>35499.810506602589</v>
      </c>
      <c r="S15" s="8">
        <f t="shared" si="0"/>
        <v>36280.806337747847</v>
      </c>
      <c r="T15" s="8">
        <f t="shared" si="0"/>
        <v>37078.984077178298</v>
      </c>
      <c r="U15" s="8">
        <f t="shared" si="0"/>
        <v>37894.721726876225</v>
      </c>
      <c r="V15" s="8">
        <f t="shared" si="0"/>
        <v>38728.405604867505</v>
      </c>
      <c r="W15" s="8">
        <f t="shared" si="0"/>
        <v>39580.430528174591</v>
      </c>
      <c r="X15" s="8">
        <f t="shared" si="0"/>
        <v>40451.199999794429</v>
      </c>
      <c r="Y15" s="8">
        <f t="shared" si="0"/>
        <v>41341.126399789908</v>
      </c>
      <c r="Z15" s="8">
        <f t="shared" si="0"/>
        <v>42250.631180585289</v>
      </c>
      <c r="AA15" s="8">
        <f t="shared" si="0"/>
        <v>43180.145066558165</v>
      </c>
      <c r="AB15" s="8">
        <f t="shared" si="0"/>
        <v>44130.108258022447</v>
      </c>
      <c r="AC15" s="8">
        <f t="shared" si="0"/>
        <v>45100.970639698942</v>
      </c>
      <c r="AD15" s="8">
        <f t="shared" si="0"/>
        <v>46093.191993772321</v>
      </c>
      <c r="AE15" s="8">
        <f t="shared" si="0"/>
        <v>47107.242217635314</v>
      </c>
      <c r="AF15" s="8">
        <f t="shared" si="0"/>
        <v>48143.601546423291</v>
      </c>
      <c r="AG15" s="8">
        <f t="shared" si="0"/>
        <v>49202.760780444602</v>
      </c>
      <c r="AH15" s="8">
        <f t="shared" si="0"/>
        <v>50285.221517614387</v>
      </c>
      <c r="AI15" s="8">
        <f t="shared" si="0"/>
        <v>51391.496391001907</v>
      </c>
      <c r="AJ15" s="8">
        <f t="shared" si="0"/>
        <v>52522.109311603948</v>
      </c>
      <c r="AK15" s="8">
        <f t="shared" si="0"/>
        <v>53677.595716459233</v>
      </c>
      <c r="AL15" s="8">
        <f t="shared" si="0"/>
        <v>54858.502822221337</v>
      </c>
      <c r="AM15" s="8">
        <f t="shared" si="0"/>
        <v>56065.389884310207</v>
      </c>
      <c r="AN15" s="8">
        <f t="shared" si="0"/>
        <v>57298.828461765035</v>
      </c>
      <c r="AO15" s="8">
        <f t="shared" si="0"/>
        <v>58559.402687923866</v>
      </c>
      <c r="AP15" s="8">
        <f t="shared" si="0"/>
        <v>59847.709547058192</v>
      </c>
      <c r="AQ15" s="8">
        <f t="shared" si="0"/>
        <v>61164.359157093473</v>
      </c>
      <c r="AR15" s="8">
        <f t="shared" si="0"/>
        <v>62509.975058549528</v>
      </c>
      <c r="AS15" s="8">
        <f t="shared" si="0"/>
        <v>63885.194509837616</v>
      </c>
      <c r="AT15" s="8">
        <f t="shared" si="0"/>
        <v>65290.668789054042</v>
      </c>
      <c r="AU15" s="8">
        <f t="shared" si="0"/>
        <v>66727.063502413235</v>
      </c>
      <c r="AV15" s="8">
        <f t="shared" si="0"/>
        <v>68195.058899466327</v>
      </c>
      <c r="AW15" s="8">
        <f t="shared" si="0"/>
        <v>69695.350195254592</v>
      </c>
      <c r="AX15" s="8">
        <f t="shared" si="0"/>
        <v>71228.647899550197</v>
      </c>
      <c r="AY15" s="8">
        <f t="shared" si="0"/>
        <v>72795.678153340297</v>
      </c>
      <c r="AZ15" s="8">
        <f t="shared" si="0"/>
        <v>74397.183072713786</v>
      </c>
      <c r="BA15" s="8">
        <f t="shared" si="0"/>
        <v>76033.921100313484</v>
      </c>
      <c r="BB15" s="8">
        <f t="shared" si="0"/>
        <v>77706.667364520385</v>
      </c>
      <c r="BC15" s="8">
        <f t="shared" si="0"/>
        <v>79416.214046539841</v>
      </c>
      <c r="BD15" s="8">
        <f t="shared" si="0"/>
        <v>81163.370755563723</v>
      </c>
      <c r="BE15" s="8">
        <f t="shared" si="0"/>
        <v>82948.964912186129</v>
      </c>
      <c r="BF15" s="8">
        <f t="shared" si="0"/>
        <v>84773.84214025423</v>
      </c>
      <c r="BG15" s="8">
        <f t="shared" si="0"/>
        <v>86638.866667339826</v>
      </c>
      <c r="BH15" s="8">
        <f t="shared" si="0"/>
        <v>88544.921734021307</v>
      </c>
      <c r="BI15" s="8">
        <f t="shared" si="0"/>
        <v>90492.910012169785</v>
      </c>
      <c r="BJ15" s="8">
        <f t="shared" si="0"/>
        <v>92483.754032437515</v>
      </c>
      <c r="BK15" s="8">
        <v>0</v>
      </c>
      <c r="BL15" s="8">
        <v>0</v>
      </c>
      <c r="BM15" s="8">
        <v>0</v>
      </c>
      <c r="BN15" s="8">
        <v>0</v>
      </c>
      <c r="BO15" s="8">
        <v>0</v>
      </c>
      <c r="BP15" s="8">
        <v>0</v>
      </c>
      <c r="BQ15" s="8">
        <v>0</v>
      </c>
    </row>
    <row r="16" spans="1:72" x14ac:dyDescent="0.4">
      <c r="A16" t="s">
        <v>37</v>
      </c>
      <c r="B16" t="s">
        <v>15</v>
      </c>
      <c r="C16" t="s">
        <v>136</v>
      </c>
      <c r="D16" t="s">
        <v>160</v>
      </c>
      <c r="E16" s="8"/>
      <c r="F16" s="8"/>
      <c r="G16" s="8">
        <f>VLOOKUP($B16&amp;"-"&amp;$A16,'Baseline scaling factors'!$A$63:$K$65,MATCH(Costs_Baseline!G$1,'Baseline scaling factors'!$A$62:$K$62,0),0)*(1+Inflation)^(G$3-2025)</f>
        <v>7824.3992715517152</v>
      </c>
      <c r="H16" s="8">
        <f>VLOOKUP($B16&amp;"-"&amp;$A16,'Baseline scaling factors'!$A$63:$K$65,MATCH(Costs_Baseline!H$1,'Baseline scaling factors'!$A$62:$K$62,0),0)*(1+Inflation)^(H$3-2025)</f>
        <v>7400.8116186604266</v>
      </c>
      <c r="I16" s="8">
        <f>VLOOKUP($B16&amp;"-"&amp;$A16,'Baseline scaling factors'!$A$63:$K$65,MATCH(Costs_Baseline!I$1,'Baseline scaling factors'!$A$62:$K$62,0),0)*(1+Inflation)^(I$3-2025)</f>
        <v>6981.6255244666363</v>
      </c>
      <c r="J16" s="8">
        <f>VLOOKUP($B16&amp;"-"&amp;$A16,'Baseline scaling factors'!$A$63:$K$65,MATCH(Costs_Baseline!J$1,'Baseline scaling factors'!$A$62:$K$62,0),0)*(1+Inflation)^(J$3-2025)</f>
        <v>6566.621818489104</v>
      </c>
      <c r="K16" s="8">
        <f>VLOOKUP($B16&amp;"-"&amp;$A16,'Baseline scaling factors'!$A$63:$K$65,MATCH(Costs_Baseline!K$1,'Baseline scaling factors'!$A$62:$K$62,0),0)*(1+Inflation)^(K$3-2025)</f>
        <v>6155.5837865915937</v>
      </c>
      <c r="L16" s="8">
        <f>VLOOKUP($B16&amp;"-"&amp;$A16,'Baseline scaling factors'!$A$63:$K$65,MATCH(Costs_Baseline!L$1,'Baseline scaling factors'!$A$62:$K$62,0),0)*(1+Inflation)^(L$3-2025)</f>
        <v>5748.2970573962602</v>
      </c>
      <c r="M16" s="8">
        <f>VLOOKUP($B16&amp;"-"&amp;$A16,'Baseline scaling factors'!$A$63:$K$65,MATCH(Costs_Baseline!M$1,'Baseline scaling factors'!$A$62:$K$62,0),0)*(1+Inflation)^(M$3-2025)</f>
        <v>5344.5494900588546</v>
      </c>
      <c r="N16" s="8">
        <f>VLOOKUP($B16&amp;"-"&amp;$A16,'Baseline scaling factors'!$A$63:$K$65,MATCH(Costs_Baseline!N$1,'Baseline scaling factors'!$A$62:$K$62,0),0)*(1+Inflation)^(N$3-2025)</f>
        <v>4944.1310633467638</v>
      </c>
      <c r="O16" s="8">
        <f>VLOOKUP($B16&amp;"-"&amp;$A16,'Baseline scaling factors'!$A$63:$K$65,MATCH(Costs_Baseline!O$1,'Baseline scaling factors'!$A$62:$K$62,0),0)*(1+Inflation)^(O$3-2025)</f>
        <v>4546.8337659616536</v>
      </c>
      <c r="P16" s="8">
        <f>VLOOKUP($B16&amp;"-"&amp;$A16,'Baseline scaling factors'!$A$63:$K$65,MATCH(Costs_Baseline!P$1,'Baseline scaling factors'!$A$62:$K$62,0),0)*(1+Inflation)^(P$3-2025)</f>
        <v>4152.4514880492816</v>
      </c>
      <c r="Q16" s="8">
        <f>P16*(1+Inflation)</f>
        <v>4243.8054207863661</v>
      </c>
      <c r="R16" s="8">
        <f t="shared" si="0"/>
        <v>4337.1691400436666</v>
      </c>
      <c r="S16" s="8">
        <f t="shared" si="0"/>
        <v>4432.5868611246278</v>
      </c>
      <c r="T16" s="8">
        <f t="shared" si="0"/>
        <v>4530.1037720693694</v>
      </c>
      <c r="U16" s="8">
        <f t="shared" si="0"/>
        <v>4629.7660550548953</v>
      </c>
      <c r="V16" s="8">
        <f t="shared" si="0"/>
        <v>4731.6209082661035</v>
      </c>
      <c r="W16" s="8">
        <f t="shared" si="0"/>
        <v>4835.7165682479581</v>
      </c>
      <c r="X16" s="8">
        <f t="shared" si="0"/>
        <v>4942.1023327494131</v>
      </c>
      <c r="Y16" s="8">
        <f t="shared" si="0"/>
        <v>5050.8285840699</v>
      </c>
      <c r="Z16" s="8">
        <f t="shared" si="0"/>
        <v>5161.9468129194374</v>
      </c>
      <c r="AA16" s="8">
        <f t="shared" si="0"/>
        <v>5275.509642803665</v>
      </c>
      <c r="AB16" s="8">
        <f t="shared" si="0"/>
        <v>5391.5708549453457</v>
      </c>
      <c r="AC16" s="8">
        <f t="shared" si="0"/>
        <v>5510.1854137541432</v>
      </c>
      <c r="AD16" s="8">
        <f t="shared" si="0"/>
        <v>5631.4094928567347</v>
      </c>
      <c r="AE16" s="8">
        <f t="shared" si="0"/>
        <v>5755.300501699583</v>
      </c>
      <c r="AF16" s="8">
        <f t="shared" si="0"/>
        <v>5881.9171127369736</v>
      </c>
      <c r="AG16" s="8">
        <f t="shared" si="0"/>
        <v>6011.3192892171874</v>
      </c>
      <c r="AH16" s="8">
        <f t="shared" si="0"/>
        <v>6143.5683135799654</v>
      </c>
      <c r="AI16" s="8">
        <f t="shared" si="0"/>
        <v>6278.7268164787247</v>
      </c>
      <c r="AJ16" s="8">
        <f t="shared" si="0"/>
        <v>6416.858806441257</v>
      </c>
      <c r="AK16" s="8">
        <f t="shared" si="0"/>
        <v>6558.0297001829649</v>
      </c>
      <c r="AL16" s="8">
        <f t="shared" si="0"/>
        <v>6702.3063535869906</v>
      </c>
      <c r="AM16" s="8">
        <f t="shared" si="0"/>
        <v>6849.7570933659044</v>
      </c>
      <c r="AN16" s="8">
        <f t="shared" si="0"/>
        <v>7000.4517494199545</v>
      </c>
      <c r="AO16" s="8">
        <f t="shared" si="0"/>
        <v>7154.4616879071937</v>
      </c>
      <c r="AP16" s="8">
        <f t="shared" si="0"/>
        <v>7311.8598450411519</v>
      </c>
      <c r="AQ16" s="8">
        <f t="shared" si="0"/>
        <v>7472.7207616320575</v>
      </c>
      <c r="AR16" s="8">
        <f t="shared" si="0"/>
        <v>7637.1206183879631</v>
      </c>
      <c r="AS16" s="8">
        <f t="shared" si="0"/>
        <v>7805.1372719924984</v>
      </c>
      <c r="AT16" s="8">
        <f t="shared" si="0"/>
        <v>7976.8502919763332</v>
      </c>
      <c r="AU16" s="8">
        <f t="shared" si="0"/>
        <v>8152.3409983998126</v>
      </c>
      <c r="AV16" s="8">
        <f t="shared" si="0"/>
        <v>8331.6925003646083</v>
      </c>
      <c r="AW16" s="8">
        <f t="shared" si="0"/>
        <v>8514.9897353726301</v>
      </c>
      <c r="AX16" s="8">
        <f t="shared" si="0"/>
        <v>8702.319509550829</v>
      </c>
      <c r="AY16" s="8">
        <f t="shared" si="0"/>
        <v>8893.7705387609476</v>
      </c>
      <c r="AZ16" s="8">
        <f t="shared" si="0"/>
        <v>9089.4334906136883</v>
      </c>
      <c r="BA16" s="8">
        <f t="shared" si="0"/>
        <v>9289.4010274071898</v>
      </c>
      <c r="BB16" s="8">
        <f t="shared" si="0"/>
        <v>9493.7678500101483</v>
      </c>
      <c r="BC16" s="8">
        <f t="shared" si="0"/>
        <v>9702.6307427103711</v>
      </c>
      <c r="BD16" s="8">
        <f t="shared" si="0"/>
        <v>9916.0886190499987</v>
      </c>
      <c r="BE16" s="8">
        <f t="shared" si="0"/>
        <v>10134.242568669099</v>
      </c>
      <c r="BF16" s="8">
        <f t="shared" si="0"/>
        <v>10357.195905179819</v>
      </c>
      <c r="BG16" s="8">
        <f t="shared" si="0"/>
        <v>10585.054215093774</v>
      </c>
      <c r="BH16" s="8">
        <f t="shared" si="0"/>
        <v>10817.925407825838</v>
      </c>
      <c r="BI16" s="8">
        <f t="shared" si="0"/>
        <v>11055.919766798006</v>
      </c>
      <c r="BJ16" s="8">
        <f t="shared" si="0"/>
        <v>11299.150001667562</v>
      </c>
      <c r="BK16" s="8">
        <v>0</v>
      </c>
      <c r="BL16" s="8">
        <f t="shared" ref="BL16:BQ16" si="1">BK16*(1+Inflation)</f>
        <v>0</v>
      </c>
      <c r="BM16" s="8">
        <f t="shared" si="1"/>
        <v>0</v>
      </c>
      <c r="BN16" s="8">
        <f t="shared" si="1"/>
        <v>0</v>
      </c>
      <c r="BO16" s="8">
        <f t="shared" si="1"/>
        <v>0</v>
      </c>
      <c r="BP16" s="8">
        <f t="shared" si="1"/>
        <v>0</v>
      </c>
      <c r="BQ16" s="8">
        <f t="shared" si="1"/>
        <v>0</v>
      </c>
    </row>
    <row r="17" spans="1:72" x14ac:dyDescent="0.4">
      <c r="A17" t="s">
        <v>37</v>
      </c>
      <c r="B17" t="s">
        <v>15</v>
      </c>
      <c r="C17" t="s">
        <v>136</v>
      </c>
      <c r="D17" t="s">
        <v>130</v>
      </c>
      <c r="E17" t="s">
        <v>420</v>
      </c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81"/>
      <c r="BS17" s="81"/>
      <c r="BT17" s="81"/>
    </row>
    <row r="18" spans="1:72" x14ac:dyDescent="0.4">
      <c r="A18" t="s">
        <v>37</v>
      </c>
      <c r="B18" t="s">
        <v>15</v>
      </c>
      <c r="C18" t="s">
        <v>136</v>
      </c>
      <c r="D18" t="s">
        <v>131</v>
      </c>
      <c r="E18" t="s">
        <v>420</v>
      </c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81"/>
      <c r="BS18" s="81"/>
      <c r="BT18" s="81"/>
    </row>
    <row r="19" spans="1:72" x14ac:dyDescent="0.4">
      <c r="A19" t="s">
        <v>37</v>
      </c>
      <c r="B19" t="s">
        <v>15</v>
      </c>
      <c r="C19" t="s">
        <v>136</v>
      </c>
      <c r="D19" t="s">
        <v>132</v>
      </c>
      <c r="E19" t="s">
        <v>420</v>
      </c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81"/>
      <c r="BS19" s="81"/>
      <c r="BT19" s="81"/>
    </row>
    <row r="20" spans="1:72" x14ac:dyDescent="0.4">
      <c r="A20" t="s">
        <v>37</v>
      </c>
      <c r="B20" t="s">
        <v>15</v>
      </c>
      <c r="C20" t="s">
        <v>136</v>
      </c>
      <c r="D20" t="s">
        <v>133</v>
      </c>
      <c r="E20" t="s">
        <v>420</v>
      </c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81"/>
      <c r="BS20" s="81"/>
      <c r="BT20" s="81"/>
    </row>
    <row r="21" spans="1:72" x14ac:dyDescent="0.4">
      <c r="A21" t="s">
        <v>37</v>
      </c>
      <c r="B21" t="s">
        <v>15</v>
      </c>
      <c r="C21" t="s">
        <v>136</v>
      </c>
      <c r="D21" t="s">
        <v>134</v>
      </c>
      <c r="F21" s="8"/>
      <c r="G21" s="8">
        <f>'Rev Req''t_Baseline_OH1PH'!F185*Net_Install_Taxable*Property_Tax_Rate_Assumption</f>
        <v>16200.534965000001</v>
      </c>
      <c r="H21" s="8">
        <f>'Rev Req''t_Baseline_OH1PH'!G185*Net_Install_Taxable*Property_Tax_Rate_Assumption</f>
        <v>32757.481699230004</v>
      </c>
      <c r="I21" s="8">
        <f>'Rev Req''t_Baseline_OH1PH'!H185*Net_Install_Taxable*Property_Tax_Rate_Assumption</f>
        <v>49678.68126161307</v>
      </c>
      <c r="J21" s="8">
        <f>'Rev Req''t_Baseline_OH1PH'!I185*Net_Install_Taxable*Property_Tax_Rate_Assumption</f>
        <v>66972.147214368553</v>
      </c>
      <c r="K21" s="8">
        <f>'Rev Req''t_Baseline_OH1PH'!J185*Net_Install_Taxable*Property_Tax_Rate_Assumption</f>
        <v>84646.069418084677</v>
      </c>
      <c r="L21" s="8">
        <f>'Rev Req''t_Baseline_OH1PH'!K185*Net_Install_Taxable*Property_Tax_Rate_Assumption</f>
        <v>102708.81791028254</v>
      </c>
      <c r="M21" s="8">
        <f>'Rev Req''t_Baseline_OH1PH'!L185*Net_Install_Taxable*Property_Tax_Rate_Assumption</f>
        <v>121168.94686930875</v>
      </c>
      <c r="N21" s="8">
        <f>'Rev Req''t_Baseline_OH1PH'!M185*Net_Install_Taxable*Property_Tax_Rate_Assumption</f>
        <v>140035.19866543353</v>
      </c>
      <c r="O21" s="8">
        <f>'Rev Req''t_Baseline_OH1PH'!N185*Net_Install_Taxable*Property_Tax_Rate_Assumption</f>
        <v>140035.19866543353</v>
      </c>
      <c r="P21" s="8">
        <f>'Rev Req''t_Baseline_OH1PH'!O185*Net_Install_Taxable*Property_Tax_Rate_Assumption</f>
        <v>179022.00614209671</v>
      </c>
      <c r="Q21" s="8">
        <f>'Rev Req''t_Baseline_OH1PH'!P185*Net_Install_Taxable*Property_Tax_Rate_Assumption</f>
        <v>179022.00614209671</v>
      </c>
      <c r="R21" s="8">
        <f>'Rev Req''t_Baseline_OH1PH'!Q185*Net_Install_Taxable*Property_Tax_Rate_Assumption</f>
        <v>179022.00614209671</v>
      </c>
      <c r="S21" s="8">
        <f>'Rev Req''t_Baseline_OH1PH'!R185*Net_Install_Taxable*Property_Tax_Rate_Assumption</f>
        <v>179022.00614209671</v>
      </c>
      <c r="T21" s="8">
        <f>'Rev Req''t_Baseline_OH1PH'!S185*Net_Install_Taxable*Property_Tax_Rate_Assumption</f>
        <v>179022.00614209671</v>
      </c>
      <c r="U21" s="8">
        <f>'Rev Req''t_Baseline_OH1PH'!T185*Net_Install_Taxable*Property_Tax_Rate_Assumption</f>
        <v>179022.00614209671</v>
      </c>
      <c r="V21" s="8">
        <f>'Rev Req''t_Baseline_OH1PH'!U185*Net_Install_Taxable*Property_Tax_Rate_Assumption</f>
        <v>179022.00614209671</v>
      </c>
      <c r="W21" s="8">
        <f>'Rev Req''t_Baseline_OH1PH'!V185*Net_Install_Taxable*Property_Tax_Rate_Assumption</f>
        <v>179022.00614209671</v>
      </c>
      <c r="X21" s="8">
        <f>'Rev Req''t_Baseline_OH1PH'!W185*Net_Install_Taxable*Property_Tax_Rate_Assumption</f>
        <v>179022.00614209671</v>
      </c>
      <c r="Y21" s="8">
        <f>'Rev Req''t_Baseline_OH1PH'!X185*Net_Install_Taxable*Property_Tax_Rate_Assumption</f>
        <v>179022.00614209671</v>
      </c>
      <c r="Z21" s="8">
        <f>'Rev Req''t_Baseline_OH1PH'!Y185*Net_Install_Taxable*Property_Tax_Rate_Assumption</f>
        <v>179022.00614209671</v>
      </c>
      <c r="AA21" s="8">
        <f>'Rev Req''t_Baseline_OH1PH'!Z185*Net_Install_Taxable*Property_Tax_Rate_Assumption</f>
        <v>179022.00614209671</v>
      </c>
      <c r="AB21" s="8">
        <f>'Rev Req''t_Baseline_OH1PH'!AA185*Net_Install_Taxable*Property_Tax_Rate_Assumption</f>
        <v>179022.00614209671</v>
      </c>
      <c r="AC21" s="8">
        <f>'Rev Req''t_Baseline_OH1PH'!AB185*Net_Install_Taxable*Property_Tax_Rate_Assumption</f>
        <v>179022.00614209671</v>
      </c>
      <c r="AD21" s="8">
        <f>'Rev Req''t_Baseline_OH1PH'!AC185*Net_Install_Taxable*Property_Tax_Rate_Assumption</f>
        <v>179022.00614209671</v>
      </c>
      <c r="AE21" s="8">
        <f>'Rev Req''t_Baseline_OH1PH'!AD185*Net_Install_Taxable*Property_Tax_Rate_Assumption</f>
        <v>179022.00614209671</v>
      </c>
      <c r="AF21" s="8">
        <f>'Rev Req''t_Baseline_OH1PH'!AE185*Net_Install_Taxable*Property_Tax_Rate_Assumption</f>
        <v>179022.00614209671</v>
      </c>
      <c r="AG21" s="8">
        <f>'Rev Req''t_Baseline_OH1PH'!AF185*Net_Install_Taxable*Property_Tax_Rate_Assumption</f>
        <v>179022.00614209671</v>
      </c>
      <c r="AH21" s="8">
        <f>'Rev Req''t_Baseline_OH1PH'!AG185*Net_Install_Taxable*Property_Tax_Rate_Assumption</f>
        <v>179022.00614209671</v>
      </c>
      <c r="AI21" s="8">
        <f>'Rev Req''t_Baseline_OH1PH'!AH185*Net_Install_Taxable*Property_Tax_Rate_Assumption</f>
        <v>179022.00614209671</v>
      </c>
      <c r="AJ21" s="8">
        <f>'Rev Req''t_Baseline_OH1PH'!AI185*Net_Install_Taxable*Property_Tax_Rate_Assumption</f>
        <v>179022.00614209671</v>
      </c>
      <c r="AK21" s="8">
        <f>'Rev Req''t_Baseline_OH1PH'!AJ185*Net_Install_Taxable*Property_Tax_Rate_Assumption</f>
        <v>179022.00614209671</v>
      </c>
      <c r="AL21" s="8">
        <f>'Rev Req''t_Baseline_OH1PH'!AK185*Net_Install_Taxable*Property_Tax_Rate_Assumption</f>
        <v>179022.00614209671</v>
      </c>
      <c r="AM21" s="8">
        <f>'Rev Req''t_Baseline_OH1PH'!AL185*Net_Install_Taxable*Property_Tax_Rate_Assumption</f>
        <v>179022.00614209671</v>
      </c>
      <c r="AN21" s="8">
        <f>'Rev Req''t_Baseline_OH1PH'!AM185*Net_Install_Taxable*Property_Tax_Rate_Assumption</f>
        <v>179022.00614209671</v>
      </c>
      <c r="AO21" s="8">
        <f>'Rev Req''t_Baseline_OH1PH'!AN185*Net_Install_Taxable*Property_Tax_Rate_Assumption</f>
        <v>179022.00614209671</v>
      </c>
      <c r="AP21" s="8">
        <f>'Rev Req''t_Baseline_OH1PH'!AO185*Net_Install_Taxable*Property_Tax_Rate_Assumption</f>
        <v>179022.00614209671</v>
      </c>
      <c r="AQ21" s="8">
        <f>'Rev Req''t_Baseline_OH1PH'!AP185*Net_Install_Taxable*Property_Tax_Rate_Assumption</f>
        <v>179022.00614209671</v>
      </c>
      <c r="AR21" s="8">
        <f>'Rev Req''t_Baseline_OH1PH'!AQ185*Net_Install_Taxable*Property_Tax_Rate_Assumption</f>
        <v>179022.00614209671</v>
      </c>
      <c r="AS21" s="8">
        <f>'Rev Req''t_Baseline_OH1PH'!AR185*Net_Install_Taxable*Property_Tax_Rate_Assumption</f>
        <v>179022.00614209671</v>
      </c>
      <c r="AT21" s="8">
        <f>'Rev Req''t_Baseline_OH1PH'!AS185*Net_Install_Taxable*Property_Tax_Rate_Assumption</f>
        <v>179022.00614209671</v>
      </c>
      <c r="AU21" s="8">
        <f>'Rev Req''t_Baseline_OH1PH'!AT185*Net_Install_Taxable*Property_Tax_Rate_Assumption</f>
        <v>179022.00614209671</v>
      </c>
      <c r="AV21" s="8">
        <f>'Rev Req''t_Baseline_OH1PH'!AU185*Net_Install_Taxable*Property_Tax_Rate_Assumption</f>
        <v>179022.00614209671</v>
      </c>
      <c r="AW21" s="8">
        <f>'Rev Req''t_Baseline_OH1PH'!AV185*Net_Install_Taxable*Property_Tax_Rate_Assumption</f>
        <v>179022.00614209671</v>
      </c>
      <c r="AX21" s="8">
        <f>'Rev Req''t_Baseline_OH1PH'!AW185*Net_Install_Taxable*Property_Tax_Rate_Assumption</f>
        <v>179022.00614209671</v>
      </c>
      <c r="AY21" s="8">
        <f>'Rev Req''t_Baseline_OH1PH'!AX185*Net_Install_Taxable*Property_Tax_Rate_Assumption</f>
        <v>179022.00614209671</v>
      </c>
      <c r="AZ21" s="8">
        <f>'Rev Req''t_Baseline_OH1PH'!AY185*Net_Install_Taxable*Property_Tax_Rate_Assumption</f>
        <v>179022.00614209671</v>
      </c>
      <c r="BA21" s="8">
        <f>'Rev Req''t_Baseline_OH1PH'!AZ185*Net_Install_Taxable*Property_Tax_Rate_Assumption</f>
        <v>179022.00614209671</v>
      </c>
      <c r="BB21" s="8">
        <f>'Rev Req''t_Baseline_OH1PH'!BA185*Net_Install_Taxable*Property_Tax_Rate_Assumption</f>
        <v>179022.00614209671</v>
      </c>
      <c r="BC21" s="8">
        <f>'Rev Req''t_Baseline_OH1PH'!BB185*Net_Install_Taxable*Property_Tax_Rate_Assumption</f>
        <v>179022.00614209671</v>
      </c>
      <c r="BD21" s="8">
        <f>'Rev Req''t_Baseline_OH1PH'!BC185*Net_Install_Taxable*Property_Tax_Rate_Assumption</f>
        <v>179022.00614209671</v>
      </c>
      <c r="BE21" s="8">
        <f>'Rev Req''t_Baseline_OH1PH'!BD185*Net_Install_Taxable*Property_Tax_Rate_Assumption</f>
        <v>162821.47117709671</v>
      </c>
      <c r="BF21" s="8">
        <f>'Rev Req''t_Baseline_OH1PH'!BE185*Net_Install_Taxable*Property_Tax_Rate_Assumption</f>
        <v>146264.52444286668</v>
      </c>
      <c r="BG21" s="8">
        <f>'Rev Req''t_Baseline_OH1PH'!BF185*Net_Install_Taxable*Property_Tax_Rate_Assumption</f>
        <v>129343.3248804836</v>
      </c>
      <c r="BH21" s="8">
        <f>'Rev Req''t_Baseline_OH1PH'!BG185*Net_Install_Taxable*Property_Tax_Rate_Assumption</f>
        <v>112049.85892772816</v>
      </c>
      <c r="BI21" s="8">
        <f>'Rev Req''t_Baseline_OH1PH'!BH185*Net_Install_Taxable*Property_Tax_Rate_Assumption</f>
        <v>94375.936724012019</v>
      </c>
      <c r="BJ21" s="8">
        <f>'Rev Req''t_Baseline_OH1PH'!BI185*Net_Install_Taxable*Property_Tax_Rate_Assumption</f>
        <v>76313.188231814172</v>
      </c>
      <c r="BK21" s="8">
        <f>'Rev Req''t_Baseline_OH1PH'!BJ185*Net_Install_Taxable*Property_Tax_Rate_Assumption</f>
        <v>57853.059272787948</v>
      </c>
      <c r="BL21" s="8">
        <f>'Rev Req''t_Baseline_OH1PH'!BK185*Net_Install_Taxable*Property_Tax_Rate_Assumption</f>
        <v>38986.807476663162</v>
      </c>
      <c r="BM21" s="8">
        <f>'Rev Req''t_Baseline_OH1PH'!BL185*Net_Install_Taxable*Property_Tax_Rate_Assumption</f>
        <v>19705.498141023611</v>
      </c>
      <c r="BN21" s="8">
        <f>'Rev Req''t_Baseline_OH1PH'!BM185*Net_Install_Taxable*Property_Tax_Rate_Assumption</f>
        <v>0</v>
      </c>
      <c r="BO21" s="8">
        <f>'Rev Req''t_Baseline_OH1PH'!BN185*Net_Install_Taxable*Property_Tax_Rate_Assumption</f>
        <v>0</v>
      </c>
      <c r="BP21" s="8">
        <f>'Rev Req''t_Baseline_OH1PH'!BO185*Net_Install_Taxable*Property_Tax_Rate_Assumption</f>
        <v>0</v>
      </c>
      <c r="BQ21" s="8">
        <f>'Rev Req''t_Baseline_OH1PH'!BP185*Net_Install_Taxable*Property_Tax_Rate_Assumption</f>
        <v>0</v>
      </c>
    </row>
    <row r="22" spans="1:72" ht="19.5" thickBot="1" x14ac:dyDescent="0.45">
      <c r="A22" t="s">
        <v>37</v>
      </c>
      <c r="B22" t="s">
        <v>15</v>
      </c>
      <c r="C22" s="16" t="s">
        <v>136</v>
      </c>
      <c r="D22" s="16" t="s">
        <v>135</v>
      </c>
      <c r="E22" s="16" t="s">
        <v>420</v>
      </c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81"/>
      <c r="BS22" s="81"/>
      <c r="BT22" s="81"/>
    </row>
    <row r="23" spans="1:72" ht="19.5" thickTop="1" x14ac:dyDescent="0.4">
      <c r="C23" s="14" t="s">
        <v>161</v>
      </c>
      <c r="D23" s="14"/>
      <c r="E23" s="14"/>
      <c r="F23" s="15"/>
      <c r="G23" s="15">
        <f t="shared" ref="G23:AL23" si="2">SUM(G13:G22)</f>
        <v>184504.04347664732</v>
      </c>
      <c r="H23" s="15">
        <f t="shared" si="2"/>
        <v>309772.91644789977</v>
      </c>
      <c r="I23" s="15">
        <f t="shared" si="2"/>
        <v>434041.9994732312</v>
      </c>
      <c r="J23" s="15">
        <f t="shared" si="2"/>
        <v>557440.79754999955</v>
      </c>
      <c r="K23" s="15">
        <f t="shared" si="2"/>
        <v>680091.08387297823</v>
      </c>
      <c r="L23" s="15">
        <f t="shared" si="2"/>
        <v>802107.49827401573</v>
      </c>
      <c r="M23" s="15">
        <f t="shared" si="2"/>
        <v>923598.03394627117</v>
      </c>
      <c r="N23" s="15">
        <f t="shared" si="2"/>
        <v>1044664.5341489114</v>
      </c>
      <c r="O23" s="15">
        <f t="shared" si="2"/>
        <v>1146087.1320804993</v>
      </c>
      <c r="P23" s="15">
        <f t="shared" si="2"/>
        <v>1285726.4538268466</v>
      </c>
      <c r="Q23" s="15">
        <f t="shared" si="2"/>
        <v>1257454.2653692146</v>
      </c>
      <c r="R23" s="15">
        <f t="shared" si="2"/>
        <v>1229459.9300341178</v>
      </c>
      <c r="S23" s="15">
        <f t="shared" si="2"/>
        <v>1202201.2343448135</v>
      </c>
      <c r="T23" s="15">
        <f t="shared" si="2"/>
        <v>1175533.56836864</v>
      </c>
      <c r="U23" s="15">
        <f t="shared" si="2"/>
        <v>1149321.1771578516</v>
      </c>
      <c r="V23" s="15">
        <f t="shared" si="2"/>
        <v>1123436.4296821009</v>
      </c>
      <c r="W23" s="15">
        <f t="shared" si="2"/>
        <v>1097759.2259902982</v>
      </c>
      <c r="X23" s="15">
        <f t="shared" si="2"/>
        <v>1072176.3913300317</v>
      </c>
      <c r="Y23" s="15">
        <f t="shared" si="2"/>
        <v>1046624.2645396941</v>
      </c>
      <c r="Z23" s="15">
        <f t="shared" si="2"/>
        <v>1021094.1081076852</v>
      </c>
      <c r="AA23" s="15">
        <f t="shared" si="2"/>
        <v>995863.34988247161</v>
      </c>
      <c r="AB23" s="15">
        <f t="shared" si="2"/>
        <v>971492.34149107477</v>
      </c>
      <c r="AC23" s="15">
        <f t="shared" si="2"/>
        <v>948276.94193042128</v>
      </c>
      <c r="AD23" s="15">
        <f t="shared" si="2"/>
        <v>926242.5745947879</v>
      </c>
      <c r="AE23" s="15">
        <f t="shared" si="2"/>
        <v>905415.22219312494</v>
      </c>
      <c r="AF23" s="15">
        <f t="shared" si="2"/>
        <v>885821.4390539797</v>
      </c>
      <c r="AG23" s="15">
        <f t="shared" si="2"/>
        <v>867488.36370112782</v>
      </c>
      <c r="AH23" s="15">
        <f t="shared" si="2"/>
        <v>850443.73170586734</v>
      </c>
      <c r="AI23" s="15">
        <f t="shared" si="2"/>
        <v>834715.88882206532</v>
      </c>
      <c r="AJ23" s="15">
        <f t="shared" si="2"/>
        <v>820333.80441017426</v>
      </c>
      <c r="AK23" s="15">
        <f t="shared" si="2"/>
        <v>806982.81315574597</v>
      </c>
      <c r="AL23" s="15">
        <f t="shared" si="2"/>
        <v>793997.20941945026</v>
      </c>
      <c r="AM23" s="15">
        <f t="shared" ref="AM23:BQ23" si="3">SUM(AM13:AM22)</f>
        <v>781040.75972585613</v>
      </c>
      <c r="AN23" s="15">
        <f t="shared" si="3"/>
        <v>768114.10546390328</v>
      </c>
      <c r="AO23" s="15">
        <f t="shared" si="3"/>
        <v>755217.90213308751</v>
      </c>
      <c r="AP23" s="15">
        <f t="shared" si="3"/>
        <v>742352.81965389394</v>
      </c>
      <c r="AQ23" s="15">
        <f t="shared" si="3"/>
        <v>729519.5426850582</v>
      </c>
      <c r="AR23" s="15">
        <f t="shared" si="3"/>
        <v>716718.77094780828</v>
      </c>
      <c r="AS23" s="15">
        <f t="shared" si="3"/>
        <v>703951.21955723898</v>
      </c>
      <c r="AT23" s="15">
        <f t="shared" si="3"/>
        <v>691217.61936097755</v>
      </c>
      <c r="AU23" s="15">
        <f t="shared" si="3"/>
        <v>678518.71728529828</v>
      </c>
      <c r="AV23" s="15">
        <f t="shared" si="3"/>
        <v>665855.27668885433</v>
      </c>
      <c r="AW23" s="15">
        <f t="shared" si="3"/>
        <v>653228.0777241888</v>
      </c>
      <c r="AX23" s="15">
        <f t="shared" si="3"/>
        <v>640637.91770720063</v>
      </c>
      <c r="AY23" s="15">
        <f t="shared" si="3"/>
        <v>628085.61149473907</v>
      </c>
      <c r="AZ23" s="15">
        <f t="shared" si="3"/>
        <v>615571.99187050341</v>
      </c>
      <c r="BA23" s="15">
        <f t="shared" si="3"/>
        <v>603097.90993943473</v>
      </c>
      <c r="BB23" s="15">
        <f t="shared" si="3"/>
        <v>590664.23553078272</v>
      </c>
      <c r="BC23" s="15">
        <f t="shared" si="3"/>
        <v>578271.85761004058</v>
      </c>
      <c r="BD23" s="15">
        <f t="shared" si="3"/>
        <v>565921.68469994213</v>
      </c>
      <c r="BE23" s="15">
        <f t="shared" si="3"/>
        <v>517999.05324557389</v>
      </c>
      <c r="BF23" s="15">
        <f t="shared" si="3"/>
        <v>470632.01102381357</v>
      </c>
      <c r="BG23" s="15">
        <f t="shared" si="3"/>
        <v>423832.78099777858</v>
      </c>
      <c r="BH23" s="15">
        <f t="shared" si="3"/>
        <v>377613.85503577482</v>
      </c>
      <c r="BI23" s="15">
        <f t="shared" si="3"/>
        <v>331987.99982721102</v>
      </c>
      <c r="BJ23" s="15">
        <f t="shared" si="3"/>
        <v>286968.26292866288</v>
      </c>
      <c r="BK23" s="15">
        <f t="shared" si="3"/>
        <v>136501.85102009538</v>
      </c>
      <c r="BL23" s="15">
        <f t="shared" si="3"/>
        <v>90401.193096998788</v>
      </c>
      <c r="BM23" s="15">
        <f t="shared" si="3"/>
        <v>44896.207824198165</v>
      </c>
      <c r="BN23" s="15">
        <f t="shared" si="3"/>
        <v>3.5410994314588609E-11</v>
      </c>
      <c r="BO23" s="15">
        <f t="shared" si="3"/>
        <v>3.5410994314588609E-11</v>
      </c>
      <c r="BP23" s="15">
        <f t="shared" si="3"/>
        <v>3.5410994314588609E-11</v>
      </c>
      <c r="BQ23" s="15">
        <f t="shared" si="3"/>
        <v>3.5410994314588609E-11</v>
      </c>
      <c r="BR23" s="8"/>
    </row>
    <row r="24" spans="1:72" x14ac:dyDescent="0.4">
      <c r="C24" s="11" t="s">
        <v>162</v>
      </c>
      <c r="D24" s="11" t="s">
        <v>127</v>
      </c>
      <c r="E24" s="11"/>
      <c r="F24" s="50"/>
      <c r="G24" s="8">
        <f t="shared" ref="G24:AL24" si="4">SUM(G13:G14)</f>
        <v>108528.98063055798</v>
      </c>
      <c r="H24" s="8">
        <f t="shared" si="4"/>
        <v>216788.91558531002</v>
      </c>
      <c r="I24" s="8">
        <f t="shared" si="4"/>
        <v>324410.54361232166</v>
      </c>
      <c r="J24" s="8">
        <f t="shared" si="4"/>
        <v>431509.17030952207</v>
      </c>
      <c r="K24" s="8">
        <f t="shared" si="4"/>
        <v>538192.95549192338</v>
      </c>
      <c r="L24" s="8">
        <f t="shared" si="4"/>
        <v>644563.50079255574</v>
      </c>
      <c r="M24" s="8">
        <f t="shared" si="4"/>
        <v>750716.32605593023</v>
      </c>
      <c r="N24" s="8">
        <f t="shared" si="4"/>
        <v>856741.35621215706</v>
      </c>
      <c r="O24" s="8">
        <f t="shared" si="4"/>
        <v>962688.66114819213</v>
      </c>
      <c r="P24" s="8">
        <f t="shared" si="4"/>
        <v>1068564.1031254784</v>
      </c>
      <c r="Q24" s="8">
        <f t="shared" si="4"/>
        <v>1039452.8270875423</v>
      </c>
      <c r="R24" s="8">
        <f t="shared" si="4"/>
        <v>1010600.9442453746</v>
      </c>
      <c r="S24" s="8">
        <f t="shared" si="4"/>
        <v>982465.83500384435</v>
      </c>
      <c r="T24" s="8">
        <f t="shared" si="4"/>
        <v>954902.4743772957</v>
      </c>
      <c r="U24" s="8">
        <f t="shared" si="4"/>
        <v>927774.68323382386</v>
      </c>
      <c r="V24" s="8">
        <f t="shared" si="4"/>
        <v>900954.39702687063</v>
      </c>
      <c r="W24" s="8">
        <f t="shared" si="4"/>
        <v>874321.07275177876</v>
      </c>
      <c r="X24" s="8">
        <f t="shared" si="4"/>
        <v>847761.0828553912</v>
      </c>
      <c r="Y24" s="8">
        <f t="shared" si="4"/>
        <v>821210.30341373757</v>
      </c>
      <c r="Z24" s="8">
        <f t="shared" si="4"/>
        <v>794659.52397208381</v>
      </c>
      <c r="AA24" s="8">
        <f t="shared" si="4"/>
        <v>768385.68903101305</v>
      </c>
      <c r="AB24" s="8">
        <f t="shared" si="4"/>
        <v>742948.65623601025</v>
      </c>
      <c r="AC24" s="8">
        <f t="shared" si="4"/>
        <v>718643.77973487147</v>
      </c>
      <c r="AD24" s="8">
        <f t="shared" si="4"/>
        <v>695495.9669660622</v>
      </c>
      <c r="AE24" s="8">
        <f t="shared" si="4"/>
        <v>673530.6733316934</v>
      </c>
      <c r="AF24" s="8">
        <f t="shared" si="4"/>
        <v>652773.91425272275</v>
      </c>
      <c r="AG24" s="8">
        <f t="shared" si="4"/>
        <v>633252.27748936927</v>
      </c>
      <c r="AH24" s="8">
        <f t="shared" si="4"/>
        <v>614992.93573257618</v>
      </c>
      <c r="AI24" s="8">
        <f t="shared" si="4"/>
        <v>598023.65947248798</v>
      </c>
      <c r="AJ24" s="8">
        <f t="shared" si="4"/>
        <v>582372.8301500323</v>
      </c>
      <c r="AK24" s="8">
        <f t="shared" si="4"/>
        <v>567725.18159700709</v>
      </c>
      <c r="AL24" s="8">
        <f t="shared" si="4"/>
        <v>553414.39410154521</v>
      </c>
      <c r="AM24" s="8">
        <f t="shared" ref="AM24:BQ24" si="5">SUM(AM13:AM14)</f>
        <v>539103.60660608334</v>
      </c>
      <c r="AN24" s="8">
        <f t="shared" si="5"/>
        <v>524792.81911062158</v>
      </c>
      <c r="AO24" s="8">
        <f t="shared" si="5"/>
        <v>510482.03161515971</v>
      </c>
      <c r="AP24" s="8">
        <f t="shared" si="5"/>
        <v>496171.24411969783</v>
      </c>
      <c r="AQ24" s="8">
        <f t="shared" si="5"/>
        <v>481860.45662423596</v>
      </c>
      <c r="AR24" s="8">
        <f t="shared" si="5"/>
        <v>467549.66912877414</v>
      </c>
      <c r="AS24" s="8">
        <f t="shared" si="5"/>
        <v>453238.88163331221</v>
      </c>
      <c r="AT24" s="8">
        <f t="shared" si="5"/>
        <v>438928.09413785039</v>
      </c>
      <c r="AU24" s="8">
        <f t="shared" si="5"/>
        <v>424617.30664238852</v>
      </c>
      <c r="AV24" s="8">
        <f t="shared" si="5"/>
        <v>410306.51914692664</v>
      </c>
      <c r="AW24" s="8">
        <f t="shared" si="5"/>
        <v>395995.73165146483</v>
      </c>
      <c r="AX24" s="8">
        <f t="shared" si="5"/>
        <v>381684.94415600295</v>
      </c>
      <c r="AY24" s="8">
        <f t="shared" si="5"/>
        <v>367374.15666054108</v>
      </c>
      <c r="AZ24" s="8">
        <f t="shared" si="5"/>
        <v>353063.3691650792</v>
      </c>
      <c r="BA24" s="8">
        <f t="shared" si="5"/>
        <v>338752.58166961733</v>
      </c>
      <c r="BB24" s="8">
        <f t="shared" si="5"/>
        <v>324441.79417415551</v>
      </c>
      <c r="BC24" s="8">
        <f t="shared" si="5"/>
        <v>310131.00667869364</v>
      </c>
      <c r="BD24" s="8">
        <f t="shared" si="5"/>
        <v>295820.21918323176</v>
      </c>
      <c r="BE24" s="8">
        <f t="shared" si="5"/>
        <v>262094.37458762195</v>
      </c>
      <c r="BF24" s="8">
        <f t="shared" si="5"/>
        <v>229236.44853551284</v>
      </c>
      <c r="BG24" s="8">
        <f t="shared" si="5"/>
        <v>197265.53523486137</v>
      </c>
      <c r="BH24" s="8">
        <f t="shared" si="5"/>
        <v>166201.14896619951</v>
      </c>
      <c r="BI24" s="8">
        <f t="shared" si="5"/>
        <v>136063.23332423117</v>
      </c>
      <c r="BJ24" s="8">
        <f t="shared" si="5"/>
        <v>106872.17066274365</v>
      </c>
      <c r="BK24" s="8">
        <f t="shared" si="5"/>
        <v>78648.791747307419</v>
      </c>
      <c r="BL24" s="8">
        <f t="shared" si="5"/>
        <v>51414.385620335634</v>
      </c>
      <c r="BM24" s="8">
        <f t="shared" si="5"/>
        <v>25190.709683174558</v>
      </c>
      <c r="BN24" s="8">
        <f t="shared" si="5"/>
        <v>3.5410994314588609E-11</v>
      </c>
      <c r="BO24" s="8">
        <f t="shared" si="5"/>
        <v>3.5410994314588609E-11</v>
      </c>
      <c r="BP24" s="8">
        <f t="shared" si="5"/>
        <v>3.5410994314588609E-11</v>
      </c>
      <c r="BQ24" s="8">
        <f t="shared" si="5"/>
        <v>3.5410994314588609E-11</v>
      </c>
      <c r="BR24" s="8"/>
    </row>
    <row r="25" spans="1:72" x14ac:dyDescent="0.4">
      <c r="C25" s="11" t="s">
        <v>162</v>
      </c>
      <c r="D25" t="s">
        <v>163</v>
      </c>
      <c r="F25" s="50"/>
      <c r="G25" s="8">
        <f t="shared" ref="G25:AL25" si="6">SUM(G15:G22)</f>
        <v>75975.062846089335</v>
      </c>
      <c r="H25" s="8">
        <f t="shared" si="6"/>
        <v>92984.000862589746</v>
      </c>
      <c r="I25" s="8">
        <f t="shared" si="6"/>
        <v>109631.45586090951</v>
      </c>
      <c r="J25" s="8">
        <f t="shared" si="6"/>
        <v>125931.62724047754</v>
      </c>
      <c r="K25" s="8">
        <f t="shared" si="6"/>
        <v>141898.12838105485</v>
      </c>
      <c r="L25" s="8">
        <f t="shared" si="6"/>
        <v>157543.99748146004</v>
      </c>
      <c r="M25" s="8">
        <f t="shared" si="6"/>
        <v>172881.70789034097</v>
      </c>
      <c r="N25" s="8">
        <f t="shared" si="6"/>
        <v>187923.17793675431</v>
      </c>
      <c r="O25" s="8">
        <f t="shared" si="6"/>
        <v>183398.4709323071</v>
      </c>
      <c r="P25" s="8">
        <f t="shared" si="6"/>
        <v>217162.35070136833</v>
      </c>
      <c r="Q25" s="8">
        <f t="shared" si="6"/>
        <v>218001.43828167231</v>
      </c>
      <c r="R25" s="8">
        <f t="shared" si="6"/>
        <v>218858.98578874295</v>
      </c>
      <c r="S25" s="8">
        <f t="shared" si="6"/>
        <v>219735.39934096919</v>
      </c>
      <c r="T25" s="8">
        <f t="shared" si="6"/>
        <v>220631.09399134439</v>
      </c>
      <c r="U25" s="8">
        <f t="shared" si="6"/>
        <v>221546.49392402783</v>
      </c>
      <c r="V25" s="8">
        <f t="shared" si="6"/>
        <v>222482.03265523032</v>
      </c>
      <c r="W25" s="8">
        <f t="shared" si="6"/>
        <v>223438.15323851927</v>
      </c>
      <c r="X25" s="8">
        <f t="shared" si="6"/>
        <v>224415.30847464054</v>
      </c>
      <c r="Y25" s="8">
        <f t="shared" si="6"/>
        <v>225413.96112595653</v>
      </c>
      <c r="Z25" s="8">
        <f t="shared" si="6"/>
        <v>226434.58413560144</v>
      </c>
      <c r="AA25" s="8">
        <f t="shared" si="6"/>
        <v>227477.66085145855</v>
      </c>
      <c r="AB25" s="8">
        <f t="shared" si="6"/>
        <v>228543.68525506451</v>
      </c>
      <c r="AC25" s="8">
        <f t="shared" si="6"/>
        <v>229633.16219554981</v>
      </c>
      <c r="AD25" s="8">
        <f t="shared" si="6"/>
        <v>230746.60762872576</v>
      </c>
      <c r="AE25" s="8">
        <f t="shared" si="6"/>
        <v>231884.5488614316</v>
      </c>
      <c r="AF25" s="8">
        <f t="shared" si="6"/>
        <v>233047.52480125698</v>
      </c>
      <c r="AG25" s="8">
        <f t="shared" si="6"/>
        <v>234236.08621175849</v>
      </c>
      <c r="AH25" s="8">
        <f t="shared" si="6"/>
        <v>235450.79597329107</v>
      </c>
      <c r="AI25" s="8">
        <f t="shared" si="6"/>
        <v>236692.22934957733</v>
      </c>
      <c r="AJ25" s="8">
        <f t="shared" si="6"/>
        <v>237960.9742601419</v>
      </c>
      <c r="AK25" s="8">
        <f t="shared" si="6"/>
        <v>239257.63155873891</v>
      </c>
      <c r="AL25" s="8">
        <f t="shared" si="6"/>
        <v>240582.81531790504</v>
      </c>
      <c r="AM25" s="8">
        <f t="shared" ref="AM25:BQ25" si="7">SUM(AM15:AM22)</f>
        <v>241937.15311977282</v>
      </c>
      <c r="AN25" s="8">
        <f t="shared" si="7"/>
        <v>243321.2863532817</v>
      </c>
      <c r="AO25" s="8">
        <f t="shared" si="7"/>
        <v>244735.87051792777</v>
      </c>
      <c r="AP25" s="8">
        <f t="shared" si="7"/>
        <v>246181.57553419605</v>
      </c>
      <c r="AQ25" s="8">
        <f t="shared" si="7"/>
        <v>247659.08606082224</v>
      </c>
      <c r="AR25" s="8">
        <f t="shared" si="7"/>
        <v>249169.1018190342</v>
      </c>
      <c r="AS25" s="8">
        <f t="shared" si="7"/>
        <v>250712.33792392683</v>
      </c>
      <c r="AT25" s="8">
        <f t="shared" si="7"/>
        <v>252289.5252231271</v>
      </c>
      <c r="AU25" s="8">
        <f t="shared" si="7"/>
        <v>253901.41064290976</v>
      </c>
      <c r="AV25" s="8">
        <f t="shared" si="7"/>
        <v>255548.75754192763</v>
      </c>
      <c r="AW25" s="8">
        <f t="shared" si="7"/>
        <v>257232.34607272391</v>
      </c>
      <c r="AX25" s="8">
        <f t="shared" si="7"/>
        <v>258952.97355119773</v>
      </c>
      <c r="AY25" s="8">
        <f t="shared" si="7"/>
        <v>260711.45483419794</v>
      </c>
      <c r="AZ25" s="8">
        <f t="shared" si="7"/>
        <v>262508.6227054242</v>
      </c>
      <c r="BA25" s="8">
        <f t="shared" si="7"/>
        <v>264345.3282698174</v>
      </c>
      <c r="BB25" s="8">
        <f t="shared" si="7"/>
        <v>266222.44135662727</v>
      </c>
      <c r="BC25" s="8">
        <f t="shared" si="7"/>
        <v>268140.85093134694</v>
      </c>
      <c r="BD25" s="8">
        <f t="shared" si="7"/>
        <v>270101.46551671042</v>
      </c>
      <c r="BE25" s="8">
        <f t="shared" si="7"/>
        <v>255904.67865795194</v>
      </c>
      <c r="BF25" s="8">
        <f t="shared" si="7"/>
        <v>241395.56248830073</v>
      </c>
      <c r="BG25" s="8">
        <f t="shared" si="7"/>
        <v>226567.24576291721</v>
      </c>
      <c r="BH25" s="8">
        <f t="shared" si="7"/>
        <v>211412.7060695753</v>
      </c>
      <c r="BI25" s="8">
        <f t="shared" si="7"/>
        <v>195924.76650297979</v>
      </c>
      <c r="BJ25" s="8">
        <f t="shared" si="7"/>
        <v>180096.09226591926</v>
      </c>
      <c r="BK25" s="8">
        <f t="shared" si="7"/>
        <v>57853.059272787948</v>
      </c>
      <c r="BL25" s="8">
        <f t="shared" si="7"/>
        <v>38986.807476663162</v>
      </c>
      <c r="BM25" s="8">
        <f t="shared" si="7"/>
        <v>19705.498141023611</v>
      </c>
      <c r="BN25" s="8">
        <f t="shared" si="7"/>
        <v>0</v>
      </c>
      <c r="BO25" s="8">
        <f t="shared" si="7"/>
        <v>0</v>
      </c>
      <c r="BP25" s="8">
        <f t="shared" si="7"/>
        <v>0</v>
      </c>
      <c r="BQ25" s="8">
        <f t="shared" si="7"/>
        <v>0</v>
      </c>
    </row>
    <row r="26" spans="1:72" x14ac:dyDescent="0.4">
      <c r="C26" s="11" t="s">
        <v>162</v>
      </c>
      <c r="D26" t="s">
        <v>164</v>
      </c>
      <c r="F26" s="50"/>
      <c r="G26" s="8">
        <f>SUM(G17:G20,G22)</f>
        <v>0</v>
      </c>
      <c r="H26" s="8">
        <f t="shared" ref="H26:BQ26" si="8">SUM(H17:H20,H22)</f>
        <v>0</v>
      </c>
      <c r="I26" s="8">
        <f t="shared" si="8"/>
        <v>0</v>
      </c>
      <c r="J26" s="8">
        <f t="shared" si="8"/>
        <v>0</v>
      </c>
      <c r="K26" s="8">
        <f t="shared" si="8"/>
        <v>0</v>
      </c>
      <c r="L26" s="8">
        <f t="shared" si="8"/>
        <v>0</v>
      </c>
      <c r="M26" s="8">
        <f t="shared" si="8"/>
        <v>0</v>
      </c>
      <c r="N26" s="8">
        <f t="shared" si="8"/>
        <v>0</v>
      </c>
      <c r="O26" s="8">
        <f t="shared" si="8"/>
        <v>0</v>
      </c>
      <c r="P26" s="8">
        <f t="shared" si="8"/>
        <v>0</v>
      </c>
      <c r="Q26" s="8">
        <f t="shared" si="8"/>
        <v>0</v>
      </c>
      <c r="R26" s="8">
        <f t="shared" si="8"/>
        <v>0</v>
      </c>
      <c r="S26" s="8">
        <f t="shared" si="8"/>
        <v>0</v>
      </c>
      <c r="T26" s="8">
        <f t="shared" si="8"/>
        <v>0</v>
      </c>
      <c r="U26" s="8">
        <f t="shared" si="8"/>
        <v>0</v>
      </c>
      <c r="V26" s="8">
        <f t="shared" si="8"/>
        <v>0</v>
      </c>
      <c r="W26" s="8">
        <f t="shared" si="8"/>
        <v>0</v>
      </c>
      <c r="X26" s="8">
        <f t="shared" si="8"/>
        <v>0</v>
      </c>
      <c r="Y26" s="8">
        <f t="shared" si="8"/>
        <v>0</v>
      </c>
      <c r="Z26" s="8">
        <f t="shared" si="8"/>
        <v>0</v>
      </c>
      <c r="AA26" s="8">
        <f t="shared" si="8"/>
        <v>0</v>
      </c>
      <c r="AB26" s="8">
        <f t="shared" si="8"/>
        <v>0</v>
      </c>
      <c r="AC26" s="8">
        <f t="shared" si="8"/>
        <v>0</v>
      </c>
      <c r="AD26" s="8">
        <f t="shared" si="8"/>
        <v>0</v>
      </c>
      <c r="AE26" s="8">
        <f t="shared" si="8"/>
        <v>0</v>
      </c>
      <c r="AF26" s="8">
        <f t="shared" si="8"/>
        <v>0</v>
      </c>
      <c r="AG26" s="8">
        <f t="shared" si="8"/>
        <v>0</v>
      </c>
      <c r="AH26" s="8">
        <f t="shared" si="8"/>
        <v>0</v>
      </c>
      <c r="AI26" s="8">
        <f t="shared" si="8"/>
        <v>0</v>
      </c>
      <c r="AJ26" s="8">
        <f t="shared" si="8"/>
        <v>0</v>
      </c>
      <c r="AK26" s="8">
        <f t="shared" si="8"/>
        <v>0</v>
      </c>
      <c r="AL26" s="8">
        <f t="shared" si="8"/>
        <v>0</v>
      </c>
      <c r="AM26" s="8">
        <f t="shared" si="8"/>
        <v>0</v>
      </c>
      <c r="AN26" s="8">
        <f t="shared" si="8"/>
        <v>0</v>
      </c>
      <c r="AO26" s="8">
        <f t="shared" si="8"/>
        <v>0</v>
      </c>
      <c r="AP26" s="8">
        <f t="shared" si="8"/>
        <v>0</v>
      </c>
      <c r="AQ26" s="8">
        <f t="shared" si="8"/>
        <v>0</v>
      </c>
      <c r="AR26" s="8">
        <f t="shared" si="8"/>
        <v>0</v>
      </c>
      <c r="AS26" s="8">
        <f t="shared" si="8"/>
        <v>0</v>
      </c>
      <c r="AT26" s="8">
        <f t="shared" si="8"/>
        <v>0</v>
      </c>
      <c r="AU26" s="8">
        <f t="shared" si="8"/>
        <v>0</v>
      </c>
      <c r="AV26" s="8">
        <f t="shared" si="8"/>
        <v>0</v>
      </c>
      <c r="AW26" s="8">
        <f t="shared" si="8"/>
        <v>0</v>
      </c>
      <c r="AX26" s="8">
        <f t="shared" si="8"/>
        <v>0</v>
      </c>
      <c r="AY26" s="8">
        <f t="shared" si="8"/>
        <v>0</v>
      </c>
      <c r="AZ26" s="8">
        <f t="shared" si="8"/>
        <v>0</v>
      </c>
      <c r="BA26" s="8">
        <f t="shared" si="8"/>
        <v>0</v>
      </c>
      <c r="BB26" s="8">
        <f t="shared" si="8"/>
        <v>0</v>
      </c>
      <c r="BC26" s="8">
        <f t="shared" si="8"/>
        <v>0</v>
      </c>
      <c r="BD26" s="8">
        <f t="shared" si="8"/>
        <v>0</v>
      </c>
      <c r="BE26" s="8">
        <f t="shared" si="8"/>
        <v>0</v>
      </c>
      <c r="BF26" s="8">
        <f t="shared" si="8"/>
        <v>0</v>
      </c>
      <c r="BG26" s="8">
        <f t="shared" si="8"/>
        <v>0</v>
      </c>
      <c r="BH26" s="8">
        <f t="shared" si="8"/>
        <v>0</v>
      </c>
      <c r="BI26" s="8">
        <f t="shared" si="8"/>
        <v>0</v>
      </c>
      <c r="BJ26" s="8">
        <f t="shared" si="8"/>
        <v>0</v>
      </c>
      <c r="BK26" s="8">
        <f t="shared" si="8"/>
        <v>0</v>
      </c>
      <c r="BL26" s="8">
        <f t="shared" si="8"/>
        <v>0</v>
      </c>
      <c r="BM26" s="8">
        <f t="shared" si="8"/>
        <v>0</v>
      </c>
      <c r="BN26" s="8">
        <f t="shared" si="8"/>
        <v>0</v>
      </c>
      <c r="BO26" s="8">
        <f t="shared" si="8"/>
        <v>0</v>
      </c>
      <c r="BP26" s="8">
        <f t="shared" si="8"/>
        <v>0</v>
      </c>
      <c r="BQ26" s="8">
        <f t="shared" si="8"/>
        <v>0</v>
      </c>
    </row>
    <row r="27" spans="1:72" x14ac:dyDescent="0.4">
      <c r="C27" s="11" t="s">
        <v>162</v>
      </c>
      <c r="D27" t="s">
        <v>165</v>
      </c>
      <c r="F27" s="50"/>
      <c r="G27" s="8">
        <f>G15</f>
        <v>51950.12860953762</v>
      </c>
      <c r="H27" s="8">
        <f t="shared" ref="H27:BQ27" si="9">H15</f>
        <v>52825.707544699326</v>
      </c>
      <c r="I27" s="8">
        <f t="shared" si="9"/>
        <v>52971.149074829802</v>
      </c>
      <c r="J27" s="8">
        <f t="shared" si="9"/>
        <v>52392.85820761988</v>
      </c>
      <c r="K27" s="8">
        <f t="shared" si="9"/>
        <v>51096.475176378568</v>
      </c>
      <c r="L27" s="8">
        <f t="shared" si="9"/>
        <v>49086.882513781231</v>
      </c>
      <c r="M27" s="8">
        <f t="shared" si="9"/>
        <v>46368.211530973364</v>
      </c>
      <c r="N27" s="8">
        <f t="shared" si="9"/>
        <v>42943.848207973992</v>
      </c>
      <c r="O27" s="8">
        <f t="shared" si="9"/>
        <v>38816.438500911921</v>
      </c>
      <c r="P27" s="8">
        <f t="shared" si="9"/>
        <v>33987.89307122233</v>
      </c>
      <c r="Q27" s="8">
        <f t="shared" si="9"/>
        <v>34735.626718789223</v>
      </c>
      <c r="R27" s="8">
        <f t="shared" si="9"/>
        <v>35499.810506602589</v>
      </c>
      <c r="S27" s="8">
        <f t="shared" si="9"/>
        <v>36280.806337747847</v>
      </c>
      <c r="T27" s="8">
        <f t="shared" si="9"/>
        <v>37078.984077178298</v>
      </c>
      <c r="U27" s="8">
        <f t="shared" si="9"/>
        <v>37894.721726876225</v>
      </c>
      <c r="V27" s="8">
        <f t="shared" si="9"/>
        <v>38728.405604867505</v>
      </c>
      <c r="W27" s="8">
        <f t="shared" si="9"/>
        <v>39580.430528174591</v>
      </c>
      <c r="X27" s="8">
        <f t="shared" si="9"/>
        <v>40451.199999794429</v>
      </c>
      <c r="Y27" s="8">
        <f t="shared" si="9"/>
        <v>41341.126399789908</v>
      </c>
      <c r="Z27" s="8">
        <f t="shared" si="9"/>
        <v>42250.631180585289</v>
      </c>
      <c r="AA27" s="8">
        <f t="shared" si="9"/>
        <v>43180.145066558165</v>
      </c>
      <c r="AB27" s="8">
        <f t="shared" si="9"/>
        <v>44130.108258022447</v>
      </c>
      <c r="AC27" s="8">
        <f t="shared" si="9"/>
        <v>45100.970639698942</v>
      </c>
      <c r="AD27" s="8">
        <f t="shared" si="9"/>
        <v>46093.191993772321</v>
      </c>
      <c r="AE27" s="8">
        <f t="shared" si="9"/>
        <v>47107.242217635314</v>
      </c>
      <c r="AF27" s="8">
        <f t="shared" si="9"/>
        <v>48143.601546423291</v>
      </c>
      <c r="AG27" s="8">
        <f t="shared" si="9"/>
        <v>49202.760780444602</v>
      </c>
      <c r="AH27" s="8">
        <f t="shared" si="9"/>
        <v>50285.221517614387</v>
      </c>
      <c r="AI27" s="8">
        <f t="shared" si="9"/>
        <v>51391.496391001907</v>
      </c>
      <c r="AJ27" s="8">
        <f t="shared" si="9"/>
        <v>52522.109311603948</v>
      </c>
      <c r="AK27" s="8">
        <f t="shared" si="9"/>
        <v>53677.595716459233</v>
      </c>
      <c r="AL27" s="8">
        <f t="shared" si="9"/>
        <v>54858.502822221337</v>
      </c>
      <c r="AM27" s="8">
        <f t="shared" si="9"/>
        <v>56065.389884310207</v>
      </c>
      <c r="AN27" s="8">
        <f t="shared" si="9"/>
        <v>57298.828461765035</v>
      </c>
      <c r="AO27" s="8">
        <f t="shared" si="9"/>
        <v>58559.402687923866</v>
      </c>
      <c r="AP27" s="8">
        <f t="shared" si="9"/>
        <v>59847.709547058192</v>
      </c>
      <c r="AQ27" s="8">
        <f t="shared" si="9"/>
        <v>61164.359157093473</v>
      </c>
      <c r="AR27" s="8">
        <f t="shared" si="9"/>
        <v>62509.975058549528</v>
      </c>
      <c r="AS27" s="8">
        <f t="shared" si="9"/>
        <v>63885.194509837616</v>
      </c>
      <c r="AT27" s="8">
        <f t="shared" si="9"/>
        <v>65290.668789054042</v>
      </c>
      <c r="AU27" s="8">
        <f t="shared" si="9"/>
        <v>66727.063502413235</v>
      </c>
      <c r="AV27" s="8">
        <f t="shared" si="9"/>
        <v>68195.058899466327</v>
      </c>
      <c r="AW27" s="8">
        <f t="shared" si="9"/>
        <v>69695.350195254592</v>
      </c>
      <c r="AX27" s="8">
        <f t="shared" si="9"/>
        <v>71228.647899550197</v>
      </c>
      <c r="AY27" s="8">
        <f t="shared" si="9"/>
        <v>72795.678153340297</v>
      </c>
      <c r="AZ27" s="8">
        <f t="shared" si="9"/>
        <v>74397.183072713786</v>
      </c>
      <c r="BA27" s="8">
        <f t="shared" si="9"/>
        <v>76033.921100313484</v>
      </c>
      <c r="BB27" s="8">
        <f t="shared" si="9"/>
        <v>77706.667364520385</v>
      </c>
      <c r="BC27" s="8">
        <f t="shared" si="9"/>
        <v>79416.214046539841</v>
      </c>
      <c r="BD27" s="8">
        <f t="shared" si="9"/>
        <v>81163.370755563723</v>
      </c>
      <c r="BE27" s="8">
        <f t="shared" si="9"/>
        <v>82948.964912186129</v>
      </c>
      <c r="BF27" s="8">
        <f t="shared" si="9"/>
        <v>84773.84214025423</v>
      </c>
      <c r="BG27" s="8">
        <f t="shared" si="9"/>
        <v>86638.866667339826</v>
      </c>
      <c r="BH27" s="8">
        <f t="shared" si="9"/>
        <v>88544.921734021307</v>
      </c>
      <c r="BI27" s="8">
        <f t="shared" si="9"/>
        <v>90492.910012169785</v>
      </c>
      <c r="BJ27" s="8">
        <f t="shared" si="9"/>
        <v>92483.754032437515</v>
      </c>
      <c r="BK27" s="8">
        <f t="shared" si="9"/>
        <v>0</v>
      </c>
      <c r="BL27" s="8">
        <f t="shared" si="9"/>
        <v>0</v>
      </c>
      <c r="BM27" s="8">
        <f t="shared" si="9"/>
        <v>0</v>
      </c>
      <c r="BN27" s="8">
        <f t="shared" si="9"/>
        <v>0</v>
      </c>
      <c r="BO27" s="8">
        <f t="shared" si="9"/>
        <v>0</v>
      </c>
      <c r="BP27" s="8">
        <f t="shared" si="9"/>
        <v>0</v>
      </c>
      <c r="BQ27" s="8">
        <f t="shared" si="9"/>
        <v>0</v>
      </c>
    </row>
    <row r="29" spans="1:72" x14ac:dyDescent="0.4">
      <c r="C29" s="5" t="s">
        <v>150</v>
      </c>
      <c r="D29" s="5" t="s">
        <v>151</v>
      </c>
      <c r="E29" s="5" t="s">
        <v>152</v>
      </c>
      <c r="F29" s="5">
        <v>2027</v>
      </c>
      <c r="G29" s="5">
        <v>2028</v>
      </c>
      <c r="H29" s="5">
        <v>2029</v>
      </c>
      <c r="I29" s="5">
        <v>2030</v>
      </c>
      <c r="J29" s="5">
        <v>2031</v>
      </c>
      <c r="K29" s="5">
        <v>2032</v>
      </c>
      <c r="L29" s="5">
        <v>2033</v>
      </c>
      <c r="M29" s="5">
        <v>2034</v>
      </c>
      <c r="N29" s="5">
        <v>2035</v>
      </c>
      <c r="O29" s="5">
        <v>2036</v>
      </c>
      <c r="P29" s="5">
        <v>2037</v>
      </c>
      <c r="Q29" s="5">
        <v>2038</v>
      </c>
      <c r="R29" s="5">
        <v>2039</v>
      </c>
      <c r="S29" s="5">
        <v>2040</v>
      </c>
      <c r="T29" s="5">
        <v>2041</v>
      </c>
      <c r="U29" s="5">
        <v>2042</v>
      </c>
      <c r="V29" s="5">
        <v>2043</v>
      </c>
      <c r="W29" s="5">
        <v>2044</v>
      </c>
      <c r="X29" s="5">
        <v>2045</v>
      </c>
      <c r="Y29" s="5">
        <v>2046</v>
      </c>
      <c r="Z29" s="5">
        <v>2047</v>
      </c>
      <c r="AA29" s="5">
        <v>2048</v>
      </c>
      <c r="AB29" s="5">
        <v>2049</v>
      </c>
      <c r="AC29" s="5">
        <v>2050</v>
      </c>
      <c r="AD29" s="5">
        <v>2051</v>
      </c>
      <c r="AE29" s="5">
        <v>2052</v>
      </c>
      <c r="AF29" s="5">
        <v>2053</v>
      </c>
      <c r="AG29" s="5">
        <v>2054</v>
      </c>
      <c r="AH29" s="5">
        <v>2055</v>
      </c>
      <c r="AI29" s="5">
        <v>2056</v>
      </c>
      <c r="AJ29" s="5">
        <v>2057</v>
      </c>
      <c r="AK29" s="5">
        <v>2058</v>
      </c>
      <c r="AL29" s="5">
        <v>2059</v>
      </c>
      <c r="AM29" s="5">
        <v>2060</v>
      </c>
      <c r="AN29" s="5">
        <v>2061</v>
      </c>
      <c r="AO29" s="5">
        <v>2062</v>
      </c>
      <c r="AP29" s="5">
        <v>2063</v>
      </c>
      <c r="AQ29" s="5">
        <v>2064</v>
      </c>
      <c r="AR29" s="5">
        <v>2065</v>
      </c>
      <c r="AS29" s="5">
        <v>2066</v>
      </c>
      <c r="AT29" s="5">
        <v>2067</v>
      </c>
      <c r="AU29" s="5">
        <v>2068</v>
      </c>
      <c r="AV29" s="5">
        <v>2069</v>
      </c>
      <c r="AW29" s="5">
        <v>2070</v>
      </c>
      <c r="AX29" s="5">
        <v>2071</v>
      </c>
      <c r="AY29" s="5">
        <v>2072</v>
      </c>
      <c r="AZ29" s="5">
        <v>2073</v>
      </c>
      <c r="BA29" s="5">
        <v>2074</v>
      </c>
      <c r="BB29" s="5">
        <v>2075</v>
      </c>
      <c r="BC29" s="5">
        <v>2076</v>
      </c>
      <c r="BD29" s="5">
        <v>2077</v>
      </c>
      <c r="BE29" s="5">
        <v>2078</v>
      </c>
      <c r="BF29" s="5">
        <v>2079</v>
      </c>
      <c r="BG29" s="5">
        <v>2080</v>
      </c>
      <c r="BH29" s="5">
        <v>2081</v>
      </c>
      <c r="BI29" s="5">
        <v>2082</v>
      </c>
      <c r="BJ29" s="5">
        <v>2083</v>
      </c>
      <c r="BK29" s="5">
        <v>2084</v>
      </c>
      <c r="BL29" s="5">
        <v>2085</v>
      </c>
      <c r="BM29" s="5">
        <v>2086</v>
      </c>
      <c r="BN29" s="5">
        <v>2087</v>
      </c>
      <c r="BO29" s="5">
        <v>2088</v>
      </c>
      <c r="BP29" s="5">
        <v>2089</v>
      </c>
      <c r="BQ29" s="5">
        <v>2090</v>
      </c>
      <c r="BR29" s="5">
        <v>2091</v>
      </c>
      <c r="BS29" s="5">
        <v>2092</v>
      </c>
      <c r="BT29" s="5">
        <v>2093</v>
      </c>
    </row>
    <row r="30" spans="1:72" x14ac:dyDescent="0.4">
      <c r="A30" t="s">
        <v>70</v>
      </c>
      <c r="B30" t="s">
        <v>149</v>
      </c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</row>
    <row r="31" spans="1:72" x14ac:dyDescent="0.4">
      <c r="A31" t="s">
        <v>39</v>
      </c>
      <c r="B31" t="s">
        <v>15</v>
      </c>
      <c r="C31" t="s">
        <v>127</v>
      </c>
      <c r="D31" t="s">
        <v>154</v>
      </c>
      <c r="E31" t="s">
        <v>431</v>
      </c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81"/>
      <c r="BS31" s="81"/>
      <c r="BT31" s="81"/>
    </row>
    <row r="32" spans="1:72" x14ac:dyDescent="0.4">
      <c r="A32" t="s">
        <v>39</v>
      </c>
      <c r="B32" t="s">
        <v>15</v>
      </c>
      <c r="C32" t="s">
        <v>127</v>
      </c>
      <c r="D32" t="s">
        <v>155</v>
      </c>
      <c r="E32" t="s">
        <v>431</v>
      </c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81"/>
      <c r="BS32" s="81"/>
      <c r="BT32" s="81"/>
    </row>
    <row r="33" spans="1:72" x14ac:dyDescent="0.4">
      <c r="A33" t="s">
        <v>39</v>
      </c>
      <c r="B33" t="s">
        <v>15</v>
      </c>
      <c r="C33" t="s">
        <v>127</v>
      </c>
      <c r="D33" t="s">
        <v>156</v>
      </c>
      <c r="E33" t="s">
        <v>431</v>
      </c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81"/>
      <c r="BS33" s="81"/>
      <c r="BT33" s="81"/>
    </row>
    <row r="34" spans="1:72" x14ac:dyDescent="0.4">
      <c r="A34" t="s">
        <v>39</v>
      </c>
      <c r="B34" t="s">
        <v>15</v>
      </c>
      <c r="C34" t="s">
        <v>127</v>
      </c>
      <c r="D34" t="s">
        <v>157</v>
      </c>
      <c r="E34" t="s">
        <v>431</v>
      </c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81"/>
      <c r="BS34" s="81"/>
      <c r="BT34" s="81"/>
    </row>
    <row r="35" spans="1:72" x14ac:dyDescent="0.4">
      <c r="A35" t="s">
        <v>39</v>
      </c>
      <c r="B35" t="s">
        <v>15</v>
      </c>
      <c r="C35" t="s">
        <v>127</v>
      </c>
      <c r="D35" t="s">
        <v>158</v>
      </c>
      <c r="E35" t="s">
        <v>431</v>
      </c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81"/>
      <c r="BS35" s="81"/>
      <c r="BT35" s="81"/>
    </row>
    <row r="36" spans="1:72" x14ac:dyDescent="0.4">
      <c r="A36" t="s">
        <v>39</v>
      </c>
      <c r="B36" t="s">
        <v>15</v>
      </c>
      <c r="C36" t="s">
        <v>127</v>
      </c>
      <c r="D36" t="s">
        <v>159</v>
      </c>
      <c r="E36" t="s">
        <v>431</v>
      </c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81"/>
      <c r="BS36" s="81"/>
      <c r="BT36" s="81"/>
    </row>
    <row r="37" spans="1:72" x14ac:dyDescent="0.4">
      <c r="A37" t="s">
        <v>39</v>
      </c>
      <c r="B37" t="s">
        <v>15</v>
      </c>
      <c r="C37" t="s">
        <v>127</v>
      </c>
      <c r="D37" t="s">
        <v>7</v>
      </c>
      <c r="E37" t="s">
        <v>431</v>
      </c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81"/>
      <c r="BS37" s="81"/>
      <c r="BT37" s="81"/>
    </row>
    <row r="38" spans="1:72" x14ac:dyDescent="0.4">
      <c r="C38" s="216"/>
      <c r="D38" s="216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</row>
    <row r="39" spans="1:72" x14ac:dyDescent="0.4">
      <c r="A39" t="s">
        <v>39</v>
      </c>
      <c r="B39" t="s">
        <v>15</v>
      </c>
      <c r="C39" t="s">
        <v>127</v>
      </c>
      <c r="D39" t="s">
        <v>128</v>
      </c>
      <c r="E39" s="8"/>
      <c r="F39" s="8"/>
      <c r="G39" s="8">
        <f>'Rev Req''t_Baseline_OH3PH'!F27+'Rev Req''t_Baseline_OH3PH'!F44+'Rev Req''t_Baseline_OH3PH'!F61+'Rev Req''t_Baseline_OH3PH'!F78+'Rev Req''t_Baseline_OH3PH'!F95+'Rev Req''t_Baseline_OH3PH'!F112+'Rev Req''t_Baseline_OH3PH'!F129+'Rev Req''t_Baseline_OH3PH'!F146+'Rev Req''t_Baseline_OH3PH'!F163+'Rev Req''t_Baseline_OH3PH'!F180</f>
        <v>318567.89046785957</v>
      </c>
      <c r="H39" s="8">
        <f>'Rev Req''t_Baseline_OH3PH'!G27+'Rev Req''t_Baseline_OH3PH'!G44+'Rev Req''t_Baseline_OH3PH'!G61+'Rev Req''t_Baseline_OH3PH'!G78+'Rev Req''t_Baseline_OH3PH'!G95+'Rev Req''t_Baseline_OH3PH'!G112+'Rev Req''t_Baseline_OH3PH'!G129+'Rev Req''t_Baseline_OH3PH'!G146+'Rev Req''t_Baseline_OH3PH'!G163+'Rev Req''t_Baseline_OH3PH'!G180</f>
        <v>634577.54646211013</v>
      </c>
      <c r="I39" s="8">
        <f>'Rev Req''t_Baseline_OH3PH'!H27+'Rev Req''t_Baseline_OH3PH'!H44+'Rev Req''t_Baseline_OH3PH'!H61+'Rev Req''t_Baseline_OH3PH'!H78+'Rev Req''t_Baseline_OH3PH'!H95+'Rev Req''t_Baseline_OH3PH'!H112+'Rev Req''t_Baseline_OH3PH'!H129+'Rev Req''t_Baseline_OH3PH'!H146+'Rev Req''t_Baseline_OH3PH'!H163+'Rev Req''t_Baseline_OH3PH'!H180</f>
        <v>946664.28979497822</v>
      </c>
      <c r="J39" s="8">
        <f>'Rev Req''t_Baseline_OH3PH'!I27+'Rev Req''t_Baseline_OH3PH'!I44+'Rev Req''t_Baseline_OH3PH'!I61+'Rev Req''t_Baseline_OH3PH'!I78+'Rev Req''t_Baseline_OH3PH'!I95+'Rev Req''t_Baseline_OH3PH'!I112+'Rev Req''t_Baseline_OH3PH'!I129+'Rev Req''t_Baseline_OH3PH'!I146+'Rev Req''t_Baseline_OH3PH'!I163+'Rev Req''t_Baseline_OH3PH'!I180</f>
        <v>1255207.6003662481</v>
      </c>
      <c r="K39" s="8">
        <f>'Rev Req''t_Baseline_OH3PH'!J27+'Rev Req''t_Baseline_OH3PH'!J44+'Rev Req''t_Baseline_OH3PH'!J61+'Rev Req''t_Baseline_OH3PH'!J78+'Rev Req''t_Baseline_OH3PH'!J95+'Rev Req''t_Baseline_OH3PH'!J112+'Rev Req''t_Baseline_OH3PH'!J129+'Rev Req''t_Baseline_OH3PH'!J146+'Rev Req''t_Baseline_OH3PH'!J163+'Rev Req''t_Baseline_OH3PH'!J180</f>
        <v>1560560.4398865621</v>
      </c>
      <c r="L39" s="8">
        <f>'Rev Req''t_Baseline_OH3PH'!K27+'Rev Req''t_Baseline_OH3PH'!K44+'Rev Req''t_Baseline_OH3PH'!K61+'Rev Req''t_Baseline_OH3PH'!K78+'Rev Req''t_Baseline_OH3PH'!K95+'Rev Req''t_Baseline_OH3PH'!K112+'Rev Req''t_Baseline_OH3PH'!K129+'Rev Req''t_Baseline_OH3PH'!K146+'Rev Req''t_Baseline_OH3PH'!K163+'Rev Req''t_Baseline_OH3PH'!K180</f>
        <v>1863051.3505347127</v>
      </c>
      <c r="M39" s="8">
        <f>'Rev Req''t_Baseline_OH3PH'!L27+'Rev Req''t_Baseline_OH3PH'!L44+'Rev Req''t_Baseline_OH3PH'!L61+'Rev Req''t_Baseline_OH3PH'!L78+'Rev Req''t_Baseline_OH3PH'!L95+'Rev Req''t_Baseline_OH3PH'!L112+'Rev Req''t_Baseline_OH3PH'!L129+'Rev Req''t_Baseline_OH3PH'!L146+'Rev Req''t_Baseline_OH3PH'!L163+'Rev Req''t_Baseline_OH3PH'!L180</f>
        <v>2162986.1527758264</v>
      </c>
      <c r="N39" s="8">
        <f>'Rev Req''t_Baseline_OH3PH'!M27+'Rev Req''t_Baseline_OH3PH'!M44+'Rev Req''t_Baseline_OH3PH'!M61+'Rev Req''t_Baseline_OH3PH'!M78+'Rev Req''t_Baseline_OH3PH'!M95+'Rev Req''t_Baseline_OH3PH'!M112+'Rev Req''t_Baseline_OH3PH'!M129+'Rev Req''t_Baseline_OH3PH'!M146+'Rev Req''t_Baseline_OH3PH'!M163+'Rev Req''t_Baseline_OH3PH'!M180</f>
        <v>2460649.6805315409</v>
      </c>
      <c r="O39" s="8">
        <f>'Rev Req''t_Baseline_OH3PH'!N27+'Rev Req''t_Baseline_OH3PH'!N44+'Rev Req''t_Baseline_OH3PH'!N61+'Rev Req''t_Baseline_OH3PH'!N78+'Rev Req''t_Baseline_OH3PH'!N95+'Rev Req''t_Baseline_OH3PH'!N112+'Rev Req''t_Baseline_OH3PH'!N129+'Rev Req''t_Baseline_OH3PH'!N146+'Rev Req''t_Baseline_OH3PH'!N163+'Rev Req''t_Baseline_OH3PH'!N180</f>
        <v>2756182.3918426125</v>
      </c>
      <c r="P39" s="8">
        <f>'Rev Req''t_Baseline_OH3PH'!O27+'Rev Req''t_Baseline_OH3PH'!O44+'Rev Req''t_Baseline_OH3PH'!O61+'Rev Req''t_Baseline_OH3PH'!O78+'Rev Req''t_Baseline_OH3PH'!O95+'Rev Req''t_Baseline_OH3PH'!O112+'Rev Req''t_Baseline_OH3PH'!O129+'Rev Req''t_Baseline_OH3PH'!O146+'Rev Req''t_Baseline_OH3PH'!O163+'Rev Req''t_Baseline_OH3PH'!O180</f>
        <v>3049564.6763314023</v>
      </c>
      <c r="Q39" s="8">
        <f>'Rev Req''t_Baseline_OH3PH'!P27+'Rev Req''t_Baseline_OH3PH'!P44+'Rev Req''t_Baseline_OH3PH'!P61+'Rev Req''t_Baseline_OH3PH'!P78+'Rev Req''t_Baseline_OH3PH'!P95+'Rev Req''t_Baseline_OH3PH'!P112+'Rev Req''t_Baseline_OH3PH'!P129+'Rev Req''t_Baseline_OH3PH'!P146+'Rev Req''t_Baseline_OH3PH'!P163+'Rev Req''t_Baseline_OH3PH'!P180</f>
        <v>2944734.843312413</v>
      </c>
      <c r="R39" s="8">
        <f>'Rev Req''t_Baseline_OH3PH'!Q27+'Rev Req''t_Baseline_OH3PH'!Q44+'Rev Req''t_Baseline_OH3PH'!Q61+'Rev Req''t_Baseline_OH3PH'!Q78+'Rev Req''t_Baseline_OH3PH'!Q95+'Rev Req''t_Baseline_OH3PH'!Q112+'Rev Req''t_Baseline_OH3PH'!Q129+'Rev Req''t_Baseline_OH3PH'!Q146+'Rev Req''t_Baseline_OH3PH'!Q163+'Rev Req''t_Baseline_OH3PH'!Q180</f>
        <v>2840839.0863319724</v>
      </c>
      <c r="S39" s="8">
        <f>'Rev Req''t_Baseline_OH3PH'!R27+'Rev Req''t_Baseline_OH3PH'!R44+'Rev Req''t_Baseline_OH3PH'!R61+'Rev Req''t_Baseline_OH3PH'!R78+'Rev Req''t_Baseline_OH3PH'!R95+'Rev Req''t_Baseline_OH3PH'!R112+'Rev Req''t_Baseline_OH3PH'!R129+'Rev Req''t_Baseline_OH3PH'!R146+'Rev Req''t_Baseline_OH3PH'!R163+'Rev Req''t_Baseline_OH3PH'!R180</f>
        <v>2739524.4342391826</v>
      </c>
      <c r="T39" s="8">
        <f>'Rev Req''t_Baseline_OH3PH'!S27+'Rev Req''t_Baseline_OH3PH'!S44+'Rev Req''t_Baseline_OH3PH'!S61+'Rev Req''t_Baseline_OH3PH'!S78+'Rev Req''t_Baseline_OH3PH'!S95+'Rev Req''t_Baseline_OH3PH'!S112+'Rev Req''t_Baseline_OH3PH'!S129+'Rev Req''t_Baseline_OH3PH'!S146+'Rev Req''t_Baseline_OH3PH'!S163+'Rev Req''t_Baseline_OH3PH'!S180</f>
        <v>2640268.6514229998</v>
      </c>
      <c r="U39" s="8">
        <f>'Rev Req''t_Baseline_OH3PH'!T27+'Rev Req''t_Baseline_OH3PH'!T44+'Rev Req''t_Baseline_OH3PH'!T61+'Rev Req''t_Baseline_OH3PH'!T78+'Rev Req''t_Baseline_OH3PH'!T95+'Rev Req''t_Baseline_OH3PH'!T112+'Rev Req''t_Baseline_OH3PH'!T129+'Rev Req''t_Baseline_OH3PH'!T146+'Rev Req''t_Baseline_OH3PH'!T163+'Rev Req''t_Baseline_OH3PH'!T180</f>
        <v>2542581.3562306375</v>
      </c>
      <c r="V39" s="8">
        <f>'Rev Req''t_Baseline_OH3PH'!U27+'Rev Req''t_Baseline_OH3PH'!U44+'Rev Req''t_Baseline_OH3PH'!U61+'Rev Req''t_Baseline_OH3PH'!U78+'Rev Req''t_Baseline_OH3PH'!U95+'Rev Req''t_Baseline_OH3PH'!U112+'Rev Req''t_Baseline_OH3PH'!U129+'Rev Req''t_Baseline_OH3PH'!U146+'Rev Req''t_Baseline_OH3PH'!U163+'Rev Req''t_Baseline_OH3PH'!U180</f>
        <v>2446001.3876668219</v>
      </c>
      <c r="W39" s="8">
        <f>'Rev Req''t_Baseline_OH3PH'!V27+'Rev Req''t_Baseline_OH3PH'!V44+'Rev Req''t_Baseline_OH3PH'!V61+'Rev Req''t_Baseline_OH3PH'!V78+'Rev Req''t_Baseline_OH3PH'!V95+'Rev Req''t_Baseline_OH3PH'!V112+'Rev Req''t_Baseline_OH3PH'!V129+'Rev Req''t_Baseline_OH3PH'!V146+'Rev Req''t_Baseline_OH3PH'!V163+'Rev Req''t_Baseline_OH3PH'!V180</f>
        <v>2350094.6698417366</v>
      </c>
      <c r="X39" s="8">
        <f>'Rev Req''t_Baseline_OH3PH'!W27+'Rev Req''t_Baseline_OH3PH'!W44+'Rev Req''t_Baseline_OH3PH'!W61+'Rev Req''t_Baseline_OH3PH'!W78+'Rev Req''t_Baseline_OH3PH'!W95+'Rev Req''t_Baseline_OH3PH'!W112+'Rev Req''t_Baseline_OH3PH'!W129+'Rev Req''t_Baseline_OH3PH'!W146+'Rev Req''t_Baseline_OH3PH'!W163+'Rev Req''t_Baseline_OH3PH'!W180</f>
        <v>2254452.0294368262</v>
      </c>
      <c r="Y39" s="8">
        <f>'Rev Req''t_Baseline_OH3PH'!X27+'Rev Req''t_Baseline_OH3PH'!X44+'Rev Req''t_Baseline_OH3PH'!X61+'Rev Req''t_Baseline_OH3PH'!X78+'Rev Req''t_Baseline_OH3PH'!X95+'Rev Req''t_Baseline_OH3PH'!X112+'Rev Req''t_Baseline_OH3PH'!X129+'Rev Req''t_Baseline_OH3PH'!X146+'Rev Req''t_Baseline_OH3PH'!X163+'Rev Req''t_Baseline_OH3PH'!X180</f>
        <v>2158842.5559199136</v>
      </c>
      <c r="Z39" s="8">
        <f>'Rev Req''t_Baseline_OH3PH'!Y27+'Rev Req''t_Baseline_OH3PH'!Y44+'Rev Req''t_Baseline_OH3PH'!Y61+'Rev Req''t_Baseline_OH3PH'!Y78+'Rev Req''t_Baseline_OH3PH'!Y95+'Rev Req''t_Baseline_OH3PH'!Y112+'Rev Req''t_Baseline_OH3PH'!Y129+'Rev Req''t_Baseline_OH3PH'!Y146+'Rev Req''t_Baseline_OH3PH'!Y163+'Rev Req''t_Baseline_OH3PH'!Y180</f>
        <v>2063233.0824030004</v>
      </c>
      <c r="AA39" s="8">
        <f>'Rev Req''t_Baseline_OH3PH'!Z27+'Rev Req''t_Baseline_OH3PH'!Z44+'Rev Req''t_Baseline_OH3PH'!Z61+'Rev Req''t_Baseline_OH3PH'!Z78+'Rev Req''t_Baseline_OH3PH'!Z95+'Rev Req''t_Baseline_OH3PH'!Z112+'Rev Req''t_Baseline_OH3PH'!Z129+'Rev Req''t_Baseline_OH3PH'!Z146+'Rev Req''t_Baseline_OH3PH'!Z163+'Rev Req''t_Baseline_OH3PH'!Z180</f>
        <v>1968620.8872504497</v>
      </c>
      <c r="AB39" s="8">
        <f>'Rev Req''t_Baseline_OH3PH'!AA27+'Rev Req''t_Baseline_OH3PH'!AA44+'Rev Req''t_Baseline_OH3PH'!AA61+'Rev Req''t_Baseline_OH3PH'!AA78+'Rev Req''t_Baseline_OH3PH'!AA95+'Rev Req''t_Baseline_OH3PH'!AA112+'Rev Req''t_Baseline_OH3PH'!AA129+'Rev Req''t_Baseline_OH3PH'!AA146+'Rev Req''t_Baseline_OH3PH'!AA163+'Rev Req''t_Baseline_OH3PH'!AA180</f>
        <v>1877022.0203054268</v>
      </c>
      <c r="AC39" s="8">
        <f>'Rev Req''t_Baseline_OH3PH'!AB27+'Rev Req''t_Baseline_OH3PH'!AB44+'Rev Req''t_Baseline_OH3PH'!AB61+'Rev Req''t_Baseline_OH3PH'!AB78+'Rev Req''t_Baseline_OH3PH'!AB95+'Rev Req''t_Baseline_OH3PH'!AB112+'Rev Req''t_Baseline_OH3PH'!AB129+'Rev Req''t_Baseline_OH3PH'!AB146+'Rev Req''t_Baseline_OH3PH'!AB163+'Rev Req''t_Baseline_OH3PH'!AB180</f>
        <v>1789500.0531528599</v>
      </c>
      <c r="AD39" s="8">
        <f>'Rev Req''t_Baseline_OH3PH'!AC27+'Rev Req''t_Baseline_OH3PH'!AC44+'Rev Req''t_Baseline_OH3PH'!AC61+'Rev Req''t_Baseline_OH3PH'!AC78+'Rev Req''t_Baseline_OH3PH'!AC95+'Rev Req''t_Baseline_OH3PH'!AC112+'Rev Req''t_Baseline_OH3PH'!AC129+'Rev Req''t_Baseline_OH3PH'!AC146+'Rev Req''t_Baseline_OH3PH'!AC163+'Rev Req''t_Baseline_OH3PH'!AC180</f>
        <v>1706144.6775881834</v>
      </c>
      <c r="AE39" s="8">
        <f>'Rev Req''t_Baseline_OH3PH'!AD27+'Rev Req''t_Baseline_OH3PH'!AD44+'Rev Req''t_Baseline_OH3PH'!AD61+'Rev Req''t_Baseline_OH3PH'!AD78+'Rev Req''t_Baseline_OH3PH'!AD95+'Rev Req''t_Baseline_OH3PH'!AD112+'Rev Req''t_Baseline_OH3PH'!AD129+'Rev Req''t_Baseline_OH3PH'!AD146+'Rev Req''t_Baseline_OH3PH'!AD163+'Rev Req''t_Baseline_OH3PH'!AD180</f>
        <v>1627047.55862633</v>
      </c>
      <c r="AF39" s="8">
        <f>'Rev Req''t_Baseline_OH3PH'!AE27+'Rev Req''t_Baseline_OH3PH'!AE44+'Rev Req''t_Baseline_OH3PH'!AE61+'Rev Req''t_Baseline_OH3PH'!AE78+'Rev Req''t_Baseline_OH3PH'!AE95+'Rev Req''t_Baseline_OH3PH'!AE112+'Rev Req''t_Baseline_OH3PH'!AE129+'Rev Req''t_Baseline_OH3PH'!AE146+'Rev Req''t_Baseline_OH3PH'!AE163+'Rev Req''t_Baseline_OH3PH'!AE180</f>
        <v>1552302.3779125623</v>
      </c>
      <c r="AG39" s="8">
        <f>'Rev Req''t_Baseline_OH3PH'!AF27+'Rev Req''t_Baseline_OH3PH'!AF44+'Rev Req''t_Baseline_OH3PH'!AF61+'Rev Req''t_Baseline_OH3PH'!AF78+'Rev Req''t_Baseline_OH3PH'!AF95+'Rev Req''t_Baseline_OH3PH'!AF112+'Rev Req''t_Baseline_OH3PH'!AF129+'Rev Req''t_Baseline_OH3PH'!AF146+'Rev Req''t_Baseline_OH3PH'!AF163+'Rev Req''t_Baseline_OH3PH'!AF180</f>
        <v>1482004.8780883385</v>
      </c>
      <c r="AH39" s="8">
        <f>'Rev Req''t_Baseline_OH3PH'!AG27+'Rev Req''t_Baseline_OH3PH'!AG44+'Rev Req''t_Baseline_OH3PH'!AG61+'Rev Req''t_Baseline_OH3PH'!AG78+'Rev Req''t_Baseline_OH3PH'!AG95+'Rev Req''t_Baseline_OH3PH'!AG112+'Rev Req''t_Baseline_OH3PH'!AG129+'Rev Req''t_Baseline_OH3PH'!AG146+'Rev Req''t_Baseline_OH3PH'!AG163+'Rev Req''t_Baseline_OH3PH'!AG180</f>
        <v>1416252.9081332288</v>
      </c>
      <c r="AI39" s="8">
        <f>'Rev Req''t_Baseline_OH3PH'!AH27+'Rev Req''t_Baseline_OH3PH'!AH44+'Rev Req''t_Baseline_OH3PH'!AH61+'Rev Req''t_Baseline_OH3PH'!AH78+'Rev Req''t_Baseline_OH3PH'!AH95+'Rev Req''t_Baseline_OH3PH'!AH112+'Rev Req''t_Baseline_OH3PH'!AH129+'Rev Req''t_Baseline_OH3PH'!AH146+'Rev Req''t_Baseline_OH3PH'!AH163+'Rev Req''t_Baseline_OH3PH'!AH180</f>
        <v>1355146.4697043521</v>
      </c>
      <c r="AJ39" s="8">
        <f>'Rev Req''t_Baseline_OH3PH'!AI27+'Rev Req''t_Baseline_OH3PH'!AI44+'Rev Req''t_Baseline_OH3PH'!AI61+'Rev Req''t_Baseline_OH3PH'!AI78+'Rev Req''t_Baseline_OH3PH'!AI95+'Rev Req''t_Baseline_OH3PH'!AI112+'Rev Req''t_Baseline_OH3PH'!AI129+'Rev Req''t_Baseline_OH3PH'!AI146+'Rev Req''t_Baseline_OH3PH'!AI163+'Rev Req''t_Baseline_OH3PH'!AI180</f>
        <v>1298787.7644952871</v>
      </c>
      <c r="AK39" s="8">
        <f>'Rev Req''t_Baseline_OH3PH'!AJ27+'Rev Req''t_Baseline_OH3PH'!AJ44+'Rev Req''t_Baseline_OH3PH'!AJ61+'Rev Req''t_Baseline_OH3PH'!AJ78+'Rev Req''t_Baseline_OH3PH'!AJ95+'Rev Req''t_Baseline_OH3PH'!AJ112+'Rev Req''t_Baseline_OH3PH'!AJ129+'Rev Req''t_Baseline_OH3PH'!AJ146+'Rev Req''t_Baseline_OH3PH'!AJ163+'Rev Req''t_Baseline_OH3PH'!AJ180</f>
        <v>1246041.517648069</v>
      </c>
      <c r="AL39" s="8">
        <f>'Rev Req''t_Baseline_OH3PH'!AK27+'Rev Req''t_Baseline_OH3PH'!AK44+'Rev Req''t_Baseline_OH3PH'!AK61+'Rev Req''t_Baseline_OH3PH'!AK78+'Rev Req''t_Baseline_OH3PH'!AK95+'Rev Req''t_Baseline_OH3PH'!AK112+'Rev Req''t_Baseline_OH3PH'!AK129+'Rev Req''t_Baseline_OH3PH'!AK146+'Rev Req''t_Baseline_OH3PH'!AK163+'Rev Req''t_Baseline_OH3PH'!AK180</f>
        <v>1194508.3089503618</v>
      </c>
      <c r="AM39" s="8">
        <f>'Rev Req''t_Baseline_OH3PH'!AL27+'Rev Req''t_Baseline_OH3PH'!AL44+'Rev Req''t_Baseline_OH3PH'!AL61+'Rev Req''t_Baseline_OH3PH'!AL78+'Rev Req''t_Baseline_OH3PH'!AL95+'Rev Req''t_Baseline_OH3PH'!AL112+'Rev Req''t_Baseline_OH3PH'!AL129+'Rev Req''t_Baseline_OH3PH'!AL146+'Rev Req''t_Baseline_OH3PH'!AL163+'Rev Req''t_Baseline_OH3PH'!AL180</f>
        <v>1142975.1002526546</v>
      </c>
      <c r="AN39" s="8">
        <f>'Rev Req''t_Baseline_OH3PH'!AM27+'Rev Req''t_Baseline_OH3PH'!AM44+'Rev Req''t_Baseline_OH3PH'!AM61+'Rev Req''t_Baseline_OH3PH'!AM78+'Rev Req''t_Baseline_OH3PH'!AM95+'Rev Req''t_Baseline_OH3PH'!AM112+'Rev Req''t_Baseline_OH3PH'!AM129+'Rev Req''t_Baseline_OH3PH'!AM146+'Rev Req''t_Baseline_OH3PH'!AM163+'Rev Req''t_Baseline_OH3PH'!AM180</f>
        <v>1091441.8915549475</v>
      </c>
      <c r="AO39" s="8">
        <f>'Rev Req''t_Baseline_OH3PH'!AN27+'Rev Req''t_Baseline_OH3PH'!AN44+'Rev Req''t_Baseline_OH3PH'!AN61+'Rev Req''t_Baseline_OH3PH'!AN78+'Rev Req''t_Baseline_OH3PH'!AN95+'Rev Req''t_Baseline_OH3PH'!AN112+'Rev Req''t_Baseline_OH3PH'!AN129+'Rev Req''t_Baseline_OH3PH'!AN146+'Rev Req''t_Baseline_OH3PH'!AN163+'Rev Req''t_Baseline_OH3PH'!AN180</f>
        <v>1039908.6828572401</v>
      </c>
      <c r="AP39" s="8">
        <f>'Rev Req''t_Baseline_OH3PH'!AO27+'Rev Req''t_Baseline_OH3PH'!AO44+'Rev Req''t_Baseline_OH3PH'!AO61+'Rev Req''t_Baseline_OH3PH'!AO78+'Rev Req''t_Baseline_OH3PH'!AO95+'Rev Req''t_Baseline_OH3PH'!AO112+'Rev Req''t_Baseline_OH3PH'!AO129+'Rev Req''t_Baseline_OH3PH'!AO146+'Rev Req''t_Baseline_OH3PH'!AO163+'Rev Req''t_Baseline_OH3PH'!AO180</f>
        <v>988375.47415953304</v>
      </c>
      <c r="AQ39" s="8">
        <f>'Rev Req''t_Baseline_OH3PH'!AP27+'Rev Req''t_Baseline_OH3PH'!AP44+'Rev Req''t_Baseline_OH3PH'!AP61+'Rev Req''t_Baseline_OH3PH'!AP78+'Rev Req''t_Baseline_OH3PH'!AP95+'Rev Req''t_Baseline_OH3PH'!AP112+'Rev Req''t_Baseline_OH3PH'!AP129+'Rev Req''t_Baseline_OH3PH'!AP146+'Rev Req''t_Baseline_OH3PH'!AP163+'Rev Req''t_Baseline_OH3PH'!AP180</f>
        <v>936842.26546182577</v>
      </c>
      <c r="AR39" s="8">
        <f>'Rev Req''t_Baseline_OH3PH'!AQ27+'Rev Req''t_Baseline_OH3PH'!AQ44+'Rev Req''t_Baseline_OH3PH'!AQ61+'Rev Req''t_Baseline_OH3PH'!AQ78+'Rev Req''t_Baseline_OH3PH'!AQ95+'Rev Req''t_Baseline_OH3PH'!AQ112+'Rev Req''t_Baseline_OH3PH'!AQ129+'Rev Req''t_Baseline_OH3PH'!AQ146+'Rev Req''t_Baseline_OH3PH'!AQ163+'Rev Req''t_Baseline_OH3PH'!AQ180</f>
        <v>885309.05676411849</v>
      </c>
      <c r="AS39" s="8">
        <f>'Rev Req''t_Baseline_OH3PH'!AR27+'Rev Req''t_Baseline_OH3PH'!AR44+'Rev Req''t_Baseline_OH3PH'!AR61+'Rev Req''t_Baseline_OH3PH'!AR78+'Rev Req''t_Baseline_OH3PH'!AR95+'Rev Req''t_Baseline_OH3PH'!AR112+'Rev Req''t_Baseline_OH3PH'!AR129+'Rev Req''t_Baseline_OH3PH'!AR146+'Rev Req''t_Baseline_OH3PH'!AR163+'Rev Req''t_Baseline_OH3PH'!AR180</f>
        <v>833775.84806641121</v>
      </c>
      <c r="AT39" s="8">
        <f>'Rev Req''t_Baseline_OH3PH'!AS27+'Rev Req''t_Baseline_OH3PH'!AS44+'Rev Req''t_Baseline_OH3PH'!AS61+'Rev Req''t_Baseline_OH3PH'!AS78+'Rev Req''t_Baseline_OH3PH'!AS95+'Rev Req''t_Baseline_OH3PH'!AS112+'Rev Req''t_Baseline_OH3PH'!AS129+'Rev Req''t_Baseline_OH3PH'!AS146+'Rev Req''t_Baseline_OH3PH'!AS163+'Rev Req''t_Baseline_OH3PH'!AS180</f>
        <v>782242.63936870429</v>
      </c>
      <c r="AU39" s="8">
        <f>'Rev Req''t_Baseline_OH3PH'!AT27+'Rev Req''t_Baseline_OH3PH'!AT44+'Rev Req''t_Baseline_OH3PH'!AT61+'Rev Req''t_Baseline_OH3PH'!AT78+'Rev Req''t_Baseline_OH3PH'!AT95+'Rev Req''t_Baseline_OH3PH'!AT112+'Rev Req''t_Baseline_OH3PH'!AT129+'Rev Req''t_Baseline_OH3PH'!AT146+'Rev Req''t_Baseline_OH3PH'!AT163+'Rev Req''t_Baseline_OH3PH'!AT180</f>
        <v>730709.43067099701</v>
      </c>
      <c r="AV39" s="8">
        <f>'Rev Req''t_Baseline_OH3PH'!AU27+'Rev Req''t_Baseline_OH3PH'!AU44+'Rev Req''t_Baseline_OH3PH'!AU61+'Rev Req''t_Baseline_OH3PH'!AU78+'Rev Req''t_Baseline_OH3PH'!AU95+'Rev Req''t_Baseline_OH3PH'!AU112+'Rev Req''t_Baseline_OH3PH'!AU129+'Rev Req''t_Baseline_OH3PH'!AU146+'Rev Req''t_Baseline_OH3PH'!AU163+'Rev Req''t_Baseline_OH3PH'!AU180</f>
        <v>679176.22197328985</v>
      </c>
      <c r="AW39" s="8">
        <f>'Rev Req''t_Baseline_OH3PH'!AV27+'Rev Req''t_Baseline_OH3PH'!AV44+'Rev Req''t_Baseline_OH3PH'!AV61+'Rev Req''t_Baseline_OH3PH'!AV78+'Rev Req''t_Baseline_OH3PH'!AV95+'Rev Req''t_Baseline_OH3PH'!AV112+'Rev Req''t_Baseline_OH3PH'!AV129+'Rev Req''t_Baseline_OH3PH'!AV146+'Rev Req''t_Baseline_OH3PH'!AV163+'Rev Req''t_Baseline_OH3PH'!AV180</f>
        <v>627643.01327558258</v>
      </c>
      <c r="AX39" s="8">
        <f>'Rev Req''t_Baseline_OH3PH'!AW27+'Rev Req''t_Baseline_OH3PH'!AW44+'Rev Req''t_Baseline_OH3PH'!AW61+'Rev Req''t_Baseline_OH3PH'!AW78+'Rev Req''t_Baseline_OH3PH'!AW95+'Rev Req''t_Baseline_OH3PH'!AW112+'Rev Req''t_Baseline_OH3PH'!AW129+'Rev Req''t_Baseline_OH3PH'!AW146+'Rev Req''t_Baseline_OH3PH'!AW163+'Rev Req''t_Baseline_OH3PH'!AW180</f>
        <v>576109.80457787542</v>
      </c>
      <c r="AY39" s="8">
        <f>'Rev Req''t_Baseline_OH3PH'!AX27+'Rev Req''t_Baseline_OH3PH'!AX44+'Rev Req''t_Baseline_OH3PH'!AX61+'Rev Req''t_Baseline_OH3PH'!AX78+'Rev Req''t_Baseline_OH3PH'!AX95+'Rev Req''t_Baseline_OH3PH'!AX112+'Rev Req''t_Baseline_OH3PH'!AX129+'Rev Req''t_Baseline_OH3PH'!AX146+'Rev Req''t_Baseline_OH3PH'!AX163+'Rev Req''t_Baseline_OH3PH'!AX180</f>
        <v>524576.59588016826</v>
      </c>
      <c r="AZ39" s="8">
        <f>'Rev Req''t_Baseline_OH3PH'!AY27+'Rev Req''t_Baseline_OH3PH'!AY44+'Rev Req''t_Baseline_OH3PH'!AY61+'Rev Req''t_Baseline_OH3PH'!AY78+'Rev Req''t_Baseline_OH3PH'!AY95+'Rev Req''t_Baseline_OH3PH'!AY112+'Rev Req''t_Baseline_OH3PH'!AY129+'Rev Req''t_Baseline_OH3PH'!AY146+'Rev Req''t_Baseline_OH3PH'!AY163+'Rev Req''t_Baseline_OH3PH'!AY180</f>
        <v>473043.38718246098</v>
      </c>
      <c r="BA39" s="8">
        <f>'Rev Req''t_Baseline_OH3PH'!AZ27+'Rev Req''t_Baseline_OH3PH'!AZ44+'Rev Req''t_Baseline_OH3PH'!AZ61+'Rev Req''t_Baseline_OH3PH'!AZ78+'Rev Req''t_Baseline_OH3PH'!AZ95+'Rev Req''t_Baseline_OH3PH'!AZ112+'Rev Req''t_Baseline_OH3PH'!AZ129+'Rev Req''t_Baseline_OH3PH'!AZ146+'Rev Req''t_Baseline_OH3PH'!AZ163+'Rev Req''t_Baseline_OH3PH'!AZ180</f>
        <v>421510.17848475382</v>
      </c>
      <c r="BB39" s="8">
        <f>'Rev Req''t_Baseline_OH3PH'!BA27+'Rev Req''t_Baseline_OH3PH'!BA44+'Rev Req''t_Baseline_OH3PH'!BA61+'Rev Req''t_Baseline_OH3PH'!BA78+'Rev Req''t_Baseline_OH3PH'!BA95+'Rev Req''t_Baseline_OH3PH'!BA112+'Rev Req''t_Baseline_OH3PH'!BA129+'Rev Req''t_Baseline_OH3PH'!BA146+'Rev Req''t_Baseline_OH3PH'!BA163+'Rev Req''t_Baseline_OH3PH'!BA180</f>
        <v>369976.96978704666</v>
      </c>
      <c r="BC39" s="8">
        <f>'Rev Req''t_Baseline_OH3PH'!BB27+'Rev Req''t_Baseline_OH3PH'!BB44+'Rev Req''t_Baseline_OH3PH'!BB61+'Rev Req''t_Baseline_OH3PH'!BB78+'Rev Req''t_Baseline_OH3PH'!BB95+'Rev Req''t_Baseline_OH3PH'!BB112+'Rev Req''t_Baseline_OH3PH'!BB129+'Rev Req''t_Baseline_OH3PH'!BB146+'Rev Req''t_Baseline_OH3PH'!BB163+'Rev Req''t_Baseline_OH3PH'!BB180</f>
        <v>318443.76108933944</v>
      </c>
      <c r="BD39" s="8">
        <f>'Rev Req''t_Baseline_OH3PH'!BC27+'Rev Req''t_Baseline_OH3PH'!BC44+'Rev Req''t_Baseline_OH3PH'!BC61+'Rev Req''t_Baseline_OH3PH'!BC78+'Rev Req''t_Baseline_OH3PH'!BC95+'Rev Req''t_Baseline_OH3PH'!BC112+'Rev Req''t_Baseline_OH3PH'!BC129+'Rev Req''t_Baseline_OH3PH'!BC146+'Rev Req''t_Baseline_OH3PH'!BC163+'Rev Req''t_Baseline_OH3PH'!BC180</f>
        <v>266910.55239163223</v>
      </c>
      <c r="BE39" s="8">
        <f>'Rev Req''t_Baseline_OH3PH'!BD27+'Rev Req''t_Baseline_OH3PH'!BD44+'Rev Req''t_Baseline_OH3PH'!BD61+'Rev Req''t_Baseline_OH3PH'!BD78+'Rev Req''t_Baseline_OH3PH'!BD95+'Rev Req''t_Baseline_OH3PH'!BD112+'Rev Req''t_Baseline_OH3PH'!BD129+'Rev Req''t_Baseline_OH3PH'!BD146+'Rev Req''t_Baseline_OH3PH'!BD163+'Rev Req''t_Baseline_OH3PH'!BD180</f>
        <v>217709.08370555006</v>
      </c>
      <c r="BF39" s="8">
        <f>'Rev Req''t_Baseline_OH3PH'!BE27+'Rev Req''t_Baseline_OH3PH'!BE44+'Rev Req''t_Baseline_OH3PH'!BE61+'Rev Req''t_Baseline_OH3PH'!BE78+'Rev Req''t_Baseline_OH3PH'!BE95+'Rev Req''t_Baseline_OH3PH'!BE112+'Rev Req''t_Baseline_OH3PH'!BE129+'Rev Req''t_Baseline_OH3PH'!BE146+'Rev Req''t_Baseline_OH3PH'!BE163+'Rev Req''t_Baseline_OH3PH'!BE180</f>
        <v>173222.39332297392</v>
      </c>
      <c r="BG39" s="8">
        <f>'Rev Req''t_Baseline_OH3PH'!BF27+'Rev Req''t_Baseline_OH3PH'!BF44+'Rev Req''t_Baseline_OH3PH'!BF61+'Rev Req''t_Baseline_OH3PH'!BF78+'Rev Req''t_Baseline_OH3PH'!BF95+'Rev Req''t_Baseline_OH3PH'!BF112+'Rev Req''t_Baseline_OH3PH'!BF129+'Rev Req''t_Baseline_OH3PH'!BF146+'Rev Req''t_Baseline_OH3PH'!BF163+'Rev Req''t_Baseline_OH3PH'!BF180</f>
        <v>133554.20636658071</v>
      </c>
      <c r="BH39" s="8">
        <f>'Rev Req''t_Baseline_OH3PH'!BG27+'Rev Req''t_Baseline_OH3PH'!BG44+'Rev Req''t_Baseline_OH3PH'!BG61+'Rev Req''t_Baseline_OH3PH'!BG78+'Rev Req''t_Baseline_OH3PH'!BG95+'Rev Req''t_Baseline_OH3PH'!BG112+'Rev Req''t_Baseline_OH3PH'!BG129+'Rev Req''t_Baseline_OH3PH'!BG146+'Rev Req''t_Baseline_OH3PH'!BG163+'Rev Req''t_Baseline_OH3PH'!BG180</f>
        <v>98810.529911746737</v>
      </c>
      <c r="BI39" s="8">
        <f>'Rev Req''t_Baseline_OH3PH'!BH27+'Rev Req''t_Baseline_OH3PH'!BH44+'Rev Req''t_Baseline_OH3PH'!BH61+'Rev Req''t_Baseline_OH3PH'!BH78+'Rev Req''t_Baseline_OH3PH'!BH95+'Rev Req''t_Baseline_OH3PH'!BH112+'Rev Req''t_Baseline_OH3PH'!BH129+'Rev Req''t_Baseline_OH3PH'!BH146+'Rev Req''t_Baseline_OH3PH'!BH163+'Rev Req''t_Baseline_OH3PH'!BH180</f>
        <v>69099.703189506312</v>
      </c>
      <c r="BJ39" s="8">
        <f>'Rev Req''t_Baseline_OH3PH'!BI27+'Rev Req''t_Baseline_OH3PH'!BI44+'Rev Req''t_Baseline_OH3PH'!BI61+'Rev Req''t_Baseline_OH3PH'!BI78+'Rev Req''t_Baseline_OH3PH'!BI95+'Rev Req''t_Baseline_OH3PH'!BI112+'Rev Req''t_Baseline_OH3PH'!BI129+'Rev Req''t_Baseline_OH3PH'!BI146+'Rev Req''t_Baseline_OH3PH'!BI163+'Rev Req''t_Baseline_OH3PH'!BI180</f>
        <v>44532.448893976252</v>
      </c>
      <c r="BK39" s="8">
        <f>'Rev Req''t_Baseline_OH3PH'!BJ27+'Rev Req''t_Baseline_OH3PH'!BJ44+'Rev Req''t_Baseline_OH3PH'!BJ61+'Rev Req''t_Baseline_OH3PH'!BJ78+'Rev Req''t_Baseline_OH3PH'!BJ95+'Rev Req''t_Baseline_OH3PH'!BJ112+'Rev Req''t_Baseline_OH3PH'!BJ129+'Rev Req''t_Baseline_OH3PH'!BJ146+'Rev Req''t_Baseline_OH3PH'!BJ163+'Rev Req''t_Baseline_OH3PH'!BJ180</f>
        <v>25221.925618544472</v>
      </c>
      <c r="BL39" s="8">
        <f>'Rev Req''t_Baseline_OH3PH'!BK27+'Rev Req''t_Baseline_OH3PH'!BK44+'Rev Req''t_Baseline_OH3PH'!BK61+'Rev Req''t_Baseline_OH3PH'!BK78+'Rev Req''t_Baseline_OH3PH'!BK95+'Rev Req''t_Baseline_OH3PH'!BK112+'Rev Req''t_Baseline_OH3PH'!BK129+'Rev Req''t_Baseline_OH3PH'!BK146+'Rev Req''t_Baseline_OH3PH'!BK163+'Rev Req''t_Baseline_OH3PH'!BK180</f>
        <v>11283.781445653167</v>
      </c>
      <c r="BM39" s="8">
        <f>'Rev Req''t_Baseline_OH3PH'!BL27+'Rev Req''t_Baseline_OH3PH'!BL44+'Rev Req''t_Baseline_OH3PH'!BL61+'Rev Req''t_Baseline_OH3PH'!BL78+'Rev Req''t_Baseline_OH3PH'!BL95+'Rev Req''t_Baseline_OH3PH'!BL112+'Rev Req''t_Baseline_OH3PH'!BL129+'Rev Req''t_Baseline_OH3PH'!BL146+'Rev Req''t_Baseline_OH3PH'!BL163+'Rev Req''t_Baseline_OH3PH'!BL180</f>
        <v>2836.2087155578702</v>
      </c>
      <c r="BN39" s="8">
        <f>'Rev Req''t_Baseline_OH3PH'!BM27+'Rev Req''t_Baseline_OH3PH'!BM44+'Rev Req''t_Baseline_OH3PH'!BM61+'Rev Req''t_Baseline_OH3PH'!BM78+'Rev Req''t_Baseline_OH3PH'!BM95+'Rev Req''t_Baseline_OH3PH'!BM112+'Rev Req''t_Baseline_OH3PH'!BM129+'Rev Req''t_Baseline_OH3PH'!BM146+'Rev Req''t_Baseline_OH3PH'!BM163+'Rev Req''t_Baseline_OH3PH'!BM180</f>
        <v>8.1867619883269093E-11</v>
      </c>
      <c r="BO39" s="8">
        <f>'Rev Req''t_Baseline_OH3PH'!BN27+'Rev Req''t_Baseline_OH3PH'!BN44+'Rev Req''t_Baseline_OH3PH'!BN61+'Rev Req''t_Baseline_OH3PH'!BN78+'Rev Req''t_Baseline_OH3PH'!BN95+'Rev Req''t_Baseline_OH3PH'!BN112+'Rev Req''t_Baseline_OH3PH'!BN129+'Rev Req''t_Baseline_OH3PH'!BN146+'Rev Req''t_Baseline_OH3PH'!BN163+'Rev Req''t_Baseline_OH3PH'!BN180</f>
        <v>8.1867619883269093E-11</v>
      </c>
      <c r="BP39" s="8">
        <f>'Rev Req''t_Baseline_OH3PH'!BO27+'Rev Req''t_Baseline_OH3PH'!BO44+'Rev Req''t_Baseline_OH3PH'!BO61+'Rev Req''t_Baseline_OH3PH'!BO78+'Rev Req''t_Baseline_OH3PH'!BO95+'Rev Req''t_Baseline_OH3PH'!BO112+'Rev Req''t_Baseline_OH3PH'!BO129+'Rev Req''t_Baseline_OH3PH'!BO146+'Rev Req''t_Baseline_OH3PH'!BO163+'Rev Req''t_Baseline_OH3PH'!BO180</f>
        <v>8.1867619883269093E-11</v>
      </c>
      <c r="BQ39" s="8">
        <f>'Rev Req''t_Baseline_OH3PH'!BP27+'Rev Req''t_Baseline_OH3PH'!BP44+'Rev Req''t_Baseline_OH3PH'!BP61+'Rev Req''t_Baseline_OH3PH'!BP78+'Rev Req''t_Baseline_OH3PH'!BP95+'Rev Req''t_Baseline_OH3PH'!BP112+'Rev Req''t_Baseline_OH3PH'!BP129+'Rev Req''t_Baseline_OH3PH'!BP146+'Rev Req''t_Baseline_OH3PH'!BP163+'Rev Req''t_Baseline_OH3PH'!BP180</f>
        <v>8.1867619883269093E-11</v>
      </c>
    </row>
    <row r="40" spans="1:72" x14ac:dyDescent="0.4">
      <c r="A40" t="s">
        <v>39</v>
      </c>
      <c r="B40" t="s">
        <v>15</v>
      </c>
      <c r="C40" t="s">
        <v>127</v>
      </c>
      <c r="D40" t="s">
        <v>129</v>
      </c>
      <c r="E40" s="8"/>
      <c r="F40" s="8"/>
      <c r="G40" s="8">
        <f>'Rev Req''t_Baseline_OH3PH'!F15+'Rev Req''t_Baseline_OH3PH'!F32+'Rev Req''t_Baseline_OH3PH'!F49+'Rev Req''t_Baseline_OH3PH'!F66+'Rev Req''t_Baseline_OH3PH'!F83+'Rev Req''t_Baseline_OH3PH'!F100+'Rev Req''t_Baseline_OH3PH'!F117+'Rev Req''t_Baseline_OH3PH'!F134+'Rev Req''t_Baseline_OH3PH'!F151+'Rev Req''t_Baseline_OH3PH'!F168</f>
        <v>72245.446000000011</v>
      </c>
      <c r="H40" s="8">
        <f>'Rev Req''t_Baseline_OH3PH'!G15+'Rev Req''t_Baseline_OH3PH'!G32+'Rev Req''t_Baseline_OH3PH'!G49+'Rev Req''t_Baseline_OH3PH'!G66+'Rev Req''t_Baseline_OH3PH'!G83+'Rev Req''t_Baseline_OH3PH'!G100+'Rev Req''t_Baseline_OH3PH'!G117+'Rev Req''t_Baseline_OH3PH'!G134+'Rev Req''t_Baseline_OH3PH'!G151+'Rev Req''t_Baseline_OH3PH'!G168</f>
        <v>146080.29181200004</v>
      </c>
      <c r="I40" s="8">
        <f>'Rev Req''t_Baseline_OH3PH'!H15+'Rev Req''t_Baseline_OH3PH'!H32+'Rev Req''t_Baseline_OH3PH'!H49+'Rev Req''t_Baseline_OH3PH'!H66+'Rev Req''t_Baseline_OH3PH'!H83+'Rev Req''t_Baseline_OH3PH'!H100+'Rev Req''t_Baseline_OH3PH'!H117+'Rev Req''t_Baseline_OH3PH'!H134+'Rev Req''t_Baseline_OH3PH'!H151+'Rev Req''t_Baseline_OH3PH'!H168</f>
        <v>221539.50423186406</v>
      </c>
      <c r="J40" s="8">
        <f>'Rev Req''t_Baseline_OH3PH'!I15+'Rev Req''t_Baseline_OH3PH'!I32+'Rev Req''t_Baseline_OH3PH'!I49+'Rev Req''t_Baseline_OH3PH'!I66+'Rev Req''t_Baseline_OH3PH'!I83+'Rev Req''t_Baseline_OH3PH'!I100+'Rev Req''t_Baseline_OH3PH'!I117+'Rev Req''t_Baseline_OH3PH'!I134+'Rev Req''t_Baseline_OH3PH'!I151+'Rev Req''t_Baseline_OH3PH'!I168</f>
        <v>298658.81932496506</v>
      </c>
      <c r="K40" s="8">
        <f>'Rev Req''t_Baseline_OH3PH'!J15+'Rev Req''t_Baseline_OH3PH'!J32+'Rev Req''t_Baseline_OH3PH'!J49+'Rev Req''t_Baseline_OH3PH'!J66+'Rev Req''t_Baseline_OH3PH'!J83+'Rev Req''t_Baseline_OH3PH'!J100+'Rev Req''t_Baseline_OH3PH'!J117+'Rev Req''t_Baseline_OH3PH'!J134+'Rev Req''t_Baseline_OH3PH'!J151+'Rev Req''t_Baseline_OH3PH'!J168</f>
        <v>377474.75935011427</v>
      </c>
      <c r="L40" s="8">
        <f>'Rev Req''t_Baseline_OH3PH'!K15+'Rev Req''t_Baseline_OH3PH'!K32+'Rev Req''t_Baseline_OH3PH'!K49+'Rev Req''t_Baseline_OH3PH'!K66+'Rev Req''t_Baseline_OH3PH'!K83+'Rev Req''t_Baseline_OH3PH'!K100+'Rev Req''t_Baseline_OH3PH'!K117+'Rev Req''t_Baseline_OH3PH'!K134+'Rev Req''t_Baseline_OH3PH'!K151+'Rev Req''t_Baseline_OH3PH'!K168</f>
        <v>458024.6500558168</v>
      </c>
      <c r="M40" s="8">
        <f>'Rev Req''t_Baseline_OH3PH'!L15+'Rev Req''t_Baseline_OH3PH'!L32+'Rev Req''t_Baseline_OH3PH'!L49+'Rev Req''t_Baseline_OH3PH'!L66+'Rev Req''t_Baseline_OH3PH'!L83+'Rev Req''t_Baseline_OH3PH'!L100+'Rev Req''t_Baseline_OH3PH'!L117+'Rev Req''t_Baseline_OH3PH'!L134+'Rev Req''t_Baseline_OH3PH'!L151+'Rev Req''t_Baseline_OH3PH'!L168</f>
        <v>540346.63835704478</v>
      </c>
      <c r="N40" s="8">
        <f>'Rev Req''t_Baseline_OH3PH'!M15+'Rev Req''t_Baseline_OH3PH'!M32+'Rev Req''t_Baseline_OH3PH'!M49+'Rev Req''t_Baseline_OH3PH'!M66+'Rev Req''t_Baseline_OH3PH'!M83+'Rev Req''t_Baseline_OH3PH'!M100+'Rev Req''t_Baseline_OH3PH'!M117+'Rev Req''t_Baseline_OH3PH'!M134+'Rev Req''t_Baseline_OH3PH'!M151+'Rev Req''t_Baseline_OH3PH'!M168</f>
        <v>624479.71040089976</v>
      </c>
      <c r="O40" s="8">
        <f>'Rev Req''t_Baseline_OH3PH'!N15+'Rev Req''t_Baseline_OH3PH'!N32+'Rev Req''t_Baseline_OH3PH'!N49+'Rev Req''t_Baseline_OH3PH'!N66+'Rev Req''t_Baseline_OH3PH'!N83+'Rev Req''t_Baseline_OH3PH'!N100+'Rev Req''t_Baseline_OH3PH'!N117+'Rev Req''t_Baseline_OH3PH'!N134+'Rev Req''t_Baseline_OH3PH'!N151+'Rev Req''t_Baseline_OH3PH'!N168</f>
        <v>710463.71002971951</v>
      </c>
      <c r="P40" s="8">
        <f>'Rev Req''t_Baseline_OH3PH'!O15+'Rev Req''t_Baseline_OH3PH'!O32+'Rev Req''t_Baseline_OH3PH'!O49+'Rev Req''t_Baseline_OH3PH'!O66+'Rev Req''t_Baseline_OH3PH'!O83+'Rev Req''t_Baseline_OH3PH'!O100+'Rev Req''t_Baseline_OH3PH'!O117+'Rev Req''t_Baseline_OH3PH'!O134+'Rev Req''t_Baseline_OH3PH'!O151+'Rev Req''t_Baseline_OH3PH'!O168</f>
        <v>798339.35765037336</v>
      </c>
      <c r="Q40" s="8">
        <f>'Rev Req''t_Baseline_OH3PH'!P15+'Rev Req''t_Baseline_OH3PH'!P32+'Rev Req''t_Baseline_OH3PH'!P49+'Rev Req''t_Baseline_OH3PH'!P66+'Rev Req''t_Baseline_OH3PH'!P83+'Rev Req''t_Baseline_OH3PH'!P100+'Rev Req''t_Baseline_OH3PH'!P117+'Rev Req''t_Baseline_OH3PH'!P134+'Rev Req''t_Baseline_OH3PH'!P151+'Rev Req''t_Baseline_OH3PH'!P168</f>
        <v>798339.35765037336</v>
      </c>
      <c r="R40" s="8">
        <f>'Rev Req''t_Baseline_OH3PH'!Q15+'Rev Req''t_Baseline_OH3PH'!Q32+'Rev Req''t_Baseline_OH3PH'!Q49+'Rev Req''t_Baseline_OH3PH'!Q66+'Rev Req''t_Baseline_OH3PH'!Q83+'Rev Req''t_Baseline_OH3PH'!Q100+'Rev Req''t_Baseline_OH3PH'!Q117+'Rev Req''t_Baseline_OH3PH'!Q134+'Rev Req''t_Baseline_OH3PH'!Q151+'Rev Req''t_Baseline_OH3PH'!Q168</f>
        <v>798339.35765037336</v>
      </c>
      <c r="S40" s="8">
        <f>'Rev Req''t_Baseline_OH3PH'!R15+'Rev Req''t_Baseline_OH3PH'!R32+'Rev Req''t_Baseline_OH3PH'!R49+'Rev Req''t_Baseline_OH3PH'!R66+'Rev Req''t_Baseline_OH3PH'!R83+'Rev Req''t_Baseline_OH3PH'!R100+'Rev Req''t_Baseline_OH3PH'!R117+'Rev Req''t_Baseline_OH3PH'!R134+'Rev Req''t_Baseline_OH3PH'!R151+'Rev Req''t_Baseline_OH3PH'!R168</f>
        <v>798339.35765037336</v>
      </c>
      <c r="T40" s="8">
        <f>'Rev Req''t_Baseline_OH3PH'!S15+'Rev Req''t_Baseline_OH3PH'!S32+'Rev Req''t_Baseline_OH3PH'!S49+'Rev Req''t_Baseline_OH3PH'!S66+'Rev Req''t_Baseline_OH3PH'!S83+'Rev Req''t_Baseline_OH3PH'!S100+'Rev Req''t_Baseline_OH3PH'!S117+'Rev Req''t_Baseline_OH3PH'!S134+'Rev Req''t_Baseline_OH3PH'!S151+'Rev Req''t_Baseline_OH3PH'!S168</f>
        <v>798339.35765037336</v>
      </c>
      <c r="U40" s="8">
        <f>'Rev Req''t_Baseline_OH3PH'!T15+'Rev Req''t_Baseline_OH3PH'!T32+'Rev Req''t_Baseline_OH3PH'!T49+'Rev Req''t_Baseline_OH3PH'!T66+'Rev Req''t_Baseline_OH3PH'!T83+'Rev Req''t_Baseline_OH3PH'!T100+'Rev Req''t_Baseline_OH3PH'!T117+'Rev Req''t_Baseline_OH3PH'!T134+'Rev Req''t_Baseline_OH3PH'!T151+'Rev Req''t_Baseline_OH3PH'!T168</f>
        <v>798339.35765037336</v>
      </c>
      <c r="V40" s="8">
        <f>'Rev Req''t_Baseline_OH3PH'!U15+'Rev Req''t_Baseline_OH3PH'!U32+'Rev Req''t_Baseline_OH3PH'!U49+'Rev Req''t_Baseline_OH3PH'!U66+'Rev Req''t_Baseline_OH3PH'!U83+'Rev Req''t_Baseline_OH3PH'!U100+'Rev Req''t_Baseline_OH3PH'!U117+'Rev Req''t_Baseline_OH3PH'!U134+'Rev Req''t_Baseline_OH3PH'!U151+'Rev Req''t_Baseline_OH3PH'!U168</f>
        <v>798339.35765037336</v>
      </c>
      <c r="W40" s="8">
        <f>'Rev Req''t_Baseline_OH3PH'!V15+'Rev Req''t_Baseline_OH3PH'!V32+'Rev Req''t_Baseline_OH3PH'!V49+'Rev Req''t_Baseline_OH3PH'!V66+'Rev Req''t_Baseline_OH3PH'!V83+'Rev Req''t_Baseline_OH3PH'!V100+'Rev Req''t_Baseline_OH3PH'!V117+'Rev Req''t_Baseline_OH3PH'!V134+'Rev Req''t_Baseline_OH3PH'!V151+'Rev Req''t_Baseline_OH3PH'!V168</f>
        <v>798339.35765037336</v>
      </c>
      <c r="X40" s="8">
        <f>'Rev Req''t_Baseline_OH3PH'!W15+'Rev Req''t_Baseline_OH3PH'!W32+'Rev Req''t_Baseline_OH3PH'!W49+'Rev Req''t_Baseline_OH3PH'!W66+'Rev Req''t_Baseline_OH3PH'!W83+'Rev Req''t_Baseline_OH3PH'!W100+'Rev Req''t_Baseline_OH3PH'!W117+'Rev Req''t_Baseline_OH3PH'!W134+'Rev Req''t_Baseline_OH3PH'!W151+'Rev Req''t_Baseline_OH3PH'!W168</f>
        <v>798339.35765037336</v>
      </c>
      <c r="Y40" s="8">
        <f>'Rev Req''t_Baseline_OH3PH'!X15+'Rev Req''t_Baseline_OH3PH'!X32+'Rev Req''t_Baseline_OH3PH'!X49+'Rev Req''t_Baseline_OH3PH'!X66+'Rev Req''t_Baseline_OH3PH'!X83+'Rev Req''t_Baseline_OH3PH'!X100+'Rev Req''t_Baseline_OH3PH'!X117+'Rev Req''t_Baseline_OH3PH'!X134+'Rev Req''t_Baseline_OH3PH'!X151+'Rev Req''t_Baseline_OH3PH'!X168</f>
        <v>798339.35765037336</v>
      </c>
      <c r="Z40" s="8">
        <f>'Rev Req''t_Baseline_OH3PH'!Y15+'Rev Req''t_Baseline_OH3PH'!Y32+'Rev Req''t_Baseline_OH3PH'!Y49+'Rev Req''t_Baseline_OH3PH'!Y66+'Rev Req''t_Baseline_OH3PH'!Y83+'Rev Req''t_Baseline_OH3PH'!Y100+'Rev Req''t_Baseline_OH3PH'!Y117+'Rev Req''t_Baseline_OH3PH'!Y134+'Rev Req''t_Baseline_OH3PH'!Y151+'Rev Req''t_Baseline_OH3PH'!Y168</f>
        <v>798339.35765037336</v>
      </c>
      <c r="AA40" s="8">
        <f>'Rev Req''t_Baseline_OH3PH'!Z15+'Rev Req''t_Baseline_OH3PH'!Z32+'Rev Req''t_Baseline_OH3PH'!Z49+'Rev Req''t_Baseline_OH3PH'!Z66+'Rev Req''t_Baseline_OH3PH'!Z83+'Rev Req''t_Baseline_OH3PH'!Z100+'Rev Req''t_Baseline_OH3PH'!Z117+'Rev Req''t_Baseline_OH3PH'!Z134+'Rev Req''t_Baseline_OH3PH'!Z151+'Rev Req''t_Baseline_OH3PH'!Z168</f>
        <v>798339.35765037336</v>
      </c>
      <c r="AB40" s="8">
        <f>'Rev Req''t_Baseline_OH3PH'!AA15+'Rev Req''t_Baseline_OH3PH'!AA32+'Rev Req''t_Baseline_OH3PH'!AA49+'Rev Req''t_Baseline_OH3PH'!AA66+'Rev Req''t_Baseline_OH3PH'!AA83+'Rev Req''t_Baseline_OH3PH'!AA100+'Rev Req''t_Baseline_OH3PH'!AA117+'Rev Req''t_Baseline_OH3PH'!AA134+'Rev Req''t_Baseline_OH3PH'!AA151+'Rev Req''t_Baseline_OH3PH'!AA168</f>
        <v>798339.35765037336</v>
      </c>
      <c r="AC40" s="8">
        <f>'Rev Req''t_Baseline_OH3PH'!AB15+'Rev Req''t_Baseline_OH3PH'!AB32+'Rev Req''t_Baseline_OH3PH'!AB49+'Rev Req''t_Baseline_OH3PH'!AB66+'Rev Req''t_Baseline_OH3PH'!AB83+'Rev Req''t_Baseline_OH3PH'!AB100+'Rev Req''t_Baseline_OH3PH'!AB117+'Rev Req''t_Baseline_OH3PH'!AB134+'Rev Req''t_Baseline_OH3PH'!AB151+'Rev Req''t_Baseline_OH3PH'!AB168</f>
        <v>798339.35765037336</v>
      </c>
      <c r="AD40" s="8">
        <f>'Rev Req''t_Baseline_OH3PH'!AC15+'Rev Req''t_Baseline_OH3PH'!AC32+'Rev Req''t_Baseline_OH3PH'!AC49+'Rev Req''t_Baseline_OH3PH'!AC66+'Rev Req''t_Baseline_OH3PH'!AC83+'Rev Req''t_Baseline_OH3PH'!AC100+'Rev Req''t_Baseline_OH3PH'!AC117+'Rev Req''t_Baseline_OH3PH'!AC134+'Rev Req''t_Baseline_OH3PH'!AC151+'Rev Req''t_Baseline_OH3PH'!AC168</f>
        <v>798339.35765037336</v>
      </c>
      <c r="AE40" s="8">
        <f>'Rev Req''t_Baseline_OH3PH'!AD15+'Rev Req''t_Baseline_OH3PH'!AD32+'Rev Req''t_Baseline_OH3PH'!AD49+'Rev Req''t_Baseline_OH3PH'!AD66+'Rev Req''t_Baseline_OH3PH'!AD83+'Rev Req''t_Baseline_OH3PH'!AD100+'Rev Req''t_Baseline_OH3PH'!AD117+'Rev Req''t_Baseline_OH3PH'!AD134+'Rev Req''t_Baseline_OH3PH'!AD151+'Rev Req''t_Baseline_OH3PH'!AD168</f>
        <v>798339.35765037336</v>
      </c>
      <c r="AF40" s="8">
        <f>'Rev Req''t_Baseline_OH3PH'!AE15+'Rev Req''t_Baseline_OH3PH'!AE32+'Rev Req''t_Baseline_OH3PH'!AE49+'Rev Req''t_Baseline_OH3PH'!AE66+'Rev Req''t_Baseline_OH3PH'!AE83+'Rev Req''t_Baseline_OH3PH'!AE100+'Rev Req''t_Baseline_OH3PH'!AE117+'Rev Req''t_Baseline_OH3PH'!AE134+'Rev Req''t_Baseline_OH3PH'!AE151+'Rev Req''t_Baseline_OH3PH'!AE168</f>
        <v>798339.35765037336</v>
      </c>
      <c r="AG40" s="8">
        <f>'Rev Req''t_Baseline_OH3PH'!AF15+'Rev Req''t_Baseline_OH3PH'!AF32+'Rev Req''t_Baseline_OH3PH'!AF49+'Rev Req''t_Baseline_OH3PH'!AF66+'Rev Req''t_Baseline_OH3PH'!AF83+'Rev Req''t_Baseline_OH3PH'!AF100+'Rev Req''t_Baseline_OH3PH'!AF117+'Rev Req''t_Baseline_OH3PH'!AF134+'Rev Req''t_Baseline_OH3PH'!AF151+'Rev Req''t_Baseline_OH3PH'!AF168</f>
        <v>798339.35765037336</v>
      </c>
      <c r="AH40" s="8">
        <f>'Rev Req''t_Baseline_OH3PH'!AG15+'Rev Req''t_Baseline_OH3PH'!AG32+'Rev Req''t_Baseline_OH3PH'!AG49+'Rev Req''t_Baseline_OH3PH'!AG66+'Rev Req''t_Baseline_OH3PH'!AG83+'Rev Req''t_Baseline_OH3PH'!AG100+'Rev Req''t_Baseline_OH3PH'!AG117+'Rev Req''t_Baseline_OH3PH'!AG134+'Rev Req''t_Baseline_OH3PH'!AG151+'Rev Req''t_Baseline_OH3PH'!AG168</f>
        <v>798339.35765037336</v>
      </c>
      <c r="AI40" s="8">
        <f>'Rev Req''t_Baseline_OH3PH'!AH15+'Rev Req''t_Baseline_OH3PH'!AH32+'Rev Req''t_Baseline_OH3PH'!AH49+'Rev Req''t_Baseline_OH3PH'!AH66+'Rev Req''t_Baseline_OH3PH'!AH83+'Rev Req''t_Baseline_OH3PH'!AH100+'Rev Req''t_Baseline_OH3PH'!AH117+'Rev Req''t_Baseline_OH3PH'!AH134+'Rev Req''t_Baseline_OH3PH'!AH151+'Rev Req''t_Baseline_OH3PH'!AH168</f>
        <v>798339.35765037336</v>
      </c>
      <c r="AJ40" s="8">
        <f>'Rev Req''t_Baseline_OH3PH'!AI15+'Rev Req''t_Baseline_OH3PH'!AI32+'Rev Req''t_Baseline_OH3PH'!AI49+'Rev Req''t_Baseline_OH3PH'!AI66+'Rev Req''t_Baseline_OH3PH'!AI83+'Rev Req''t_Baseline_OH3PH'!AI100+'Rev Req''t_Baseline_OH3PH'!AI117+'Rev Req''t_Baseline_OH3PH'!AI134+'Rev Req''t_Baseline_OH3PH'!AI151+'Rev Req''t_Baseline_OH3PH'!AI168</f>
        <v>798339.35765037336</v>
      </c>
      <c r="AK40" s="8">
        <f>'Rev Req''t_Baseline_OH3PH'!AJ15+'Rev Req''t_Baseline_OH3PH'!AJ32+'Rev Req''t_Baseline_OH3PH'!AJ49+'Rev Req''t_Baseline_OH3PH'!AJ66+'Rev Req''t_Baseline_OH3PH'!AJ83+'Rev Req''t_Baseline_OH3PH'!AJ100+'Rev Req''t_Baseline_OH3PH'!AJ117+'Rev Req''t_Baseline_OH3PH'!AJ134+'Rev Req''t_Baseline_OH3PH'!AJ151+'Rev Req''t_Baseline_OH3PH'!AJ168</f>
        <v>798339.35765037336</v>
      </c>
      <c r="AL40" s="8">
        <f>'Rev Req''t_Baseline_OH3PH'!AK15+'Rev Req''t_Baseline_OH3PH'!AK32+'Rev Req''t_Baseline_OH3PH'!AK49+'Rev Req''t_Baseline_OH3PH'!AK66+'Rev Req''t_Baseline_OH3PH'!AK83+'Rev Req''t_Baseline_OH3PH'!AK100+'Rev Req''t_Baseline_OH3PH'!AK117+'Rev Req''t_Baseline_OH3PH'!AK134+'Rev Req''t_Baseline_OH3PH'!AK151+'Rev Req''t_Baseline_OH3PH'!AK168</f>
        <v>798339.35765037336</v>
      </c>
      <c r="AM40" s="8">
        <f>'Rev Req''t_Baseline_OH3PH'!AL15+'Rev Req''t_Baseline_OH3PH'!AL32+'Rev Req''t_Baseline_OH3PH'!AL49+'Rev Req''t_Baseline_OH3PH'!AL66+'Rev Req''t_Baseline_OH3PH'!AL83+'Rev Req''t_Baseline_OH3PH'!AL100+'Rev Req''t_Baseline_OH3PH'!AL117+'Rev Req''t_Baseline_OH3PH'!AL134+'Rev Req''t_Baseline_OH3PH'!AL151+'Rev Req''t_Baseline_OH3PH'!AL168</f>
        <v>798339.35765037336</v>
      </c>
      <c r="AN40" s="8">
        <f>'Rev Req''t_Baseline_OH3PH'!AM15+'Rev Req''t_Baseline_OH3PH'!AM32+'Rev Req''t_Baseline_OH3PH'!AM49+'Rev Req''t_Baseline_OH3PH'!AM66+'Rev Req''t_Baseline_OH3PH'!AM83+'Rev Req''t_Baseline_OH3PH'!AM100+'Rev Req''t_Baseline_OH3PH'!AM117+'Rev Req''t_Baseline_OH3PH'!AM134+'Rev Req''t_Baseline_OH3PH'!AM151+'Rev Req''t_Baseline_OH3PH'!AM168</f>
        <v>798339.35765037336</v>
      </c>
      <c r="AO40" s="8">
        <f>'Rev Req''t_Baseline_OH3PH'!AN15+'Rev Req''t_Baseline_OH3PH'!AN32+'Rev Req''t_Baseline_OH3PH'!AN49+'Rev Req''t_Baseline_OH3PH'!AN66+'Rev Req''t_Baseline_OH3PH'!AN83+'Rev Req''t_Baseline_OH3PH'!AN100+'Rev Req''t_Baseline_OH3PH'!AN117+'Rev Req''t_Baseline_OH3PH'!AN134+'Rev Req''t_Baseline_OH3PH'!AN151+'Rev Req''t_Baseline_OH3PH'!AN168</f>
        <v>798339.35765037336</v>
      </c>
      <c r="AP40" s="8">
        <f>'Rev Req''t_Baseline_OH3PH'!AO15+'Rev Req''t_Baseline_OH3PH'!AO32+'Rev Req''t_Baseline_OH3PH'!AO49+'Rev Req''t_Baseline_OH3PH'!AO66+'Rev Req''t_Baseline_OH3PH'!AO83+'Rev Req''t_Baseline_OH3PH'!AO100+'Rev Req''t_Baseline_OH3PH'!AO117+'Rev Req''t_Baseline_OH3PH'!AO134+'Rev Req''t_Baseline_OH3PH'!AO151+'Rev Req''t_Baseline_OH3PH'!AO168</f>
        <v>798339.35765037336</v>
      </c>
      <c r="AQ40" s="8">
        <f>'Rev Req''t_Baseline_OH3PH'!AP15+'Rev Req''t_Baseline_OH3PH'!AP32+'Rev Req''t_Baseline_OH3PH'!AP49+'Rev Req''t_Baseline_OH3PH'!AP66+'Rev Req''t_Baseline_OH3PH'!AP83+'Rev Req''t_Baseline_OH3PH'!AP100+'Rev Req''t_Baseline_OH3PH'!AP117+'Rev Req''t_Baseline_OH3PH'!AP134+'Rev Req''t_Baseline_OH3PH'!AP151+'Rev Req''t_Baseline_OH3PH'!AP168</f>
        <v>798339.35765037336</v>
      </c>
      <c r="AR40" s="8">
        <f>'Rev Req''t_Baseline_OH3PH'!AQ15+'Rev Req''t_Baseline_OH3PH'!AQ32+'Rev Req''t_Baseline_OH3PH'!AQ49+'Rev Req''t_Baseline_OH3PH'!AQ66+'Rev Req''t_Baseline_OH3PH'!AQ83+'Rev Req''t_Baseline_OH3PH'!AQ100+'Rev Req''t_Baseline_OH3PH'!AQ117+'Rev Req''t_Baseline_OH3PH'!AQ134+'Rev Req''t_Baseline_OH3PH'!AQ151+'Rev Req''t_Baseline_OH3PH'!AQ168</f>
        <v>798339.35765037336</v>
      </c>
      <c r="AS40" s="8">
        <f>'Rev Req''t_Baseline_OH3PH'!AR15+'Rev Req''t_Baseline_OH3PH'!AR32+'Rev Req''t_Baseline_OH3PH'!AR49+'Rev Req''t_Baseline_OH3PH'!AR66+'Rev Req''t_Baseline_OH3PH'!AR83+'Rev Req''t_Baseline_OH3PH'!AR100+'Rev Req''t_Baseline_OH3PH'!AR117+'Rev Req''t_Baseline_OH3PH'!AR134+'Rev Req''t_Baseline_OH3PH'!AR151+'Rev Req''t_Baseline_OH3PH'!AR168</f>
        <v>798339.35765037336</v>
      </c>
      <c r="AT40" s="8">
        <f>'Rev Req''t_Baseline_OH3PH'!AS15+'Rev Req''t_Baseline_OH3PH'!AS32+'Rev Req''t_Baseline_OH3PH'!AS49+'Rev Req''t_Baseline_OH3PH'!AS66+'Rev Req''t_Baseline_OH3PH'!AS83+'Rev Req''t_Baseline_OH3PH'!AS100+'Rev Req''t_Baseline_OH3PH'!AS117+'Rev Req''t_Baseline_OH3PH'!AS134+'Rev Req''t_Baseline_OH3PH'!AS151+'Rev Req''t_Baseline_OH3PH'!AS168</f>
        <v>798339.35765037336</v>
      </c>
      <c r="AU40" s="8">
        <f>'Rev Req''t_Baseline_OH3PH'!AT15+'Rev Req''t_Baseline_OH3PH'!AT32+'Rev Req''t_Baseline_OH3PH'!AT49+'Rev Req''t_Baseline_OH3PH'!AT66+'Rev Req''t_Baseline_OH3PH'!AT83+'Rev Req''t_Baseline_OH3PH'!AT100+'Rev Req''t_Baseline_OH3PH'!AT117+'Rev Req''t_Baseline_OH3PH'!AT134+'Rev Req''t_Baseline_OH3PH'!AT151+'Rev Req''t_Baseline_OH3PH'!AT168</f>
        <v>798339.35765037336</v>
      </c>
      <c r="AV40" s="8">
        <f>'Rev Req''t_Baseline_OH3PH'!AU15+'Rev Req''t_Baseline_OH3PH'!AU32+'Rev Req''t_Baseline_OH3PH'!AU49+'Rev Req''t_Baseline_OH3PH'!AU66+'Rev Req''t_Baseline_OH3PH'!AU83+'Rev Req''t_Baseline_OH3PH'!AU100+'Rev Req''t_Baseline_OH3PH'!AU117+'Rev Req''t_Baseline_OH3PH'!AU134+'Rev Req''t_Baseline_OH3PH'!AU151+'Rev Req''t_Baseline_OH3PH'!AU168</f>
        <v>798339.35765037336</v>
      </c>
      <c r="AW40" s="8">
        <f>'Rev Req''t_Baseline_OH3PH'!AV15+'Rev Req''t_Baseline_OH3PH'!AV32+'Rev Req''t_Baseline_OH3PH'!AV49+'Rev Req''t_Baseline_OH3PH'!AV66+'Rev Req''t_Baseline_OH3PH'!AV83+'Rev Req''t_Baseline_OH3PH'!AV100+'Rev Req''t_Baseline_OH3PH'!AV117+'Rev Req''t_Baseline_OH3PH'!AV134+'Rev Req''t_Baseline_OH3PH'!AV151+'Rev Req''t_Baseline_OH3PH'!AV168</f>
        <v>798339.35765037336</v>
      </c>
      <c r="AX40" s="8">
        <f>'Rev Req''t_Baseline_OH3PH'!AW15+'Rev Req''t_Baseline_OH3PH'!AW32+'Rev Req''t_Baseline_OH3PH'!AW49+'Rev Req''t_Baseline_OH3PH'!AW66+'Rev Req''t_Baseline_OH3PH'!AW83+'Rev Req''t_Baseline_OH3PH'!AW100+'Rev Req''t_Baseline_OH3PH'!AW117+'Rev Req''t_Baseline_OH3PH'!AW134+'Rev Req''t_Baseline_OH3PH'!AW151+'Rev Req''t_Baseline_OH3PH'!AW168</f>
        <v>798339.35765037336</v>
      </c>
      <c r="AY40" s="8">
        <f>'Rev Req''t_Baseline_OH3PH'!AX15+'Rev Req''t_Baseline_OH3PH'!AX32+'Rev Req''t_Baseline_OH3PH'!AX49+'Rev Req''t_Baseline_OH3PH'!AX66+'Rev Req''t_Baseline_OH3PH'!AX83+'Rev Req''t_Baseline_OH3PH'!AX100+'Rev Req''t_Baseline_OH3PH'!AX117+'Rev Req''t_Baseline_OH3PH'!AX134+'Rev Req''t_Baseline_OH3PH'!AX151+'Rev Req''t_Baseline_OH3PH'!AX168</f>
        <v>798339.35765037336</v>
      </c>
      <c r="AZ40" s="8">
        <f>'Rev Req''t_Baseline_OH3PH'!AY15+'Rev Req''t_Baseline_OH3PH'!AY32+'Rev Req''t_Baseline_OH3PH'!AY49+'Rev Req''t_Baseline_OH3PH'!AY66+'Rev Req''t_Baseline_OH3PH'!AY83+'Rev Req''t_Baseline_OH3PH'!AY100+'Rev Req''t_Baseline_OH3PH'!AY117+'Rev Req''t_Baseline_OH3PH'!AY134+'Rev Req''t_Baseline_OH3PH'!AY151+'Rev Req''t_Baseline_OH3PH'!AY168</f>
        <v>798339.35765037336</v>
      </c>
      <c r="BA40" s="8">
        <f>'Rev Req''t_Baseline_OH3PH'!AZ15+'Rev Req''t_Baseline_OH3PH'!AZ32+'Rev Req''t_Baseline_OH3PH'!AZ49+'Rev Req''t_Baseline_OH3PH'!AZ66+'Rev Req''t_Baseline_OH3PH'!AZ83+'Rev Req''t_Baseline_OH3PH'!AZ100+'Rev Req''t_Baseline_OH3PH'!AZ117+'Rev Req''t_Baseline_OH3PH'!AZ134+'Rev Req''t_Baseline_OH3PH'!AZ151+'Rev Req''t_Baseline_OH3PH'!AZ168</f>
        <v>798339.35765037336</v>
      </c>
      <c r="BB40" s="8">
        <f>'Rev Req''t_Baseline_OH3PH'!BA15+'Rev Req''t_Baseline_OH3PH'!BA32+'Rev Req''t_Baseline_OH3PH'!BA49+'Rev Req''t_Baseline_OH3PH'!BA66+'Rev Req''t_Baseline_OH3PH'!BA83+'Rev Req''t_Baseline_OH3PH'!BA100+'Rev Req''t_Baseline_OH3PH'!BA117+'Rev Req''t_Baseline_OH3PH'!BA134+'Rev Req''t_Baseline_OH3PH'!BA151+'Rev Req''t_Baseline_OH3PH'!BA168</f>
        <v>798339.35765037336</v>
      </c>
      <c r="BC40" s="8">
        <f>'Rev Req''t_Baseline_OH3PH'!BB15+'Rev Req''t_Baseline_OH3PH'!BB32+'Rev Req''t_Baseline_OH3PH'!BB49+'Rev Req''t_Baseline_OH3PH'!BB66+'Rev Req''t_Baseline_OH3PH'!BB83+'Rev Req''t_Baseline_OH3PH'!BB100+'Rev Req''t_Baseline_OH3PH'!BB117+'Rev Req''t_Baseline_OH3PH'!BB134+'Rev Req''t_Baseline_OH3PH'!BB151+'Rev Req''t_Baseline_OH3PH'!BB168</f>
        <v>798339.35765037336</v>
      </c>
      <c r="BD40" s="8">
        <f>'Rev Req''t_Baseline_OH3PH'!BC15+'Rev Req''t_Baseline_OH3PH'!BC32+'Rev Req''t_Baseline_OH3PH'!BC49+'Rev Req''t_Baseline_OH3PH'!BC66+'Rev Req''t_Baseline_OH3PH'!BC83+'Rev Req''t_Baseline_OH3PH'!BC100+'Rev Req''t_Baseline_OH3PH'!BC117+'Rev Req''t_Baseline_OH3PH'!BC134+'Rev Req''t_Baseline_OH3PH'!BC151+'Rev Req''t_Baseline_OH3PH'!BC168</f>
        <v>798339.35765037336</v>
      </c>
      <c r="BE40" s="8">
        <f>'Rev Req''t_Baseline_OH3PH'!BD15+'Rev Req''t_Baseline_OH3PH'!BD32+'Rev Req''t_Baseline_OH3PH'!BD49+'Rev Req''t_Baseline_OH3PH'!BD66+'Rev Req''t_Baseline_OH3PH'!BD83+'Rev Req''t_Baseline_OH3PH'!BD100+'Rev Req''t_Baseline_OH3PH'!BD117+'Rev Req''t_Baseline_OH3PH'!BD134+'Rev Req''t_Baseline_OH3PH'!BD151+'Rev Req''t_Baseline_OH3PH'!BD168</f>
        <v>726093.91165037337</v>
      </c>
      <c r="BF40" s="8">
        <f>'Rev Req''t_Baseline_OH3PH'!BE15+'Rev Req''t_Baseline_OH3PH'!BE32+'Rev Req''t_Baseline_OH3PH'!BE49+'Rev Req''t_Baseline_OH3PH'!BE66+'Rev Req''t_Baseline_OH3PH'!BE83+'Rev Req''t_Baseline_OH3PH'!BE100+'Rev Req''t_Baseline_OH3PH'!BE117+'Rev Req''t_Baseline_OH3PH'!BE134+'Rev Req''t_Baseline_OH3PH'!BE151+'Rev Req''t_Baseline_OH3PH'!BE168</f>
        <v>652259.06583837338</v>
      </c>
      <c r="BG40" s="8">
        <f>'Rev Req''t_Baseline_OH3PH'!BF15+'Rev Req''t_Baseline_OH3PH'!BF32+'Rev Req''t_Baseline_OH3PH'!BF49+'Rev Req''t_Baseline_OH3PH'!BF66+'Rev Req''t_Baseline_OH3PH'!BF83+'Rev Req''t_Baseline_OH3PH'!BF100+'Rev Req''t_Baseline_OH3PH'!BF117+'Rev Req''t_Baseline_OH3PH'!BF134+'Rev Req''t_Baseline_OH3PH'!BF151+'Rev Req''t_Baseline_OH3PH'!BF168</f>
        <v>576799.85341850948</v>
      </c>
      <c r="BH40" s="8">
        <f>'Rev Req''t_Baseline_OH3PH'!BG15+'Rev Req''t_Baseline_OH3PH'!BG32+'Rev Req''t_Baseline_OH3PH'!BG49+'Rev Req''t_Baseline_OH3PH'!BG66+'Rev Req''t_Baseline_OH3PH'!BG83+'Rev Req''t_Baseline_OH3PH'!BG100+'Rev Req''t_Baseline_OH3PH'!BG117+'Rev Req''t_Baseline_OH3PH'!BG134+'Rev Req''t_Baseline_OH3PH'!BG151+'Rev Req''t_Baseline_OH3PH'!BG168</f>
        <v>499680.53832540842</v>
      </c>
      <c r="BI40" s="8">
        <f>'Rev Req''t_Baseline_OH3PH'!BH15+'Rev Req''t_Baseline_OH3PH'!BH32+'Rev Req''t_Baseline_OH3PH'!BH49+'Rev Req''t_Baseline_OH3PH'!BH66+'Rev Req''t_Baseline_OH3PH'!BH83+'Rev Req''t_Baseline_OH3PH'!BH100+'Rev Req''t_Baseline_OH3PH'!BH117+'Rev Req''t_Baseline_OH3PH'!BH134+'Rev Req''t_Baseline_OH3PH'!BH151+'Rev Req''t_Baseline_OH3PH'!BH168</f>
        <v>420864.59830025915</v>
      </c>
      <c r="BJ40" s="8">
        <f>'Rev Req''t_Baseline_OH3PH'!BI15+'Rev Req''t_Baseline_OH3PH'!BI32+'Rev Req''t_Baseline_OH3PH'!BI49+'Rev Req''t_Baseline_OH3PH'!BI66+'Rev Req''t_Baseline_OH3PH'!BI83+'Rev Req''t_Baseline_OH3PH'!BI100+'Rev Req''t_Baseline_OH3PH'!BI117+'Rev Req''t_Baseline_OH3PH'!BI134+'Rev Req''t_Baseline_OH3PH'!BI151+'Rev Req''t_Baseline_OH3PH'!BI168</f>
        <v>340314.70759455668</v>
      </c>
      <c r="BK40" s="8">
        <f>'Rev Req''t_Baseline_OH3PH'!BJ15+'Rev Req''t_Baseline_OH3PH'!BJ32+'Rev Req''t_Baseline_OH3PH'!BJ49+'Rev Req''t_Baseline_OH3PH'!BJ66+'Rev Req''t_Baseline_OH3PH'!BJ83+'Rev Req''t_Baseline_OH3PH'!BJ100+'Rev Req''t_Baseline_OH3PH'!BJ117+'Rev Req''t_Baseline_OH3PH'!BJ134+'Rev Req''t_Baseline_OH3PH'!BJ151+'Rev Req''t_Baseline_OH3PH'!BJ168</f>
        <v>257992.71929332864</v>
      </c>
      <c r="BL40" s="8">
        <f>'Rev Req''t_Baseline_OH3PH'!BK15+'Rev Req''t_Baseline_OH3PH'!BK32+'Rev Req''t_Baseline_OH3PH'!BK49+'Rev Req''t_Baseline_OH3PH'!BK66+'Rev Req''t_Baseline_OH3PH'!BK83+'Rev Req''t_Baseline_OH3PH'!BK100+'Rev Req''t_Baseline_OH3PH'!BK117+'Rev Req''t_Baseline_OH3PH'!BK134+'Rev Req''t_Baseline_OH3PH'!BK151+'Rev Req''t_Baseline_OH3PH'!BK168</f>
        <v>173859.64724947367</v>
      </c>
      <c r="BM40" s="8">
        <f>'Rev Req''t_Baseline_OH3PH'!BL15+'Rev Req''t_Baseline_OH3PH'!BL32+'Rev Req''t_Baseline_OH3PH'!BL49+'Rev Req''t_Baseline_OH3PH'!BL66+'Rev Req''t_Baseline_OH3PH'!BL83+'Rev Req''t_Baseline_OH3PH'!BL100+'Rev Req''t_Baseline_OH3PH'!BL117+'Rev Req''t_Baseline_OH3PH'!BL134+'Rev Req''t_Baseline_OH3PH'!BL151+'Rev Req''t_Baseline_OH3PH'!BL168</f>
        <v>87875.64762065385</v>
      </c>
      <c r="BN40" s="8">
        <f>'Rev Req''t_Baseline_OH3PH'!BM15+'Rev Req''t_Baseline_OH3PH'!BM32+'Rev Req''t_Baseline_OH3PH'!BM49+'Rev Req''t_Baseline_OH3PH'!BM66+'Rev Req''t_Baseline_OH3PH'!BM83+'Rev Req''t_Baseline_OH3PH'!BM100+'Rev Req''t_Baseline_OH3PH'!BM117+'Rev Req''t_Baseline_OH3PH'!BM134+'Rev Req''t_Baseline_OH3PH'!BM151+'Rev Req''t_Baseline_OH3PH'!BM168</f>
        <v>0</v>
      </c>
      <c r="BO40" s="8">
        <f>'Rev Req''t_Baseline_OH3PH'!BN15+'Rev Req''t_Baseline_OH3PH'!BN32+'Rev Req''t_Baseline_OH3PH'!BN49+'Rev Req''t_Baseline_OH3PH'!BN66+'Rev Req''t_Baseline_OH3PH'!BN83+'Rev Req''t_Baseline_OH3PH'!BN100+'Rev Req''t_Baseline_OH3PH'!BN117+'Rev Req''t_Baseline_OH3PH'!BN134+'Rev Req''t_Baseline_OH3PH'!BN151+'Rev Req''t_Baseline_OH3PH'!BN168</f>
        <v>0</v>
      </c>
      <c r="BP40" s="8">
        <f>'Rev Req''t_Baseline_OH3PH'!BO15+'Rev Req''t_Baseline_OH3PH'!BO32+'Rev Req''t_Baseline_OH3PH'!BO49+'Rev Req''t_Baseline_OH3PH'!BO66+'Rev Req''t_Baseline_OH3PH'!BO83+'Rev Req''t_Baseline_OH3PH'!BO100+'Rev Req''t_Baseline_OH3PH'!BO117+'Rev Req''t_Baseline_OH3PH'!BO134+'Rev Req''t_Baseline_OH3PH'!BO151+'Rev Req''t_Baseline_OH3PH'!BO168</f>
        <v>0</v>
      </c>
      <c r="BQ40" s="8">
        <f>'Rev Req''t_Baseline_OH3PH'!BP15+'Rev Req''t_Baseline_OH3PH'!BP32+'Rev Req''t_Baseline_OH3PH'!BP49+'Rev Req''t_Baseline_OH3PH'!BP66+'Rev Req''t_Baseline_OH3PH'!BP83+'Rev Req''t_Baseline_OH3PH'!BP100+'Rev Req''t_Baseline_OH3PH'!BP117+'Rev Req''t_Baseline_OH3PH'!BP134+'Rev Req''t_Baseline_OH3PH'!BP151+'Rev Req''t_Baseline_OH3PH'!BP168</f>
        <v>0</v>
      </c>
    </row>
    <row r="41" spans="1:72" x14ac:dyDescent="0.4">
      <c r="A41" t="s">
        <v>39</v>
      </c>
      <c r="B41" t="s">
        <v>15</v>
      </c>
      <c r="C41" t="s">
        <v>136</v>
      </c>
      <c r="D41" t="s">
        <v>148</v>
      </c>
      <c r="F41" s="8"/>
      <c r="G41" s="8">
        <f>'Baseline scaling factors'!B11*(1+Inflation)^(G$3-2025)</f>
        <v>133638.12532538699</v>
      </c>
      <c r="H41" s="8">
        <f>'Baseline scaling factors'!C11*(1+Inflation)^(H$3-2025)</f>
        <v>135890.49178917136</v>
      </c>
      <c r="I41" s="8">
        <f>'Baseline scaling factors'!D11*(1+Inflation)^(I$3-2025)</f>
        <v>136264.63010126643</v>
      </c>
      <c r="J41" s="8">
        <f>'Baseline scaling factors'!E11*(1+Inflation)^(J$3-2025)</f>
        <v>134777.01670250887</v>
      </c>
      <c r="K41" s="8">
        <f>'Baseline scaling factors'!F11*(1+Inflation)^(K$3-2025)</f>
        <v>131442.16070434824</v>
      </c>
      <c r="L41" s="8">
        <f>'Baseline scaling factors'!G11*(1+Inflation)^(L$3-2025)</f>
        <v>126272.62208557656</v>
      </c>
      <c r="M41" s="8">
        <f>'Baseline scaling factors'!H11*(1+Inflation)^(M$3-2025)</f>
        <v>119279.02835937607</v>
      </c>
      <c r="N41" s="8">
        <f>'Baseline scaling factors'!I11*(1+Inflation)^(N$3-2025)</f>
        <v>110470.08972597617</v>
      </c>
      <c r="O41" s="8">
        <f>'Baseline scaling factors'!J11*(1+Inflation)^(O$3-2025)</f>
        <v>99852.612725152867</v>
      </c>
      <c r="P41" s="8">
        <f>'Baseline scaling factors'!K11*(1+Inflation)^(P$3-2025)</f>
        <v>87431.512401760934</v>
      </c>
      <c r="Q41" s="8">
        <f t="shared" ref="Q41:BJ42" si="10">P41*(1+Inflation)</f>
        <v>89355.00567459967</v>
      </c>
      <c r="R41" s="8">
        <f t="shared" si="10"/>
        <v>91320.815799440868</v>
      </c>
      <c r="S41" s="8">
        <f t="shared" si="10"/>
        <v>93329.873747028571</v>
      </c>
      <c r="T41" s="8">
        <f t="shared" si="10"/>
        <v>95383.130969463207</v>
      </c>
      <c r="U41" s="8">
        <f t="shared" si="10"/>
        <v>97481.559850791396</v>
      </c>
      <c r="V41" s="8">
        <f t="shared" si="10"/>
        <v>99626.154167508808</v>
      </c>
      <c r="W41" s="8">
        <f t="shared" si="10"/>
        <v>101817.929559194</v>
      </c>
      <c r="X41" s="8">
        <f t="shared" si="10"/>
        <v>104057.92400949627</v>
      </c>
      <c r="Y41" s="8">
        <f t="shared" si="10"/>
        <v>106347.19833770519</v>
      </c>
      <c r="Z41" s="8">
        <f t="shared" si="10"/>
        <v>108686.83670113471</v>
      </c>
      <c r="AA41" s="8">
        <f t="shared" si="10"/>
        <v>111077.94710855967</v>
      </c>
      <c r="AB41" s="8">
        <f t="shared" si="10"/>
        <v>113521.66194494799</v>
      </c>
      <c r="AC41" s="8">
        <f t="shared" si="10"/>
        <v>116019.13850773685</v>
      </c>
      <c r="AD41" s="8">
        <f t="shared" si="10"/>
        <v>118571.55955490706</v>
      </c>
      <c r="AE41" s="8">
        <f t="shared" si="10"/>
        <v>121180.13386511501</v>
      </c>
      <c r="AF41" s="8">
        <f t="shared" si="10"/>
        <v>123846.09681014754</v>
      </c>
      <c r="AG41" s="8">
        <f t="shared" si="10"/>
        <v>126570.7109399708</v>
      </c>
      <c r="AH41" s="8">
        <f t="shared" si="10"/>
        <v>129355.26658065016</v>
      </c>
      <c r="AI41" s="8">
        <f t="shared" si="10"/>
        <v>132201.08244542446</v>
      </c>
      <c r="AJ41" s="8">
        <f t="shared" si="10"/>
        <v>135109.5062592238</v>
      </c>
      <c r="AK41" s="8">
        <f t="shared" si="10"/>
        <v>138081.91539692672</v>
      </c>
      <c r="AL41" s="8">
        <f t="shared" si="10"/>
        <v>141119.71753565912</v>
      </c>
      <c r="AM41" s="8">
        <f t="shared" si="10"/>
        <v>144224.35132144362</v>
      </c>
      <c r="AN41" s="8">
        <f t="shared" si="10"/>
        <v>147397.28705051538</v>
      </c>
      <c r="AO41" s="8">
        <f t="shared" si="10"/>
        <v>150640.02736562674</v>
      </c>
      <c r="AP41" s="8">
        <f t="shared" si="10"/>
        <v>153954.10796767054</v>
      </c>
      <c r="AQ41" s="8">
        <f t="shared" si="10"/>
        <v>157341.0983429593</v>
      </c>
      <c r="AR41" s="8">
        <f t="shared" si="10"/>
        <v>160802.60250650442</v>
      </c>
      <c r="AS41" s="8">
        <f t="shared" si="10"/>
        <v>164340.25976164753</v>
      </c>
      <c r="AT41" s="8">
        <f t="shared" si="10"/>
        <v>167955.74547640377</v>
      </c>
      <c r="AU41" s="8">
        <f t="shared" si="10"/>
        <v>171650.77187688465</v>
      </c>
      <c r="AV41" s="8">
        <f t="shared" si="10"/>
        <v>175427.08885817611</v>
      </c>
      <c r="AW41" s="8">
        <f t="shared" si="10"/>
        <v>179286.48481305598</v>
      </c>
      <c r="AX41" s="8">
        <f t="shared" si="10"/>
        <v>183230.78747894321</v>
      </c>
      <c r="AY41" s="8">
        <f t="shared" si="10"/>
        <v>187261.86480347996</v>
      </c>
      <c r="AZ41" s="8">
        <f t="shared" si="10"/>
        <v>191381.62582915652</v>
      </c>
      <c r="BA41" s="8">
        <f t="shared" si="10"/>
        <v>195592.02159739795</v>
      </c>
      <c r="BB41" s="8">
        <f t="shared" si="10"/>
        <v>199895.04607254072</v>
      </c>
      <c r="BC41" s="8">
        <f t="shared" si="10"/>
        <v>204292.73708613662</v>
      </c>
      <c r="BD41" s="8">
        <f t="shared" si="10"/>
        <v>208787.17730203163</v>
      </c>
      <c r="BE41" s="8">
        <f t="shared" si="10"/>
        <v>213380.49520267633</v>
      </c>
      <c r="BF41" s="8">
        <f t="shared" si="10"/>
        <v>218074.86609713521</v>
      </c>
      <c r="BG41" s="8">
        <f t="shared" si="10"/>
        <v>222872.5131512722</v>
      </c>
      <c r="BH41" s="8">
        <f t="shared" si="10"/>
        <v>227775.7084406002</v>
      </c>
      <c r="BI41" s="8">
        <f t="shared" si="10"/>
        <v>232786.77402629339</v>
      </c>
      <c r="BJ41" s="8">
        <f t="shared" si="10"/>
        <v>237908.08305487185</v>
      </c>
      <c r="BK41" s="8">
        <v>0</v>
      </c>
      <c r="BL41" s="8">
        <v>0</v>
      </c>
      <c r="BM41" s="8">
        <v>0</v>
      </c>
      <c r="BN41" s="8">
        <v>0</v>
      </c>
      <c r="BO41" s="8">
        <v>0</v>
      </c>
      <c r="BP41" s="8">
        <v>0</v>
      </c>
      <c r="BQ41" s="8">
        <v>0</v>
      </c>
    </row>
    <row r="42" spans="1:72" x14ac:dyDescent="0.4">
      <c r="A42" t="s">
        <v>39</v>
      </c>
      <c r="B42" t="s">
        <v>15</v>
      </c>
      <c r="C42" t="s">
        <v>136</v>
      </c>
      <c r="D42" t="s">
        <v>160</v>
      </c>
      <c r="F42" s="8"/>
      <c r="G42" s="8">
        <f>VLOOKUP($B42&amp;"-"&amp;$A42,'Baseline scaling factors'!$A$63:$K$65,MATCH(Costs_Baseline!G$1,'Baseline scaling factors'!$A$62:$K$62,0),0)*(1+Inflation)^(G$3-2025)</f>
        <v>88191.091547032978</v>
      </c>
      <c r="H42" s="8">
        <f>VLOOKUP($B42&amp;"-"&amp;$A42,'Baseline scaling factors'!$A$63:$K$65,MATCH(Costs_Baseline!H$1,'Baseline scaling factors'!$A$62:$K$62,0),0)*(1+Inflation)^(H$3-2025)</f>
        <v>83416.711281170079</v>
      </c>
      <c r="I42" s="8">
        <f>VLOOKUP($B42&amp;"-"&amp;$A42,'Baseline scaling factors'!$A$63:$K$65,MATCH(Costs_Baseline!I$1,'Baseline scaling factors'!$A$62:$K$62,0),0)*(1+Inflation)^(I$3-2025)</f>
        <v>78691.942270122861</v>
      </c>
      <c r="J42" s="8">
        <f>VLOOKUP($B42&amp;"-"&amp;$A42,'Baseline scaling factors'!$A$63:$K$65,MATCH(Costs_Baseline!J$1,'Baseline scaling factors'!$A$62:$K$62,0),0)*(1+Inflation)^(J$3-2025)</f>
        <v>74014.314179325796</v>
      </c>
      <c r="K42" s="8">
        <f>VLOOKUP($B42&amp;"-"&amp;$A42,'Baseline scaling factors'!$A$63:$K$65,MATCH(Costs_Baseline!K$1,'Baseline scaling factors'!$A$62:$K$62,0),0)*(1+Inflation)^(K$3-2025)</f>
        <v>69381.384360395867</v>
      </c>
      <c r="L42" s="8">
        <f>VLOOKUP($B42&amp;"-"&amp;$A42,'Baseline scaling factors'!$A$63:$K$65,MATCH(Costs_Baseline!L$1,'Baseline scaling factors'!$A$62:$K$62,0),0)*(1+Inflation)^(L$3-2025)</f>
        <v>64790.736570864807</v>
      </c>
      <c r="M42" s="8">
        <f>VLOOKUP($B42&amp;"-"&amp;$A42,'Baseline scaling factors'!$A$63:$K$65,MATCH(Costs_Baseline!M$1,'Baseline scaling factors'!$A$62:$K$62,0),0)*(1+Inflation)^(M$3-2025)</f>
        <v>60239.979709260602</v>
      </c>
      <c r="N42" s="8">
        <f>VLOOKUP($B42&amp;"-"&amp;$A42,'Baseline scaling factors'!$A$63:$K$65,MATCH(Costs_Baseline!N$1,'Baseline scaling factors'!$A$62:$K$62,0),0)*(1+Inflation)^(N$3-2025)</f>
        <v>55726.746564873582</v>
      </c>
      <c r="O42" s="8">
        <f>VLOOKUP($B42&amp;"-"&amp;$A42,'Baseline scaling factors'!$A$63:$K$65,MATCH(Costs_Baseline!O$1,'Baseline scaling factors'!$A$62:$K$62,0),0)*(1+Inflation)^(O$3-2025)</f>
        <v>51248.692581550931</v>
      </c>
      <c r="P42" s="8">
        <f>VLOOKUP($B42&amp;"-"&amp;$A42,'Baseline scaling factors'!$A$63:$K$65,MATCH(Costs_Baseline!P$1,'Baseline scaling factors'!$A$62:$K$62,0),0)*(1+Inflation)^(P$3-2025)</f>
        <v>46803.494634872055</v>
      </c>
      <c r="Q42" s="8">
        <f>P42*(1+Inflation)</f>
        <v>47833.17151683924</v>
      </c>
      <c r="R42" s="8">
        <f t="shared" si="10"/>
        <v>48885.501290209708</v>
      </c>
      <c r="S42" s="8">
        <f t="shared" si="10"/>
        <v>49960.982318594324</v>
      </c>
      <c r="T42" s="8">
        <f t="shared" si="10"/>
        <v>51060.123929603404</v>
      </c>
      <c r="U42" s="8">
        <f t="shared" si="10"/>
        <v>52183.446656054679</v>
      </c>
      <c r="V42" s="8">
        <f t="shared" si="10"/>
        <v>53331.482482487881</v>
      </c>
      <c r="W42" s="8">
        <f t="shared" si="10"/>
        <v>54504.775097102618</v>
      </c>
      <c r="X42" s="8">
        <f t="shared" si="10"/>
        <v>55703.880149238874</v>
      </c>
      <c r="Y42" s="8">
        <f t="shared" si="10"/>
        <v>56929.365512522127</v>
      </c>
      <c r="Z42" s="8">
        <f t="shared" si="10"/>
        <v>58181.811553797612</v>
      </c>
      <c r="AA42" s="8">
        <f t="shared" si="10"/>
        <v>59461.811407981164</v>
      </c>
      <c r="AB42" s="8">
        <f t="shared" si="10"/>
        <v>60769.97125895675</v>
      </c>
      <c r="AC42" s="8">
        <f t="shared" si="10"/>
        <v>62106.9106266538</v>
      </c>
      <c r="AD42" s="8">
        <f t="shared" si="10"/>
        <v>63473.262660440188</v>
      </c>
      <c r="AE42" s="8">
        <f t="shared" si="10"/>
        <v>64869.674438969872</v>
      </c>
      <c r="AF42" s="8">
        <f t="shared" si="10"/>
        <v>66296.807276627209</v>
      </c>
      <c r="AG42" s="8">
        <f t="shared" si="10"/>
        <v>67755.337036713012</v>
      </c>
      <c r="AH42" s="8">
        <f t="shared" si="10"/>
        <v>69245.954451520694</v>
      </c>
      <c r="AI42" s="8">
        <f t="shared" si="10"/>
        <v>70769.365449454155</v>
      </c>
      <c r="AJ42" s="8">
        <f t="shared" si="10"/>
        <v>72326.291489342155</v>
      </c>
      <c r="AK42" s="8">
        <f t="shared" si="10"/>
        <v>73917.469902107681</v>
      </c>
      <c r="AL42" s="8">
        <f t="shared" si="10"/>
        <v>75543.654239954049</v>
      </c>
      <c r="AM42" s="8">
        <f t="shared" si="10"/>
        <v>77205.614633233039</v>
      </c>
      <c r="AN42" s="8">
        <f t="shared" si="10"/>
        <v>78904.138155164168</v>
      </c>
      <c r="AO42" s="8">
        <f t="shared" si="10"/>
        <v>80640.029194577786</v>
      </c>
      <c r="AP42" s="8">
        <f t="shared" si="10"/>
        <v>82414.109836858494</v>
      </c>
      <c r="AQ42" s="8">
        <f t="shared" si="10"/>
        <v>84227.220253269377</v>
      </c>
      <c r="AR42" s="8">
        <f t="shared" si="10"/>
        <v>86080.219098841306</v>
      </c>
      <c r="AS42" s="8">
        <f t="shared" si="10"/>
        <v>87973.983919015809</v>
      </c>
      <c r="AT42" s="8">
        <f t="shared" si="10"/>
        <v>89909.411565234157</v>
      </c>
      <c r="AU42" s="8">
        <f t="shared" si="10"/>
        <v>91887.418619669304</v>
      </c>
      <c r="AV42" s="8">
        <f t="shared" si="10"/>
        <v>93908.941829302028</v>
      </c>
      <c r="AW42" s="8">
        <f t="shared" si="10"/>
        <v>95974.93854954667</v>
      </c>
      <c r="AX42" s="8">
        <f t="shared" si="10"/>
        <v>98086.387197636694</v>
      </c>
      <c r="AY42" s="8">
        <f t="shared" si="10"/>
        <v>100244.2877159847</v>
      </c>
      <c r="AZ42" s="8">
        <f t="shared" si="10"/>
        <v>102449.66204573636</v>
      </c>
      <c r="BA42" s="8">
        <f t="shared" si="10"/>
        <v>104703.55461074256</v>
      </c>
      <c r="BB42" s="8">
        <f t="shared" si="10"/>
        <v>107007.03281217891</v>
      </c>
      <c r="BC42" s="8">
        <f t="shared" si="10"/>
        <v>109361.18753404684</v>
      </c>
      <c r="BD42" s="8">
        <f t="shared" si="10"/>
        <v>111767.13365979587</v>
      </c>
      <c r="BE42" s="8">
        <f t="shared" si="10"/>
        <v>114226.01060031139</v>
      </c>
      <c r="BF42" s="8">
        <f t="shared" si="10"/>
        <v>116738.98283351824</v>
      </c>
      <c r="BG42" s="8">
        <f t="shared" si="10"/>
        <v>119307.24045585564</v>
      </c>
      <c r="BH42" s="8">
        <f t="shared" si="10"/>
        <v>121931.99974588447</v>
      </c>
      <c r="BI42" s="8">
        <f t="shared" si="10"/>
        <v>124614.50374029393</v>
      </c>
      <c r="BJ42" s="8">
        <f t="shared" si="10"/>
        <v>127356.0228225804</v>
      </c>
      <c r="BK42" s="8">
        <v>0</v>
      </c>
      <c r="BL42" s="8">
        <f t="shared" ref="BL42:BQ42" si="11">BK42*(1+Inflation)</f>
        <v>0</v>
      </c>
      <c r="BM42" s="8">
        <f t="shared" si="11"/>
        <v>0</v>
      </c>
      <c r="BN42" s="8">
        <f t="shared" si="11"/>
        <v>0</v>
      </c>
      <c r="BO42" s="8">
        <f t="shared" si="11"/>
        <v>0</v>
      </c>
      <c r="BP42" s="8">
        <f t="shared" si="11"/>
        <v>0</v>
      </c>
      <c r="BQ42" s="8">
        <f t="shared" si="11"/>
        <v>0</v>
      </c>
    </row>
    <row r="43" spans="1:72" x14ac:dyDescent="0.4">
      <c r="A43" t="s">
        <v>39</v>
      </c>
      <c r="B43" t="s">
        <v>15</v>
      </c>
      <c r="C43" t="s">
        <v>136</v>
      </c>
      <c r="D43" t="s">
        <v>130</v>
      </c>
      <c r="E43" t="s">
        <v>420</v>
      </c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81"/>
      <c r="BS43" s="81"/>
      <c r="BT43" s="81"/>
    </row>
    <row r="44" spans="1:72" x14ac:dyDescent="0.4">
      <c r="A44" t="s">
        <v>39</v>
      </c>
      <c r="B44" t="s">
        <v>15</v>
      </c>
      <c r="C44" t="s">
        <v>136</v>
      </c>
      <c r="D44" t="s">
        <v>131</v>
      </c>
      <c r="E44" t="s">
        <v>420</v>
      </c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81"/>
      <c r="BS44" s="81"/>
      <c r="BT44" s="81"/>
    </row>
    <row r="45" spans="1:72" x14ac:dyDescent="0.4">
      <c r="A45" t="s">
        <v>39</v>
      </c>
      <c r="B45" t="s">
        <v>15</v>
      </c>
      <c r="C45" t="s">
        <v>136</v>
      </c>
      <c r="D45" t="s">
        <v>132</v>
      </c>
      <c r="E45" t="s">
        <v>420</v>
      </c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81"/>
      <c r="BS45" s="81"/>
      <c r="BT45" s="81"/>
    </row>
    <row r="46" spans="1:72" x14ac:dyDescent="0.4">
      <c r="A46" t="s">
        <v>39</v>
      </c>
      <c r="B46" t="s">
        <v>15</v>
      </c>
      <c r="C46" t="s">
        <v>136</v>
      </c>
      <c r="D46" t="s">
        <v>133</v>
      </c>
      <c r="E46" t="s">
        <v>420</v>
      </c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81"/>
      <c r="BS46" s="81"/>
      <c r="BT46" s="81"/>
    </row>
    <row r="47" spans="1:72" x14ac:dyDescent="0.4">
      <c r="A47" t="s">
        <v>39</v>
      </c>
      <c r="B47" t="s">
        <v>15</v>
      </c>
      <c r="C47" t="s">
        <v>136</v>
      </c>
      <c r="D47" t="s">
        <v>134</v>
      </c>
      <c r="F47" s="8"/>
      <c r="G47" s="8">
        <f>'Rev Req''t_Baseline_OH3PH'!F185*Net_Install_Taxable*Property_Tax_Rate_Assumption</f>
        <v>58338.197645000007</v>
      </c>
      <c r="H47" s="8">
        <f>'Rev Req''t_Baseline_OH3PH'!G185*Net_Install_Taxable*Property_Tax_Rate_Assumption</f>
        <v>117959.83563819002</v>
      </c>
      <c r="I47" s="8">
        <f>'Rev Req''t_Baseline_OH3PH'!H185*Net_Install_Taxable*Property_Tax_Rate_Assumption</f>
        <v>178893.1496672302</v>
      </c>
      <c r="J47" s="8">
        <f>'Rev Req''t_Baseline_OH3PH'!I185*Net_Install_Taxable*Property_Tax_Rate_Assumption</f>
        <v>241166.99660490928</v>
      </c>
      <c r="K47" s="8">
        <f>'Rev Req''t_Baseline_OH3PH'!J185*Net_Install_Taxable*Property_Tax_Rate_Assumption</f>
        <v>304810.86817521724</v>
      </c>
      <c r="L47" s="8">
        <f>'Rev Req''t_Baseline_OH3PH'!K185*Net_Install_Taxable*Property_Tax_Rate_Assumption</f>
        <v>369854.90492007206</v>
      </c>
      <c r="M47" s="8">
        <f>'Rev Req''t_Baseline_OH3PH'!L185*Net_Install_Taxable*Property_Tax_Rate_Assumption</f>
        <v>436329.91047331365</v>
      </c>
      <c r="N47" s="8">
        <f>'Rev Req''t_Baseline_OH3PH'!M185*Net_Install_Taxable*Property_Tax_Rate_Assumption</f>
        <v>504267.36614872661</v>
      </c>
      <c r="O47" s="8">
        <f>'Rev Req''t_Baseline_OH3PH'!N185*Net_Install_Taxable*Property_Tax_Rate_Assumption</f>
        <v>504267.36614872661</v>
      </c>
      <c r="P47" s="8">
        <f>'Rev Req''t_Baseline_OH3PH'!O185*Net_Install_Taxable*Property_Tax_Rate_Assumption</f>
        <v>644659.03130267654</v>
      </c>
      <c r="Q47" s="8">
        <f>'Rev Req''t_Baseline_OH3PH'!P185*Net_Install_Taxable*Property_Tax_Rate_Assumption</f>
        <v>644659.03130267654</v>
      </c>
      <c r="R47" s="8">
        <f>'Rev Req''t_Baseline_OH3PH'!Q185*Net_Install_Taxable*Property_Tax_Rate_Assumption</f>
        <v>644659.03130267654</v>
      </c>
      <c r="S47" s="8">
        <f>'Rev Req''t_Baseline_OH3PH'!R185*Net_Install_Taxable*Property_Tax_Rate_Assumption</f>
        <v>644659.03130267654</v>
      </c>
      <c r="T47" s="8">
        <f>'Rev Req''t_Baseline_OH3PH'!S185*Net_Install_Taxable*Property_Tax_Rate_Assumption</f>
        <v>644659.03130267654</v>
      </c>
      <c r="U47" s="8">
        <f>'Rev Req''t_Baseline_OH3PH'!T185*Net_Install_Taxable*Property_Tax_Rate_Assumption</f>
        <v>644659.03130267654</v>
      </c>
      <c r="V47" s="8">
        <f>'Rev Req''t_Baseline_OH3PH'!U185*Net_Install_Taxable*Property_Tax_Rate_Assumption</f>
        <v>644659.03130267654</v>
      </c>
      <c r="W47" s="8">
        <f>'Rev Req''t_Baseline_OH3PH'!V185*Net_Install_Taxable*Property_Tax_Rate_Assumption</f>
        <v>644659.03130267654</v>
      </c>
      <c r="X47" s="8">
        <f>'Rev Req''t_Baseline_OH3PH'!W185*Net_Install_Taxable*Property_Tax_Rate_Assumption</f>
        <v>644659.03130267654</v>
      </c>
      <c r="Y47" s="8">
        <f>'Rev Req''t_Baseline_OH3PH'!X185*Net_Install_Taxable*Property_Tax_Rate_Assumption</f>
        <v>644659.03130267654</v>
      </c>
      <c r="Z47" s="8">
        <f>'Rev Req''t_Baseline_OH3PH'!Y185*Net_Install_Taxable*Property_Tax_Rate_Assumption</f>
        <v>644659.03130267654</v>
      </c>
      <c r="AA47" s="8">
        <f>'Rev Req''t_Baseline_OH3PH'!Z185*Net_Install_Taxable*Property_Tax_Rate_Assumption</f>
        <v>644659.03130267654</v>
      </c>
      <c r="AB47" s="8">
        <f>'Rev Req''t_Baseline_OH3PH'!AA185*Net_Install_Taxable*Property_Tax_Rate_Assumption</f>
        <v>644659.03130267654</v>
      </c>
      <c r="AC47" s="8">
        <f>'Rev Req''t_Baseline_OH3PH'!AB185*Net_Install_Taxable*Property_Tax_Rate_Assumption</f>
        <v>644659.03130267654</v>
      </c>
      <c r="AD47" s="8">
        <f>'Rev Req''t_Baseline_OH3PH'!AC185*Net_Install_Taxable*Property_Tax_Rate_Assumption</f>
        <v>644659.03130267654</v>
      </c>
      <c r="AE47" s="8">
        <f>'Rev Req''t_Baseline_OH3PH'!AD185*Net_Install_Taxable*Property_Tax_Rate_Assumption</f>
        <v>644659.03130267654</v>
      </c>
      <c r="AF47" s="8">
        <f>'Rev Req''t_Baseline_OH3PH'!AE185*Net_Install_Taxable*Property_Tax_Rate_Assumption</f>
        <v>644659.03130267654</v>
      </c>
      <c r="AG47" s="8">
        <f>'Rev Req''t_Baseline_OH3PH'!AF185*Net_Install_Taxable*Property_Tax_Rate_Assumption</f>
        <v>644659.03130267654</v>
      </c>
      <c r="AH47" s="8">
        <f>'Rev Req''t_Baseline_OH3PH'!AG185*Net_Install_Taxable*Property_Tax_Rate_Assumption</f>
        <v>644659.03130267654</v>
      </c>
      <c r="AI47" s="8">
        <f>'Rev Req''t_Baseline_OH3PH'!AH185*Net_Install_Taxable*Property_Tax_Rate_Assumption</f>
        <v>644659.03130267654</v>
      </c>
      <c r="AJ47" s="8">
        <f>'Rev Req''t_Baseline_OH3PH'!AI185*Net_Install_Taxable*Property_Tax_Rate_Assumption</f>
        <v>644659.03130267654</v>
      </c>
      <c r="AK47" s="8">
        <f>'Rev Req''t_Baseline_OH3PH'!AJ185*Net_Install_Taxable*Property_Tax_Rate_Assumption</f>
        <v>644659.03130267654</v>
      </c>
      <c r="AL47" s="8">
        <f>'Rev Req''t_Baseline_OH3PH'!AK185*Net_Install_Taxable*Property_Tax_Rate_Assumption</f>
        <v>644659.03130267654</v>
      </c>
      <c r="AM47" s="8">
        <f>'Rev Req''t_Baseline_OH3PH'!AL185*Net_Install_Taxable*Property_Tax_Rate_Assumption</f>
        <v>644659.03130267654</v>
      </c>
      <c r="AN47" s="8">
        <f>'Rev Req''t_Baseline_OH3PH'!AM185*Net_Install_Taxable*Property_Tax_Rate_Assumption</f>
        <v>644659.03130267654</v>
      </c>
      <c r="AO47" s="8">
        <f>'Rev Req''t_Baseline_OH3PH'!AN185*Net_Install_Taxable*Property_Tax_Rate_Assumption</f>
        <v>644659.03130267654</v>
      </c>
      <c r="AP47" s="8">
        <f>'Rev Req''t_Baseline_OH3PH'!AO185*Net_Install_Taxable*Property_Tax_Rate_Assumption</f>
        <v>644659.03130267654</v>
      </c>
      <c r="AQ47" s="8">
        <f>'Rev Req''t_Baseline_OH3PH'!AP185*Net_Install_Taxable*Property_Tax_Rate_Assumption</f>
        <v>644659.03130267654</v>
      </c>
      <c r="AR47" s="8">
        <f>'Rev Req''t_Baseline_OH3PH'!AQ185*Net_Install_Taxable*Property_Tax_Rate_Assumption</f>
        <v>644659.03130267654</v>
      </c>
      <c r="AS47" s="8">
        <f>'Rev Req''t_Baseline_OH3PH'!AR185*Net_Install_Taxable*Property_Tax_Rate_Assumption</f>
        <v>644659.03130267654</v>
      </c>
      <c r="AT47" s="8">
        <f>'Rev Req''t_Baseline_OH3PH'!AS185*Net_Install_Taxable*Property_Tax_Rate_Assumption</f>
        <v>644659.03130267654</v>
      </c>
      <c r="AU47" s="8">
        <f>'Rev Req''t_Baseline_OH3PH'!AT185*Net_Install_Taxable*Property_Tax_Rate_Assumption</f>
        <v>644659.03130267654</v>
      </c>
      <c r="AV47" s="8">
        <f>'Rev Req''t_Baseline_OH3PH'!AU185*Net_Install_Taxable*Property_Tax_Rate_Assumption</f>
        <v>644659.03130267654</v>
      </c>
      <c r="AW47" s="8">
        <f>'Rev Req''t_Baseline_OH3PH'!AV185*Net_Install_Taxable*Property_Tax_Rate_Assumption</f>
        <v>644659.03130267654</v>
      </c>
      <c r="AX47" s="8">
        <f>'Rev Req''t_Baseline_OH3PH'!AW185*Net_Install_Taxable*Property_Tax_Rate_Assumption</f>
        <v>644659.03130267654</v>
      </c>
      <c r="AY47" s="8">
        <f>'Rev Req''t_Baseline_OH3PH'!AX185*Net_Install_Taxable*Property_Tax_Rate_Assumption</f>
        <v>644659.03130267654</v>
      </c>
      <c r="AZ47" s="8">
        <f>'Rev Req''t_Baseline_OH3PH'!AY185*Net_Install_Taxable*Property_Tax_Rate_Assumption</f>
        <v>644659.03130267654</v>
      </c>
      <c r="BA47" s="8">
        <f>'Rev Req''t_Baseline_OH3PH'!AZ185*Net_Install_Taxable*Property_Tax_Rate_Assumption</f>
        <v>644659.03130267654</v>
      </c>
      <c r="BB47" s="8">
        <f>'Rev Req''t_Baseline_OH3PH'!BA185*Net_Install_Taxable*Property_Tax_Rate_Assumption</f>
        <v>644659.03130267654</v>
      </c>
      <c r="BC47" s="8">
        <f>'Rev Req''t_Baseline_OH3PH'!BB185*Net_Install_Taxable*Property_Tax_Rate_Assumption</f>
        <v>644659.03130267654</v>
      </c>
      <c r="BD47" s="8">
        <f>'Rev Req''t_Baseline_OH3PH'!BC185*Net_Install_Taxable*Property_Tax_Rate_Assumption</f>
        <v>644659.03130267654</v>
      </c>
      <c r="BE47" s="8">
        <f>'Rev Req''t_Baseline_OH3PH'!BD185*Net_Install_Taxable*Property_Tax_Rate_Assumption</f>
        <v>586320.83365767647</v>
      </c>
      <c r="BF47" s="8">
        <f>'Rev Req''t_Baseline_OH3PH'!BE185*Net_Install_Taxable*Property_Tax_Rate_Assumption</f>
        <v>526699.19566448661</v>
      </c>
      <c r="BG47" s="8">
        <f>'Rev Req''t_Baseline_OH3PH'!BF185*Net_Install_Taxable*Property_Tax_Rate_Assumption</f>
        <v>465765.88163544633</v>
      </c>
      <c r="BH47" s="8">
        <f>'Rev Req''t_Baseline_OH3PH'!BG185*Net_Install_Taxable*Property_Tax_Rate_Assumption</f>
        <v>403492.03469776735</v>
      </c>
      <c r="BI47" s="8">
        <f>'Rev Req''t_Baseline_OH3PH'!BH185*Net_Install_Taxable*Property_Tax_Rate_Assumption</f>
        <v>339848.16312745929</v>
      </c>
      <c r="BJ47" s="8">
        <f>'Rev Req''t_Baseline_OH3PH'!BI185*Net_Install_Taxable*Property_Tax_Rate_Assumption</f>
        <v>274804.12638260447</v>
      </c>
      <c r="BK47" s="8">
        <f>'Rev Req''t_Baseline_OH3PH'!BJ185*Net_Install_Taxable*Property_Tax_Rate_Assumption</f>
        <v>208329.12082936286</v>
      </c>
      <c r="BL47" s="8">
        <f>'Rev Req''t_Baseline_OH3PH'!BK185*Net_Install_Taxable*Property_Tax_Rate_Assumption</f>
        <v>140391.66515394996</v>
      </c>
      <c r="BM47" s="8">
        <f>'Rev Req''t_Baseline_OH3PH'!BL185*Net_Install_Taxable*Property_Tax_Rate_Assumption</f>
        <v>70959.585453677981</v>
      </c>
      <c r="BN47" s="8">
        <f>'Rev Req''t_Baseline_OH3PH'!BM185*Net_Install_Taxable*Property_Tax_Rate_Assumption</f>
        <v>0</v>
      </c>
      <c r="BO47" s="8">
        <f>'Rev Req''t_Baseline_OH3PH'!BN185*Net_Install_Taxable*Property_Tax_Rate_Assumption</f>
        <v>0</v>
      </c>
      <c r="BP47" s="8">
        <f>'Rev Req''t_Baseline_OH3PH'!BO185*Net_Install_Taxable*Property_Tax_Rate_Assumption</f>
        <v>0</v>
      </c>
      <c r="BQ47" s="8">
        <f>'Rev Req''t_Baseline_OH3PH'!BP185*Net_Install_Taxable*Property_Tax_Rate_Assumption</f>
        <v>0</v>
      </c>
    </row>
    <row r="48" spans="1:72" ht="19.5" thickBot="1" x14ac:dyDescent="0.45">
      <c r="A48" t="s">
        <v>39</v>
      </c>
      <c r="B48" t="s">
        <v>15</v>
      </c>
      <c r="C48" s="16" t="s">
        <v>136</v>
      </c>
      <c r="D48" s="16" t="s">
        <v>135</v>
      </c>
      <c r="E48" s="16" t="s">
        <v>420</v>
      </c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81"/>
      <c r="BS48" s="81"/>
      <c r="BT48" s="81"/>
    </row>
    <row r="49" spans="1:72" ht="19.5" thickTop="1" x14ac:dyDescent="0.4">
      <c r="C49" s="14" t="s">
        <v>161</v>
      </c>
      <c r="D49" s="14"/>
      <c r="E49" s="14"/>
      <c r="F49" s="15"/>
      <c r="G49" s="15">
        <f t="shared" ref="G49:AL49" si="12">SUM(G39:G48)</f>
        <v>670980.75098527945</v>
      </c>
      <c r="H49" s="15">
        <f t="shared" si="12"/>
        <v>1117924.8769826414</v>
      </c>
      <c r="I49" s="15">
        <f t="shared" si="12"/>
        <v>1562053.5160654618</v>
      </c>
      <c r="J49" s="15">
        <f t="shared" si="12"/>
        <v>2003824.7471779569</v>
      </c>
      <c r="K49" s="15">
        <f t="shared" si="12"/>
        <v>2443669.6124766381</v>
      </c>
      <c r="L49" s="15">
        <f t="shared" si="12"/>
        <v>2881994.2641670424</v>
      </c>
      <c r="M49" s="15">
        <f t="shared" si="12"/>
        <v>3319181.7096748212</v>
      </c>
      <c r="N49" s="15">
        <f t="shared" si="12"/>
        <v>3755593.5933720171</v>
      </c>
      <c r="O49" s="15">
        <f t="shared" si="12"/>
        <v>4122014.7733277627</v>
      </c>
      <c r="P49" s="15">
        <f t="shared" si="12"/>
        <v>4626798.0723210853</v>
      </c>
      <c r="Q49" s="15">
        <f t="shared" si="12"/>
        <v>4524921.4094569022</v>
      </c>
      <c r="R49" s="15">
        <f t="shared" si="12"/>
        <v>4424043.7923746724</v>
      </c>
      <c r="S49" s="15">
        <f t="shared" si="12"/>
        <v>4325813.6792578548</v>
      </c>
      <c r="T49" s="15">
        <f t="shared" si="12"/>
        <v>4229710.2952751163</v>
      </c>
      <c r="U49" s="15">
        <f t="shared" si="12"/>
        <v>4135244.7516905339</v>
      </c>
      <c r="V49" s="15">
        <f t="shared" si="12"/>
        <v>4041957.4132698686</v>
      </c>
      <c r="W49" s="15">
        <f t="shared" si="12"/>
        <v>3949415.7634510826</v>
      </c>
      <c r="X49" s="15">
        <f t="shared" si="12"/>
        <v>3857212.2225486115</v>
      </c>
      <c r="Y49" s="15">
        <f t="shared" si="12"/>
        <v>3765117.5087231905</v>
      </c>
      <c r="Z49" s="15">
        <f t="shared" si="12"/>
        <v>3673100.1196109825</v>
      </c>
      <c r="AA49" s="15">
        <f t="shared" si="12"/>
        <v>3582159.0347200404</v>
      </c>
      <c r="AB49" s="15">
        <f t="shared" si="12"/>
        <v>3494312.0424623815</v>
      </c>
      <c r="AC49" s="15">
        <f t="shared" si="12"/>
        <v>3410624.4912403002</v>
      </c>
      <c r="AD49" s="15">
        <f t="shared" si="12"/>
        <v>3331187.8887565802</v>
      </c>
      <c r="AE49" s="15">
        <f t="shared" si="12"/>
        <v>3256095.7558834651</v>
      </c>
      <c r="AF49" s="15">
        <f t="shared" si="12"/>
        <v>3185443.6709523867</v>
      </c>
      <c r="AG49" s="15">
        <f t="shared" si="12"/>
        <v>3119329.3150180723</v>
      </c>
      <c r="AH49" s="15">
        <f t="shared" si="12"/>
        <v>3057852.5181184495</v>
      </c>
      <c r="AI49" s="15">
        <f t="shared" si="12"/>
        <v>3001115.3065522807</v>
      </c>
      <c r="AJ49" s="15">
        <f t="shared" si="12"/>
        <v>2949221.9511969029</v>
      </c>
      <c r="AK49" s="15">
        <f t="shared" si="12"/>
        <v>2901039.2919001533</v>
      </c>
      <c r="AL49" s="15">
        <f t="shared" si="12"/>
        <v>2854170.0696790246</v>
      </c>
      <c r="AM49" s="15">
        <f t="shared" ref="AM49:BQ49" si="13">SUM(AM39:AM48)</f>
        <v>2807403.4551603813</v>
      </c>
      <c r="AN49" s="15">
        <f t="shared" si="13"/>
        <v>2760741.7057136768</v>
      </c>
      <c r="AO49" s="15">
        <f t="shared" si="13"/>
        <v>2714187.1283704946</v>
      </c>
      <c r="AP49" s="15">
        <f t="shared" si="13"/>
        <v>2667742.0809171116</v>
      </c>
      <c r="AQ49" s="15">
        <f t="shared" si="13"/>
        <v>2621408.9730111044</v>
      </c>
      <c r="AR49" s="15">
        <f t="shared" si="13"/>
        <v>2575190.2673225142</v>
      </c>
      <c r="AS49" s="15">
        <f t="shared" si="13"/>
        <v>2529088.4807001245</v>
      </c>
      <c r="AT49" s="15">
        <f t="shared" si="13"/>
        <v>2483106.1853633923</v>
      </c>
      <c r="AU49" s="15">
        <f t="shared" si="13"/>
        <v>2437246.0101206005</v>
      </c>
      <c r="AV49" s="15">
        <f t="shared" si="13"/>
        <v>2391510.6416138178</v>
      </c>
      <c r="AW49" s="15">
        <f t="shared" si="13"/>
        <v>2345902.8255912354</v>
      </c>
      <c r="AX49" s="15">
        <f t="shared" si="13"/>
        <v>2300425.368207505</v>
      </c>
      <c r="AY49" s="15">
        <f t="shared" si="13"/>
        <v>2255081.1373526827</v>
      </c>
      <c r="AZ49" s="15">
        <f t="shared" si="13"/>
        <v>2209873.0640104036</v>
      </c>
      <c r="BA49" s="15">
        <f t="shared" si="13"/>
        <v>2164804.1436459441</v>
      </c>
      <c r="BB49" s="15">
        <f t="shared" si="13"/>
        <v>2119877.4376248159</v>
      </c>
      <c r="BC49" s="15">
        <f t="shared" si="13"/>
        <v>2075096.0746625727</v>
      </c>
      <c r="BD49" s="15">
        <f t="shared" si="13"/>
        <v>2030463.2523065095</v>
      </c>
      <c r="BE49" s="15">
        <f t="shared" si="13"/>
        <v>1857730.3348165876</v>
      </c>
      <c r="BF49" s="15">
        <f t="shared" si="13"/>
        <v>1686994.5037564873</v>
      </c>
      <c r="BG49" s="15">
        <f t="shared" si="13"/>
        <v>1518299.6950276643</v>
      </c>
      <c r="BH49" s="15">
        <f t="shared" si="13"/>
        <v>1351690.8111214072</v>
      </c>
      <c r="BI49" s="15">
        <f t="shared" si="13"/>
        <v>1187213.7423838121</v>
      </c>
      <c r="BJ49" s="15">
        <f t="shared" si="13"/>
        <v>1024915.3887485897</v>
      </c>
      <c r="BK49" s="15">
        <f t="shared" si="13"/>
        <v>491543.76574123593</v>
      </c>
      <c r="BL49" s="15">
        <f t="shared" si="13"/>
        <v>325535.09384907677</v>
      </c>
      <c r="BM49" s="15">
        <f t="shared" si="13"/>
        <v>161671.44178988971</v>
      </c>
      <c r="BN49" s="15">
        <f t="shared" si="13"/>
        <v>8.1867619883269093E-11</v>
      </c>
      <c r="BO49" s="15">
        <f t="shared" si="13"/>
        <v>8.1867619883269093E-11</v>
      </c>
      <c r="BP49" s="15">
        <f t="shared" si="13"/>
        <v>8.1867619883269093E-11</v>
      </c>
      <c r="BQ49" s="15">
        <f t="shared" si="13"/>
        <v>8.1867619883269093E-11</v>
      </c>
      <c r="BR49" s="8"/>
    </row>
    <row r="50" spans="1:72" x14ac:dyDescent="0.4">
      <c r="C50" s="11" t="s">
        <v>162</v>
      </c>
      <c r="D50" s="11" t="s">
        <v>127</v>
      </c>
      <c r="E50" s="11"/>
      <c r="F50" s="50"/>
      <c r="G50" s="8">
        <f t="shared" ref="G50:AL50" si="14">SUM(G39:G40)</f>
        <v>390813.33646785957</v>
      </c>
      <c r="H50" s="8">
        <f t="shared" si="14"/>
        <v>780657.83827411011</v>
      </c>
      <c r="I50" s="8">
        <f t="shared" si="14"/>
        <v>1168203.7940268423</v>
      </c>
      <c r="J50" s="8">
        <f t="shared" si="14"/>
        <v>1553866.4196912132</v>
      </c>
      <c r="K50" s="8">
        <f t="shared" si="14"/>
        <v>1938035.1992366763</v>
      </c>
      <c r="L50" s="8">
        <f t="shared" si="14"/>
        <v>2321076.0005905293</v>
      </c>
      <c r="M50" s="8">
        <f t="shared" si="14"/>
        <v>2703332.7911328711</v>
      </c>
      <c r="N50" s="8">
        <f t="shared" si="14"/>
        <v>3085129.3909324408</v>
      </c>
      <c r="O50" s="8">
        <f t="shared" si="14"/>
        <v>3466646.1018723319</v>
      </c>
      <c r="P50" s="8">
        <f t="shared" si="14"/>
        <v>3847904.0339817759</v>
      </c>
      <c r="Q50" s="8">
        <f t="shared" si="14"/>
        <v>3743074.2009627866</v>
      </c>
      <c r="R50" s="8">
        <f t="shared" si="14"/>
        <v>3639178.443982346</v>
      </c>
      <c r="S50" s="8">
        <f t="shared" si="14"/>
        <v>3537863.7918895558</v>
      </c>
      <c r="T50" s="8">
        <f t="shared" si="14"/>
        <v>3438608.0090733729</v>
      </c>
      <c r="U50" s="8">
        <f t="shared" si="14"/>
        <v>3340920.7138810111</v>
      </c>
      <c r="V50" s="8">
        <f t="shared" si="14"/>
        <v>3244340.7453171955</v>
      </c>
      <c r="W50" s="8">
        <f t="shared" si="14"/>
        <v>3148434.0274921097</v>
      </c>
      <c r="X50" s="8">
        <f t="shared" si="14"/>
        <v>3052791.3870871998</v>
      </c>
      <c r="Y50" s="8">
        <f t="shared" si="14"/>
        <v>2957181.9135702867</v>
      </c>
      <c r="Z50" s="8">
        <f t="shared" si="14"/>
        <v>2861572.4400533736</v>
      </c>
      <c r="AA50" s="8">
        <f t="shared" si="14"/>
        <v>2766960.2449008231</v>
      </c>
      <c r="AB50" s="8">
        <f t="shared" si="14"/>
        <v>2675361.3779557999</v>
      </c>
      <c r="AC50" s="8">
        <f t="shared" si="14"/>
        <v>2587839.4108032333</v>
      </c>
      <c r="AD50" s="8">
        <f t="shared" si="14"/>
        <v>2504484.0352385566</v>
      </c>
      <c r="AE50" s="8">
        <f t="shared" si="14"/>
        <v>2425386.9162767036</v>
      </c>
      <c r="AF50" s="8">
        <f t="shared" si="14"/>
        <v>2350641.7355629355</v>
      </c>
      <c r="AG50" s="8">
        <f t="shared" si="14"/>
        <v>2280344.2357387119</v>
      </c>
      <c r="AH50" s="8">
        <f t="shared" si="14"/>
        <v>2214592.2657836024</v>
      </c>
      <c r="AI50" s="8">
        <f t="shared" si="14"/>
        <v>2153485.8273547255</v>
      </c>
      <c r="AJ50" s="8">
        <f t="shared" si="14"/>
        <v>2097127.1221456605</v>
      </c>
      <c r="AK50" s="8">
        <f t="shared" si="14"/>
        <v>2044380.8752984423</v>
      </c>
      <c r="AL50" s="8">
        <f t="shared" si="14"/>
        <v>1992847.6666007352</v>
      </c>
      <c r="AM50" s="8">
        <f t="shared" ref="AM50:BQ50" si="15">SUM(AM39:AM40)</f>
        <v>1941314.457903028</v>
      </c>
      <c r="AN50" s="8">
        <f t="shared" si="15"/>
        <v>1889781.2492053208</v>
      </c>
      <c r="AO50" s="8">
        <f t="shared" si="15"/>
        <v>1838248.0405076134</v>
      </c>
      <c r="AP50" s="8">
        <f t="shared" si="15"/>
        <v>1786714.8318099063</v>
      </c>
      <c r="AQ50" s="8">
        <f t="shared" si="15"/>
        <v>1735181.6231121991</v>
      </c>
      <c r="AR50" s="8">
        <f t="shared" si="15"/>
        <v>1683648.414414492</v>
      </c>
      <c r="AS50" s="8">
        <f t="shared" si="15"/>
        <v>1632115.2057167846</v>
      </c>
      <c r="AT50" s="8">
        <f t="shared" si="15"/>
        <v>1580581.9970190777</v>
      </c>
      <c r="AU50" s="8">
        <f t="shared" si="15"/>
        <v>1529048.7883213703</v>
      </c>
      <c r="AV50" s="8">
        <f t="shared" si="15"/>
        <v>1477515.5796236633</v>
      </c>
      <c r="AW50" s="8">
        <f t="shared" si="15"/>
        <v>1425982.3709259559</v>
      </c>
      <c r="AX50" s="8">
        <f t="shared" si="15"/>
        <v>1374449.1622282488</v>
      </c>
      <c r="AY50" s="8">
        <f t="shared" si="15"/>
        <v>1322915.9535305416</v>
      </c>
      <c r="AZ50" s="8">
        <f t="shared" si="15"/>
        <v>1271382.7448328342</v>
      </c>
      <c r="BA50" s="8">
        <f t="shared" si="15"/>
        <v>1219849.5361351273</v>
      </c>
      <c r="BB50" s="8">
        <f t="shared" si="15"/>
        <v>1168316.3274374199</v>
      </c>
      <c r="BC50" s="8">
        <f t="shared" si="15"/>
        <v>1116783.1187397128</v>
      </c>
      <c r="BD50" s="8">
        <f t="shared" si="15"/>
        <v>1065249.9100420056</v>
      </c>
      <c r="BE50" s="8">
        <f t="shared" si="15"/>
        <v>943802.99535592343</v>
      </c>
      <c r="BF50" s="8">
        <f t="shared" si="15"/>
        <v>825481.45916134724</v>
      </c>
      <c r="BG50" s="8">
        <f t="shared" si="15"/>
        <v>710354.05978509015</v>
      </c>
      <c r="BH50" s="8">
        <f t="shared" si="15"/>
        <v>598491.06823715521</v>
      </c>
      <c r="BI50" s="8">
        <f t="shared" si="15"/>
        <v>489964.30148976546</v>
      </c>
      <c r="BJ50" s="8">
        <f t="shared" si="15"/>
        <v>384847.1564885329</v>
      </c>
      <c r="BK50" s="8">
        <f t="shared" si="15"/>
        <v>283214.6449118731</v>
      </c>
      <c r="BL50" s="8">
        <f t="shared" si="15"/>
        <v>185143.42869512684</v>
      </c>
      <c r="BM50" s="8">
        <f t="shared" si="15"/>
        <v>90711.856336211727</v>
      </c>
      <c r="BN50" s="8">
        <f t="shared" si="15"/>
        <v>8.1867619883269093E-11</v>
      </c>
      <c r="BO50" s="8">
        <f t="shared" si="15"/>
        <v>8.1867619883269093E-11</v>
      </c>
      <c r="BP50" s="8">
        <f t="shared" si="15"/>
        <v>8.1867619883269093E-11</v>
      </c>
      <c r="BQ50" s="8">
        <f t="shared" si="15"/>
        <v>8.1867619883269093E-11</v>
      </c>
      <c r="BR50" s="8"/>
    </row>
    <row r="51" spans="1:72" x14ac:dyDescent="0.4">
      <c r="C51" s="11" t="s">
        <v>162</v>
      </c>
      <c r="D51" t="s">
        <v>136</v>
      </c>
      <c r="G51" s="8">
        <f t="shared" ref="G51:AL51" si="16">SUM(G41:G48)</f>
        <v>280167.41451741999</v>
      </c>
      <c r="H51" s="8">
        <f t="shared" si="16"/>
        <v>337267.03870853147</v>
      </c>
      <c r="I51" s="8">
        <f t="shared" si="16"/>
        <v>393849.72203861951</v>
      </c>
      <c r="J51" s="8">
        <f t="shared" si="16"/>
        <v>449958.32748674392</v>
      </c>
      <c r="K51" s="8">
        <f t="shared" si="16"/>
        <v>505634.41323996137</v>
      </c>
      <c r="L51" s="8">
        <f t="shared" si="16"/>
        <v>560918.26357651339</v>
      </c>
      <c r="M51" s="8">
        <f t="shared" si="16"/>
        <v>615848.91854195029</v>
      </c>
      <c r="N51" s="8">
        <f t="shared" si="16"/>
        <v>670464.20243957639</v>
      </c>
      <c r="O51" s="8">
        <f t="shared" si="16"/>
        <v>655368.67145543033</v>
      </c>
      <c r="P51" s="8">
        <f t="shared" si="16"/>
        <v>778894.03833930951</v>
      </c>
      <c r="Q51" s="8">
        <f t="shared" si="16"/>
        <v>781847.20849411539</v>
      </c>
      <c r="R51" s="8">
        <f t="shared" si="16"/>
        <v>784865.34839232708</v>
      </c>
      <c r="S51" s="8">
        <f t="shared" si="16"/>
        <v>787949.88736829942</v>
      </c>
      <c r="T51" s="8">
        <f t="shared" si="16"/>
        <v>791102.28620174318</v>
      </c>
      <c r="U51" s="8">
        <f t="shared" si="16"/>
        <v>794324.03780952259</v>
      </c>
      <c r="V51" s="8">
        <f t="shared" si="16"/>
        <v>797616.66795267328</v>
      </c>
      <c r="W51" s="8">
        <f t="shared" si="16"/>
        <v>800981.73595897318</v>
      </c>
      <c r="X51" s="8">
        <f t="shared" si="16"/>
        <v>804420.83546141163</v>
      </c>
      <c r="Y51" s="8">
        <f t="shared" si="16"/>
        <v>807935.59515290381</v>
      </c>
      <c r="Z51" s="8">
        <f t="shared" si="16"/>
        <v>811527.67955760891</v>
      </c>
      <c r="AA51" s="8">
        <f t="shared" si="16"/>
        <v>815198.7898192174</v>
      </c>
      <c r="AB51" s="8">
        <f t="shared" si="16"/>
        <v>818950.66450658126</v>
      </c>
      <c r="AC51" s="8">
        <f t="shared" si="16"/>
        <v>822785.0804370672</v>
      </c>
      <c r="AD51" s="8">
        <f t="shared" si="16"/>
        <v>826703.85351802385</v>
      </c>
      <c r="AE51" s="8">
        <f t="shared" si="16"/>
        <v>830708.83960676147</v>
      </c>
      <c r="AF51" s="8">
        <f t="shared" si="16"/>
        <v>834801.93538945122</v>
      </c>
      <c r="AG51" s="8">
        <f t="shared" si="16"/>
        <v>838985.07927936036</v>
      </c>
      <c r="AH51" s="8">
        <f t="shared" si="16"/>
        <v>843260.25233484735</v>
      </c>
      <c r="AI51" s="8">
        <f t="shared" si="16"/>
        <v>847629.47919755522</v>
      </c>
      <c r="AJ51" s="8">
        <f t="shared" si="16"/>
        <v>852094.82905124244</v>
      </c>
      <c r="AK51" s="8">
        <f t="shared" si="16"/>
        <v>856658.41660171095</v>
      </c>
      <c r="AL51" s="8">
        <f t="shared" si="16"/>
        <v>861322.4030782897</v>
      </c>
      <c r="AM51" s="8">
        <f t="shared" ref="AM51:BQ51" si="17">SUM(AM41:AM48)</f>
        <v>866088.99725735327</v>
      </c>
      <c r="AN51" s="8">
        <f t="shared" si="17"/>
        <v>870960.45650835615</v>
      </c>
      <c r="AO51" s="8">
        <f t="shared" si="17"/>
        <v>875939.08786288113</v>
      </c>
      <c r="AP51" s="8">
        <f t="shared" si="17"/>
        <v>881027.24910720554</v>
      </c>
      <c r="AQ51" s="8">
        <f t="shared" si="17"/>
        <v>886227.34989890526</v>
      </c>
      <c r="AR51" s="8">
        <f t="shared" si="17"/>
        <v>891541.85290802224</v>
      </c>
      <c r="AS51" s="8">
        <f t="shared" si="17"/>
        <v>896973.27498333994</v>
      </c>
      <c r="AT51" s="8">
        <f t="shared" si="17"/>
        <v>902524.18834431446</v>
      </c>
      <c r="AU51" s="8">
        <f t="shared" si="17"/>
        <v>908197.22179923044</v>
      </c>
      <c r="AV51" s="8">
        <f t="shared" si="17"/>
        <v>913995.06199015467</v>
      </c>
      <c r="AW51" s="8">
        <f t="shared" si="17"/>
        <v>919920.45466527925</v>
      </c>
      <c r="AX51" s="8">
        <f t="shared" si="17"/>
        <v>925976.20597925643</v>
      </c>
      <c r="AY51" s="8">
        <f t="shared" si="17"/>
        <v>932165.18382214126</v>
      </c>
      <c r="AZ51" s="8">
        <f t="shared" si="17"/>
        <v>938490.31917756936</v>
      </c>
      <c r="BA51" s="8">
        <f t="shared" si="17"/>
        <v>944954.607510817</v>
      </c>
      <c r="BB51" s="8">
        <f t="shared" si="17"/>
        <v>951561.11018739617</v>
      </c>
      <c r="BC51" s="8">
        <f t="shared" si="17"/>
        <v>958312.95592285995</v>
      </c>
      <c r="BD51" s="8">
        <f t="shared" si="17"/>
        <v>965213.34226450406</v>
      </c>
      <c r="BE51" s="8">
        <f t="shared" si="17"/>
        <v>913927.3394606642</v>
      </c>
      <c r="BF51" s="8">
        <f t="shared" si="17"/>
        <v>861513.04459514003</v>
      </c>
      <c r="BG51" s="8">
        <f t="shared" si="17"/>
        <v>807945.63524257415</v>
      </c>
      <c r="BH51" s="8">
        <f t="shared" si="17"/>
        <v>753199.74288425199</v>
      </c>
      <c r="BI51" s="8">
        <f t="shared" si="17"/>
        <v>697249.44089404657</v>
      </c>
      <c r="BJ51" s="8">
        <f t="shared" si="17"/>
        <v>640068.23226005677</v>
      </c>
      <c r="BK51" s="8">
        <f t="shared" si="17"/>
        <v>208329.12082936286</v>
      </c>
      <c r="BL51" s="8">
        <f t="shared" si="17"/>
        <v>140391.66515394996</v>
      </c>
      <c r="BM51" s="8">
        <f t="shared" si="17"/>
        <v>70959.585453677981</v>
      </c>
      <c r="BN51" s="8">
        <f t="shared" si="17"/>
        <v>0</v>
      </c>
      <c r="BO51" s="8">
        <f t="shared" si="17"/>
        <v>0</v>
      </c>
      <c r="BP51" s="8">
        <f t="shared" si="17"/>
        <v>0</v>
      </c>
      <c r="BQ51" s="8">
        <f t="shared" si="17"/>
        <v>0</v>
      </c>
    </row>
    <row r="52" spans="1:72" x14ac:dyDescent="0.4">
      <c r="C52" s="11" t="s">
        <v>162</v>
      </c>
      <c r="D52" t="s">
        <v>164</v>
      </c>
      <c r="G52" s="8">
        <f>SUM(G43:G46,G48)</f>
        <v>0</v>
      </c>
      <c r="H52" s="8">
        <f t="shared" ref="H52:BQ52" si="18">SUM(H43:H46,H48)</f>
        <v>0</v>
      </c>
      <c r="I52" s="8">
        <f t="shared" si="18"/>
        <v>0</v>
      </c>
      <c r="J52" s="8">
        <f t="shared" si="18"/>
        <v>0</v>
      </c>
      <c r="K52" s="8">
        <f t="shared" si="18"/>
        <v>0</v>
      </c>
      <c r="L52" s="8">
        <f t="shared" si="18"/>
        <v>0</v>
      </c>
      <c r="M52" s="8">
        <f t="shared" si="18"/>
        <v>0</v>
      </c>
      <c r="N52" s="8">
        <f t="shared" si="18"/>
        <v>0</v>
      </c>
      <c r="O52" s="8">
        <f t="shared" si="18"/>
        <v>0</v>
      </c>
      <c r="P52" s="8">
        <f t="shared" si="18"/>
        <v>0</v>
      </c>
      <c r="Q52" s="8">
        <f t="shared" si="18"/>
        <v>0</v>
      </c>
      <c r="R52" s="8">
        <f t="shared" si="18"/>
        <v>0</v>
      </c>
      <c r="S52" s="8">
        <f t="shared" si="18"/>
        <v>0</v>
      </c>
      <c r="T52" s="8">
        <f t="shared" si="18"/>
        <v>0</v>
      </c>
      <c r="U52" s="8">
        <f t="shared" si="18"/>
        <v>0</v>
      </c>
      <c r="V52" s="8">
        <f t="shared" si="18"/>
        <v>0</v>
      </c>
      <c r="W52" s="8">
        <f t="shared" si="18"/>
        <v>0</v>
      </c>
      <c r="X52" s="8">
        <f t="shared" si="18"/>
        <v>0</v>
      </c>
      <c r="Y52" s="8">
        <f t="shared" si="18"/>
        <v>0</v>
      </c>
      <c r="Z52" s="8">
        <f t="shared" si="18"/>
        <v>0</v>
      </c>
      <c r="AA52" s="8">
        <f t="shared" si="18"/>
        <v>0</v>
      </c>
      <c r="AB52" s="8">
        <f t="shared" si="18"/>
        <v>0</v>
      </c>
      <c r="AC52" s="8">
        <f t="shared" si="18"/>
        <v>0</v>
      </c>
      <c r="AD52" s="8">
        <f t="shared" si="18"/>
        <v>0</v>
      </c>
      <c r="AE52" s="8">
        <f t="shared" si="18"/>
        <v>0</v>
      </c>
      <c r="AF52" s="8">
        <f t="shared" si="18"/>
        <v>0</v>
      </c>
      <c r="AG52" s="8">
        <f t="shared" si="18"/>
        <v>0</v>
      </c>
      <c r="AH52" s="8">
        <f t="shared" si="18"/>
        <v>0</v>
      </c>
      <c r="AI52" s="8">
        <f t="shared" si="18"/>
        <v>0</v>
      </c>
      <c r="AJ52" s="8">
        <f t="shared" si="18"/>
        <v>0</v>
      </c>
      <c r="AK52" s="8">
        <f t="shared" si="18"/>
        <v>0</v>
      </c>
      <c r="AL52" s="8">
        <f t="shared" si="18"/>
        <v>0</v>
      </c>
      <c r="AM52" s="8">
        <f t="shared" si="18"/>
        <v>0</v>
      </c>
      <c r="AN52" s="8">
        <f t="shared" si="18"/>
        <v>0</v>
      </c>
      <c r="AO52" s="8">
        <f t="shared" si="18"/>
        <v>0</v>
      </c>
      <c r="AP52" s="8">
        <f t="shared" si="18"/>
        <v>0</v>
      </c>
      <c r="AQ52" s="8">
        <f t="shared" si="18"/>
        <v>0</v>
      </c>
      <c r="AR52" s="8">
        <f t="shared" si="18"/>
        <v>0</v>
      </c>
      <c r="AS52" s="8">
        <f t="shared" si="18"/>
        <v>0</v>
      </c>
      <c r="AT52" s="8">
        <f t="shared" si="18"/>
        <v>0</v>
      </c>
      <c r="AU52" s="8">
        <f t="shared" si="18"/>
        <v>0</v>
      </c>
      <c r="AV52" s="8">
        <f t="shared" si="18"/>
        <v>0</v>
      </c>
      <c r="AW52" s="8">
        <f t="shared" si="18"/>
        <v>0</v>
      </c>
      <c r="AX52" s="8">
        <f t="shared" si="18"/>
        <v>0</v>
      </c>
      <c r="AY52" s="8">
        <f t="shared" si="18"/>
        <v>0</v>
      </c>
      <c r="AZ52" s="8">
        <f t="shared" si="18"/>
        <v>0</v>
      </c>
      <c r="BA52" s="8">
        <f t="shared" si="18"/>
        <v>0</v>
      </c>
      <c r="BB52" s="8">
        <f t="shared" si="18"/>
        <v>0</v>
      </c>
      <c r="BC52" s="8">
        <f t="shared" si="18"/>
        <v>0</v>
      </c>
      <c r="BD52" s="8">
        <f t="shared" si="18"/>
        <v>0</v>
      </c>
      <c r="BE52" s="8">
        <f t="shared" si="18"/>
        <v>0</v>
      </c>
      <c r="BF52" s="8">
        <f t="shared" si="18"/>
        <v>0</v>
      </c>
      <c r="BG52" s="8">
        <f t="shared" si="18"/>
        <v>0</v>
      </c>
      <c r="BH52" s="8">
        <f t="shared" si="18"/>
        <v>0</v>
      </c>
      <c r="BI52" s="8">
        <f t="shared" si="18"/>
        <v>0</v>
      </c>
      <c r="BJ52" s="8">
        <f t="shared" si="18"/>
        <v>0</v>
      </c>
      <c r="BK52" s="8">
        <f t="shared" si="18"/>
        <v>0</v>
      </c>
      <c r="BL52" s="8">
        <f t="shared" si="18"/>
        <v>0</v>
      </c>
      <c r="BM52" s="8">
        <f t="shared" si="18"/>
        <v>0</v>
      </c>
      <c r="BN52" s="8">
        <f t="shared" si="18"/>
        <v>0</v>
      </c>
      <c r="BO52" s="8">
        <f t="shared" si="18"/>
        <v>0</v>
      </c>
      <c r="BP52" s="8">
        <f t="shared" si="18"/>
        <v>0</v>
      </c>
      <c r="BQ52" s="8">
        <f t="shared" si="18"/>
        <v>0</v>
      </c>
    </row>
    <row r="53" spans="1:72" x14ac:dyDescent="0.4">
      <c r="C53" s="11" t="s">
        <v>162</v>
      </c>
      <c r="D53" t="s">
        <v>165</v>
      </c>
      <c r="G53" s="8">
        <f>G41</f>
        <v>133638.12532538699</v>
      </c>
      <c r="H53" s="8">
        <f t="shared" ref="H53:BQ53" si="19">H41</f>
        <v>135890.49178917136</v>
      </c>
      <c r="I53" s="8">
        <f t="shared" si="19"/>
        <v>136264.63010126643</v>
      </c>
      <c r="J53" s="8">
        <f t="shared" si="19"/>
        <v>134777.01670250887</v>
      </c>
      <c r="K53" s="8">
        <f t="shared" si="19"/>
        <v>131442.16070434824</v>
      </c>
      <c r="L53" s="8">
        <f t="shared" si="19"/>
        <v>126272.62208557656</v>
      </c>
      <c r="M53" s="8">
        <f t="shared" si="19"/>
        <v>119279.02835937607</v>
      </c>
      <c r="N53" s="8">
        <f t="shared" si="19"/>
        <v>110470.08972597617</v>
      </c>
      <c r="O53" s="8">
        <f t="shared" si="19"/>
        <v>99852.612725152867</v>
      </c>
      <c r="P53" s="8">
        <f t="shared" si="19"/>
        <v>87431.512401760934</v>
      </c>
      <c r="Q53" s="8">
        <f t="shared" si="19"/>
        <v>89355.00567459967</v>
      </c>
      <c r="R53" s="8">
        <f t="shared" si="19"/>
        <v>91320.815799440868</v>
      </c>
      <c r="S53" s="8">
        <f t="shared" si="19"/>
        <v>93329.873747028571</v>
      </c>
      <c r="T53" s="8">
        <f t="shared" si="19"/>
        <v>95383.130969463207</v>
      </c>
      <c r="U53" s="8">
        <f t="shared" si="19"/>
        <v>97481.559850791396</v>
      </c>
      <c r="V53" s="8">
        <f t="shared" si="19"/>
        <v>99626.154167508808</v>
      </c>
      <c r="W53" s="8">
        <f t="shared" si="19"/>
        <v>101817.929559194</v>
      </c>
      <c r="X53" s="8">
        <f t="shared" si="19"/>
        <v>104057.92400949627</v>
      </c>
      <c r="Y53" s="8">
        <f t="shared" si="19"/>
        <v>106347.19833770519</v>
      </c>
      <c r="Z53" s="8">
        <f t="shared" si="19"/>
        <v>108686.83670113471</v>
      </c>
      <c r="AA53" s="8">
        <f t="shared" si="19"/>
        <v>111077.94710855967</v>
      </c>
      <c r="AB53" s="8">
        <f t="shared" si="19"/>
        <v>113521.66194494799</v>
      </c>
      <c r="AC53" s="8">
        <f t="shared" si="19"/>
        <v>116019.13850773685</v>
      </c>
      <c r="AD53" s="8">
        <f t="shared" si="19"/>
        <v>118571.55955490706</v>
      </c>
      <c r="AE53" s="8">
        <f t="shared" si="19"/>
        <v>121180.13386511501</v>
      </c>
      <c r="AF53" s="8">
        <f t="shared" si="19"/>
        <v>123846.09681014754</v>
      </c>
      <c r="AG53" s="8">
        <f t="shared" si="19"/>
        <v>126570.7109399708</v>
      </c>
      <c r="AH53" s="8">
        <f t="shared" si="19"/>
        <v>129355.26658065016</v>
      </c>
      <c r="AI53" s="8">
        <f t="shared" si="19"/>
        <v>132201.08244542446</v>
      </c>
      <c r="AJ53" s="8">
        <f t="shared" si="19"/>
        <v>135109.5062592238</v>
      </c>
      <c r="AK53" s="8">
        <f t="shared" si="19"/>
        <v>138081.91539692672</v>
      </c>
      <c r="AL53" s="8">
        <f t="shared" si="19"/>
        <v>141119.71753565912</v>
      </c>
      <c r="AM53" s="8">
        <f t="shared" si="19"/>
        <v>144224.35132144362</v>
      </c>
      <c r="AN53" s="8">
        <f t="shared" si="19"/>
        <v>147397.28705051538</v>
      </c>
      <c r="AO53" s="8">
        <f t="shared" si="19"/>
        <v>150640.02736562674</v>
      </c>
      <c r="AP53" s="8">
        <f t="shared" si="19"/>
        <v>153954.10796767054</v>
      </c>
      <c r="AQ53" s="8">
        <f t="shared" si="19"/>
        <v>157341.0983429593</v>
      </c>
      <c r="AR53" s="8">
        <f t="shared" si="19"/>
        <v>160802.60250650442</v>
      </c>
      <c r="AS53" s="8">
        <f t="shared" si="19"/>
        <v>164340.25976164753</v>
      </c>
      <c r="AT53" s="8">
        <f t="shared" si="19"/>
        <v>167955.74547640377</v>
      </c>
      <c r="AU53" s="8">
        <f t="shared" si="19"/>
        <v>171650.77187688465</v>
      </c>
      <c r="AV53" s="8">
        <f t="shared" si="19"/>
        <v>175427.08885817611</v>
      </c>
      <c r="AW53" s="8">
        <f t="shared" si="19"/>
        <v>179286.48481305598</v>
      </c>
      <c r="AX53" s="8">
        <f t="shared" si="19"/>
        <v>183230.78747894321</v>
      </c>
      <c r="AY53" s="8">
        <f t="shared" si="19"/>
        <v>187261.86480347996</v>
      </c>
      <c r="AZ53" s="8">
        <f t="shared" si="19"/>
        <v>191381.62582915652</v>
      </c>
      <c r="BA53" s="8">
        <f t="shared" si="19"/>
        <v>195592.02159739795</v>
      </c>
      <c r="BB53" s="8">
        <f t="shared" si="19"/>
        <v>199895.04607254072</v>
      </c>
      <c r="BC53" s="8">
        <f t="shared" si="19"/>
        <v>204292.73708613662</v>
      </c>
      <c r="BD53" s="8">
        <f t="shared" si="19"/>
        <v>208787.17730203163</v>
      </c>
      <c r="BE53" s="8">
        <f t="shared" si="19"/>
        <v>213380.49520267633</v>
      </c>
      <c r="BF53" s="8">
        <f t="shared" si="19"/>
        <v>218074.86609713521</v>
      </c>
      <c r="BG53" s="8">
        <f t="shared" si="19"/>
        <v>222872.5131512722</v>
      </c>
      <c r="BH53" s="8">
        <f t="shared" si="19"/>
        <v>227775.7084406002</v>
      </c>
      <c r="BI53" s="8">
        <f t="shared" si="19"/>
        <v>232786.77402629339</v>
      </c>
      <c r="BJ53" s="8">
        <f t="shared" si="19"/>
        <v>237908.08305487185</v>
      </c>
      <c r="BK53" s="8">
        <f t="shared" si="19"/>
        <v>0</v>
      </c>
      <c r="BL53" s="8">
        <f t="shared" si="19"/>
        <v>0</v>
      </c>
      <c r="BM53" s="8">
        <f t="shared" si="19"/>
        <v>0</v>
      </c>
      <c r="BN53" s="8">
        <f t="shared" si="19"/>
        <v>0</v>
      </c>
      <c r="BO53" s="8">
        <f t="shared" si="19"/>
        <v>0</v>
      </c>
      <c r="BP53" s="8">
        <f t="shared" si="19"/>
        <v>0</v>
      </c>
      <c r="BQ53" s="8">
        <f t="shared" si="19"/>
        <v>0</v>
      </c>
    </row>
    <row r="55" spans="1:72" x14ac:dyDescent="0.4">
      <c r="B55" s="11" t="s">
        <v>429</v>
      </c>
    </row>
    <row r="56" spans="1:72" x14ac:dyDescent="0.4">
      <c r="A56" t="s">
        <v>70</v>
      </c>
      <c r="B56" t="s">
        <v>149</v>
      </c>
      <c r="C56" s="5" t="s">
        <v>150</v>
      </c>
      <c r="D56" s="5" t="s">
        <v>151</v>
      </c>
      <c r="E56" s="5" t="s">
        <v>152</v>
      </c>
      <c r="F56" s="5">
        <v>2027</v>
      </c>
      <c r="G56" s="5">
        <v>2028</v>
      </c>
      <c r="H56" s="5">
        <v>2029</v>
      </c>
      <c r="I56" s="5">
        <v>2030</v>
      </c>
      <c r="J56" s="5">
        <v>2031</v>
      </c>
      <c r="K56" s="5">
        <v>2032</v>
      </c>
      <c r="L56" s="5">
        <v>2033</v>
      </c>
      <c r="M56" s="5">
        <v>2034</v>
      </c>
      <c r="N56" s="5">
        <v>2035</v>
      </c>
      <c r="O56" s="5">
        <v>2036</v>
      </c>
      <c r="P56" s="5">
        <v>2037</v>
      </c>
      <c r="Q56" s="5">
        <v>2038</v>
      </c>
      <c r="R56" s="5">
        <v>2039</v>
      </c>
      <c r="S56" s="5">
        <v>2040</v>
      </c>
      <c r="T56" s="5">
        <v>2041</v>
      </c>
      <c r="U56" s="5">
        <v>2042</v>
      </c>
      <c r="V56" s="5">
        <v>2043</v>
      </c>
      <c r="W56" s="5">
        <v>2044</v>
      </c>
      <c r="X56" s="5">
        <v>2045</v>
      </c>
      <c r="Y56" s="5">
        <v>2046</v>
      </c>
      <c r="Z56" s="5">
        <v>2047</v>
      </c>
      <c r="AA56" s="5">
        <v>2048</v>
      </c>
      <c r="AB56" s="5">
        <v>2049</v>
      </c>
      <c r="AC56" s="5">
        <v>2050</v>
      </c>
      <c r="AD56" s="5">
        <v>2051</v>
      </c>
      <c r="AE56" s="5">
        <v>2052</v>
      </c>
      <c r="AF56" s="5">
        <v>2053</v>
      </c>
      <c r="AG56" s="5">
        <v>2054</v>
      </c>
      <c r="AH56" s="5">
        <v>2055</v>
      </c>
      <c r="AI56" s="5">
        <v>2056</v>
      </c>
      <c r="AJ56" s="5">
        <v>2057</v>
      </c>
      <c r="AK56" s="5">
        <v>2058</v>
      </c>
      <c r="AL56" s="5">
        <v>2059</v>
      </c>
      <c r="AM56" s="5">
        <v>2060</v>
      </c>
      <c r="AN56" s="5">
        <v>2061</v>
      </c>
      <c r="AO56" s="5">
        <v>2062</v>
      </c>
      <c r="AP56" s="5">
        <v>2063</v>
      </c>
      <c r="AQ56" s="5">
        <v>2064</v>
      </c>
      <c r="AR56" s="5">
        <v>2065</v>
      </c>
      <c r="AS56" s="5">
        <v>2066</v>
      </c>
      <c r="AT56" s="5">
        <v>2067</v>
      </c>
      <c r="AU56" s="5">
        <v>2068</v>
      </c>
      <c r="AV56" s="5">
        <v>2069</v>
      </c>
      <c r="AW56" s="5">
        <v>2070</v>
      </c>
      <c r="AX56" s="5">
        <v>2071</v>
      </c>
      <c r="AY56" s="5">
        <v>2072</v>
      </c>
      <c r="AZ56" s="5">
        <v>2073</v>
      </c>
      <c r="BA56" s="5">
        <v>2074</v>
      </c>
      <c r="BB56" s="5">
        <v>2075</v>
      </c>
      <c r="BC56" s="5">
        <v>2076</v>
      </c>
      <c r="BD56" s="5">
        <v>2077</v>
      </c>
      <c r="BE56" s="5">
        <v>2078</v>
      </c>
      <c r="BF56" s="5">
        <v>2079</v>
      </c>
      <c r="BG56" s="5">
        <v>2080</v>
      </c>
      <c r="BH56" s="5">
        <v>2081</v>
      </c>
      <c r="BI56" s="5">
        <v>2082</v>
      </c>
      <c r="BJ56" s="5">
        <v>2083</v>
      </c>
      <c r="BK56" s="5">
        <v>2084</v>
      </c>
      <c r="BL56" s="5">
        <v>2085</v>
      </c>
      <c r="BM56" s="5">
        <v>2086</v>
      </c>
      <c r="BN56" s="5">
        <v>2087</v>
      </c>
      <c r="BO56" s="5">
        <v>2088</v>
      </c>
      <c r="BP56" s="5">
        <v>2089</v>
      </c>
      <c r="BQ56" s="5">
        <v>2090</v>
      </c>
      <c r="BR56" s="5">
        <v>2091</v>
      </c>
      <c r="BS56" s="5">
        <v>2092</v>
      </c>
      <c r="BT56" s="5">
        <v>2093</v>
      </c>
    </row>
    <row r="57" spans="1:72" x14ac:dyDescent="0.4">
      <c r="C57" s="216"/>
      <c r="D57" s="216"/>
      <c r="E57" s="216"/>
      <c r="F57" s="216"/>
      <c r="G57" s="216"/>
      <c r="H57" s="216"/>
      <c r="I57" s="216"/>
      <c r="J57" s="216"/>
      <c r="K57" s="216"/>
      <c r="L57" s="216"/>
      <c r="M57" s="216"/>
      <c r="N57" s="216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</row>
    <row r="58" spans="1:72" x14ac:dyDescent="0.4">
      <c r="A58" t="s">
        <v>37</v>
      </c>
      <c r="B58" t="s">
        <v>16</v>
      </c>
      <c r="C58" t="s">
        <v>127</v>
      </c>
      <c r="D58" t="s">
        <v>154</v>
      </c>
      <c r="E58" t="s">
        <v>431</v>
      </c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44"/>
      <c r="BR58" s="81"/>
      <c r="BS58" s="81"/>
      <c r="BT58" s="81"/>
    </row>
    <row r="59" spans="1:72" x14ac:dyDescent="0.4">
      <c r="A59" t="s">
        <v>37</v>
      </c>
      <c r="B59" t="s">
        <v>16</v>
      </c>
      <c r="C59" t="s">
        <v>127</v>
      </c>
      <c r="D59" t="s">
        <v>166</v>
      </c>
      <c r="E59" t="s">
        <v>431</v>
      </c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  <c r="BR59" s="81"/>
      <c r="BS59" s="81"/>
      <c r="BT59" s="81"/>
    </row>
    <row r="60" spans="1:72" x14ac:dyDescent="0.4">
      <c r="A60" t="s">
        <v>37</v>
      </c>
      <c r="B60" t="s">
        <v>16</v>
      </c>
      <c r="C60" t="s">
        <v>127</v>
      </c>
      <c r="D60" t="s">
        <v>156</v>
      </c>
      <c r="E60" t="s">
        <v>431</v>
      </c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81"/>
      <c r="BS60" s="81"/>
      <c r="BT60" s="81"/>
    </row>
    <row r="61" spans="1:72" x14ac:dyDescent="0.4">
      <c r="A61" t="s">
        <v>37</v>
      </c>
      <c r="B61" t="s">
        <v>16</v>
      </c>
      <c r="C61" t="s">
        <v>127</v>
      </c>
      <c r="D61" t="s">
        <v>157</v>
      </c>
      <c r="E61" t="s">
        <v>431</v>
      </c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  <c r="BQ61" s="44"/>
      <c r="BR61" s="81"/>
      <c r="BS61" s="81"/>
      <c r="BT61" s="81"/>
    </row>
    <row r="62" spans="1:72" x14ac:dyDescent="0.4">
      <c r="A62" t="s">
        <v>37</v>
      </c>
      <c r="B62" t="s">
        <v>16</v>
      </c>
      <c r="C62" t="s">
        <v>127</v>
      </c>
      <c r="D62" t="s">
        <v>158</v>
      </c>
      <c r="E62" t="s">
        <v>431</v>
      </c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  <c r="BR62" s="81"/>
      <c r="BS62" s="81"/>
      <c r="BT62" s="81"/>
    </row>
    <row r="63" spans="1:72" x14ac:dyDescent="0.4">
      <c r="A63" t="s">
        <v>37</v>
      </c>
      <c r="B63" t="s">
        <v>16</v>
      </c>
      <c r="C63" t="s">
        <v>127</v>
      </c>
      <c r="D63" t="s">
        <v>159</v>
      </c>
      <c r="E63" t="s">
        <v>431</v>
      </c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81"/>
      <c r="BS63" s="81"/>
      <c r="BT63" s="81"/>
    </row>
    <row r="64" spans="1:72" x14ac:dyDescent="0.4">
      <c r="A64" t="s">
        <v>37</v>
      </c>
      <c r="B64" t="s">
        <v>16</v>
      </c>
      <c r="C64" t="s">
        <v>127</v>
      </c>
      <c r="D64" t="s">
        <v>7</v>
      </c>
      <c r="E64" t="s">
        <v>431</v>
      </c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  <c r="BM64" s="44"/>
      <c r="BN64" s="44"/>
      <c r="BO64" s="44"/>
      <c r="BP64" s="44"/>
      <c r="BQ64" s="44"/>
      <c r="BR64" s="81"/>
      <c r="BS64" s="81"/>
      <c r="BT64" s="81"/>
    </row>
    <row r="65" spans="1:74" x14ac:dyDescent="0.4">
      <c r="C65" s="216"/>
      <c r="D65" s="216"/>
      <c r="E65" s="216"/>
      <c r="F65" s="216"/>
      <c r="G65" s="216"/>
      <c r="H65" s="216"/>
      <c r="I65" s="216"/>
      <c r="J65" s="216"/>
      <c r="K65" s="216"/>
      <c r="L65" s="216"/>
      <c r="M65" s="216"/>
      <c r="N65" s="216"/>
      <c r="O65" s="216"/>
      <c r="P65" s="216"/>
      <c r="Q65" s="216"/>
      <c r="R65" s="216"/>
      <c r="S65" s="216"/>
      <c r="T65" s="216"/>
      <c r="U65" s="216"/>
      <c r="V65" s="216"/>
      <c r="W65" s="216"/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</row>
    <row r="66" spans="1:74" x14ac:dyDescent="0.4">
      <c r="A66" t="s">
        <v>37</v>
      </c>
      <c r="B66" t="s">
        <v>16</v>
      </c>
      <c r="C66" t="s">
        <v>127</v>
      </c>
      <c r="D66" t="s">
        <v>128</v>
      </c>
      <c r="F66" s="8"/>
      <c r="G66" s="8">
        <f>'Rev Req''t_Baseline_UG1PH'!F27+'Rev Req''t_Baseline_UG1PH'!F44+'Rev Req''t_Baseline_UG1PH'!F61+'Rev Req''t_Baseline_UG1PH'!F78+'Rev Req''t_Baseline_UG1PH'!F95+'Rev Req''t_Baseline_UG1PH'!F112+'Rev Req''t_Baseline_UG1PH'!F129+'Rev Req''t_Baseline_UG1PH'!F146+'Rev Req''t_Baseline_UG1PH'!F163+'Rev Req''t_Baseline_UG1PH'!F180</f>
        <v>263185.51879002718</v>
      </c>
      <c r="H66" s="8">
        <f>'Rev Req''t_Baseline_UG1PH'!G27+'Rev Req''t_Baseline_UG1PH'!G44+'Rev Req''t_Baseline_UG1PH'!G61+'Rev Req''t_Baseline_UG1PH'!G78+'Rev Req''t_Baseline_UG1PH'!G95+'Rev Req''t_Baseline_UG1PH'!G112+'Rev Req''t_Baseline_UG1PH'!G129+'Rev Req''t_Baseline_UG1PH'!G146+'Rev Req''t_Baseline_UG1PH'!G163+'Rev Req''t_Baseline_UG1PH'!G180</f>
        <v>524257.5469010832</v>
      </c>
      <c r="I66" s="8">
        <f>'Rev Req''t_Baseline_UG1PH'!H27+'Rev Req''t_Baseline_UG1PH'!H44+'Rev Req''t_Baseline_UG1PH'!H61+'Rev Req''t_Baseline_UG1PH'!H78+'Rev Req''t_Baseline_UG1PH'!H95+'Rev Req''t_Baseline_UG1PH'!H112+'Rev Req''t_Baseline_UG1PH'!H129+'Rev Req''t_Baseline_UG1PH'!H146+'Rev Req''t_Baseline_UG1PH'!H163+'Rev Req''t_Baseline_UG1PH'!H180</f>
        <v>782088.65263782954</v>
      </c>
      <c r="J66" s="8">
        <f>'Rev Req''t_Baseline_UG1PH'!I27+'Rev Req''t_Baseline_UG1PH'!I44+'Rev Req''t_Baseline_UG1PH'!I61+'Rev Req''t_Baseline_UG1PH'!I78+'Rev Req''t_Baseline_UG1PH'!I95+'Rev Req''t_Baseline_UG1PH'!I112+'Rev Req''t_Baseline_UG1PH'!I129+'Rev Req''t_Baseline_UG1PH'!I146+'Rev Req''t_Baseline_UG1PH'!I163+'Rev Req''t_Baseline_UG1PH'!I180</f>
        <v>1036992.3441009996</v>
      </c>
      <c r="K66" s="8">
        <f>'Rev Req''t_Baseline_UG1PH'!J27+'Rev Req''t_Baseline_UG1PH'!J44+'Rev Req''t_Baseline_UG1PH'!J61+'Rev Req''t_Baseline_UG1PH'!J78+'Rev Req''t_Baseline_UG1PH'!J95+'Rev Req''t_Baseline_UG1PH'!J112+'Rev Req''t_Baseline_UG1PH'!J129+'Rev Req''t_Baseline_UG1PH'!J146+'Rev Req''t_Baseline_UG1PH'!J163+'Rev Req''t_Baseline_UG1PH'!J180</f>
        <v>1289260.2213347526</v>
      </c>
      <c r="L66" s="8">
        <f>'Rev Req''t_Baseline_UG1PH'!K27+'Rev Req''t_Baseline_UG1PH'!K44+'Rev Req''t_Baseline_UG1PH'!K61+'Rev Req''t_Baseline_UG1PH'!K78+'Rev Req''t_Baseline_UG1PH'!K95+'Rev Req''t_Baseline_UG1PH'!K112+'Rev Req''t_Baseline_UG1PH'!K129+'Rev Req''t_Baseline_UG1PH'!K146+'Rev Req''t_Baseline_UG1PH'!K163+'Rev Req''t_Baseline_UG1PH'!K180</f>
        <v>1539163.7101367207</v>
      </c>
      <c r="M66" s="8">
        <f>'Rev Req''t_Baseline_UG1PH'!L27+'Rev Req''t_Baseline_UG1PH'!L44+'Rev Req''t_Baseline_UG1PH'!L61+'Rev Req''t_Baseline_UG1PH'!L78+'Rev Req''t_Baseline_UG1PH'!L95+'Rev Req''t_Baseline_UG1PH'!L112+'Rev Req''t_Baseline_UG1PH'!L129+'Rev Req''t_Baseline_UG1PH'!L146+'Rev Req''t_Baseline_UG1PH'!L163+'Rev Req''t_Baseline_UG1PH'!L180</f>
        <v>1786955.4647139946</v>
      </c>
      <c r="N66" s="8">
        <f>'Rev Req''t_Baseline_UG1PH'!M27+'Rev Req''t_Baseline_UG1PH'!M44+'Rev Req''t_Baseline_UG1PH'!M61+'Rev Req''t_Baseline_UG1PH'!M78+'Rev Req''t_Baseline_UG1PH'!M95+'Rev Req''t_Baseline_UG1PH'!M112+'Rev Req''t_Baseline_UG1PH'!M129+'Rev Req''t_Baseline_UG1PH'!M146+'Rev Req''t_Baseline_UG1PH'!M163+'Rev Req''t_Baseline_UG1PH'!M180</f>
        <v>2032870.8011975414</v>
      </c>
      <c r="O66" s="8">
        <f>'Rev Req''t_Baseline_UG1PH'!N27+'Rev Req''t_Baseline_UG1PH'!N44+'Rev Req''t_Baseline_UG1PH'!N61+'Rev Req''t_Baseline_UG1PH'!N78+'Rev Req''t_Baseline_UG1PH'!N95+'Rev Req''t_Baseline_UG1PH'!N112+'Rev Req''t_Baseline_UG1PH'!N129+'Rev Req''t_Baseline_UG1PH'!N146+'Rev Req''t_Baseline_UG1PH'!N163+'Rev Req''t_Baseline_UG1PH'!N180</f>
        <v>2277025.7592870006</v>
      </c>
      <c r="P66" s="8">
        <f>'Rev Req''t_Baseline_UG1PH'!O27+'Rev Req''t_Baseline_UG1PH'!O44+'Rev Req''t_Baseline_UG1PH'!O61+'Rev Req''t_Baseline_UG1PH'!O78+'Rev Req''t_Baseline_UG1PH'!O95+'Rev Req''t_Baseline_UG1PH'!O112+'Rev Req''t_Baseline_UG1PH'!O129+'Rev Req''t_Baseline_UG1PH'!O146+'Rev Req''t_Baseline_UG1PH'!O163+'Rev Req''t_Baseline_UG1PH'!O180</f>
        <v>2519404.1378284995</v>
      </c>
      <c r="Q66" s="8">
        <f>'Rev Req''t_Baseline_UG1PH'!P27+'Rev Req''t_Baseline_UG1PH'!P44+'Rev Req''t_Baseline_UG1PH'!P61+'Rev Req''t_Baseline_UG1PH'!P78+'Rev Req''t_Baseline_UG1PH'!P95+'Rev Req''t_Baseline_UG1PH'!P112+'Rev Req''t_Baseline_UG1PH'!P129+'Rev Req''t_Baseline_UG1PH'!P146+'Rev Req''t_Baseline_UG1PH'!P163+'Rev Req''t_Baseline_UG1PH'!P180</f>
        <v>2432798.7553862967</v>
      </c>
      <c r="R66" s="8">
        <f>'Rev Req''t_Baseline_UG1PH'!Q27+'Rev Req''t_Baseline_UG1PH'!Q44+'Rev Req''t_Baseline_UG1PH'!Q61+'Rev Req''t_Baseline_UG1PH'!Q78+'Rev Req''t_Baseline_UG1PH'!Q95+'Rev Req''t_Baseline_UG1PH'!Q112+'Rev Req''t_Baseline_UG1PH'!Q129+'Rev Req''t_Baseline_UG1PH'!Q146+'Rev Req''t_Baseline_UG1PH'!Q163+'Rev Req''t_Baseline_UG1PH'!Q180</f>
        <v>2346965.0617870404</v>
      </c>
      <c r="S66" s="8">
        <f>'Rev Req''t_Baseline_UG1PH'!R27+'Rev Req''t_Baseline_UG1PH'!R44+'Rev Req''t_Baseline_UG1PH'!R61+'Rev Req''t_Baseline_UG1PH'!R78+'Rev Req''t_Baseline_UG1PH'!R95+'Rev Req''t_Baseline_UG1PH'!R112+'Rev Req''t_Baseline_UG1PH'!R129+'Rev Req''t_Baseline_UG1PH'!R146+'Rev Req''t_Baseline_UG1PH'!R163+'Rev Req''t_Baseline_UG1PH'!R180</f>
        <v>2263263.7533064159</v>
      </c>
      <c r="T66" s="8">
        <f>'Rev Req''t_Baseline_UG1PH'!S27+'Rev Req''t_Baseline_UG1PH'!S44+'Rev Req''t_Baseline_UG1PH'!S61+'Rev Req''t_Baseline_UG1PH'!S78+'Rev Req''t_Baseline_UG1PH'!S95+'Rev Req''t_Baseline_UG1PH'!S112+'Rev Req''t_Baseline_UG1PH'!S129+'Rev Req''t_Baseline_UG1PH'!S146+'Rev Req''t_Baseline_UG1PH'!S163+'Rev Req''t_Baseline_UG1PH'!S180</f>
        <v>2181263.3839188339</v>
      </c>
      <c r="U66" s="8">
        <f>'Rev Req''t_Baseline_UG1PH'!T27+'Rev Req''t_Baseline_UG1PH'!T44+'Rev Req''t_Baseline_UG1PH'!T61+'Rev Req''t_Baseline_UG1PH'!T78+'Rev Req''t_Baseline_UG1PH'!T95+'Rev Req''t_Baseline_UG1PH'!T112+'Rev Req''t_Baseline_UG1PH'!T129+'Rev Req''t_Baseline_UG1PH'!T146+'Rev Req''t_Baseline_UG1PH'!T163+'Rev Req''t_Baseline_UG1PH'!T180</f>
        <v>2100558.8238119194</v>
      </c>
      <c r="V66" s="8">
        <f>'Rev Req''t_Baseline_UG1PH'!U27+'Rev Req''t_Baseline_UG1PH'!U44+'Rev Req''t_Baseline_UG1PH'!U61+'Rev Req''t_Baseline_UG1PH'!U78+'Rev Req''t_Baseline_UG1PH'!U95+'Rev Req''t_Baseline_UG1PH'!U112+'Rev Req''t_Baseline_UG1PH'!U129+'Rev Req''t_Baseline_UG1PH'!U146+'Rev Req''t_Baseline_UG1PH'!U163+'Rev Req''t_Baseline_UG1PH'!U180</f>
        <v>2020769.0838796804</v>
      </c>
      <c r="W66" s="8">
        <f>'Rev Req''t_Baseline_UG1PH'!V27+'Rev Req''t_Baseline_UG1PH'!V44+'Rev Req''t_Baseline_UG1PH'!V61+'Rev Req''t_Baseline_UG1PH'!V78+'Rev Req''t_Baseline_UG1PH'!V95+'Rev Req''t_Baseline_UG1PH'!V112+'Rev Req''t_Baseline_UG1PH'!V129+'Rev Req''t_Baseline_UG1PH'!V146+'Rev Req''t_Baseline_UG1PH'!V163+'Rev Req''t_Baseline_UG1PH'!V180</f>
        <v>1941535.5514317816</v>
      </c>
      <c r="X66" s="8">
        <f>'Rev Req''t_Baseline_UG1PH'!W27+'Rev Req''t_Baseline_UG1PH'!W44+'Rev Req''t_Baseline_UG1PH'!W61+'Rev Req''t_Baseline_UG1PH'!W78+'Rev Req''t_Baseline_UG1PH'!W95+'Rev Req''t_Baseline_UG1PH'!W112+'Rev Req''t_Baseline_UG1PH'!W129+'Rev Req''t_Baseline_UG1PH'!W146+'Rev Req''t_Baseline_UG1PH'!W163+'Rev Req''t_Baseline_UG1PH'!W180</f>
        <v>1862520.1870884195</v>
      </c>
      <c r="Y66" s="8">
        <f>'Rev Req''t_Baseline_UG1PH'!X27+'Rev Req''t_Baseline_UG1PH'!X44+'Rev Req''t_Baseline_UG1PH'!X61+'Rev Req''t_Baseline_UG1PH'!X78+'Rev Req''t_Baseline_UG1PH'!X95+'Rev Req''t_Baseline_UG1PH'!X112+'Rev Req''t_Baseline_UG1PH'!X129+'Rev Req''t_Baseline_UG1PH'!X146+'Rev Req''t_Baseline_UG1PH'!X163+'Rev Req''t_Baseline_UG1PH'!X180</f>
        <v>1783532.2236378822</v>
      </c>
      <c r="Z66" s="8">
        <f>'Rev Req''t_Baseline_UG1PH'!Y27+'Rev Req''t_Baseline_UG1PH'!Y44+'Rev Req''t_Baseline_UG1PH'!Y61+'Rev Req''t_Baseline_UG1PH'!Y78+'Rev Req''t_Baseline_UG1PH'!Y95+'Rev Req''t_Baseline_UG1PH'!Y112+'Rev Req''t_Baseline_UG1PH'!Y129+'Rev Req''t_Baseline_UG1PH'!Y146+'Rev Req''t_Baseline_UG1PH'!Y163+'Rev Req''t_Baseline_UG1PH'!Y180</f>
        <v>1704544.2601873442</v>
      </c>
      <c r="AA66" s="8">
        <f>'Rev Req''t_Baseline_UG1PH'!Z27+'Rev Req''t_Baseline_UG1PH'!Z44+'Rev Req''t_Baseline_UG1PH'!Z61+'Rev Req''t_Baseline_UG1PH'!Z78+'Rev Req''t_Baseline_UG1PH'!Z95+'Rev Req''t_Baseline_UG1PH'!Z112+'Rev Req''t_Baseline_UG1PH'!Z129+'Rev Req''t_Baseline_UG1PH'!Z146+'Rev Req''t_Baseline_UG1PH'!Z163+'Rev Req''t_Baseline_UG1PH'!Z180</f>
        <v>1626380.2003113865</v>
      </c>
      <c r="AB66" s="8">
        <f>'Rev Req''t_Baseline_UG1PH'!AA27+'Rev Req''t_Baseline_UG1PH'!AA44+'Rev Req''t_Baseline_UG1PH'!AA61+'Rev Req''t_Baseline_UG1PH'!AA78+'Rev Req''t_Baseline_UG1PH'!AA95+'Rev Req''t_Baseline_UG1PH'!AA112+'Rev Req''t_Baseline_UG1PH'!AA129+'Rev Req''t_Baseline_UG1PH'!AA146+'Rev Req''t_Baseline_UG1PH'!AA163+'Rev Req''t_Baseline_UG1PH'!AA180</f>
        <v>1550705.6077399272</v>
      </c>
      <c r="AC66" s="8">
        <f>'Rev Req''t_Baseline_UG1PH'!AB27+'Rev Req''t_Baseline_UG1PH'!AB44+'Rev Req''t_Baseline_UG1PH'!AB61+'Rev Req''t_Baseline_UG1PH'!AB78+'Rev Req''t_Baseline_UG1PH'!AB95+'Rev Req''t_Baseline_UG1PH'!AB112+'Rev Req''t_Baseline_UG1PH'!AB129+'Rev Req''t_Baseline_UG1PH'!AB146+'Rev Req''t_Baseline_UG1PH'!AB163+'Rev Req''t_Baseline_UG1PH'!AB180</f>
        <v>1478399.1543282457</v>
      </c>
      <c r="AD66" s="8">
        <f>'Rev Req''t_Baseline_UG1PH'!AC27+'Rev Req''t_Baseline_UG1PH'!AC44+'Rev Req''t_Baseline_UG1PH'!AC61+'Rev Req''t_Baseline_UG1PH'!AC78+'Rev Req''t_Baseline_UG1PH'!AC95+'Rev Req''t_Baseline_UG1PH'!AC112+'Rev Req''t_Baseline_UG1PH'!AC129+'Rev Req''t_Baseline_UG1PH'!AC146+'Rev Req''t_Baseline_UG1PH'!AC163+'Rev Req''t_Baseline_UG1PH'!AC180</f>
        <v>1409534.9391378562</v>
      </c>
      <c r="AE66" s="8">
        <f>'Rev Req''t_Baseline_UG1PH'!AD27+'Rev Req''t_Baseline_UG1PH'!AD44+'Rev Req''t_Baseline_UG1PH'!AD61+'Rev Req''t_Baseline_UG1PH'!AD78+'Rev Req''t_Baseline_UG1PH'!AD95+'Rev Req''t_Baseline_UG1PH'!AD112+'Rev Req''t_Baseline_UG1PH'!AD129+'Rev Req''t_Baseline_UG1PH'!AD146+'Rev Req''t_Baseline_UG1PH'!AD163+'Rev Req''t_Baseline_UG1PH'!AD180</f>
        <v>1344188.6914096284</v>
      </c>
      <c r="AF66" s="8">
        <f>'Rev Req''t_Baseline_UG1PH'!AE27+'Rev Req''t_Baseline_UG1PH'!AE44+'Rev Req''t_Baseline_UG1PH'!AE61+'Rev Req''t_Baseline_UG1PH'!AE78+'Rev Req''t_Baseline_UG1PH'!AE95+'Rev Req''t_Baseline_UG1PH'!AE112+'Rev Req''t_Baseline_UG1PH'!AE129+'Rev Req''t_Baseline_UG1PH'!AE146+'Rev Req''t_Baseline_UG1PH'!AE163+'Rev Req''t_Baseline_UG1PH'!AE180</f>
        <v>1282437.8064277286</v>
      </c>
      <c r="AG66" s="8">
        <f>'Rev Req''t_Baseline_UG1PH'!AF27+'Rev Req''t_Baseline_UG1PH'!AF44+'Rev Req''t_Baseline_UG1PH'!AF61+'Rev Req''t_Baseline_UG1PH'!AF78+'Rev Req''t_Baseline_UG1PH'!AF95+'Rev Req''t_Baseline_UG1PH'!AF112+'Rev Req''t_Baseline_UG1PH'!AF129+'Rev Req''t_Baseline_UG1PH'!AF146+'Rev Req''t_Baseline_UG1PH'!AF163+'Rev Req''t_Baseline_UG1PH'!AF180</f>
        <v>1224361.3821725762</v>
      </c>
      <c r="AH66" s="8">
        <f>'Rev Req''t_Baseline_UG1PH'!AG27+'Rev Req''t_Baseline_UG1PH'!AG44+'Rev Req''t_Baseline_UG1PH'!AG61+'Rev Req''t_Baseline_UG1PH'!AG78+'Rev Req''t_Baseline_UG1PH'!AG95+'Rev Req''t_Baseline_UG1PH'!AG112+'Rev Req''t_Baseline_UG1PH'!AG129+'Rev Req''t_Baseline_UG1PH'!AG146+'Rev Req''t_Baseline_UG1PH'!AG163+'Rev Req''t_Baseline_UG1PH'!AG180</f>
        <v>1170040.2567801606</v>
      </c>
      <c r="AI66" s="8">
        <f>'Rev Req''t_Baseline_UG1PH'!AH27+'Rev Req''t_Baseline_UG1PH'!AH44+'Rev Req''t_Baseline_UG1PH'!AH61+'Rev Req''t_Baseline_UG1PH'!AH78+'Rev Req''t_Baseline_UG1PH'!AH95+'Rev Req''t_Baseline_UG1PH'!AH112+'Rev Req''t_Baseline_UG1PH'!AH129+'Rev Req''t_Baseline_UG1PH'!AH146+'Rev Req''t_Baseline_UG1PH'!AH163+'Rev Req''t_Baseline_UG1PH'!AH180</f>
        <v>1119557.0468254611</v>
      </c>
      <c r="AJ66" s="8">
        <f>'Rev Req''t_Baseline_UG1PH'!AI27+'Rev Req''t_Baseline_UG1PH'!AI44+'Rev Req''t_Baseline_UG1PH'!AI61+'Rev Req''t_Baseline_UG1PH'!AI78+'Rev Req''t_Baseline_UG1PH'!AI95+'Rev Req''t_Baseline_UG1PH'!AI112+'Rev Req''t_Baseline_UG1PH'!AI129+'Rev Req''t_Baseline_UG1PH'!AI146+'Rev Req''t_Baseline_UG1PH'!AI163+'Rev Req''t_Baseline_UG1PH'!AI180</f>
        <v>1072996.1864481079</v>
      </c>
      <c r="AK66" s="8">
        <f>'Rev Req''t_Baseline_UG1PH'!AJ27+'Rev Req''t_Baseline_UG1PH'!AJ44+'Rev Req''t_Baseline_UG1PH'!AJ61+'Rev Req''t_Baseline_UG1PH'!AJ78+'Rev Req''t_Baseline_UG1PH'!AJ95+'Rev Req''t_Baseline_UG1PH'!AJ112+'Rev Req''t_Baseline_UG1PH'!AJ129+'Rev Req''t_Baseline_UG1PH'!AJ146+'Rev Req''t_Baseline_UG1PH'!AJ163+'Rev Req''t_Baseline_UG1PH'!AJ180</f>
        <v>1029419.7659861324</v>
      </c>
      <c r="AL66" s="8">
        <f>'Rev Req''t_Baseline_UG1PH'!AK27+'Rev Req''t_Baseline_UG1PH'!AK44+'Rev Req''t_Baseline_UG1PH'!AK61+'Rev Req''t_Baseline_UG1PH'!AK78+'Rev Req''t_Baseline_UG1PH'!AK95+'Rev Req''t_Baseline_UG1PH'!AK112+'Rev Req''t_Baseline_UG1PH'!AK129+'Rev Req''t_Baseline_UG1PH'!AK146+'Rev Req''t_Baseline_UG1PH'!AK163+'Rev Req''t_Baseline_UG1PH'!AK180</f>
        <v>986845.4994895875</v>
      </c>
      <c r="AM66" s="8">
        <f>'Rev Req''t_Baseline_UG1PH'!AL27+'Rev Req''t_Baseline_UG1PH'!AL44+'Rev Req''t_Baseline_UG1PH'!AL61+'Rev Req''t_Baseline_UG1PH'!AL78+'Rev Req''t_Baseline_UG1PH'!AL95+'Rev Req''t_Baseline_UG1PH'!AL112+'Rev Req''t_Baseline_UG1PH'!AL129+'Rev Req''t_Baseline_UG1PH'!AL146+'Rev Req''t_Baseline_UG1PH'!AL163+'Rev Req''t_Baseline_UG1PH'!AL180</f>
        <v>944271.23299304245</v>
      </c>
      <c r="AN66" s="8">
        <f>'Rev Req''t_Baseline_UG1PH'!AM27+'Rev Req''t_Baseline_UG1PH'!AM44+'Rev Req''t_Baseline_UG1PH'!AM61+'Rev Req''t_Baseline_UG1PH'!AM78+'Rev Req''t_Baseline_UG1PH'!AM95+'Rev Req''t_Baseline_UG1PH'!AM112+'Rev Req''t_Baseline_UG1PH'!AM129+'Rev Req''t_Baseline_UG1PH'!AM146+'Rev Req''t_Baseline_UG1PH'!AM163+'Rev Req''t_Baseline_UG1PH'!AM180</f>
        <v>901696.96649649763</v>
      </c>
      <c r="AO66" s="8">
        <f>'Rev Req''t_Baseline_UG1PH'!AN27+'Rev Req''t_Baseline_UG1PH'!AN44+'Rev Req''t_Baseline_UG1PH'!AN61+'Rev Req''t_Baseline_UG1PH'!AN78+'Rev Req''t_Baseline_UG1PH'!AN95+'Rev Req''t_Baseline_UG1PH'!AN112+'Rev Req''t_Baseline_UG1PH'!AN129+'Rev Req''t_Baseline_UG1PH'!AN146+'Rev Req''t_Baseline_UG1PH'!AN163+'Rev Req''t_Baseline_UG1PH'!AN180</f>
        <v>859122.69999995234</v>
      </c>
      <c r="AP66" s="8">
        <f>'Rev Req''t_Baseline_UG1PH'!AO27+'Rev Req''t_Baseline_UG1PH'!AO44+'Rev Req''t_Baseline_UG1PH'!AO61+'Rev Req''t_Baseline_UG1PH'!AO78+'Rev Req''t_Baseline_UG1PH'!AO95+'Rev Req''t_Baseline_UG1PH'!AO112+'Rev Req''t_Baseline_UG1PH'!AO129+'Rev Req''t_Baseline_UG1PH'!AO146+'Rev Req''t_Baseline_UG1PH'!AO163+'Rev Req''t_Baseline_UG1PH'!AO180</f>
        <v>816548.43350340729</v>
      </c>
      <c r="AQ66" s="8">
        <f>'Rev Req''t_Baseline_UG1PH'!AP27+'Rev Req''t_Baseline_UG1PH'!AP44+'Rev Req''t_Baseline_UG1PH'!AP61+'Rev Req''t_Baseline_UG1PH'!AP78+'Rev Req''t_Baseline_UG1PH'!AP95+'Rev Req''t_Baseline_UG1PH'!AP112+'Rev Req''t_Baseline_UG1PH'!AP129+'Rev Req''t_Baseline_UG1PH'!AP146+'Rev Req''t_Baseline_UG1PH'!AP163+'Rev Req''t_Baseline_UG1PH'!AP180</f>
        <v>773974.16700686212</v>
      </c>
      <c r="AR66" s="8">
        <f>'Rev Req''t_Baseline_UG1PH'!AQ27+'Rev Req''t_Baseline_UG1PH'!AQ44+'Rev Req''t_Baseline_UG1PH'!AQ61+'Rev Req''t_Baseline_UG1PH'!AQ78+'Rev Req''t_Baseline_UG1PH'!AQ95+'Rev Req''t_Baseline_UG1PH'!AQ112+'Rev Req''t_Baseline_UG1PH'!AQ129+'Rev Req''t_Baseline_UG1PH'!AQ146+'Rev Req''t_Baseline_UG1PH'!AQ163+'Rev Req''t_Baseline_UG1PH'!AQ180</f>
        <v>731399.90051031706</v>
      </c>
      <c r="AS66" s="8">
        <f>'Rev Req''t_Baseline_UG1PH'!AR27+'Rev Req''t_Baseline_UG1PH'!AR44+'Rev Req''t_Baseline_UG1PH'!AR61+'Rev Req''t_Baseline_UG1PH'!AR78+'Rev Req''t_Baseline_UG1PH'!AR95+'Rev Req''t_Baseline_UG1PH'!AR112+'Rev Req''t_Baseline_UG1PH'!AR129+'Rev Req''t_Baseline_UG1PH'!AR146+'Rev Req''t_Baseline_UG1PH'!AR163+'Rev Req''t_Baseline_UG1PH'!AR180</f>
        <v>688825.63401377213</v>
      </c>
      <c r="AT66" s="8">
        <f>'Rev Req''t_Baseline_UG1PH'!AS27+'Rev Req''t_Baseline_UG1PH'!AS44+'Rev Req''t_Baseline_UG1PH'!AS61+'Rev Req''t_Baseline_UG1PH'!AS78+'Rev Req''t_Baseline_UG1PH'!AS95+'Rev Req''t_Baseline_UG1PH'!AS112+'Rev Req''t_Baseline_UG1PH'!AS129+'Rev Req''t_Baseline_UG1PH'!AS146+'Rev Req''t_Baseline_UG1PH'!AS163+'Rev Req''t_Baseline_UG1PH'!AS180</f>
        <v>646251.36751722707</v>
      </c>
      <c r="AU66" s="8">
        <f>'Rev Req''t_Baseline_UG1PH'!AT27+'Rev Req''t_Baseline_UG1PH'!AT44+'Rev Req''t_Baseline_UG1PH'!AT61+'Rev Req''t_Baseline_UG1PH'!AT78+'Rev Req''t_Baseline_UG1PH'!AT95+'Rev Req''t_Baseline_UG1PH'!AT112+'Rev Req''t_Baseline_UG1PH'!AT129+'Rev Req''t_Baseline_UG1PH'!AT146+'Rev Req''t_Baseline_UG1PH'!AT163+'Rev Req''t_Baseline_UG1PH'!AT180</f>
        <v>603677.10102068214</v>
      </c>
      <c r="AV66" s="8">
        <f>'Rev Req''t_Baseline_UG1PH'!AU27+'Rev Req''t_Baseline_UG1PH'!AU44+'Rev Req''t_Baseline_UG1PH'!AU61+'Rev Req''t_Baseline_UG1PH'!AU78+'Rev Req''t_Baseline_UG1PH'!AU95+'Rev Req''t_Baseline_UG1PH'!AU112+'Rev Req''t_Baseline_UG1PH'!AU129+'Rev Req''t_Baseline_UG1PH'!AU146+'Rev Req''t_Baseline_UG1PH'!AU163+'Rev Req''t_Baseline_UG1PH'!AU180</f>
        <v>561102.83452413708</v>
      </c>
      <c r="AW66" s="8">
        <f>'Rev Req''t_Baseline_UG1PH'!AV27+'Rev Req''t_Baseline_UG1PH'!AV44+'Rev Req''t_Baseline_UG1PH'!AV61+'Rev Req''t_Baseline_UG1PH'!AV78+'Rev Req''t_Baseline_UG1PH'!AV95+'Rev Req''t_Baseline_UG1PH'!AV112+'Rev Req''t_Baseline_UG1PH'!AV129+'Rev Req''t_Baseline_UG1PH'!AV146+'Rev Req''t_Baseline_UG1PH'!AV163+'Rev Req''t_Baseline_UG1PH'!AV180</f>
        <v>518528.56802759209</v>
      </c>
      <c r="AX66" s="8">
        <f>'Rev Req''t_Baseline_UG1PH'!AW27+'Rev Req''t_Baseline_UG1PH'!AW44+'Rev Req''t_Baseline_UG1PH'!AW61+'Rev Req''t_Baseline_UG1PH'!AW78+'Rev Req''t_Baseline_UG1PH'!AW95+'Rev Req''t_Baseline_UG1PH'!AW112+'Rev Req''t_Baseline_UG1PH'!AW129+'Rev Req''t_Baseline_UG1PH'!AW146+'Rev Req''t_Baseline_UG1PH'!AW163+'Rev Req''t_Baseline_UG1PH'!AW180</f>
        <v>475954.30153104704</v>
      </c>
      <c r="AY66" s="8">
        <f>'Rev Req''t_Baseline_UG1PH'!AX27+'Rev Req''t_Baseline_UG1PH'!AX44+'Rev Req''t_Baseline_UG1PH'!AX61+'Rev Req''t_Baseline_UG1PH'!AX78+'Rev Req''t_Baseline_UG1PH'!AX95+'Rev Req''t_Baseline_UG1PH'!AX112+'Rev Req''t_Baseline_UG1PH'!AX129+'Rev Req''t_Baseline_UG1PH'!AX146+'Rev Req''t_Baseline_UG1PH'!AX163+'Rev Req''t_Baseline_UG1PH'!AX180</f>
        <v>433380.03503450216</v>
      </c>
      <c r="AZ66" s="8">
        <f>'Rev Req''t_Baseline_UG1PH'!AY27+'Rev Req''t_Baseline_UG1PH'!AY44+'Rev Req''t_Baseline_UG1PH'!AY61+'Rev Req''t_Baseline_UG1PH'!AY78+'Rev Req''t_Baseline_UG1PH'!AY95+'Rev Req''t_Baseline_UG1PH'!AY112+'Rev Req''t_Baseline_UG1PH'!AY129+'Rev Req''t_Baseline_UG1PH'!AY146+'Rev Req''t_Baseline_UG1PH'!AY163+'Rev Req''t_Baseline_UG1PH'!AY180</f>
        <v>390805.7685379571</v>
      </c>
      <c r="BA66" s="8">
        <f>'Rev Req''t_Baseline_UG1PH'!AZ27+'Rev Req''t_Baseline_UG1PH'!AZ44+'Rev Req''t_Baseline_UG1PH'!AZ61+'Rev Req''t_Baseline_UG1PH'!AZ78+'Rev Req''t_Baseline_UG1PH'!AZ95+'Rev Req''t_Baseline_UG1PH'!AZ112+'Rev Req''t_Baseline_UG1PH'!AZ129+'Rev Req''t_Baseline_UG1PH'!AZ146+'Rev Req''t_Baseline_UG1PH'!AZ163+'Rev Req''t_Baseline_UG1PH'!AZ180</f>
        <v>348231.50204141217</v>
      </c>
      <c r="BB66" s="8">
        <f>'Rev Req''t_Baseline_UG1PH'!BA27+'Rev Req''t_Baseline_UG1PH'!BA44+'Rev Req''t_Baseline_UG1PH'!BA61+'Rev Req''t_Baseline_UG1PH'!BA78+'Rev Req''t_Baseline_UG1PH'!BA95+'Rev Req''t_Baseline_UG1PH'!BA112+'Rev Req''t_Baseline_UG1PH'!BA129+'Rev Req''t_Baseline_UG1PH'!BA146+'Rev Req''t_Baseline_UG1PH'!BA163+'Rev Req''t_Baseline_UG1PH'!BA180</f>
        <v>305657.23554486712</v>
      </c>
      <c r="BC66" s="8">
        <f>'Rev Req''t_Baseline_UG1PH'!BB27+'Rev Req''t_Baseline_UG1PH'!BB44+'Rev Req''t_Baseline_UG1PH'!BB61+'Rev Req''t_Baseline_UG1PH'!BB78+'Rev Req''t_Baseline_UG1PH'!BB95+'Rev Req''t_Baseline_UG1PH'!BB112+'Rev Req''t_Baseline_UG1PH'!BB129+'Rev Req''t_Baseline_UG1PH'!BB146+'Rev Req''t_Baseline_UG1PH'!BB163+'Rev Req''t_Baseline_UG1PH'!BB180</f>
        <v>263082.96904832212</v>
      </c>
      <c r="BD66" s="8">
        <f>'Rev Req''t_Baseline_UG1PH'!BC27+'Rev Req''t_Baseline_UG1PH'!BC44+'Rev Req''t_Baseline_UG1PH'!BC61+'Rev Req''t_Baseline_UG1PH'!BC78+'Rev Req''t_Baseline_UG1PH'!BC95+'Rev Req''t_Baseline_UG1PH'!BC112+'Rev Req''t_Baseline_UG1PH'!BC129+'Rev Req''t_Baseline_UG1PH'!BC146+'Rev Req''t_Baseline_UG1PH'!BC163+'Rev Req''t_Baseline_UG1PH'!BC180</f>
        <v>220508.70255177707</v>
      </c>
      <c r="BE66" s="8">
        <f>'Rev Req''t_Baseline_UG1PH'!BD27+'Rev Req''t_Baseline_UG1PH'!BD44+'Rev Req''t_Baseline_UG1PH'!BD61+'Rev Req''t_Baseline_UG1PH'!BD78+'Rev Req''t_Baseline_UG1PH'!BD95+'Rev Req''t_Baseline_UG1PH'!BD112+'Rev Req''t_Baseline_UG1PH'!BD129+'Rev Req''t_Baseline_UG1PH'!BD146+'Rev Req''t_Baseline_UG1PH'!BD163+'Rev Req''t_Baseline_UG1PH'!BD180</f>
        <v>179860.80786797722</v>
      </c>
      <c r="BF66" s="8">
        <f>'Rev Req''t_Baseline_UG1PH'!BE27+'Rev Req''t_Baseline_UG1PH'!BE44+'Rev Req''t_Baseline_UG1PH'!BE61+'Rev Req''t_Baseline_UG1PH'!BE78+'Rev Req''t_Baseline_UG1PH'!BE95+'Rev Req''t_Baseline_UG1PH'!BE112+'Rev Req''t_Baseline_UG1PH'!BE129+'Rev Req''t_Baseline_UG1PH'!BE146+'Rev Req''t_Baseline_UG1PH'!BE163+'Rev Req''t_Baseline_UG1PH'!BE180</f>
        <v>143108.03698954865</v>
      </c>
      <c r="BG66" s="8">
        <f>'Rev Req''t_Baseline_UG1PH'!BF27+'Rev Req''t_Baseline_UG1PH'!BF44+'Rev Req''t_Baseline_UG1PH'!BF61+'Rev Req''t_Baseline_UG1PH'!BF78+'Rev Req''t_Baseline_UG1PH'!BF95+'Rev Req''t_Baseline_UG1PH'!BF112+'Rev Req''t_Baseline_UG1PH'!BF129+'Rev Req''t_Baseline_UG1PH'!BF146+'Rev Req''t_Baseline_UG1PH'!BF163+'Rev Req''t_Baseline_UG1PH'!BF180</f>
        <v>110336.08264020925</v>
      </c>
      <c r="BH66" s="8">
        <f>'Rev Req''t_Baseline_UG1PH'!BG27+'Rev Req''t_Baseline_UG1PH'!BG44+'Rev Req''t_Baseline_UG1PH'!BG61+'Rev Req''t_Baseline_UG1PH'!BG78+'Rev Req''t_Baseline_UG1PH'!BG95+'Rev Req''t_Baseline_UG1PH'!BG112+'Rev Req''t_Baseline_UG1PH'!BG129+'Rev Req''t_Baseline_UG1PH'!BG146+'Rev Req''t_Baseline_UG1PH'!BG163+'Rev Req''t_Baseline_UG1PH'!BG180</f>
        <v>81632.52278359895</v>
      </c>
      <c r="BI66" s="8">
        <f>'Rev Req''t_Baseline_UG1PH'!BH27+'Rev Req''t_Baseline_UG1PH'!BH44+'Rev Req''t_Baseline_UG1PH'!BH61+'Rev Req''t_Baseline_UG1PH'!BH78+'Rev Req''t_Baseline_UG1PH'!BH95+'Rev Req''t_Baseline_UG1PH'!BH112+'Rev Req''t_Baseline_UG1PH'!BH129+'Rev Req''t_Baseline_UG1PH'!BH146+'Rev Req''t_Baseline_UG1PH'!BH163+'Rev Req''t_Baseline_UG1PH'!BH180</f>
        <v>57086.862098557744</v>
      </c>
      <c r="BJ66" s="8">
        <f>'Rev Req''t_Baseline_UG1PH'!BI27+'Rev Req''t_Baseline_UG1PH'!BI44+'Rev Req''t_Baseline_UG1PH'!BI61+'Rev Req''t_Baseline_UG1PH'!BI78+'Rev Req''t_Baseline_UG1PH'!BI95+'Rev Req''t_Baseline_UG1PH'!BI112+'Rev Req''t_Baseline_UG1PH'!BI129+'Rev Req''t_Baseline_UG1PH'!BI146+'Rev Req''t_Baseline_UG1PH'!BI163+'Rev Req''t_Baseline_UG1PH'!BI180</f>
        <v>36790.574366860135</v>
      </c>
      <c r="BK66" s="8">
        <f>'Rev Req''t_Baseline_UG1PH'!BJ27+'Rev Req''t_Baseline_UG1PH'!BJ44+'Rev Req''t_Baseline_UG1PH'!BJ61+'Rev Req''t_Baseline_UG1PH'!BJ78+'Rev Req''t_Baseline_UG1PH'!BJ95+'Rev Req''t_Baseline_UG1PH'!BJ112+'Rev Req''t_Baseline_UG1PH'!BJ129+'Rev Req''t_Baseline_UG1PH'!BJ146+'Rev Req''t_Baseline_UG1PH'!BJ163+'Rev Req''t_Baseline_UG1PH'!BJ180</f>
        <v>20837.145793479816</v>
      </c>
      <c r="BL66" s="8">
        <f>'Rev Req''t_Baseline_UG1PH'!BK27+'Rev Req''t_Baseline_UG1PH'!BK44+'Rev Req''t_Baseline_UG1PH'!BK61+'Rev Req''t_Baseline_UG1PH'!BK78+'Rev Req''t_Baseline_UG1PH'!BK95+'Rev Req''t_Baseline_UG1PH'!BK112+'Rev Req''t_Baseline_UG1PH'!BK129+'Rev Req''t_Baseline_UG1PH'!BK146+'Rev Req''t_Baseline_UG1PH'!BK163+'Rev Req''t_Baseline_UG1PH'!BK180</f>
        <v>9322.1192798996326</v>
      </c>
      <c r="BM66" s="8">
        <f>'Rev Req''t_Baseline_UG1PH'!BL27+'Rev Req''t_Baseline_UG1PH'!BL44+'Rev Req''t_Baseline_UG1PH'!BL61+'Rev Req''t_Baseline_UG1PH'!BL78+'Rev Req''t_Baseline_UG1PH'!BL95+'Rev Req''t_Baseline_UG1PH'!BL112+'Rev Req''t_Baseline_UG1PH'!BL129+'Rev Req''t_Baseline_UG1PH'!BL146+'Rev Req''t_Baseline_UG1PH'!BL163+'Rev Req''t_Baseline_UG1PH'!BL180</f>
        <v>2343.1396714355151</v>
      </c>
      <c r="BN66" s="8">
        <f>'Rev Req''t_Baseline_UG1PH'!BM27+'Rev Req''t_Baseline_UG1PH'!BM44+'Rev Req''t_Baseline_UG1PH'!BM61+'Rev Req''t_Baseline_UG1PH'!BM78+'Rev Req''t_Baseline_UG1PH'!BM95+'Rev Req''t_Baseline_UG1PH'!BM112+'Rev Req''t_Baseline_UG1PH'!BM129+'Rev Req''t_Baseline_UG1PH'!BM146+'Rev Req''t_Baseline_UG1PH'!BM163+'Rev Req''t_Baseline_UG1PH'!BM180</f>
        <v>-1.0330913937650621E-10</v>
      </c>
      <c r="BO66" s="8">
        <f>'Rev Req''t_Baseline_UG1PH'!BN27+'Rev Req''t_Baseline_UG1PH'!BN44+'Rev Req''t_Baseline_UG1PH'!BN61+'Rev Req''t_Baseline_UG1PH'!BN78+'Rev Req''t_Baseline_UG1PH'!BN95+'Rev Req''t_Baseline_UG1PH'!BN112+'Rev Req''t_Baseline_UG1PH'!BN129+'Rev Req''t_Baseline_UG1PH'!BN146+'Rev Req''t_Baseline_UG1PH'!BN163+'Rev Req''t_Baseline_UG1PH'!BN180</f>
        <v>-1.0330913937650621E-10</v>
      </c>
      <c r="BP66" s="8">
        <f>'Rev Req''t_Baseline_UG1PH'!BO27+'Rev Req''t_Baseline_UG1PH'!BO44+'Rev Req''t_Baseline_UG1PH'!BO61+'Rev Req''t_Baseline_UG1PH'!BO78+'Rev Req''t_Baseline_UG1PH'!BO95+'Rev Req''t_Baseline_UG1PH'!BO112+'Rev Req''t_Baseline_UG1PH'!BO129+'Rev Req''t_Baseline_UG1PH'!BO146+'Rev Req''t_Baseline_UG1PH'!BO163+'Rev Req''t_Baseline_UG1PH'!BO180</f>
        <v>-1.0330913937650621E-10</v>
      </c>
      <c r="BQ66" s="8">
        <f>'Rev Req''t_Baseline_UG1PH'!BP27+'Rev Req''t_Baseline_UG1PH'!BP44+'Rev Req''t_Baseline_UG1PH'!BP61+'Rev Req''t_Baseline_UG1PH'!BP78+'Rev Req''t_Baseline_UG1PH'!BP95+'Rev Req''t_Baseline_UG1PH'!BP112+'Rev Req''t_Baseline_UG1PH'!BP129+'Rev Req''t_Baseline_UG1PH'!BP146+'Rev Req''t_Baseline_UG1PH'!BP163+'Rev Req''t_Baseline_UG1PH'!BP180</f>
        <v>-1.0330913937650621E-10</v>
      </c>
      <c r="BR66" s="8">
        <f>'Rev Req''t_Baseline_UG1PH'!BQ27+'Rev Req''t_Baseline_UG1PH'!BQ44+'Rev Req''t_Baseline_UG1PH'!BQ61+'Rev Req''t_Baseline_UG1PH'!BQ78+'Rev Req''t_Baseline_UG1PH'!BQ95+'Rev Req''t_Baseline_UG1PH'!BQ112+'Rev Req''t_Baseline_UG1PH'!BQ129+'Rev Req''t_Baseline_UG1PH'!BQ146+'Rev Req''t_Baseline_UG1PH'!BQ163+'Rev Req''t_Baseline_UG1PH'!BQ180</f>
        <v>-1.0330913937650621E-10</v>
      </c>
      <c r="BS66" s="8">
        <f>'Rev Req''t_Baseline_UG1PH'!BR27+'Rev Req''t_Baseline_UG1PH'!BR44+'Rev Req''t_Baseline_UG1PH'!BR61+'Rev Req''t_Baseline_UG1PH'!BR78+'Rev Req''t_Baseline_UG1PH'!BR95+'Rev Req''t_Baseline_UG1PH'!BR112+'Rev Req''t_Baseline_UG1PH'!BR129+'Rev Req''t_Baseline_UG1PH'!BR146+'Rev Req''t_Baseline_UG1PH'!BR163+'Rev Req''t_Baseline_UG1PH'!BR180</f>
        <v>-1.0330913937650621E-10</v>
      </c>
      <c r="BT66" s="8">
        <f>'Rev Req''t_Baseline_UG1PH'!BS27+'Rev Req''t_Baseline_UG1PH'!BS44+'Rev Req''t_Baseline_UG1PH'!BS61+'Rev Req''t_Baseline_UG1PH'!BS78+'Rev Req''t_Baseline_UG1PH'!BS95+'Rev Req''t_Baseline_UG1PH'!BS112+'Rev Req''t_Baseline_UG1PH'!BS129+'Rev Req''t_Baseline_UG1PH'!BS146+'Rev Req''t_Baseline_UG1PH'!BS163+'Rev Req''t_Baseline_UG1PH'!BS180</f>
        <v>-1.0330913937650621E-10</v>
      </c>
      <c r="BU66" s="8"/>
      <c r="BV66" s="8"/>
    </row>
    <row r="67" spans="1:74" x14ac:dyDescent="0.4">
      <c r="A67" t="s">
        <v>37</v>
      </c>
      <c r="B67" t="s">
        <v>16</v>
      </c>
      <c r="C67" t="s">
        <v>127</v>
      </c>
      <c r="D67" t="s">
        <v>129</v>
      </c>
      <c r="F67" s="8"/>
      <c r="G67" s="8">
        <f>'Rev Req''t_Baseline_UG1PH'!F15+'Rev Req''t_Baseline_UG1PH'!F32+'Rev Req''t_Baseline_UG1PH'!F49+'Rev Req''t_Baseline_UG1PH'!F66+'Rev Req''t_Baseline_UG1PH'!F83+'Rev Req''t_Baseline_UG1PH'!F100+'Rev Req''t_Baseline_UG1PH'!F117+'Rev Req''t_Baseline_UG1PH'!F134+'Rev Req''t_Baseline_UG1PH'!F151+'Rev Req''t_Baseline_UG1PH'!F168</f>
        <v>59685.724000000002</v>
      </c>
      <c r="H67" s="8">
        <f>'Rev Req''t_Baseline_UG1PH'!G15+'Rev Req''t_Baseline_UG1PH'!G32+'Rev Req''t_Baseline_UG1PH'!G49+'Rev Req''t_Baseline_UG1PH'!G66+'Rev Req''t_Baseline_UG1PH'!G83+'Rev Req''t_Baseline_UG1PH'!G100+'Rev Req''t_Baseline_UG1PH'!G117+'Rev Req''t_Baseline_UG1PH'!G134+'Rev Req''t_Baseline_UG1PH'!G151+'Rev Req''t_Baseline_UG1PH'!G168</f>
        <v>120684.533928</v>
      </c>
      <c r="I67" s="8">
        <f>'Rev Req''t_Baseline_UG1PH'!H15+'Rev Req''t_Baseline_UG1PH'!H32+'Rev Req''t_Baseline_UG1PH'!H49+'Rev Req''t_Baseline_UG1PH'!H66+'Rev Req''t_Baseline_UG1PH'!H83+'Rev Req''t_Baseline_UG1PH'!H100+'Rev Req''t_Baseline_UG1PH'!H117+'Rev Req''t_Baseline_UG1PH'!H134+'Rev Req''t_Baseline_UG1PH'!H151+'Rev Req''t_Baseline_UG1PH'!H168</f>
        <v>183025.317674416</v>
      </c>
      <c r="J67" s="8">
        <f>'Rev Req''t_Baseline_UG1PH'!I15+'Rev Req''t_Baseline_UG1PH'!I32+'Rev Req''t_Baseline_UG1PH'!I49+'Rev Req''t_Baseline_UG1PH'!I66+'Rev Req''t_Baseline_UG1PH'!I83+'Rev Req''t_Baseline_UG1PH'!I100+'Rev Req''t_Baseline_UG1PH'!I117+'Rev Req''t_Baseline_UG1PH'!I134+'Rev Req''t_Baseline_UG1PH'!I151+'Rev Req''t_Baseline_UG1PH'!I168</f>
        <v>246737.59866325316</v>
      </c>
      <c r="K67" s="8">
        <f>'Rev Req''t_Baseline_UG1PH'!J15+'Rev Req''t_Baseline_UG1PH'!J32+'Rev Req''t_Baseline_UG1PH'!J49+'Rev Req''t_Baseline_UG1PH'!J66+'Rev Req''t_Baseline_UG1PH'!J83+'Rev Req''t_Baseline_UG1PH'!J100+'Rev Req''t_Baseline_UG1PH'!J117+'Rev Req''t_Baseline_UG1PH'!J134+'Rev Req''t_Baseline_UG1PH'!J151+'Rev Req''t_Baseline_UG1PH'!J168</f>
        <v>311851.54983384471</v>
      </c>
      <c r="L67" s="8">
        <f>'Rev Req''t_Baseline_UG1PH'!K15+'Rev Req''t_Baseline_UG1PH'!K32+'Rev Req''t_Baseline_UG1PH'!K49+'Rev Req''t_Baseline_UG1PH'!K66+'Rev Req''t_Baseline_UG1PH'!K83+'Rev Req''t_Baseline_UG1PH'!K100+'Rev Req''t_Baseline_UG1PH'!K117+'Rev Req''t_Baseline_UG1PH'!K134+'Rev Req''t_Baseline_UG1PH'!K151+'Rev Req''t_Baseline_UG1PH'!K168</f>
        <v>378398.00793018931</v>
      </c>
      <c r="M67" s="8">
        <f>'Rev Req''t_Baseline_UG1PH'!L15+'Rev Req''t_Baseline_UG1PH'!L32+'Rev Req''t_Baseline_UG1PH'!L49+'Rev Req''t_Baseline_UG1PH'!L66+'Rev Req''t_Baseline_UG1PH'!L83+'Rev Req''t_Baseline_UG1PH'!L100+'Rev Req''t_Baseline_UG1PH'!L117+'Rev Req''t_Baseline_UG1PH'!L134+'Rev Req''t_Baseline_UG1PH'!L151+'Rev Req''t_Baseline_UG1PH'!L168</f>
        <v>446408.48810465349</v>
      </c>
      <c r="N67" s="8">
        <f>'Rev Req''t_Baseline_UG1PH'!M15+'Rev Req''t_Baseline_UG1PH'!M32+'Rev Req''t_Baseline_UG1PH'!M49+'Rev Req''t_Baseline_UG1PH'!M66+'Rev Req''t_Baseline_UG1PH'!M83+'Rev Req''t_Baseline_UG1PH'!M100+'Rev Req''t_Baseline_UG1PH'!M117+'Rev Req''t_Baseline_UG1PH'!M134+'Rev Req''t_Baseline_UG1PH'!M151+'Rev Req''t_Baseline_UG1PH'!M168</f>
        <v>515915.19884295587</v>
      </c>
      <c r="O67" s="8">
        <f>'Rev Req''t_Baseline_UG1PH'!N15+'Rev Req''t_Baseline_UG1PH'!N32+'Rev Req''t_Baseline_UG1PH'!N49+'Rev Req''t_Baseline_UG1PH'!N66+'Rev Req''t_Baseline_UG1PH'!N83+'Rev Req''t_Baseline_UG1PH'!N100+'Rev Req''t_Baseline_UG1PH'!N117+'Rev Req''t_Baseline_UG1PH'!N134+'Rev Req''t_Baseline_UG1PH'!N151+'Rev Req''t_Baseline_UG1PH'!N168</f>
        <v>586951.05721750087</v>
      </c>
      <c r="P67" s="8">
        <f>'Rev Req''t_Baseline_UG1PH'!O15+'Rev Req''t_Baseline_UG1PH'!O32+'Rev Req''t_Baseline_UG1PH'!O49+'Rev Req''t_Baseline_UG1PH'!O66+'Rev Req''t_Baseline_UG1PH'!O83+'Rev Req''t_Baseline_UG1PH'!O100+'Rev Req''t_Baseline_UG1PH'!O117+'Rev Req''t_Baseline_UG1PH'!O134+'Rev Req''t_Baseline_UG1PH'!O151+'Rev Req''t_Baseline_UG1PH'!O168</f>
        <v>659549.70447628596</v>
      </c>
      <c r="Q67" s="8">
        <f>'Rev Req''t_Baseline_UG1PH'!P15+'Rev Req''t_Baseline_UG1PH'!P32+'Rev Req''t_Baseline_UG1PH'!P49+'Rev Req''t_Baseline_UG1PH'!P66+'Rev Req''t_Baseline_UG1PH'!P83+'Rev Req''t_Baseline_UG1PH'!P100+'Rev Req''t_Baseline_UG1PH'!P117+'Rev Req''t_Baseline_UG1PH'!P134+'Rev Req''t_Baseline_UG1PH'!P151+'Rev Req''t_Baseline_UG1PH'!P168</f>
        <v>659549.70447628596</v>
      </c>
      <c r="R67" s="8">
        <f>'Rev Req''t_Baseline_UG1PH'!Q15+'Rev Req''t_Baseline_UG1PH'!Q32+'Rev Req''t_Baseline_UG1PH'!Q49+'Rev Req''t_Baseline_UG1PH'!Q66+'Rev Req''t_Baseline_UG1PH'!Q83+'Rev Req''t_Baseline_UG1PH'!Q100+'Rev Req''t_Baseline_UG1PH'!Q117+'Rev Req''t_Baseline_UG1PH'!Q134+'Rev Req''t_Baseline_UG1PH'!Q151+'Rev Req''t_Baseline_UG1PH'!Q168</f>
        <v>659549.70447628596</v>
      </c>
      <c r="S67" s="8">
        <f>'Rev Req''t_Baseline_UG1PH'!R15+'Rev Req''t_Baseline_UG1PH'!R32+'Rev Req''t_Baseline_UG1PH'!R49+'Rev Req''t_Baseline_UG1PH'!R66+'Rev Req''t_Baseline_UG1PH'!R83+'Rev Req''t_Baseline_UG1PH'!R100+'Rev Req''t_Baseline_UG1PH'!R117+'Rev Req''t_Baseline_UG1PH'!R134+'Rev Req''t_Baseline_UG1PH'!R151+'Rev Req''t_Baseline_UG1PH'!R168</f>
        <v>659549.70447628596</v>
      </c>
      <c r="T67" s="8">
        <f>'Rev Req''t_Baseline_UG1PH'!S15+'Rev Req''t_Baseline_UG1PH'!S32+'Rev Req''t_Baseline_UG1PH'!S49+'Rev Req''t_Baseline_UG1PH'!S66+'Rev Req''t_Baseline_UG1PH'!S83+'Rev Req''t_Baseline_UG1PH'!S100+'Rev Req''t_Baseline_UG1PH'!S117+'Rev Req''t_Baseline_UG1PH'!S134+'Rev Req''t_Baseline_UG1PH'!S151+'Rev Req''t_Baseline_UG1PH'!S168</f>
        <v>659549.70447628596</v>
      </c>
      <c r="U67" s="8">
        <f>'Rev Req''t_Baseline_UG1PH'!T15+'Rev Req''t_Baseline_UG1PH'!T32+'Rev Req''t_Baseline_UG1PH'!T49+'Rev Req''t_Baseline_UG1PH'!T66+'Rev Req''t_Baseline_UG1PH'!T83+'Rev Req''t_Baseline_UG1PH'!T100+'Rev Req''t_Baseline_UG1PH'!T117+'Rev Req''t_Baseline_UG1PH'!T134+'Rev Req''t_Baseline_UG1PH'!T151+'Rev Req''t_Baseline_UG1PH'!T168</f>
        <v>659549.70447628596</v>
      </c>
      <c r="V67" s="8">
        <f>'Rev Req''t_Baseline_UG1PH'!U15+'Rev Req''t_Baseline_UG1PH'!U32+'Rev Req''t_Baseline_UG1PH'!U49+'Rev Req''t_Baseline_UG1PH'!U66+'Rev Req''t_Baseline_UG1PH'!U83+'Rev Req''t_Baseline_UG1PH'!U100+'Rev Req''t_Baseline_UG1PH'!U117+'Rev Req''t_Baseline_UG1PH'!U134+'Rev Req''t_Baseline_UG1PH'!U151+'Rev Req''t_Baseline_UG1PH'!U168</f>
        <v>659549.70447628596</v>
      </c>
      <c r="W67" s="8">
        <f>'Rev Req''t_Baseline_UG1PH'!V15+'Rev Req''t_Baseline_UG1PH'!V32+'Rev Req''t_Baseline_UG1PH'!V49+'Rev Req''t_Baseline_UG1PH'!V66+'Rev Req''t_Baseline_UG1PH'!V83+'Rev Req''t_Baseline_UG1PH'!V100+'Rev Req''t_Baseline_UG1PH'!V117+'Rev Req''t_Baseline_UG1PH'!V134+'Rev Req''t_Baseline_UG1PH'!V151+'Rev Req''t_Baseline_UG1PH'!V168</f>
        <v>659549.70447628596</v>
      </c>
      <c r="X67" s="8">
        <f>'Rev Req''t_Baseline_UG1PH'!W15+'Rev Req''t_Baseline_UG1PH'!W32+'Rev Req''t_Baseline_UG1PH'!W49+'Rev Req''t_Baseline_UG1PH'!W66+'Rev Req''t_Baseline_UG1PH'!W83+'Rev Req''t_Baseline_UG1PH'!W100+'Rev Req''t_Baseline_UG1PH'!W117+'Rev Req''t_Baseline_UG1PH'!W134+'Rev Req''t_Baseline_UG1PH'!W151+'Rev Req''t_Baseline_UG1PH'!W168</f>
        <v>659549.70447628596</v>
      </c>
      <c r="Y67" s="8">
        <f>'Rev Req''t_Baseline_UG1PH'!X15+'Rev Req''t_Baseline_UG1PH'!X32+'Rev Req''t_Baseline_UG1PH'!X49+'Rev Req''t_Baseline_UG1PH'!X66+'Rev Req''t_Baseline_UG1PH'!X83+'Rev Req''t_Baseline_UG1PH'!X100+'Rev Req''t_Baseline_UG1PH'!X117+'Rev Req''t_Baseline_UG1PH'!X134+'Rev Req''t_Baseline_UG1PH'!X151+'Rev Req''t_Baseline_UG1PH'!X168</f>
        <v>659549.70447628596</v>
      </c>
      <c r="Z67" s="8">
        <f>'Rev Req''t_Baseline_UG1PH'!Y15+'Rev Req''t_Baseline_UG1PH'!Y32+'Rev Req''t_Baseline_UG1PH'!Y49+'Rev Req''t_Baseline_UG1PH'!Y66+'Rev Req''t_Baseline_UG1PH'!Y83+'Rev Req''t_Baseline_UG1PH'!Y100+'Rev Req''t_Baseline_UG1PH'!Y117+'Rev Req''t_Baseline_UG1PH'!Y134+'Rev Req''t_Baseline_UG1PH'!Y151+'Rev Req''t_Baseline_UG1PH'!Y168</f>
        <v>659549.70447628596</v>
      </c>
      <c r="AA67" s="8">
        <f>'Rev Req''t_Baseline_UG1PH'!Z15+'Rev Req''t_Baseline_UG1PH'!Z32+'Rev Req''t_Baseline_UG1PH'!Z49+'Rev Req''t_Baseline_UG1PH'!Z66+'Rev Req''t_Baseline_UG1PH'!Z83+'Rev Req''t_Baseline_UG1PH'!Z100+'Rev Req''t_Baseline_UG1PH'!Z117+'Rev Req''t_Baseline_UG1PH'!Z134+'Rev Req''t_Baseline_UG1PH'!Z151+'Rev Req''t_Baseline_UG1PH'!Z168</f>
        <v>659549.70447628596</v>
      </c>
      <c r="AB67" s="8">
        <f>'Rev Req''t_Baseline_UG1PH'!AA15+'Rev Req''t_Baseline_UG1PH'!AA32+'Rev Req''t_Baseline_UG1PH'!AA49+'Rev Req''t_Baseline_UG1PH'!AA66+'Rev Req''t_Baseline_UG1PH'!AA83+'Rev Req''t_Baseline_UG1PH'!AA100+'Rev Req''t_Baseline_UG1PH'!AA117+'Rev Req''t_Baseline_UG1PH'!AA134+'Rev Req''t_Baseline_UG1PH'!AA151+'Rev Req''t_Baseline_UG1PH'!AA168</f>
        <v>659549.70447628596</v>
      </c>
      <c r="AC67" s="8">
        <f>'Rev Req''t_Baseline_UG1PH'!AB15+'Rev Req''t_Baseline_UG1PH'!AB32+'Rev Req''t_Baseline_UG1PH'!AB49+'Rev Req''t_Baseline_UG1PH'!AB66+'Rev Req''t_Baseline_UG1PH'!AB83+'Rev Req''t_Baseline_UG1PH'!AB100+'Rev Req''t_Baseline_UG1PH'!AB117+'Rev Req''t_Baseline_UG1PH'!AB134+'Rev Req''t_Baseline_UG1PH'!AB151+'Rev Req''t_Baseline_UG1PH'!AB168</f>
        <v>659549.70447628596</v>
      </c>
      <c r="AD67" s="8">
        <f>'Rev Req''t_Baseline_UG1PH'!AC15+'Rev Req''t_Baseline_UG1PH'!AC32+'Rev Req''t_Baseline_UG1PH'!AC49+'Rev Req''t_Baseline_UG1PH'!AC66+'Rev Req''t_Baseline_UG1PH'!AC83+'Rev Req''t_Baseline_UG1PH'!AC100+'Rev Req''t_Baseline_UG1PH'!AC117+'Rev Req''t_Baseline_UG1PH'!AC134+'Rev Req''t_Baseline_UG1PH'!AC151+'Rev Req''t_Baseline_UG1PH'!AC168</f>
        <v>659549.70447628596</v>
      </c>
      <c r="AE67" s="8">
        <f>'Rev Req''t_Baseline_UG1PH'!AD15+'Rev Req''t_Baseline_UG1PH'!AD32+'Rev Req''t_Baseline_UG1PH'!AD49+'Rev Req''t_Baseline_UG1PH'!AD66+'Rev Req''t_Baseline_UG1PH'!AD83+'Rev Req''t_Baseline_UG1PH'!AD100+'Rev Req''t_Baseline_UG1PH'!AD117+'Rev Req''t_Baseline_UG1PH'!AD134+'Rev Req''t_Baseline_UG1PH'!AD151+'Rev Req''t_Baseline_UG1PH'!AD168</f>
        <v>659549.70447628596</v>
      </c>
      <c r="AF67" s="8">
        <f>'Rev Req''t_Baseline_UG1PH'!AE15+'Rev Req''t_Baseline_UG1PH'!AE32+'Rev Req''t_Baseline_UG1PH'!AE49+'Rev Req''t_Baseline_UG1PH'!AE66+'Rev Req''t_Baseline_UG1PH'!AE83+'Rev Req''t_Baseline_UG1PH'!AE100+'Rev Req''t_Baseline_UG1PH'!AE117+'Rev Req''t_Baseline_UG1PH'!AE134+'Rev Req''t_Baseline_UG1PH'!AE151+'Rev Req''t_Baseline_UG1PH'!AE168</f>
        <v>659549.70447628596</v>
      </c>
      <c r="AG67" s="8">
        <f>'Rev Req''t_Baseline_UG1PH'!AF15+'Rev Req''t_Baseline_UG1PH'!AF32+'Rev Req''t_Baseline_UG1PH'!AF49+'Rev Req''t_Baseline_UG1PH'!AF66+'Rev Req''t_Baseline_UG1PH'!AF83+'Rev Req''t_Baseline_UG1PH'!AF100+'Rev Req''t_Baseline_UG1PH'!AF117+'Rev Req''t_Baseline_UG1PH'!AF134+'Rev Req''t_Baseline_UG1PH'!AF151+'Rev Req''t_Baseline_UG1PH'!AF168</f>
        <v>659549.70447628596</v>
      </c>
      <c r="AH67" s="8">
        <f>'Rev Req''t_Baseline_UG1PH'!AG15+'Rev Req''t_Baseline_UG1PH'!AG32+'Rev Req''t_Baseline_UG1PH'!AG49+'Rev Req''t_Baseline_UG1PH'!AG66+'Rev Req''t_Baseline_UG1PH'!AG83+'Rev Req''t_Baseline_UG1PH'!AG100+'Rev Req''t_Baseline_UG1PH'!AG117+'Rev Req''t_Baseline_UG1PH'!AG134+'Rev Req''t_Baseline_UG1PH'!AG151+'Rev Req''t_Baseline_UG1PH'!AG168</f>
        <v>659549.70447628596</v>
      </c>
      <c r="AI67" s="8">
        <f>'Rev Req''t_Baseline_UG1PH'!AH15+'Rev Req''t_Baseline_UG1PH'!AH32+'Rev Req''t_Baseline_UG1PH'!AH49+'Rev Req''t_Baseline_UG1PH'!AH66+'Rev Req''t_Baseline_UG1PH'!AH83+'Rev Req''t_Baseline_UG1PH'!AH100+'Rev Req''t_Baseline_UG1PH'!AH117+'Rev Req''t_Baseline_UG1PH'!AH134+'Rev Req''t_Baseline_UG1PH'!AH151+'Rev Req''t_Baseline_UG1PH'!AH168</f>
        <v>659549.70447628596</v>
      </c>
      <c r="AJ67" s="8">
        <f>'Rev Req''t_Baseline_UG1PH'!AI15+'Rev Req''t_Baseline_UG1PH'!AI32+'Rev Req''t_Baseline_UG1PH'!AI49+'Rev Req''t_Baseline_UG1PH'!AI66+'Rev Req''t_Baseline_UG1PH'!AI83+'Rev Req''t_Baseline_UG1PH'!AI100+'Rev Req''t_Baseline_UG1PH'!AI117+'Rev Req''t_Baseline_UG1PH'!AI134+'Rev Req''t_Baseline_UG1PH'!AI151+'Rev Req''t_Baseline_UG1PH'!AI168</f>
        <v>659549.70447628596</v>
      </c>
      <c r="AK67" s="8">
        <f>'Rev Req''t_Baseline_UG1PH'!AJ15+'Rev Req''t_Baseline_UG1PH'!AJ32+'Rev Req''t_Baseline_UG1PH'!AJ49+'Rev Req''t_Baseline_UG1PH'!AJ66+'Rev Req''t_Baseline_UG1PH'!AJ83+'Rev Req''t_Baseline_UG1PH'!AJ100+'Rev Req''t_Baseline_UG1PH'!AJ117+'Rev Req''t_Baseline_UG1PH'!AJ134+'Rev Req''t_Baseline_UG1PH'!AJ151+'Rev Req''t_Baseline_UG1PH'!AJ168</f>
        <v>659549.70447628596</v>
      </c>
      <c r="AL67" s="8">
        <f>'Rev Req''t_Baseline_UG1PH'!AK15+'Rev Req''t_Baseline_UG1PH'!AK32+'Rev Req''t_Baseline_UG1PH'!AK49+'Rev Req''t_Baseline_UG1PH'!AK66+'Rev Req''t_Baseline_UG1PH'!AK83+'Rev Req''t_Baseline_UG1PH'!AK100+'Rev Req''t_Baseline_UG1PH'!AK117+'Rev Req''t_Baseline_UG1PH'!AK134+'Rev Req''t_Baseline_UG1PH'!AK151+'Rev Req''t_Baseline_UG1PH'!AK168</f>
        <v>659549.70447628596</v>
      </c>
      <c r="AM67" s="8">
        <f>'Rev Req''t_Baseline_UG1PH'!AL15+'Rev Req''t_Baseline_UG1PH'!AL32+'Rev Req''t_Baseline_UG1PH'!AL49+'Rev Req''t_Baseline_UG1PH'!AL66+'Rev Req''t_Baseline_UG1PH'!AL83+'Rev Req''t_Baseline_UG1PH'!AL100+'Rev Req''t_Baseline_UG1PH'!AL117+'Rev Req''t_Baseline_UG1PH'!AL134+'Rev Req''t_Baseline_UG1PH'!AL151+'Rev Req''t_Baseline_UG1PH'!AL168</f>
        <v>659549.70447628596</v>
      </c>
      <c r="AN67" s="8">
        <f>'Rev Req''t_Baseline_UG1PH'!AM15+'Rev Req''t_Baseline_UG1PH'!AM32+'Rev Req''t_Baseline_UG1PH'!AM49+'Rev Req''t_Baseline_UG1PH'!AM66+'Rev Req''t_Baseline_UG1PH'!AM83+'Rev Req''t_Baseline_UG1PH'!AM100+'Rev Req''t_Baseline_UG1PH'!AM117+'Rev Req''t_Baseline_UG1PH'!AM134+'Rev Req''t_Baseline_UG1PH'!AM151+'Rev Req''t_Baseline_UG1PH'!AM168</f>
        <v>659549.70447628596</v>
      </c>
      <c r="AO67" s="8">
        <f>'Rev Req''t_Baseline_UG1PH'!AN15+'Rev Req''t_Baseline_UG1PH'!AN32+'Rev Req''t_Baseline_UG1PH'!AN49+'Rev Req''t_Baseline_UG1PH'!AN66+'Rev Req''t_Baseline_UG1PH'!AN83+'Rev Req''t_Baseline_UG1PH'!AN100+'Rev Req''t_Baseline_UG1PH'!AN117+'Rev Req''t_Baseline_UG1PH'!AN134+'Rev Req''t_Baseline_UG1PH'!AN151+'Rev Req''t_Baseline_UG1PH'!AN168</f>
        <v>659549.70447628596</v>
      </c>
      <c r="AP67" s="8">
        <f>'Rev Req''t_Baseline_UG1PH'!AO15+'Rev Req''t_Baseline_UG1PH'!AO32+'Rev Req''t_Baseline_UG1PH'!AO49+'Rev Req''t_Baseline_UG1PH'!AO66+'Rev Req''t_Baseline_UG1PH'!AO83+'Rev Req''t_Baseline_UG1PH'!AO100+'Rev Req''t_Baseline_UG1PH'!AO117+'Rev Req''t_Baseline_UG1PH'!AO134+'Rev Req''t_Baseline_UG1PH'!AO151+'Rev Req''t_Baseline_UG1PH'!AO168</f>
        <v>659549.70447628596</v>
      </c>
      <c r="AQ67" s="8">
        <f>'Rev Req''t_Baseline_UG1PH'!AP15+'Rev Req''t_Baseline_UG1PH'!AP32+'Rev Req''t_Baseline_UG1PH'!AP49+'Rev Req''t_Baseline_UG1PH'!AP66+'Rev Req''t_Baseline_UG1PH'!AP83+'Rev Req''t_Baseline_UG1PH'!AP100+'Rev Req''t_Baseline_UG1PH'!AP117+'Rev Req''t_Baseline_UG1PH'!AP134+'Rev Req''t_Baseline_UG1PH'!AP151+'Rev Req''t_Baseline_UG1PH'!AP168</f>
        <v>659549.70447628596</v>
      </c>
      <c r="AR67" s="8">
        <f>'Rev Req''t_Baseline_UG1PH'!AQ15+'Rev Req''t_Baseline_UG1PH'!AQ32+'Rev Req''t_Baseline_UG1PH'!AQ49+'Rev Req''t_Baseline_UG1PH'!AQ66+'Rev Req''t_Baseline_UG1PH'!AQ83+'Rev Req''t_Baseline_UG1PH'!AQ100+'Rev Req''t_Baseline_UG1PH'!AQ117+'Rev Req''t_Baseline_UG1PH'!AQ134+'Rev Req''t_Baseline_UG1PH'!AQ151+'Rev Req''t_Baseline_UG1PH'!AQ168</f>
        <v>659549.70447628596</v>
      </c>
      <c r="AS67" s="8">
        <f>'Rev Req''t_Baseline_UG1PH'!AR15+'Rev Req''t_Baseline_UG1PH'!AR32+'Rev Req''t_Baseline_UG1PH'!AR49+'Rev Req''t_Baseline_UG1PH'!AR66+'Rev Req''t_Baseline_UG1PH'!AR83+'Rev Req''t_Baseline_UG1PH'!AR100+'Rev Req''t_Baseline_UG1PH'!AR117+'Rev Req''t_Baseline_UG1PH'!AR134+'Rev Req''t_Baseline_UG1PH'!AR151+'Rev Req''t_Baseline_UG1PH'!AR168</f>
        <v>659549.70447628596</v>
      </c>
      <c r="AT67" s="8">
        <f>'Rev Req''t_Baseline_UG1PH'!AS15+'Rev Req''t_Baseline_UG1PH'!AS32+'Rev Req''t_Baseline_UG1PH'!AS49+'Rev Req''t_Baseline_UG1PH'!AS66+'Rev Req''t_Baseline_UG1PH'!AS83+'Rev Req''t_Baseline_UG1PH'!AS100+'Rev Req''t_Baseline_UG1PH'!AS117+'Rev Req''t_Baseline_UG1PH'!AS134+'Rev Req''t_Baseline_UG1PH'!AS151+'Rev Req''t_Baseline_UG1PH'!AS168</f>
        <v>659549.70447628596</v>
      </c>
      <c r="AU67" s="8">
        <f>'Rev Req''t_Baseline_UG1PH'!AT15+'Rev Req''t_Baseline_UG1PH'!AT32+'Rev Req''t_Baseline_UG1PH'!AT49+'Rev Req''t_Baseline_UG1PH'!AT66+'Rev Req''t_Baseline_UG1PH'!AT83+'Rev Req''t_Baseline_UG1PH'!AT100+'Rev Req''t_Baseline_UG1PH'!AT117+'Rev Req''t_Baseline_UG1PH'!AT134+'Rev Req''t_Baseline_UG1PH'!AT151+'Rev Req''t_Baseline_UG1PH'!AT168</f>
        <v>659549.70447628596</v>
      </c>
      <c r="AV67" s="8">
        <f>'Rev Req''t_Baseline_UG1PH'!AU15+'Rev Req''t_Baseline_UG1PH'!AU32+'Rev Req''t_Baseline_UG1PH'!AU49+'Rev Req''t_Baseline_UG1PH'!AU66+'Rev Req''t_Baseline_UG1PH'!AU83+'Rev Req''t_Baseline_UG1PH'!AU100+'Rev Req''t_Baseline_UG1PH'!AU117+'Rev Req''t_Baseline_UG1PH'!AU134+'Rev Req''t_Baseline_UG1PH'!AU151+'Rev Req''t_Baseline_UG1PH'!AU168</f>
        <v>659549.70447628596</v>
      </c>
      <c r="AW67" s="8">
        <f>'Rev Req''t_Baseline_UG1PH'!AV15+'Rev Req''t_Baseline_UG1PH'!AV32+'Rev Req''t_Baseline_UG1PH'!AV49+'Rev Req''t_Baseline_UG1PH'!AV66+'Rev Req''t_Baseline_UG1PH'!AV83+'Rev Req''t_Baseline_UG1PH'!AV100+'Rev Req''t_Baseline_UG1PH'!AV117+'Rev Req''t_Baseline_UG1PH'!AV134+'Rev Req''t_Baseline_UG1PH'!AV151+'Rev Req''t_Baseline_UG1PH'!AV168</f>
        <v>659549.70447628596</v>
      </c>
      <c r="AX67" s="8">
        <f>'Rev Req''t_Baseline_UG1PH'!AW15+'Rev Req''t_Baseline_UG1PH'!AW32+'Rev Req''t_Baseline_UG1PH'!AW49+'Rev Req''t_Baseline_UG1PH'!AW66+'Rev Req''t_Baseline_UG1PH'!AW83+'Rev Req''t_Baseline_UG1PH'!AW100+'Rev Req''t_Baseline_UG1PH'!AW117+'Rev Req''t_Baseline_UG1PH'!AW134+'Rev Req''t_Baseline_UG1PH'!AW151+'Rev Req''t_Baseline_UG1PH'!AW168</f>
        <v>659549.70447628596</v>
      </c>
      <c r="AY67" s="8">
        <f>'Rev Req''t_Baseline_UG1PH'!AX15+'Rev Req''t_Baseline_UG1PH'!AX32+'Rev Req''t_Baseline_UG1PH'!AX49+'Rev Req''t_Baseline_UG1PH'!AX66+'Rev Req''t_Baseline_UG1PH'!AX83+'Rev Req''t_Baseline_UG1PH'!AX100+'Rev Req''t_Baseline_UG1PH'!AX117+'Rev Req''t_Baseline_UG1PH'!AX134+'Rev Req''t_Baseline_UG1PH'!AX151+'Rev Req''t_Baseline_UG1PH'!AX168</f>
        <v>659549.70447628596</v>
      </c>
      <c r="AZ67" s="8">
        <f>'Rev Req''t_Baseline_UG1PH'!AY15+'Rev Req''t_Baseline_UG1PH'!AY32+'Rev Req''t_Baseline_UG1PH'!AY49+'Rev Req''t_Baseline_UG1PH'!AY66+'Rev Req''t_Baseline_UG1PH'!AY83+'Rev Req''t_Baseline_UG1PH'!AY100+'Rev Req''t_Baseline_UG1PH'!AY117+'Rev Req''t_Baseline_UG1PH'!AY134+'Rev Req''t_Baseline_UG1PH'!AY151+'Rev Req''t_Baseline_UG1PH'!AY168</f>
        <v>659549.70447628596</v>
      </c>
      <c r="BA67" s="8">
        <f>'Rev Req''t_Baseline_UG1PH'!AZ15+'Rev Req''t_Baseline_UG1PH'!AZ32+'Rev Req''t_Baseline_UG1PH'!AZ49+'Rev Req''t_Baseline_UG1PH'!AZ66+'Rev Req''t_Baseline_UG1PH'!AZ83+'Rev Req''t_Baseline_UG1PH'!AZ100+'Rev Req''t_Baseline_UG1PH'!AZ117+'Rev Req''t_Baseline_UG1PH'!AZ134+'Rev Req''t_Baseline_UG1PH'!AZ151+'Rev Req''t_Baseline_UG1PH'!AZ168</f>
        <v>659549.70447628596</v>
      </c>
      <c r="BB67" s="8">
        <f>'Rev Req''t_Baseline_UG1PH'!BA15+'Rev Req''t_Baseline_UG1PH'!BA32+'Rev Req''t_Baseline_UG1PH'!BA49+'Rev Req''t_Baseline_UG1PH'!BA66+'Rev Req''t_Baseline_UG1PH'!BA83+'Rev Req''t_Baseline_UG1PH'!BA100+'Rev Req''t_Baseline_UG1PH'!BA117+'Rev Req''t_Baseline_UG1PH'!BA134+'Rev Req''t_Baseline_UG1PH'!BA151+'Rev Req''t_Baseline_UG1PH'!BA168</f>
        <v>659549.70447628596</v>
      </c>
      <c r="BC67" s="8">
        <f>'Rev Req''t_Baseline_UG1PH'!BB15+'Rev Req''t_Baseline_UG1PH'!BB32+'Rev Req''t_Baseline_UG1PH'!BB49+'Rev Req''t_Baseline_UG1PH'!BB66+'Rev Req''t_Baseline_UG1PH'!BB83+'Rev Req''t_Baseline_UG1PH'!BB100+'Rev Req''t_Baseline_UG1PH'!BB117+'Rev Req''t_Baseline_UG1PH'!BB134+'Rev Req''t_Baseline_UG1PH'!BB151+'Rev Req''t_Baseline_UG1PH'!BB168</f>
        <v>659549.70447628596</v>
      </c>
      <c r="BD67" s="8">
        <f>'Rev Req''t_Baseline_UG1PH'!BC15+'Rev Req''t_Baseline_UG1PH'!BC32+'Rev Req''t_Baseline_UG1PH'!BC49+'Rev Req''t_Baseline_UG1PH'!BC66+'Rev Req''t_Baseline_UG1PH'!BC83+'Rev Req''t_Baseline_UG1PH'!BC100+'Rev Req''t_Baseline_UG1PH'!BC117+'Rev Req''t_Baseline_UG1PH'!BC134+'Rev Req''t_Baseline_UG1PH'!BC151+'Rev Req''t_Baseline_UG1PH'!BC168</f>
        <v>659549.70447628596</v>
      </c>
      <c r="BE67" s="8">
        <f>'Rev Req''t_Baseline_UG1PH'!BD15+'Rev Req''t_Baseline_UG1PH'!BD32+'Rev Req''t_Baseline_UG1PH'!BD49+'Rev Req''t_Baseline_UG1PH'!BD66+'Rev Req''t_Baseline_UG1PH'!BD83+'Rev Req''t_Baseline_UG1PH'!BD100+'Rev Req''t_Baseline_UG1PH'!BD117+'Rev Req''t_Baseline_UG1PH'!BD134+'Rev Req''t_Baseline_UG1PH'!BD151+'Rev Req''t_Baseline_UG1PH'!BD168</f>
        <v>599863.98047628603</v>
      </c>
      <c r="BF67" s="8">
        <f>'Rev Req''t_Baseline_UG1PH'!BE15+'Rev Req''t_Baseline_UG1PH'!BE32+'Rev Req''t_Baseline_UG1PH'!BE49+'Rev Req''t_Baseline_UG1PH'!BE66+'Rev Req''t_Baseline_UG1PH'!BE83+'Rev Req''t_Baseline_UG1PH'!BE100+'Rev Req''t_Baseline_UG1PH'!BE117+'Rev Req''t_Baseline_UG1PH'!BE134+'Rev Req''t_Baseline_UG1PH'!BE151+'Rev Req''t_Baseline_UG1PH'!BE168</f>
        <v>538865.17054828606</v>
      </c>
      <c r="BG67" s="8">
        <f>'Rev Req''t_Baseline_UG1PH'!BF15+'Rev Req''t_Baseline_UG1PH'!BF32+'Rev Req''t_Baseline_UG1PH'!BF49+'Rev Req''t_Baseline_UG1PH'!BF66+'Rev Req''t_Baseline_UG1PH'!BF83+'Rev Req''t_Baseline_UG1PH'!BF100+'Rev Req''t_Baseline_UG1PH'!BF117+'Rev Req''t_Baseline_UG1PH'!BF134+'Rev Req''t_Baseline_UG1PH'!BF151+'Rev Req''t_Baseline_UG1PH'!BF168</f>
        <v>476524.38680186996</v>
      </c>
      <c r="BH67" s="8">
        <f>'Rev Req''t_Baseline_UG1PH'!BG15+'Rev Req''t_Baseline_UG1PH'!BG32+'Rev Req''t_Baseline_UG1PH'!BG49+'Rev Req''t_Baseline_UG1PH'!BG66+'Rev Req''t_Baseline_UG1PH'!BG83+'Rev Req''t_Baseline_UG1PH'!BG100+'Rev Req''t_Baseline_UG1PH'!BG117+'Rev Req''t_Baseline_UG1PH'!BG134+'Rev Req''t_Baseline_UG1PH'!BG151+'Rev Req''t_Baseline_UG1PH'!BG168</f>
        <v>412812.10581303283</v>
      </c>
      <c r="BI67" s="8">
        <f>'Rev Req''t_Baseline_UG1PH'!BH15+'Rev Req''t_Baseline_UG1PH'!BH32+'Rev Req''t_Baseline_UG1PH'!BH49+'Rev Req''t_Baseline_UG1PH'!BH66+'Rev Req''t_Baseline_UG1PH'!BH83+'Rev Req''t_Baseline_UG1PH'!BH100+'Rev Req''t_Baseline_UG1PH'!BH117+'Rev Req''t_Baseline_UG1PH'!BH134+'Rev Req''t_Baseline_UG1PH'!BH151+'Rev Req''t_Baseline_UG1PH'!BH168</f>
        <v>347698.15464244125</v>
      </c>
      <c r="BJ67" s="8">
        <f>'Rev Req''t_Baseline_UG1PH'!BI15+'Rev Req''t_Baseline_UG1PH'!BI32+'Rev Req''t_Baseline_UG1PH'!BI49+'Rev Req''t_Baseline_UG1PH'!BI66+'Rev Req''t_Baseline_UG1PH'!BI83+'Rev Req''t_Baseline_UG1PH'!BI100+'Rev Req''t_Baseline_UG1PH'!BI117+'Rev Req''t_Baseline_UG1PH'!BI134+'Rev Req''t_Baseline_UG1PH'!BI151+'Rev Req''t_Baseline_UG1PH'!BI168</f>
        <v>281151.69654609665</v>
      </c>
      <c r="BK67" s="8">
        <f>'Rev Req''t_Baseline_UG1PH'!BJ15+'Rev Req''t_Baseline_UG1PH'!BJ32+'Rev Req''t_Baseline_UG1PH'!BJ49+'Rev Req''t_Baseline_UG1PH'!BJ66+'Rev Req''t_Baseline_UG1PH'!BJ83+'Rev Req''t_Baseline_UG1PH'!BJ100+'Rev Req''t_Baseline_UG1PH'!BJ117+'Rev Req''t_Baseline_UG1PH'!BJ134+'Rev Req''t_Baseline_UG1PH'!BJ151+'Rev Req''t_Baseline_UG1PH'!BJ168</f>
        <v>213141.21637163247</v>
      </c>
      <c r="BL67" s="8">
        <f>'Rev Req''t_Baseline_UG1PH'!BK15+'Rev Req''t_Baseline_UG1PH'!BK32+'Rev Req''t_Baseline_UG1PH'!BK49+'Rev Req''t_Baseline_UG1PH'!BK66+'Rev Req''t_Baseline_UG1PH'!BK83+'Rev Req''t_Baseline_UG1PH'!BK100+'Rev Req''t_Baseline_UG1PH'!BK117+'Rev Req''t_Baseline_UG1PH'!BK134+'Rev Req''t_Baseline_UG1PH'!BK151+'Rev Req''t_Baseline_UG1PH'!BK168</f>
        <v>143634.50563333009</v>
      </c>
      <c r="BM67" s="8">
        <f>'Rev Req''t_Baseline_UG1PH'!BL15+'Rev Req''t_Baseline_UG1PH'!BL32+'Rev Req''t_Baseline_UG1PH'!BL49+'Rev Req''t_Baseline_UG1PH'!BL66+'Rev Req''t_Baseline_UG1PH'!BL83+'Rev Req''t_Baseline_UG1PH'!BL100+'Rev Req''t_Baseline_UG1PH'!BL117+'Rev Req''t_Baseline_UG1PH'!BL134+'Rev Req''t_Baseline_UG1PH'!BL151+'Rev Req''t_Baseline_UG1PH'!BL168</f>
        <v>72598.647258785029</v>
      </c>
      <c r="BN67" s="8">
        <f>'Rev Req''t_Baseline_UG1PH'!BM15+'Rev Req''t_Baseline_UG1PH'!BM32+'Rev Req''t_Baseline_UG1PH'!BM49+'Rev Req''t_Baseline_UG1PH'!BM66+'Rev Req''t_Baseline_UG1PH'!BM83+'Rev Req''t_Baseline_UG1PH'!BM100+'Rev Req''t_Baseline_UG1PH'!BM117+'Rev Req''t_Baseline_UG1PH'!BM134+'Rev Req''t_Baseline_UG1PH'!BM151+'Rev Req''t_Baseline_UG1PH'!BM168</f>
        <v>0</v>
      </c>
      <c r="BO67" s="8">
        <f>'Rev Req''t_Baseline_UG1PH'!BN15+'Rev Req''t_Baseline_UG1PH'!BN32+'Rev Req''t_Baseline_UG1PH'!BN49+'Rev Req''t_Baseline_UG1PH'!BN66+'Rev Req''t_Baseline_UG1PH'!BN83+'Rev Req''t_Baseline_UG1PH'!BN100+'Rev Req''t_Baseline_UG1PH'!BN117+'Rev Req''t_Baseline_UG1PH'!BN134+'Rev Req''t_Baseline_UG1PH'!BN151+'Rev Req''t_Baseline_UG1PH'!BN168</f>
        <v>0</v>
      </c>
      <c r="BP67" s="8">
        <f>'Rev Req''t_Baseline_UG1PH'!BO15+'Rev Req''t_Baseline_UG1PH'!BO32+'Rev Req''t_Baseline_UG1PH'!BO49+'Rev Req''t_Baseline_UG1PH'!BO66+'Rev Req''t_Baseline_UG1PH'!BO83+'Rev Req''t_Baseline_UG1PH'!BO100+'Rev Req''t_Baseline_UG1PH'!BO117+'Rev Req''t_Baseline_UG1PH'!BO134+'Rev Req''t_Baseline_UG1PH'!BO151+'Rev Req''t_Baseline_UG1PH'!BO168</f>
        <v>0</v>
      </c>
      <c r="BQ67" s="8">
        <f>'Rev Req''t_Baseline_UG1PH'!BP15+'Rev Req''t_Baseline_UG1PH'!BP32+'Rev Req''t_Baseline_UG1PH'!BP49+'Rev Req''t_Baseline_UG1PH'!BP66+'Rev Req''t_Baseline_UG1PH'!BP83+'Rev Req''t_Baseline_UG1PH'!BP100+'Rev Req''t_Baseline_UG1PH'!BP117+'Rev Req''t_Baseline_UG1PH'!BP134+'Rev Req''t_Baseline_UG1PH'!BP151+'Rev Req''t_Baseline_UG1PH'!BP168</f>
        <v>0</v>
      </c>
      <c r="BR67" s="8">
        <f>'Rev Req''t_Baseline_UG1PH'!BQ15+'Rev Req''t_Baseline_UG1PH'!BQ32+'Rev Req''t_Baseline_UG1PH'!BQ49+'Rev Req''t_Baseline_UG1PH'!BQ66+'Rev Req''t_Baseline_UG1PH'!BQ83+'Rev Req''t_Baseline_UG1PH'!BQ100+'Rev Req''t_Baseline_UG1PH'!BQ117+'Rev Req''t_Baseline_UG1PH'!BQ134+'Rev Req''t_Baseline_UG1PH'!BQ151+'Rev Req''t_Baseline_UG1PH'!BQ168</f>
        <v>0</v>
      </c>
      <c r="BS67" s="8">
        <f>'Rev Req''t_Baseline_UG1PH'!BR15+'Rev Req''t_Baseline_UG1PH'!BR32+'Rev Req''t_Baseline_UG1PH'!BR49+'Rev Req''t_Baseline_UG1PH'!BR66+'Rev Req''t_Baseline_UG1PH'!BR83+'Rev Req''t_Baseline_UG1PH'!BR100+'Rev Req''t_Baseline_UG1PH'!BR117+'Rev Req''t_Baseline_UG1PH'!BR134+'Rev Req''t_Baseline_UG1PH'!BR151+'Rev Req''t_Baseline_UG1PH'!BR168</f>
        <v>0</v>
      </c>
      <c r="BT67" s="8">
        <f>'Rev Req''t_Baseline_UG1PH'!BS15+'Rev Req''t_Baseline_UG1PH'!BS32+'Rev Req''t_Baseline_UG1PH'!BS49+'Rev Req''t_Baseline_UG1PH'!BS66+'Rev Req''t_Baseline_UG1PH'!BS83+'Rev Req''t_Baseline_UG1PH'!BS100+'Rev Req''t_Baseline_UG1PH'!BS117+'Rev Req''t_Baseline_UG1PH'!BS134+'Rev Req''t_Baseline_UG1PH'!BS151+'Rev Req''t_Baseline_UG1PH'!BS168</f>
        <v>0</v>
      </c>
      <c r="BU67" s="8"/>
      <c r="BV67" s="8"/>
    </row>
    <row r="68" spans="1:74" x14ac:dyDescent="0.4">
      <c r="A68" t="s">
        <v>37</v>
      </c>
      <c r="B68" t="s">
        <v>16</v>
      </c>
      <c r="C68" t="s">
        <v>136</v>
      </c>
      <c r="D68" t="s">
        <v>148</v>
      </c>
      <c r="F68" s="8"/>
      <c r="G68" s="8">
        <f>'Baseline scaling factors'!B12*(1+Inflation)^(G$3-2025)</f>
        <v>128023.75135023416</v>
      </c>
      <c r="H68" s="8">
        <f>'Baseline scaling factors'!C12*(1+Inflation)^(H$3-2025)</f>
        <v>128841.95948162758</v>
      </c>
      <c r="I68" s="8">
        <f>'Baseline scaling factors'!D12*(1+Inflation)^(I$3-2025)</f>
        <v>127621.34131934876</v>
      </c>
      <c r="J68" s="8">
        <f>'Baseline scaling factors'!E12*(1+Inflation)^(J$3-2025)</f>
        <v>124377.25150556493</v>
      </c>
      <c r="K68" s="8">
        <f>'Baseline scaling factors'!F12*(1+Inflation)^(K$3-2025)</f>
        <v>119122.91703198884</v>
      </c>
      <c r="L68" s="8">
        <f>'Baseline scaling factors'!G12*(1+Inflation)^(L$3-2025)</f>
        <v>111869.45483207116</v>
      </c>
      <c r="M68" s="8">
        <f>'Baseline scaling factors'!H12*(1+Inflation)^(M$3-2025)</f>
        <v>102625.88772252017</v>
      </c>
      <c r="N68" s="8">
        <f>'Baseline scaling factors'!I12*(1+Inflation)^(N$3-2025)</f>
        <v>91399.158709197902</v>
      </c>
      <c r="O68" s="8">
        <f>'Baseline scaling factors'!J12*(1+Inflation)^(O$3-2025)</f>
        <v>78194.143671302765</v>
      </c>
      <c r="P68" s="8">
        <f>'Baseline scaling factors'!K12*(1+Inflation)^(P$3-2025)</f>
        <v>63013.662436624101</v>
      </c>
      <c r="Q68" s="8">
        <f t="shared" ref="Q68:AV69" si="20">P68*(1+Inflation)</f>
        <v>64399.963010229832</v>
      </c>
      <c r="R68" s="8">
        <f t="shared" si="20"/>
        <v>65816.762196454889</v>
      </c>
      <c r="S68" s="8">
        <f t="shared" si="20"/>
        <v>67264.7309647769</v>
      </c>
      <c r="T68" s="8">
        <f t="shared" si="20"/>
        <v>68744.555046001988</v>
      </c>
      <c r="U68" s="8">
        <f t="shared" si="20"/>
        <v>70256.935257014033</v>
      </c>
      <c r="V68" s="8">
        <f t="shared" si="20"/>
        <v>71802.587832668345</v>
      </c>
      <c r="W68" s="8">
        <f t="shared" si="20"/>
        <v>73382.244764987045</v>
      </c>
      <c r="X68" s="8">
        <f t="shared" si="20"/>
        <v>74996.654149816764</v>
      </c>
      <c r="Y68" s="8">
        <f t="shared" si="20"/>
        <v>76646.580541112737</v>
      </c>
      <c r="Z68" s="8">
        <f t="shared" si="20"/>
        <v>78332.805313017219</v>
      </c>
      <c r="AA68" s="8">
        <f t="shared" si="20"/>
        <v>80056.127029903597</v>
      </c>
      <c r="AB68" s="8">
        <f t="shared" si="20"/>
        <v>81817.361824561478</v>
      </c>
      <c r="AC68" s="8">
        <f t="shared" si="20"/>
        <v>83617.343784701836</v>
      </c>
      <c r="AD68" s="8">
        <f t="shared" si="20"/>
        <v>85456.925347965283</v>
      </c>
      <c r="AE68" s="8">
        <f t="shared" si="20"/>
        <v>87336.97770562052</v>
      </c>
      <c r="AF68" s="8">
        <f t="shared" si="20"/>
        <v>89258.391215144176</v>
      </c>
      <c r="AG68" s="8">
        <f t="shared" si="20"/>
        <v>91222.075821877355</v>
      </c>
      <c r="AH68" s="8">
        <f t="shared" si="20"/>
        <v>93228.96148995866</v>
      </c>
      <c r="AI68" s="8">
        <f t="shared" si="20"/>
        <v>95279.998642737759</v>
      </c>
      <c r="AJ68" s="8">
        <f t="shared" si="20"/>
        <v>97376.158612877989</v>
      </c>
      <c r="AK68" s="8">
        <f t="shared" si="20"/>
        <v>99518.434102361309</v>
      </c>
      <c r="AL68" s="8">
        <f t="shared" si="20"/>
        <v>101707.83965261326</v>
      </c>
      <c r="AM68" s="8">
        <f t="shared" si="20"/>
        <v>103945.41212497075</v>
      </c>
      <c r="AN68" s="8">
        <f t="shared" si="20"/>
        <v>106232.21119172011</v>
      </c>
      <c r="AO68" s="8">
        <f t="shared" si="20"/>
        <v>108569.31983793796</v>
      </c>
      <c r="AP68" s="8">
        <f t="shared" si="20"/>
        <v>110957.8448743726</v>
      </c>
      <c r="AQ68" s="8">
        <f t="shared" si="20"/>
        <v>113398.9174616088</v>
      </c>
      <c r="AR68" s="8">
        <f t="shared" si="20"/>
        <v>115893.6936457642</v>
      </c>
      <c r="AS68" s="8">
        <f t="shared" si="20"/>
        <v>118443.35490597102</v>
      </c>
      <c r="AT68" s="8">
        <f t="shared" si="20"/>
        <v>121049.10871390239</v>
      </c>
      <c r="AU68" s="8">
        <f t="shared" si="20"/>
        <v>123712.18910560824</v>
      </c>
      <c r="AV68" s="8">
        <f t="shared" si="20"/>
        <v>126433.85726593163</v>
      </c>
      <c r="AW68" s="8">
        <f t="shared" ref="AW68:BM69" si="21">AV68*(1+Inflation)</f>
        <v>129215.40212578213</v>
      </c>
      <c r="AX68" s="8">
        <f t="shared" si="21"/>
        <v>132058.14097254933</v>
      </c>
      <c r="AY68" s="8">
        <f t="shared" si="21"/>
        <v>134963.42007394542</v>
      </c>
      <c r="AZ68" s="8">
        <f t="shared" si="21"/>
        <v>137932.61531557221</v>
      </c>
      <c r="BA68" s="8">
        <f t="shared" si="21"/>
        <v>140967.1328525148</v>
      </c>
      <c r="BB68" s="8">
        <f t="shared" si="21"/>
        <v>144068.40977527012</v>
      </c>
      <c r="BC68" s="8">
        <f t="shared" si="21"/>
        <v>147237.91479032606</v>
      </c>
      <c r="BD68" s="8">
        <f t="shared" si="21"/>
        <v>150477.14891571325</v>
      </c>
      <c r="BE68" s="8">
        <f t="shared" si="21"/>
        <v>153787.64619185895</v>
      </c>
      <c r="BF68" s="8">
        <f t="shared" si="21"/>
        <v>157170.97440807984</v>
      </c>
      <c r="BG68" s="8">
        <f t="shared" si="21"/>
        <v>160628.73584505761</v>
      </c>
      <c r="BH68" s="8">
        <f t="shared" si="21"/>
        <v>164162.56803364889</v>
      </c>
      <c r="BI68" s="8">
        <f t="shared" si="21"/>
        <v>167774.14453038917</v>
      </c>
      <c r="BJ68" s="8">
        <f t="shared" si="21"/>
        <v>171465.17571005772</v>
      </c>
      <c r="BK68" s="8">
        <f t="shared" si="21"/>
        <v>175237.40957567899</v>
      </c>
      <c r="BL68" s="8">
        <f t="shared" si="21"/>
        <v>179092.63258634394</v>
      </c>
      <c r="BM68" s="8">
        <f t="shared" si="21"/>
        <v>183032.67050324351</v>
      </c>
      <c r="BN68" s="8"/>
      <c r="BO68" s="8"/>
      <c r="BP68" s="8"/>
      <c r="BQ68" s="8"/>
      <c r="BR68" s="8"/>
      <c r="BS68" s="8"/>
      <c r="BT68" s="8"/>
    </row>
    <row r="69" spans="1:74" x14ac:dyDescent="0.4">
      <c r="A69" t="s">
        <v>37</v>
      </c>
      <c r="B69" t="s">
        <v>16</v>
      </c>
      <c r="C69" t="s">
        <v>136</v>
      </c>
      <c r="D69" t="s">
        <v>160</v>
      </c>
      <c r="F69" s="8"/>
      <c r="G69" s="8">
        <f>VLOOKUP($B69&amp;"-"&amp;$A69,'Baseline scaling factors'!$A$63:$K$65,MATCH(Costs_Baseline!G$1,'Baseline scaling factors'!$A$62:$K$62,0),0)*(1+Inflation)^(G$3-2025)</f>
        <v>23631.614036962419</v>
      </c>
      <c r="H69" s="8">
        <f>VLOOKUP($B69&amp;"-"&amp;$A69,'Baseline scaling factors'!$A$63:$K$65,MATCH(Costs_Baseline!H$1,'Baseline scaling factors'!$A$62:$K$62,0),0)*(1+Inflation)^(H$3-2025)</f>
        <v>22097.676406968894</v>
      </c>
      <c r="I69" s="8">
        <f>VLOOKUP($B69&amp;"-"&amp;$A69,'Baseline scaling factors'!$A$63:$K$65,MATCH(Costs_Baseline!I$1,'Baseline scaling factors'!$A$62:$K$62,0),0)*(1+Inflation)^(I$3-2025)</f>
        <v>20577.295212852398</v>
      </c>
      <c r="J69" s="8">
        <f>VLOOKUP($B69&amp;"-"&amp;$A69,'Baseline scaling factors'!$A$63:$K$65,MATCH(Costs_Baseline!J$1,'Baseline scaling factors'!$A$62:$K$62,0),0)*(1+Inflation)^(J$3-2025)</f>
        <v>19069.679230949871</v>
      </c>
      <c r="K69" s="8">
        <f>VLOOKUP($B69&amp;"-"&amp;$A69,'Baseline scaling factors'!$A$63:$K$65,MATCH(Costs_Baseline!K$1,'Baseline scaling factors'!$A$62:$K$62,0),0)*(1+Inflation)^(K$3-2025)</f>
        <v>17574.044922805762</v>
      </c>
      <c r="L69" s="8">
        <f>VLOOKUP($B69&amp;"-"&amp;$A69,'Baseline scaling factors'!$A$63:$K$65,MATCH(Costs_Baseline!L$1,'Baseline scaling factors'!$A$62:$K$62,0),0)*(1+Inflation)^(L$3-2025)</f>
        <v>16089.616026334788</v>
      </c>
      <c r="M69" s="8">
        <f>VLOOKUP($B69&amp;"-"&amp;$A69,'Baseline scaling factors'!$A$63:$K$65,MATCH(Costs_Baseline!M$1,'Baseline scaling factors'!$A$62:$K$62,0),0)*(1+Inflation)^(M$3-2025)</f>
        <v>14615.623151300413</v>
      </c>
      <c r="N69" s="8">
        <f>VLOOKUP($B69&amp;"-"&amp;$A69,'Baseline scaling factors'!$A$63:$K$65,MATCH(Costs_Baseline!N$1,'Baseline scaling factors'!$A$62:$K$62,0),0)*(1+Inflation)^(N$3-2025)</f>
        <v>13151.303378897584</v>
      </c>
      <c r="O69" s="8">
        <f>VLOOKUP($B69&amp;"-"&amp;$A69,'Baseline scaling factors'!$A$63:$K$65,MATCH(Costs_Baseline!O$1,'Baseline scaling factors'!$A$62:$K$62,0),0)*(1+Inflation)^(O$3-2025)</f>
        <v>11695.899865230464</v>
      </c>
      <c r="P69" s="8">
        <f>VLOOKUP($B69&amp;"-"&amp;$A69,'Baseline scaling factors'!$A$63:$K$65,MATCH(Costs_Baseline!P$1,'Baseline scaling factors'!$A$62:$K$62,0),0)*(1+Inflation)^(P$3-2025)</f>
        <v>10248.661448478244</v>
      </c>
      <c r="Q69" s="8">
        <f>P69*(1+Inflation)</f>
        <v>10474.132000344765</v>
      </c>
      <c r="R69" s="8">
        <f t="shared" si="20"/>
        <v>10704.562904352351</v>
      </c>
      <c r="S69" s="8">
        <f t="shared" si="20"/>
        <v>10940.063288248104</v>
      </c>
      <c r="T69" s="8">
        <f t="shared" si="20"/>
        <v>11180.744680589563</v>
      </c>
      <c r="U69" s="8">
        <f t="shared" si="20"/>
        <v>11426.721063562534</v>
      </c>
      <c r="V69" s="8">
        <f t="shared" si="20"/>
        <v>11678.108926960911</v>
      </c>
      <c r="W69" s="8">
        <f t="shared" si="20"/>
        <v>11935.027323354052</v>
      </c>
      <c r="X69" s="8">
        <f t="shared" si="20"/>
        <v>12197.597924467842</v>
      </c>
      <c r="Y69" s="8">
        <f t="shared" si="20"/>
        <v>12465.945078806135</v>
      </c>
      <c r="Z69" s="8">
        <f t="shared" si="20"/>
        <v>12740.19587053987</v>
      </c>
      <c r="AA69" s="8">
        <f t="shared" si="20"/>
        <v>13020.480179691747</v>
      </c>
      <c r="AB69" s="8">
        <f t="shared" si="20"/>
        <v>13306.930743644965</v>
      </c>
      <c r="AC69" s="8">
        <f t="shared" si="20"/>
        <v>13599.683220005154</v>
      </c>
      <c r="AD69" s="8">
        <f t="shared" si="20"/>
        <v>13898.876250845267</v>
      </c>
      <c r="AE69" s="8">
        <f t="shared" si="20"/>
        <v>14204.651528363864</v>
      </c>
      <c r="AF69" s="8">
        <f t="shared" si="20"/>
        <v>14517.153861987868</v>
      </c>
      <c r="AG69" s="8">
        <f t="shared" si="20"/>
        <v>14836.531246951601</v>
      </c>
      <c r="AH69" s="8">
        <f t="shared" si="20"/>
        <v>15162.934934384537</v>
      </c>
      <c r="AI69" s="8">
        <f t="shared" si="20"/>
        <v>15496.519502940997</v>
      </c>
      <c r="AJ69" s="8">
        <f t="shared" si="20"/>
        <v>15837.442932005699</v>
      </c>
      <c r="AK69" s="8">
        <f t="shared" si="20"/>
        <v>16185.866676509824</v>
      </c>
      <c r="AL69" s="8">
        <f t="shared" si="20"/>
        <v>16541.955743393042</v>
      </c>
      <c r="AM69" s="8">
        <f t="shared" si="20"/>
        <v>16905.878769747691</v>
      </c>
      <c r="AN69" s="8">
        <f t="shared" si="20"/>
        <v>17277.808102682142</v>
      </c>
      <c r="AO69" s="8">
        <f t="shared" si="20"/>
        <v>17657.91988094115</v>
      </c>
      <c r="AP69" s="8">
        <f t="shared" si="20"/>
        <v>18046.394118321856</v>
      </c>
      <c r="AQ69" s="8">
        <f t="shared" si="20"/>
        <v>18443.414788924936</v>
      </c>
      <c r="AR69" s="8">
        <f t="shared" si="20"/>
        <v>18849.169914281287</v>
      </c>
      <c r="AS69" s="8">
        <f t="shared" si="20"/>
        <v>19263.851652395475</v>
      </c>
      <c r="AT69" s="8">
        <f t="shared" si="20"/>
        <v>19687.656388748175</v>
      </c>
      <c r="AU69" s="8">
        <f t="shared" si="20"/>
        <v>20120.784829300635</v>
      </c>
      <c r="AV69" s="8">
        <f t="shared" si="20"/>
        <v>20563.442095545252</v>
      </c>
      <c r="AW69" s="8">
        <f t="shared" si="21"/>
        <v>21015.837821647248</v>
      </c>
      <c r="AX69" s="8">
        <f t="shared" si="21"/>
        <v>21478.186253723488</v>
      </c>
      <c r="AY69" s="8">
        <f t="shared" si="21"/>
        <v>21950.706351305405</v>
      </c>
      <c r="AZ69" s="8">
        <f t="shared" si="21"/>
        <v>22433.621891034123</v>
      </c>
      <c r="BA69" s="8">
        <f t="shared" si="21"/>
        <v>22927.161572636873</v>
      </c>
      <c r="BB69" s="8">
        <f t="shared" si="21"/>
        <v>23431.559127234883</v>
      </c>
      <c r="BC69" s="8">
        <f t="shared" si="21"/>
        <v>23947.053428034051</v>
      </c>
      <c r="BD69" s="8">
        <f t="shared" si="21"/>
        <v>24473.8886034508</v>
      </c>
      <c r="BE69" s="8">
        <f t="shared" si="21"/>
        <v>25012.314152726718</v>
      </c>
      <c r="BF69" s="8">
        <f t="shared" si="21"/>
        <v>25562.585064086707</v>
      </c>
      <c r="BG69" s="8">
        <f t="shared" si="21"/>
        <v>26124.961935496616</v>
      </c>
      <c r="BH69" s="8">
        <f t="shared" si="21"/>
        <v>26699.711098077543</v>
      </c>
      <c r="BI69" s="8">
        <f t="shared" si="21"/>
        <v>27287.104742235249</v>
      </c>
      <c r="BJ69" s="8">
        <f t="shared" si="21"/>
        <v>27887.421046564425</v>
      </c>
      <c r="BK69" s="8">
        <f t="shared" si="21"/>
        <v>28500.944309588842</v>
      </c>
      <c r="BL69" s="8">
        <f t="shared" si="21"/>
        <v>29127.965084399795</v>
      </c>
      <c r="BM69" s="8">
        <f t="shared" si="21"/>
        <v>29768.780316256591</v>
      </c>
      <c r="BN69" s="8"/>
      <c r="BO69" s="8"/>
      <c r="BP69" s="8"/>
      <c r="BQ69" s="8"/>
      <c r="BR69" s="8"/>
      <c r="BS69" s="8"/>
      <c r="BT69" s="8"/>
    </row>
    <row r="70" spans="1:74" x14ac:dyDescent="0.4">
      <c r="A70" t="s">
        <v>37</v>
      </c>
      <c r="B70" t="s">
        <v>16</v>
      </c>
      <c r="C70" t="s">
        <v>136</v>
      </c>
      <c r="D70" t="s">
        <v>130</v>
      </c>
      <c r="F70" s="8"/>
      <c r="G70" s="8">
        <f>IF(G$1&lt;=Lifetime_UG,((OM_Inspections_UG/10*'Baseline scaling factors'!B36)+(OM_Inspections_OH/10*'Baseline scaling factors'!B43))*(1+Inflation)^(G$56-2026),0)</f>
        <v>2388.7571346195205</v>
      </c>
      <c r="H70" s="8">
        <f>IF(H$1&lt;=Lifetime_UG,((OM_Inspections_UG/10*'Baseline scaling factors'!C36)+(OM_Inspections_OH/10*'Baseline scaling factors'!C43))*(1+Inflation)^(H$56-2026),0)</f>
        <v>2363.8361327272296</v>
      </c>
      <c r="I70" s="8">
        <f>IF(I$1&lt;=Lifetime_UG,((OM_Inspections_UG/10*'Baseline scaling factors'!D36)+(OM_Inspections_OH/10*'Baseline scaling factors'!D43))*(1+Inflation)^(I$56-2026),0)</f>
        <v>2340.1512111303045</v>
      </c>
      <c r="J70" s="8">
        <f>IF(J$1&lt;=Lifetime_UG,((OM_Inspections_UG/10*'Baseline scaling factors'!E36)+(OM_Inspections_OH/10*'Baseline scaling factors'!E43))*(1+Inflation)^(J$56-2026),0)</f>
        <v>2317.6884673359109</v>
      </c>
      <c r="K70" s="8">
        <f>IF(K$1&lt;=Lifetime_UG,((OM_Inspections_UG/10*'Baseline scaling factors'!F36)+(OM_Inspections_OH/10*'Baseline scaling factors'!F43))*(1+Inflation)^(K$56-2026),0)</f>
        <v>2296.4346395089888</v>
      </c>
      <c r="L70" s="8">
        <f>IF(L$1&lt;=Lifetime_UG,((OM_Inspections_UG/10*'Baseline scaling factors'!G36)+(OM_Inspections_OH/10*'Baseline scaling factors'!G43))*(1+Inflation)^(L$56-2026),0)</f>
        <v>2276.3770987670205</v>
      </c>
      <c r="M70" s="8">
        <f>IF(M$1&lt;=Lifetime_UG,((OM_Inspections_UG/10*'Baseline scaling factors'!H36)+(OM_Inspections_OH/10*'Baseline scaling factors'!H43))*(1+Inflation)^(M$56-2026),0)</f>
        <v>2257.50384180737</v>
      </c>
      <c r="N70" s="8">
        <f>IF(N$1&lt;=Lifetime_UG,((OM_Inspections_UG/10*'Baseline scaling factors'!I36)+(OM_Inspections_OH/10*'Baseline scaling factors'!I43))*(1+Inflation)^(N$56-2026),0)</f>
        <v>2239.8034838629392</v>
      </c>
      <c r="O70" s="8">
        <f>IF(O$1&lt;=Lifetime_UG,((OM_Inspections_UG/10*'Baseline scaling factors'!J36)+(OM_Inspections_OH/10*'Baseline scaling factors'!J43))*(1+Inflation)^(O$56-2026),0)</f>
        <v>2223.2652519820717</v>
      </c>
      <c r="P70" s="8">
        <f>IF(P$1&lt;=Lifetime_UG,((OM_Inspections_UG/10*'Baseline scaling factors'!K36)+(OM_Inspections_OH/10*'Baseline scaling factors'!K43))*(1+Inflation)^(P$56-2026),0)</f>
        <v>2207.8789786287971</v>
      </c>
      <c r="Q70" s="8">
        <f t="shared" ref="Q70:AV70" si="22">IF(Q$1&lt;=Lifetime_UG,P70*(1+Inflation),0)</f>
        <v>2256.4523161586308</v>
      </c>
      <c r="R70" s="8">
        <f t="shared" si="22"/>
        <v>2306.0942671141206</v>
      </c>
      <c r="S70" s="8">
        <f t="shared" si="22"/>
        <v>2356.8283409906312</v>
      </c>
      <c r="T70" s="8">
        <f t="shared" si="22"/>
        <v>2408.6785644924253</v>
      </c>
      <c r="U70" s="8">
        <f t="shared" si="22"/>
        <v>2461.6694929112587</v>
      </c>
      <c r="V70" s="8">
        <f t="shared" si="22"/>
        <v>2515.8262217553065</v>
      </c>
      <c r="W70" s="8">
        <f t="shared" si="22"/>
        <v>2571.1743986339234</v>
      </c>
      <c r="X70" s="8">
        <f t="shared" si="22"/>
        <v>2627.7402354038695</v>
      </c>
      <c r="Y70" s="8">
        <f t="shared" si="22"/>
        <v>2685.5505205827549</v>
      </c>
      <c r="Z70" s="8">
        <f t="shared" si="22"/>
        <v>2744.6326320355756</v>
      </c>
      <c r="AA70" s="8">
        <f t="shared" si="22"/>
        <v>2805.0145499403584</v>
      </c>
      <c r="AB70" s="8">
        <f t="shared" si="22"/>
        <v>2866.7248700390464</v>
      </c>
      <c r="AC70" s="8">
        <f t="shared" si="22"/>
        <v>2929.7928171799053</v>
      </c>
      <c r="AD70" s="8">
        <f t="shared" si="22"/>
        <v>2994.2482591578632</v>
      </c>
      <c r="AE70" s="8">
        <f t="shared" si="22"/>
        <v>3060.1217208593362</v>
      </c>
      <c r="AF70" s="8">
        <f t="shared" si="22"/>
        <v>3127.4443987182417</v>
      </c>
      <c r="AG70" s="8">
        <f t="shared" si="22"/>
        <v>3196.2481754900432</v>
      </c>
      <c r="AH70" s="8">
        <f t="shared" si="22"/>
        <v>3266.5656353508243</v>
      </c>
      <c r="AI70" s="8">
        <f t="shared" si="22"/>
        <v>3338.4300793285424</v>
      </c>
      <c r="AJ70" s="8">
        <f t="shared" si="22"/>
        <v>3411.8755410737704</v>
      </c>
      <c r="AK70" s="8">
        <f t="shared" si="22"/>
        <v>3486.9368029773932</v>
      </c>
      <c r="AL70" s="8">
        <f t="shared" si="22"/>
        <v>3563.6494126428961</v>
      </c>
      <c r="AM70" s="8">
        <f t="shared" si="22"/>
        <v>3642.0496997210398</v>
      </c>
      <c r="AN70" s="8">
        <f t="shared" si="22"/>
        <v>3722.174793114903</v>
      </c>
      <c r="AO70" s="8">
        <f t="shared" si="22"/>
        <v>3804.0626385634309</v>
      </c>
      <c r="AP70" s="8">
        <f t="shared" si="22"/>
        <v>3887.7520166118265</v>
      </c>
      <c r="AQ70" s="8">
        <f t="shared" si="22"/>
        <v>3973.2825609772867</v>
      </c>
      <c r="AR70" s="8">
        <f t="shared" si="22"/>
        <v>4060.6947773187871</v>
      </c>
      <c r="AS70" s="8">
        <f t="shared" si="22"/>
        <v>4150.0300624198007</v>
      </c>
      <c r="AT70" s="8">
        <f t="shared" si="22"/>
        <v>4241.3307237930367</v>
      </c>
      <c r="AU70" s="8">
        <f t="shared" si="22"/>
        <v>4334.6399997164835</v>
      </c>
      <c r="AV70" s="8">
        <f t="shared" si="22"/>
        <v>4430.0020797102461</v>
      </c>
      <c r="AW70" s="8">
        <f t="shared" ref="AW70:BT70" si="23">IF(AW$1&lt;=Lifetime_UG,AV70*(1+Inflation),0)</f>
        <v>4527.4621254638714</v>
      </c>
      <c r="AX70" s="8">
        <f t="shared" si="23"/>
        <v>4627.0662922240763</v>
      </c>
      <c r="AY70" s="8">
        <f t="shared" si="23"/>
        <v>4728.8617506530063</v>
      </c>
      <c r="AZ70" s="8">
        <f t="shared" si="23"/>
        <v>4832.8967091673721</v>
      </c>
      <c r="BA70" s="8">
        <f t="shared" si="23"/>
        <v>4939.2204367690547</v>
      </c>
      <c r="BB70" s="8">
        <f t="shared" si="23"/>
        <v>5047.8832863779744</v>
      </c>
      <c r="BC70" s="8">
        <f t="shared" si="23"/>
        <v>5158.9367186782902</v>
      </c>
      <c r="BD70" s="8">
        <f t="shared" si="23"/>
        <v>5272.433326489213</v>
      </c>
      <c r="BE70" s="8">
        <f t="shared" si="23"/>
        <v>5388.4268596719758</v>
      </c>
      <c r="BF70" s="8">
        <f t="shared" si="23"/>
        <v>5506.9722505847594</v>
      </c>
      <c r="BG70" s="8">
        <f t="shared" si="23"/>
        <v>5628.1256400976245</v>
      </c>
      <c r="BH70" s="8">
        <f t="shared" si="23"/>
        <v>5751.9444041797724</v>
      </c>
      <c r="BI70" s="8">
        <f t="shared" si="23"/>
        <v>5878.4871810717277</v>
      </c>
      <c r="BJ70" s="8">
        <f t="shared" si="23"/>
        <v>6007.8138990553061</v>
      </c>
      <c r="BK70" s="8">
        <f t="shared" si="23"/>
        <v>0</v>
      </c>
      <c r="BL70" s="8">
        <f t="shared" si="23"/>
        <v>0</v>
      </c>
      <c r="BM70" s="8">
        <f t="shared" si="23"/>
        <v>0</v>
      </c>
      <c r="BN70" s="8">
        <f t="shared" si="23"/>
        <v>0</v>
      </c>
      <c r="BO70" s="8">
        <f t="shared" si="23"/>
        <v>0</v>
      </c>
      <c r="BP70" s="8">
        <f t="shared" si="23"/>
        <v>0</v>
      </c>
      <c r="BQ70" s="8">
        <f t="shared" si="23"/>
        <v>0</v>
      </c>
      <c r="BR70" s="8">
        <f t="shared" si="23"/>
        <v>0</v>
      </c>
      <c r="BS70" s="8">
        <f t="shared" si="23"/>
        <v>0</v>
      </c>
      <c r="BT70" s="8">
        <f t="shared" si="23"/>
        <v>0</v>
      </c>
    </row>
    <row r="71" spans="1:74" x14ac:dyDescent="0.4">
      <c r="A71" t="s">
        <v>37</v>
      </c>
      <c r="B71" t="s">
        <v>16</v>
      </c>
      <c r="C71" t="s">
        <v>136</v>
      </c>
      <c r="D71" t="s">
        <v>131</v>
      </c>
      <c r="F71" s="8"/>
      <c r="G71" s="8">
        <f>IF(G$1&gt;Lifetime_UG,0,(OM_BASELINE_TRIMMING_CYCLE_PER_MILE*'Baseline scaling factors'!B$43+OM_MITIGATION_TRIMMING_CYCLE_PER_MILE*'Baseline scaling factors'!B$36)*(1+Inflation)^(G$3-2026))</f>
        <v>87844.817678103675</v>
      </c>
      <c r="H71" s="8">
        <f>IF(H$1&gt;Lifetime_UG,0,(OM_BASELINE_TRIMMING_CYCLE_PER_MILE*'Baseline scaling factors'!C$43+OM_MITIGATION_TRIMMING_CYCLE_PER_MILE*'Baseline scaling factors'!C$36)*(1+Inflation)^(H$3-2026))</f>
        <v>80967.963941890921</v>
      </c>
      <c r="I71" s="8">
        <f>IF(I$1&gt;Lifetime_UG,0,(OM_BASELINE_TRIMMING_CYCLE_PER_MILE*'Baseline scaling factors'!D$43+OM_MITIGATION_TRIMMING_CYCLE_PER_MILE*'Baseline scaling factors'!D$36)*(1+Inflation)^(I$3-2026))</f>
        <v>74142.71491724407</v>
      </c>
      <c r="J71" s="8">
        <f>IF(J$1&gt;Lifetime_UG,0,(OM_BASELINE_TRIMMING_CYCLE_PER_MILE*'Baseline scaling factors'!E$43+OM_MITIGATION_TRIMMING_CYCLE_PER_MILE*'Baseline scaling factors'!E$36)*(1+Inflation)^(J$3-2026))</f>
        <v>67365.532899922269</v>
      </c>
      <c r="K71" s="8">
        <f>IF(K$1&gt;Lifetime_UG,0,(OM_BASELINE_TRIMMING_CYCLE_PER_MILE*'Baseline scaling factors'!F$43+OM_MITIGATION_TRIMMING_CYCLE_PER_MILE*'Baseline scaling factors'!F$36)*(1+Inflation)^(K$3-2026))</f>
        <v>60632.90998304086</v>
      </c>
      <c r="L71" s="8">
        <f>IF(L$1&gt;Lifetime_UG,0,(OM_BASELINE_TRIMMING_CYCLE_PER_MILE*'Baseline scaling factors'!G$43+OM_MITIGATION_TRIMMING_CYCLE_PER_MILE*'Baseline scaling factors'!G$36)*(1+Inflation)^(L$3-2026))</f>
        <v>53941.366233794819</v>
      </c>
      <c r="M71" s="8">
        <f>IF(M$1&gt;Lifetime_UG,0,(OM_BASELINE_TRIMMING_CYCLE_PER_MILE*'Baseline scaling factors'!H$43+OM_MITIGATION_TRIMMING_CYCLE_PER_MILE*'Baseline scaling factors'!H$36)*(1+Inflation)^(M$3-2026))</f>
        <v>47287.447887160983</v>
      </c>
      <c r="N71" s="8">
        <f>IF(N$1&gt;Lifetime_UG,0,(OM_BASELINE_TRIMMING_CYCLE_PER_MILE*'Baseline scaling factors'!I$43+OM_MITIGATION_TRIMMING_CYCLE_PER_MILE*'Baseline scaling factors'!I$36)*(1+Inflation)^(N$3-2026))</f>
        <v>40667.72555563815</v>
      </c>
      <c r="O71" s="8">
        <f>IF(O$1&gt;Lifetime_UG,0,(OM_BASELINE_TRIMMING_CYCLE_PER_MILE*'Baseline scaling factors'!J$43+OM_MITIGATION_TRIMMING_CYCLE_PER_MILE*'Baseline scaling factors'!J$36)*(1+Inflation)^(O$3-2026))</f>
        <v>34078.792454092996</v>
      </c>
      <c r="P71" s="8">
        <f>IF(P$1&gt;Lifetime_UG,0,(OM_BASELINE_TRIMMING_CYCLE_PER_MILE*'Baseline scaling factors'!K$43+OM_MITIGATION_TRIMMING_CYCLE_PER_MILE*'Baseline scaling factors'!K$36)*(1+Inflation)^(P$3-2026))</f>
        <v>27517.262638789362</v>
      </c>
      <c r="Q71" s="8">
        <f t="shared" ref="Q71:AV71" si="24">IF(Q1&gt;Lifetime_UG,0,P71*(1+Inflation))</f>
        <v>28122.642416842729</v>
      </c>
      <c r="R71" s="8">
        <f t="shared" si="24"/>
        <v>28741.340550013269</v>
      </c>
      <c r="S71" s="8">
        <f t="shared" si="24"/>
        <v>29373.650042113561</v>
      </c>
      <c r="T71" s="8">
        <f t="shared" si="24"/>
        <v>30019.87034304006</v>
      </c>
      <c r="U71" s="8">
        <f t="shared" si="24"/>
        <v>30680.307490586943</v>
      </c>
      <c r="V71" s="8">
        <f t="shared" si="24"/>
        <v>31355.274255379856</v>
      </c>
      <c r="W71" s="8">
        <f t="shared" si="24"/>
        <v>32045.090288998214</v>
      </c>
      <c r="X71" s="8">
        <f t="shared" si="24"/>
        <v>32750.082275356173</v>
      </c>
      <c r="Y71" s="8">
        <f t="shared" si="24"/>
        <v>33470.584085414011</v>
      </c>
      <c r="Z71" s="8">
        <f t="shared" si="24"/>
        <v>34206.936935293117</v>
      </c>
      <c r="AA71" s="8">
        <f t="shared" si="24"/>
        <v>34959.489547869569</v>
      </c>
      <c r="AB71" s="8">
        <f t="shared" si="24"/>
        <v>35728.598317922697</v>
      </c>
      <c r="AC71" s="8">
        <f t="shared" si="24"/>
        <v>36514.627480916999</v>
      </c>
      <c r="AD71" s="8">
        <f t="shared" si="24"/>
        <v>37317.949285497176</v>
      </c>
      <c r="AE71" s="8">
        <f t="shared" si="24"/>
        <v>38138.944169778115</v>
      </c>
      <c r="AF71" s="8">
        <f t="shared" si="24"/>
        <v>38978.000941513237</v>
      </c>
      <c r="AG71" s="8">
        <f t="shared" si="24"/>
        <v>39835.516962226531</v>
      </c>
      <c r="AH71" s="8">
        <f t="shared" si="24"/>
        <v>40711.898335395519</v>
      </c>
      <c r="AI71" s="8">
        <f t="shared" si="24"/>
        <v>41607.560098774222</v>
      </c>
      <c r="AJ71" s="8">
        <f t="shared" si="24"/>
        <v>42522.926420947253</v>
      </c>
      <c r="AK71" s="8">
        <f t="shared" si="24"/>
        <v>43458.430802208095</v>
      </c>
      <c r="AL71" s="8">
        <f t="shared" si="24"/>
        <v>44414.516279856674</v>
      </c>
      <c r="AM71" s="8">
        <f t="shared" si="24"/>
        <v>45391.635638013518</v>
      </c>
      <c r="AN71" s="8">
        <f t="shared" si="24"/>
        <v>46390.251622049815</v>
      </c>
      <c r="AO71" s="8">
        <f t="shared" si="24"/>
        <v>47410.83715773491</v>
      </c>
      <c r="AP71" s="8">
        <f t="shared" si="24"/>
        <v>48453.875575205078</v>
      </c>
      <c r="AQ71" s="8">
        <f t="shared" si="24"/>
        <v>49519.860837859589</v>
      </c>
      <c r="AR71" s="8">
        <f t="shared" si="24"/>
        <v>50609.2977762925</v>
      </c>
      <c r="AS71" s="8">
        <f t="shared" si="24"/>
        <v>51722.702327370935</v>
      </c>
      <c r="AT71" s="8">
        <f t="shared" si="24"/>
        <v>52860.601778573095</v>
      </c>
      <c r="AU71" s="8">
        <f t="shared" si="24"/>
        <v>54023.535017701703</v>
      </c>
      <c r="AV71" s="8">
        <f t="shared" si="24"/>
        <v>55212.05278809114</v>
      </c>
      <c r="AW71" s="8">
        <f t="shared" ref="AW71:BT71" si="25">IF(AW1&gt;Lifetime_UG,0,AV71*(1+Inflation))</f>
        <v>56426.717949429149</v>
      </c>
      <c r="AX71" s="8">
        <f t="shared" si="25"/>
        <v>57668.105744316592</v>
      </c>
      <c r="AY71" s="8">
        <f t="shared" si="25"/>
        <v>58936.804070691556</v>
      </c>
      <c r="AZ71" s="8">
        <f t="shared" si="25"/>
        <v>60233.413760246774</v>
      </c>
      <c r="BA71" s="8">
        <f t="shared" si="25"/>
        <v>61558.548862972202</v>
      </c>
      <c r="BB71" s="8">
        <f t="shared" si="25"/>
        <v>62912.836937957589</v>
      </c>
      <c r="BC71" s="8">
        <f t="shared" si="25"/>
        <v>64296.91935059266</v>
      </c>
      <c r="BD71" s="8">
        <f t="shared" si="25"/>
        <v>65711.451576305699</v>
      </c>
      <c r="BE71" s="8">
        <f t="shared" si="25"/>
        <v>67157.103510984423</v>
      </c>
      <c r="BF71" s="8">
        <f t="shared" si="25"/>
        <v>68634.559788226077</v>
      </c>
      <c r="BG71" s="8">
        <f t="shared" si="25"/>
        <v>70144.520103567047</v>
      </c>
      <c r="BH71" s="8">
        <f t="shared" si="25"/>
        <v>71687.69954584552</v>
      </c>
      <c r="BI71" s="8">
        <f t="shared" si="25"/>
        <v>73264.828935854122</v>
      </c>
      <c r="BJ71" s="8">
        <f t="shared" si="25"/>
        <v>74876.655172442916</v>
      </c>
      <c r="BK71" s="8">
        <f t="shared" si="25"/>
        <v>0</v>
      </c>
      <c r="BL71" s="8">
        <f t="shared" si="25"/>
        <v>0</v>
      </c>
      <c r="BM71" s="8">
        <f t="shared" si="25"/>
        <v>0</v>
      </c>
      <c r="BN71" s="8">
        <f t="shared" si="25"/>
        <v>0</v>
      </c>
      <c r="BO71" s="8">
        <f t="shared" si="25"/>
        <v>0</v>
      </c>
      <c r="BP71" s="8">
        <f t="shared" si="25"/>
        <v>0</v>
      </c>
      <c r="BQ71" s="8">
        <f t="shared" si="25"/>
        <v>0</v>
      </c>
      <c r="BR71" s="8">
        <f t="shared" si="25"/>
        <v>0</v>
      </c>
      <c r="BS71" s="8">
        <f t="shared" si="25"/>
        <v>0</v>
      </c>
      <c r="BT71" s="8">
        <f t="shared" si="25"/>
        <v>0</v>
      </c>
    </row>
    <row r="72" spans="1:74" x14ac:dyDescent="0.4">
      <c r="A72" t="s">
        <v>37</v>
      </c>
      <c r="B72" t="s">
        <v>16</v>
      </c>
      <c r="C72" t="s">
        <v>136</v>
      </c>
      <c r="D72" t="s">
        <v>132</v>
      </c>
      <c r="F72" s="8"/>
      <c r="G72" s="8">
        <f>IF(G$1&gt;Lifetime_UG,0,(OM_Tickets_Baseline_per_mile*'Baseline scaling factors'!B$43+OM_Tickets_Mitigation_Per_mile*'Baseline scaling factors'!B$36)*(1+Inflation)^(G$3-2025))</f>
        <v>12849.419965037139</v>
      </c>
      <c r="H72" s="8">
        <f>IF(H$1&gt;Lifetime_UG,0,(OM_Tickets_Baseline_per_mile*'Baseline scaling factors'!C$43+OM_Tickets_Mitigation_Per_mile*'Baseline scaling factors'!C$36)*(1+Inflation)^(H$3-2025))</f>
        <v>12114.257696573857</v>
      </c>
      <c r="I72" s="8">
        <f>IF(I$1&gt;Lifetime_UG,0,(OM_Tickets_Baseline_per_mile*'Baseline scaling factors'!D$43+OM_Tickets_Mitigation_Per_mile*'Baseline scaling factors'!D$36)*(1+Inflation)^(I$3-2025))</f>
        <v>11386.364561132523</v>
      </c>
      <c r="J72" s="8">
        <f>IF(J$1&gt;Lifetime_UG,0,(OM_Tickets_Baseline_per_mile*'Baseline scaling factors'!E$43+OM_Tickets_Mitigation_Per_mile*'Baseline scaling factors'!E$36)*(1+Inflation)^(J$3-2025))</f>
        <v>10665.360556678101</v>
      </c>
      <c r="K72" s="8">
        <f>IF(K$1&gt;Lifetime_UG,0,(OM_Tickets_Baseline_per_mile*'Baseline scaling factors'!F$43+OM_Tickets_Mitigation_Per_mile*'Baseline scaling factors'!F$36)*(1+Inflation)^(K$3-2025))</f>
        <v>9950.869756420574</v>
      </c>
      <c r="L72" s="8">
        <f>IF(L$1&gt;Lifetime_UG,0,(OM_Tickets_Baseline_per_mile*'Baseline scaling factors'!G$43+OM_Tickets_Mitigation_Per_mile*'Baseline scaling factors'!G$36)*(1+Inflation)^(L$3-2025))</f>
        <v>9242.5201120657075</v>
      </c>
      <c r="M72" s="8">
        <f>IF(M$1&gt;Lifetime_UG,0,(OM_Tickets_Baseline_per_mile*'Baseline scaling factors'!H$43+OM_Tickets_Mitigation_Per_mile*'Baseline scaling factors'!H$36)*(1+Inflation)^(M$3-2025))</f>
        <v>8539.9432593336951</v>
      </c>
      <c r="N72" s="8">
        <f>IF(N$1&gt;Lifetime_UG,0,(OM_Tickets_Baseline_per_mile*'Baseline scaling factors'!I$43+OM_Tickets_Mitigation_Per_mile*'Baseline scaling factors'!I$36)*(1+Inflation)^(N$3-2025))</f>
        <v>7842.774325643647</v>
      </c>
      <c r="O72" s="8">
        <f>IF(O$1&gt;Lifetime_UG,0,(OM_Tickets_Baseline_per_mile*'Baseline scaling factors'!J$43+OM_Tickets_Mitigation_Per_mile*'Baseline scaling factors'!J$36)*(1+Inflation)^(O$3-2025))</f>
        <v>7150.6517398631331</v>
      </c>
      <c r="P72" s="8">
        <f>IF(P$1&gt;Lifetime_UG,0,(OM_Tickets_Baseline_per_mile*'Baseline scaling factors'!K$43+OM_Tickets_Mitigation_Per_mile*'Baseline scaling factors'!K$36)*(1+Inflation)^(P$3-2025))</f>
        <v>6463.2170440232176</v>
      </c>
      <c r="Q72" s="8">
        <f t="shared" ref="Q72:AV72" si="26">IF(Q$1&gt;Lifetime_UG,0,P72*(1+Inflation))</f>
        <v>6605.4078189917282</v>
      </c>
      <c r="R72" s="8">
        <f t="shared" si="26"/>
        <v>6750.7267910095461</v>
      </c>
      <c r="S72" s="8">
        <f t="shared" si="26"/>
        <v>6899.242780411756</v>
      </c>
      <c r="T72" s="8">
        <f t="shared" si="26"/>
        <v>7051.026121580815</v>
      </c>
      <c r="U72" s="8">
        <f t="shared" si="26"/>
        <v>7206.1486962555928</v>
      </c>
      <c r="V72" s="8">
        <f t="shared" si="26"/>
        <v>7364.6839675732163</v>
      </c>
      <c r="W72" s="8">
        <f t="shared" si="26"/>
        <v>7526.7070148598268</v>
      </c>
      <c r="X72" s="8">
        <f t="shared" si="26"/>
        <v>7692.2945691867435</v>
      </c>
      <c r="Y72" s="8">
        <f t="shared" si="26"/>
        <v>7861.5250497088518</v>
      </c>
      <c r="Z72" s="8">
        <f t="shared" si="26"/>
        <v>8034.4786008024466</v>
      </c>
      <c r="AA72" s="8">
        <f t="shared" si="26"/>
        <v>8211.2371300201012</v>
      </c>
      <c r="AB72" s="8">
        <f t="shared" si="26"/>
        <v>8391.8843468805444</v>
      </c>
      <c r="AC72" s="8">
        <f t="shared" si="26"/>
        <v>8576.505802511916</v>
      </c>
      <c r="AD72" s="8">
        <f t="shared" si="26"/>
        <v>8765.1889301671781</v>
      </c>
      <c r="AE72" s="8">
        <f t="shared" si="26"/>
        <v>8958.0230866308557</v>
      </c>
      <c r="AF72" s="8">
        <f t="shared" si="26"/>
        <v>9155.099594536734</v>
      </c>
      <c r="AG72" s="8">
        <f t="shared" si="26"/>
        <v>9356.5117856165416</v>
      </c>
      <c r="AH72" s="8">
        <f t="shared" si="26"/>
        <v>9562.355044900105</v>
      </c>
      <c r="AI72" s="8">
        <f t="shared" si="26"/>
        <v>9772.7268558879077</v>
      </c>
      <c r="AJ72" s="8">
        <f t="shared" si="26"/>
        <v>9987.7268467174417</v>
      </c>
      <c r="AK72" s="8">
        <f t="shared" si="26"/>
        <v>10207.456837345226</v>
      </c>
      <c r="AL72" s="8">
        <f t="shared" si="26"/>
        <v>10432.020887766821</v>
      </c>
      <c r="AM72" s="8">
        <f t="shared" si="26"/>
        <v>10661.525347297691</v>
      </c>
      <c r="AN72" s="8">
        <f t="shared" si="26"/>
        <v>10896.07890493824</v>
      </c>
      <c r="AO72" s="8">
        <f t="shared" si="26"/>
        <v>11135.792640846881</v>
      </c>
      <c r="AP72" s="8">
        <f t="shared" si="26"/>
        <v>11380.780078945512</v>
      </c>
      <c r="AQ72" s="8">
        <f t="shared" si="26"/>
        <v>11631.157240682314</v>
      </c>
      <c r="AR72" s="8">
        <f t="shared" si="26"/>
        <v>11887.042699977326</v>
      </c>
      <c r="AS72" s="8">
        <f t="shared" si="26"/>
        <v>12148.557639376828</v>
      </c>
      <c r="AT72" s="8">
        <f t="shared" si="26"/>
        <v>12415.825907443119</v>
      </c>
      <c r="AU72" s="8">
        <f t="shared" si="26"/>
        <v>12688.974077406869</v>
      </c>
      <c r="AV72" s="8">
        <f t="shared" si="26"/>
        <v>12968.13150710982</v>
      </c>
      <c r="AW72" s="8">
        <f t="shared" ref="AW72:BT72" si="27">IF(AW$1&gt;Lifetime_UG,0,AV72*(1+Inflation))</f>
        <v>13253.430400266236</v>
      </c>
      <c r="AX72" s="8">
        <f t="shared" si="27"/>
        <v>13545.005869072093</v>
      </c>
      <c r="AY72" s="8">
        <f t="shared" si="27"/>
        <v>13842.995998191678</v>
      </c>
      <c r="AZ72" s="8">
        <f t="shared" si="27"/>
        <v>14147.541910151895</v>
      </c>
      <c r="BA72" s="8">
        <f t="shared" si="27"/>
        <v>14458.787832175236</v>
      </c>
      <c r="BB72" s="8">
        <f t="shared" si="27"/>
        <v>14776.881164483091</v>
      </c>
      <c r="BC72" s="8">
        <f t="shared" si="27"/>
        <v>15101.97255010172</v>
      </c>
      <c r="BD72" s="8">
        <f t="shared" si="27"/>
        <v>15434.215946203958</v>
      </c>
      <c r="BE72" s="8">
        <f t="shared" si="27"/>
        <v>15773.768697020445</v>
      </c>
      <c r="BF72" s="8">
        <f t="shared" si="27"/>
        <v>16120.791608354895</v>
      </c>
      <c r="BG72" s="8">
        <f t="shared" si="27"/>
        <v>16475.449023738704</v>
      </c>
      <c r="BH72" s="8">
        <f t="shared" si="27"/>
        <v>16837.908902260955</v>
      </c>
      <c r="BI72" s="8">
        <f t="shared" si="27"/>
        <v>17208.342898110695</v>
      </c>
      <c r="BJ72" s="8">
        <f t="shared" si="27"/>
        <v>17586.926441869131</v>
      </c>
      <c r="BK72" s="8">
        <f t="shared" si="27"/>
        <v>0</v>
      </c>
      <c r="BL72" s="8">
        <f t="shared" si="27"/>
        <v>0</v>
      </c>
      <c r="BM72" s="8">
        <f t="shared" si="27"/>
        <v>0</v>
      </c>
      <c r="BN72" s="8">
        <f t="shared" si="27"/>
        <v>0</v>
      </c>
      <c r="BO72" s="8">
        <f t="shared" si="27"/>
        <v>0</v>
      </c>
      <c r="BP72" s="8">
        <f t="shared" si="27"/>
        <v>0</v>
      </c>
      <c r="BQ72" s="8">
        <f t="shared" si="27"/>
        <v>0</v>
      </c>
      <c r="BR72" s="8">
        <f t="shared" si="27"/>
        <v>0</v>
      </c>
      <c r="BS72" s="8">
        <f t="shared" si="27"/>
        <v>0</v>
      </c>
      <c r="BT72" s="8">
        <f t="shared" si="27"/>
        <v>0</v>
      </c>
    </row>
    <row r="73" spans="1:74" x14ac:dyDescent="0.4">
      <c r="A73" t="s">
        <v>37</v>
      </c>
      <c r="B73" t="s">
        <v>16</v>
      </c>
      <c r="C73" t="s">
        <v>136</v>
      </c>
      <c r="D73" t="s">
        <v>133</v>
      </c>
      <c r="F73" s="8"/>
      <c r="G73" s="8">
        <f>IF(G$1&gt;Lifetime_UG,0,(OM_Danger_Tree_Baseline_per_mile*'Baseline scaling factors'!B$43+OM_Danger_Tree_Mitigation_Per_Mile*'Baseline scaling factors'!B$36)*(1+Inflation)^(G$3-2025))</f>
        <v>2733.161141766765</v>
      </c>
      <c r="H73" s="8">
        <f>IF(H$1&gt;Lifetime_UG,0,(OM_Danger_Tree_Baseline_per_mile*'Baseline scaling factors'!C$43+OM_Danger_Tree_Mitigation_Per_Mile*'Baseline scaling factors'!C$36)*(1+Inflation)^(H$3-2025))</f>
        <v>2529.2037791545317</v>
      </c>
      <c r="I73" s="8">
        <f>IF(I$1&gt;Lifetime_UG,0,(OM_Danger_Tree_Baseline_per_mile*'Baseline scaling factors'!D$43+OM_Danger_Tree_Mitigation_Per_Mile*'Baseline scaling factors'!D$36)*(1+Inflation)^(I$3-2025))</f>
        <v>2326.8416986425673</v>
      </c>
      <c r="J73" s="8">
        <f>IF(J$1&gt;Lifetime_UG,0,(OM_Danger_Tree_Baseline_per_mile*'Baseline scaling factors'!E$43+OM_Danger_Tree_Mitigation_Per_Mile*'Baseline scaling factors'!E$36)*(1+Inflation)^(J$3-2025))</f>
        <v>2125.9699103199819</v>
      </c>
      <c r="K73" s="8">
        <f>IF(K$1&gt;Lifetime_UG,0,(OM_Danger_Tree_Baseline_per_mile*'Baseline scaling factors'!F$43+OM_Danger_Tree_Mitigation_Per_Mile*'Baseline scaling factors'!F$36)*(1+Inflation)^(K$3-2025))</f>
        <v>1926.4843409052885</v>
      </c>
      <c r="L73" s="8">
        <f>IF(L$1&gt;Lifetime_UG,0,(OM_Danger_Tree_Baseline_per_mile*'Baseline scaling factors'!G$43+OM_Danger_Tree_Mitigation_Per_Mile*'Baseline scaling factors'!G$36)*(1+Inflation)^(L$3-2025))</f>
        <v>1728.2817796029237</v>
      </c>
      <c r="M73" s="8">
        <f>IF(M$1&gt;Lifetime_UG,0,(OM_Danger_Tree_Baseline_per_mile*'Baseline scaling factors'!H$43+OM_Danger_Tree_Mitigation_Per_Mile*'Baseline scaling factors'!H$36)*(1+Inflation)^(M$3-2025))</f>
        <v>1531.2598244800752</v>
      </c>
      <c r="N73" s="8">
        <f>IF(N$1&gt;Lifetime_UG,0,(OM_Danger_Tree_Baseline_per_mile*'Baseline scaling factors'!I$43+OM_Danger_Tree_Mitigation_Per_Mile*'Baseline scaling factors'!I$36)*(1+Inflation)^(N$3-2025))</f>
        <v>1335.3168293358433</v>
      </c>
      <c r="O73" s="8">
        <f>IF(O$1&gt;Lifetime_UG,0,(OM_Danger_Tree_Baseline_per_mile*'Baseline scaling factors'!J$43+OM_Danger_Tree_Mitigation_Per_Mile*'Baseline scaling factors'!J$36)*(1+Inflation)^(O$3-2025))</f>
        <v>1140.3518510350589</v>
      </c>
      <c r="P73" s="8">
        <f>IF(P$1&gt;Lifetime_UG,0,(OM_Danger_Tree_Baseline_per_mile*'Baseline scaling factors'!K$43+OM_Danger_Tree_Mitigation_Per_Mile*'Baseline scaling factors'!K$36)*(1+Inflation)^(P$3-2025))</f>
        <v>946.26459727935935</v>
      </c>
      <c r="Q73" s="8">
        <f t="shared" ref="Q73:AV75" si="28">IF(Q$1&gt;Lifetime_UG,0,P73*(1+Inflation))</f>
        <v>967.0824184195053</v>
      </c>
      <c r="R73" s="8">
        <f t="shared" si="28"/>
        <v>988.35823162473446</v>
      </c>
      <c r="S73" s="8">
        <f t="shared" si="28"/>
        <v>1010.1021127204787</v>
      </c>
      <c r="T73" s="8">
        <f t="shared" si="28"/>
        <v>1032.3243592003291</v>
      </c>
      <c r="U73" s="8">
        <f t="shared" si="28"/>
        <v>1055.0354951027364</v>
      </c>
      <c r="V73" s="8">
        <f t="shared" si="28"/>
        <v>1078.2462759949965</v>
      </c>
      <c r="W73" s="8">
        <f t="shared" si="28"/>
        <v>1101.9676940668865</v>
      </c>
      <c r="X73" s="8">
        <f t="shared" si="28"/>
        <v>1126.2109833363579</v>
      </c>
      <c r="Y73" s="8">
        <f t="shared" si="28"/>
        <v>1150.9876249697579</v>
      </c>
      <c r="Z73" s="8">
        <f t="shared" si="28"/>
        <v>1176.3093527190927</v>
      </c>
      <c r="AA73" s="8">
        <f t="shared" si="28"/>
        <v>1202.1881584789128</v>
      </c>
      <c r="AB73" s="8">
        <f t="shared" si="28"/>
        <v>1228.6362979654489</v>
      </c>
      <c r="AC73" s="8">
        <f t="shared" si="28"/>
        <v>1255.6662965206888</v>
      </c>
      <c r="AD73" s="8">
        <f t="shared" si="28"/>
        <v>1283.2909550441439</v>
      </c>
      <c r="AE73" s="8">
        <f t="shared" si="28"/>
        <v>1311.5233560551151</v>
      </c>
      <c r="AF73" s="8">
        <f t="shared" si="28"/>
        <v>1340.3768698883275</v>
      </c>
      <c r="AG73" s="8">
        <f t="shared" si="28"/>
        <v>1369.8651610258707</v>
      </c>
      <c r="AH73" s="8">
        <f t="shared" si="28"/>
        <v>1400.00219456844</v>
      </c>
      <c r="AI73" s="8">
        <f t="shared" si="28"/>
        <v>1430.8022428489458</v>
      </c>
      <c r="AJ73" s="8">
        <f t="shared" si="28"/>
        <v>1462.2798921916226</v>
      </c>
      <c r="AK73" s="8">
        <f t="shared" si="28"/>
        <v>1494.4500498198383</v>
      </c>
      <c r="AL73" s="8">
        <f t="shared" si="28"/>
        <v>1527.3279509158749</v>
      </c>
      <c r="AM73" s="8">
        <f t="shared" si="28"/>
        <v>1560.9291658360241</v>
      </c>
      <c r="AN73" s="8">
        <f t="shared" si="28"/>
        <v>1595.2696074844166</v>
      </c>
      <c r="AO73" s="8">
        <f t="shared" si="28"/>
        <v>1630.3655388490738</v>
      </c>
      <c r="AP73" s="8">
        <f t="shared" si="28"/>
        <v>1666.2335807037534</v>
      </c>
      <c r="AQ73" s="8">
        <f t="shared" si="28"/>
        <v>1702.8907194792359</v>
      </c>
      <c r="AR73" s="8">
        <f t="shared" si="28"/>
        <v>1740.3543153077792</v>
      </c>
      <c r="AS73" s="8">
        <f t="shared" si="28"/>
        <v>1778.6421102445504</v>
      </c>
      <c r="AT73" s="8">
        <f t="shared" si="28"/>
        <v>1817.7722366699306</v>
      </c>
      <c r="AU73" s="8">
        <f t="shared" si="28"/>
        <v>1857.7632258766691</v>
      </c>
      <c r="AV73" s="8">
        <f t="shared" si="28"/>
        <v>1898.6340168459558</v>
      </c>
      <c r="AW73" s="8">
        <f t="shared" ref="AW73:BT73" si="29">IF(AW$1&gt;Lifetime_UG,0,AV73*(1+Inflation))</f>
        <v>1940.4039652165668</v>
      </c>
      <c r="AX73" s="8">
        <f t="shared" si="29"/>
        <v>1983.0928524513313</v>
      </c>
      <c r="AY73" s="8">
        <f t="shared" si="29"/>
        <v>2026.7208952052606</v>
      </c>
      <c r="AZ73" s="8">
        <f t="shared" si="29"/>
        <v>2071.3087548997764</v>
      </c>
      <c r="BA73" s="8">
        <f t="shared" si="29"/>
        <v>2116.8775475075718</v>
      </c>
      <c r="BB73" s="8">
        <f t="shared" si="29"/>
        <v>2163.4488535527385</v>
      </c>
      <c r="BC73" s="8">
        <f t="shared" si="29"/>
        <v>2211.0447283308986</v>
      </c>
      <c r="BD73" s="8">
        <f t="shared" si="29"/>
        <v>2259.6877123541785</v>
      </c>
      <c r="BE73" s="8">
        <f t="shared" si="29"/>
        <v>2309.4008420259706</v>
      </c>
      <c r="BF73" s="8">
        <f t="shared" si="29"/>
        <v>2360.2076605505422</v>
      </c>
      <c r="BG73" s="8">
        <f t="shared" si="29"/>
        <v>2412.1322290826542</v>
      </c>
      <c r="BH73" s="8">
        <f t="shared" si="29"/>
        <v>2465.1991381224725</v>
      </c>
      <c r="BI73" s="8">
        <f t="shared" si="29"/>
        <v>2519.4335191611672</v>
      </c>
      <c r="BJ73" s="8">
        <f t="shared" si="29"/>
        <v>2574.861056582713</v>
      </c>
      <c r="BK73" s="8">
        <f t="shared" si="29"/>
        <v>0</v>
      </c>
      <c r="BL73" s="8">
        <f t="shared" si="29"/>
        <v>0</v>
      </c>
      <c r="BM73" s="8">
        <f t="shared" si="29"/>
        <v>0</v>
      </c>
      <c r="BN73" s="8">
        <f t="shared" si="29"/>
        <v>0</v>
      </c>
      <c r="BO73" s="8">
        <f t="shared" si="29"/>
        <v>0</v>
      </c>
      <c r="BP73" s="8">
        <f t="shared" si="29"/>
        <v>0</v>
      </c>
      <c r="BQ73" s="8">
        <f t="shared" si="29"/>
        <v>0</v>
      </c>
      <c r="BR73" s="8">
        <f t="shared" si="29"/>
        <v>0</v>
      </c>
      <c r="BS73" s="8">
        <f t="shared" si="29"/>
        <v>0</v>
      </c>
      <c r="BT73" s="8">
        <f t="shared" si="29"/>
        <v>0</v>
      </c>
    </row>
    <row r="74" spans="1:74" x14ac:dyDescent="0.4">
      <c r="A74" t="s">
        <v>37</v>
      </c>
      <c r="B74" t="s">
        <v>16</v>
      </c>
      <c r="C74" t="s">
        <v>136</v>
      </c>
      <c r="D74" t="s">
        <v>134</v>
      </c>
      <c r="F74" s="8"/>
      <c r="G74" s="8">
        <f>'Rev Req''t_Baseline_UG1PH'!F185*Net_Install_Taxable*Property_Tax_Rate_Assumption</f>
        <v>48196.222130000009</v>
      </c>
      <c r="H74" s="8">
        <f>'Rev Req''t_Baseline_UG1PH'!G185*Net_Install_Taxable*Property_Tax_Rate_Assumption</f>
        <v>97452.761146859993</v>
      </c>
      <c r="I74" s="8">
        <f>'Rev Req''t_Baseline_UG1PH'!H185*Net_Install_Taxable*Property_Tax_Rate_Assumption</f>
        <v>147792.94402209093</v>
      </c>
      <c r="J74" s="8">
        <f>'Rev Req''t_Baseline_UG1PH'!I185*Net_Install_Taxable*Property_Tax_Rate_Assumption</f>
        <v>199240.61092057693</v>
      </c>
      <c r="K74" s="8">
        <f>'Rev Req''t_Baseline_UG1PH'!J185*Net_Install_Taxable*Property_Tax_Rate_Assumption</f>
        <v>251820.1264908296</v>
      </c>
      <c r="L74" s="8">
        <f>'Rev Req''t_Baseline_UG1PH'!K185*Net_Install_Taxable*Property_Tax_Rate_Assumption</f>
        <v>305556.39140362787</v>
      </c>
      <c r="M74" s="8">
        <f>'Rev Req''t_Baseline_UG1PH'!L185*Net_Install_Taxable*Property_Tax_Rate_Assumption</f>
        <v>360474.85414450773</v>
      </c>
      <c r="N74" s="8">
        <f>'Rev Req''t_Baseline_UG1PH'!M185*Net_Install_Taxable*Property_Tax_Rate_Assumption</f>
        <v>416601.52306568692</v>
      </c>
      <c r="O74" s="8">
        <f>'Rev Req''t_Baseline_UG1PH'!N185*Net_Install_Taxable*Property_Tax_Rate_Assumption</f>
        <v>416601.52306568692</v>
      </c>
      <c r="P74" s="8">
        <f>'Rev Req''t_Baseline_UG1PH'!O185*Net_Install_Taxable*Property_Tax_Rate_Assumption</f>
        <v>532586.38636460097</v>
      </c>
      <c r="Q74" s="8">
        <f>'Rev Req''t_Baseline_UG1PH'!P185*Net_Install_Taxable*Property_Tax_Rate_Assumption</f>
        <v>532586.38636460097</v>
      </c>
      <c r="R74" s="8">
        <f>'Rev Req''t_Baseline_UG1PH'!Q185*Net_Install_Taxable*Property_Tax_Rate_Assumption</f>
        <v>532586.38636460097</v>
      </c>
      <c r="S74" s="8">
        <f>'Rev Req''t_Baseline_UG1PH'!R185*Net_Install_Taxable*Property_Tax_Rate_Assumption</f>
        <v>532586.38636460097</v>
      </c>
      <c r="T74" s="8">
        <f>'Rev Req''t_Baseline_UG1PH'!S185*Net_Install_Taxable*Property_Tax_Rate_Assumption</f>
        <v>532586.38636460097</v>
      </c>
      <c r="U74" s="8">
        <f>'Rev Req''t_Baseline_UG1PH'!T185*Net_Install_Taxable*Property_Tax_Rate_Assumption</f>
        <v>532586.38636460097</v>
      </c>
      <c r="V74" s="8">
        <f>'Rev Req''t_Baseline_UG1PH'!U185*Net_Install_Taxable*Property_Tax_Rate_Assumption</f>
        <v>532586.38636460097</v>
      </c>
      <c r="W74" s="8">
        <f>'Rev Req''t_Baseline_UG1PH'!V185*Net_Install_Taxable*Property_Tax_Rate_Assumption</f>
        <v>532586.38636460097</v>
      </c>
      <c r="X74" s="8">
        <f>'Rev Req''t_Baseline_UG1PH'!W185*Net_Install_Taxable*Property_Tax_Rate_Assumption</f>
        <v>532586.38636460097</v>
      </c>
      <c r="Y74" s="8">
        <f>'Rev Req''t_Baseline_UG1PH'!X185*Net_Install_Taxable*Property_Tax_Rate_Assumption</f>
        <v>532586.38636460097</v>
      </c>
      <c r="Z74" s="8">
        <f>'Rev Req''t_Baseline_UG1PH'!Y185*Net_Install_Taxable*Property_Tax_Rate_Assumption</f>
        <v>532586.38636460097</v>
      </c>
      <c r="AA74" s="8">
        <f>'Rev Req''t_Baseline_UG1PH'!Z185*Net_Install_Taxable*Property_Tax_Rate_Assumption</f>
        <v>532586.38636460097</v>
      </c>
      <c r="AB74" s="8">
        <f>'Rev Req''t_Baseline_UG1PH'!AA185*Net_Install_Taxable*Property_Tax_Rate_Assumption</f>
        <v>532586.38636460097</v>
      </c>
      <c r="AC74" s="8">
        <f>'Rev Req''t_Baseline_UG1PH'!AB185*Net_Install_Taxable*Property_Tax_Rate_Assumption</f>
        <v>532586.38636460097</v>
      </c>
      <c r="AD74" s="8">
        <f>'Rev Req''t_Baseline_UG1PH'!AC185*Net_Install_Taxable*Property_Tax_Rate_Assumption</f>
        <v>532586.38636460097</v>
      </c>
      <c r="AE74" s="8">
        <f>'Rev Req''t_Baseline_UG1PH'!AD185*Net_Install_Taxable*Property_Tax_Rate_Assumption</f>
        <v>532586.38636460097</v>
      </c>
      <c r="AF74" s="8">
        <f>'Rev Req''t_Baseline_UG1PH'!AE185*Net_Install_Taxable*Property_Tax_Rate_Assumption</f>
        <v>532586.38636460097</v>
      </c>
      <c r="AG74" s="8">
        <f>'Rev Req''t_Baseline_UG1PH'!AF185*Net_Install_Taxable*Property_Tax_Rate_Assumption</f>
        <v>532586.38636460097</v>
      </c>
      <c r="AH74" s="8">
        <f>'Rev Req''t_Baseline_UG1PH'!AG185*Net_Install_Taxable*Property_Tax_Rate_Assumption</f>
        <v>532586.38636460097</v>
      </c>
      <c r="AI74" s="8">
        <f>'Rev Req''t_Baseline_UG1PH'!AH185*Net_Install_Taxable*Property_Tax_Rate_Assumption</f>
        <v>532586.38636460097</v>
      </c>
      <c r="AJ74" s="8">
        <f>'Rev Req''t_Baseline_UG1PH'!AI185*Net_Install_Taxable*Property_Tax_Rate_Assumption</f>
        <v>532586.38636460097</v>
      </c>
      <c r="AK74" s="8">
        <f>'Rev Req''t_Baseline_UG1PH'!AJ185*Net_Install_Taxable*Property_Tax_Rate_Assumption</f>
        <v>532586.38636460097</v>
      </c>
      <c r="AL74" s="8">
        <f>'Rev Req''t_Baseline_UG1PH'!AK185*Net_Install_Taxable*Property_Tax_Rate_Assumption</f>
        <v>532586.38636460097</v>
      </c>
      <c r="AM74" s="8">
        <f>'Rev Req''t_Baseline_UG1PH'!AL185*Net_Install_Taxable*Property_Tax_Rate_Assumption</f>
        <v>532586.38636460097</v>
      </c>
      <c r="AN74" s="8">
        <f>'Rev Req''t_Baseline_UG1PH'!AM185*Net_Install_Taxable*Property_Tax_Rate_Assumption</f>
        <v>532586.38636460097</v>
      </c>
      <c r="AO74" s="8">
        <f>'Rev Req''t_Baseline_UG1PH'!AN185*Net_Install_Taxable*Property_Tax_Rate_Assumption</f>
        <v>532586.38636460097</v>
      </c>
      <c r="AP74" s="8">
        <f>'Rev Req''t_Baseline_UG1PH'!AO185*Net_Install_Taxable*Property_Tax_Rate_Assumption</f>
        <v>532586.38636460097</v>
      </c>
      <c r="AQ74" s="8">
        <f>'Rev Req''t_Baseline_UG1PH'!AP185*Net_Install_Taxable*Property_Tax_Rate_Assumption</f>
        <v>532586.38636460097</v>
      </c>
      <c r="AR74" s="8">
        <f>'Rev Req''t_Baseline_UG1PH'!AQ185*Net_Install_Taxable*Property_Tax_Rate_Assumption</f>
        <v>532586.38636460097</v>
      </c>
      <c r="AS74" s="8">
        <f>'Rev Req''t_Baseline_UG1PH'!AR185*Net_Install_Taxable*Property_Tax_Rate_Assumption</f>
        <v>532586.38636460097</v>
      </c>
      <c r="AT74" s="8">
        <f>'Rev Req''t_Baseline_UG1PH'!AS185*Net_Install_Taxable*Property_Tax_Rate_Assumption</f>
        <v>532586.38636460097</v>
      </c>
      <c r="AU74" s="8">
        <f>'Rev Req''t_Baseline_UG1PH'!AT185*Net_Install_Taxable*Property_Tax_Rate_Assumption</f>
        <v>532586.38636460097</v>
      </c>
      <c r="AV74" s="8">
        <f>'Rev Req''t_Baseline_UG1PH'!AU185*Net_Install_Taxable*Property_Tax_Rate_Assumption</f>
        <v>532586.38636460097</v>
      </c>
      <c r="AW74" s="8">
        <f>'Rev Req''t_Baseline_UG1PH'!AV185*Net_Install_Taxable*Property_Tax_Rate_Assumption</f>
        <v>532586.38636460097</v>
      </c>
      <c r="AX74" s="8">
        <f>'Rev Req''t_Baseline_UG1PH'!AW185*Net_Install_Taxable*Property_Tax_Rate_Assumption</f>
        <v>532586.38636460097</v>
      </c>
      <c r="AY74" s="8">
        <f>'Rev Req''t_Baseline_UG1PH'!AX185*Net_Install_Taxable*Property_Tax_Rate_Assumption</f>
        <v>532586.38636460097</v>
      </c>
      <c r="AZ74" s="8">
        <f>'Rev Req''t_Baseline_UG1PH'!AY185*Net_Install_Taxable*Property_Tax_Rate_Assumption</f>
        <v>532586.38636460097</v>
      </c>
      <c r="BA74" s="8">
        <f>'Rev Req''t_Baseline_UG1PH'!AZ185*Net_Install_Taxable*Property_Tax_Rate_Assumption</f>
        <v>532586.38636460097</v>
      </c>
      <c r="BB74" s="8">
        <f>'Rev Req''t_Baseline_UG1PH'!BA185*Net_Install_Taxable*Property_Tax_Rate_Assumption</f>
        <v>532586.38636460097</v>
      </c>
      <c r="BC74" s="8">
        <f>'Rev Req''t_Baseline_UG1PH'!BB185*Net_Install_Taxable*Property_Tax_Rate_Assumption</f>
        <v>532586.38636460097</v>
      </c>
      <c r="BD74" s="8">
        <f>'Rev Req''t_Baseline_UG1PH'!BC185*Net_Install_Taxable*Property_Tax_Rate_Assumption</f>
        <v>532586.38636460097</v>
      </c>
      <c r="BE74" s="8">
        <f>'Rev Req''t_Baseline_UG1PH'!BD185*Net_Install_Taxable*Property_Tax_Rate_Assumption</f>
        <v>484390.1642346009</v>
      </c>
      <c r="BF74" s="8">
        <f>'Rev Req''t_Baseline_UG1PH'!BE185*Net_Install_Taxable*Property_Tax_Rate_Assumption</f>
        <v>435133.62521774095</v>
      </c>
      <c r="BG74" s="8">
        <f>'Rev Req''t_Baseline_UG1PH'!BF185*Net_Install_Taxable*Property_Tax_Rate_Assumption</f>
        <v>384793.44234251004</v>
      </c>
      <c r="BH74" s="8">
        <f>'Rev Req''t_Baseline_UG1PH'!BG185*Net_Install_Taxable*Property_Tax_Rate_Assumption</f>
        <v>333345.77544402401</v>
      </c>
      <c r="BI74" s="8">
        <f>'Rev Req''t_Baseline_UG1PH'!BH185*Net_Install_Taxable*Property_Tax_Rate_Assumption</f>
        <v>280766.25987377134</v>
      </c>
      <c r="BJ74" s="8">
        <f>'Rev Req''t_Baseline_UG1PH'!BI185*Net_Install_Taxable*Property_Tax_Rate_Assumption</f>
        <v>227029.99496097304</v>
      </c>
      <c r="BK74" s="8">
        <f>'Rev Req''t_Baseline_UG1PH'!BJ185*Net_Install_Taxable*Property_Tax_Rate_Assumption</f>
        <v>172111.53222009324</v>
      </c>
      <c r="BL74" s="8">
        <f>'Rev Req''t_Baseline_UG1PH'!BK185*Net_Install_Taxable*Property_Tax_Rate_Assumption</f>
        <v>115984.86329891405</v>
      </c>
      <c r="BM74" s="8">
        <f>'Rev Req''t_Baseline_UG1PH'!BL185*Net_Install_Taxable*Property_Tax_Rate_Assumption</f>
        <v>58623.407661468911</v>
      </c>
      <c r="BN74" s="8">
        <f>'Rev Req''t_Baseline_UG1PH'!BM185*Net_Install_Taxable*Property_Tax_Rate_Assumption</f>
        <v>0</v>
      </c>
      <c r="BO74" s="8">
        <f>'Rev Req''t_Baseline_UG1PH'!BN185*Net_Install_Taxable*Property_Tax_Rate_Assumption</f>
        <v>0</v>
      </c>
      <c r="BP74" s="8">
        <f>'Rev Req''t_Baseline_UG1PH'!BO185*Net_Install_Taxable*Property_Tax_Rate_Assumption</f>
        <v>0</v>
      </c>
      <c r="BQ74" s="8">
        <f>'Rev Req''t_Baseline_UG1PH'!BP185*Net_Install_Taxable*Property_Tax_Rate_Assumption</f>
        <v>0</v>
      </c>
      <c r="BR74" s="8">
        <f>'Rev Req''t_Baseline_UG1PH'!BQ185*Net_Install_Taxable*Property_Tax_Rate_Assumption</f>
        <v>0</v>
      </c>
      <c r="BS74" s="8">
        <f>'Rev Req''t_Baseline_UG1PH'!BR185*Net_Install_Taxable*Property_Tax_Rate_Assumption</f>
        <v>0</v>
      </c>
      <c r="BT74" s="8">
        <f>'Rev Req''t_Baseline_UG1PH'!BS185*Net_Install_Taxable*Property_Tax_Rate_Assumption</f>
        <v>0</v>
      </c>
    </row>
    <row r="75" spans="1:74" ht="19.5" thickBot="1" x14ac:dyDescent="0.45">
      <c r="A75" t="s">
        <v>37</v>
      </c>
      <c r="B75" t="s">
        <v>16</v>
      </c>
      <c r="C75" s="16" t="s">
        <v>136</v>
      </c>
      <c r="D75" s="16" t="s">
        <v>135</v>
      </c>
      <c r="E75" s="16"/>
      <c r="F75" s="17"/>
      <c r="G75" s="17">
        <f>IF(G$1&gt;Lifetime_UG,0,'Baseline scaling factors'!B$36*OM_REDUCED_POLE_REVENUE*(1+Inflation)^(G$3-2021))</f>
        <v>893.37680571409135</v>
      </c>
      <c r="H75" s="17">
        <f>IF(H$1&gt;Lifetime_UG,0,'Baseline scaling factors'!C$36*OM_REDUCED_POLE_REVENUE*(1+Inflation)^(H$3-2021))</f>
        <v>1785.8320037339552</v>
      </c>
      <c r="I75" s="17">
        <f>IF(I$1&gt;Lifetime_UG,0,'Baseline scaling factors'!D$36*OM_REDUCED_POLE_REVENUE*(1+Inflation)^(I$3-2021))</f>
        <v>2677.8192145335147</v>
      </c>
      <c r="J75" s="17">
        <f>IF(J$1&gt;Lifetime_UG,0,'Baseline scaling factors'!E$36*OM_REDUCED_POLE_REVENUE*(1+Inflation)^(J$3-2021))</f>
        <v>3569.7911236575205</v>
      </c>
      <c r="K75" s="17">
        <f>IF(K$1&gt;Lifetime_UG,0,'Baseline scaling factors'!F$36*OM_REDUCED_POLE_REVENUE*(1+Inflation)^(K$3-2021))</f>
        <v>4462.1997125333446</v>
      </c>
      <c r="L75" s="17">
        <f>IF(L$1&gt;Lifetime_UG,0,'Baseline scaling factors'!G$36*OM_REDUCED_POLE_REVENUE*(1+Inflation)^(L$3-2021))</f>
        <v>5355.4964885709387</v>
      </c>
      <c r="M75" s="17">
        <f>IF(M$1&gt;Lifetime_UG,0,'Baseline scaling factors'!H$36*OM_REDUCED_POLE_REVENUE*(1+Inflation)^(M$3-2021))</f>
        <v>6250.1327146686581</v>
      </c>
      <c r="N75" s="17">
        <f>IF(N$1&gt;Lifetime_UG,0,'Baseline scaling factors'!I$36*OM_REDUCED_POLE_REVENUE*(1+Inflation)^(N$3-2021))</f>
        <v>7146.5596382421299</v>
      </c>
      <c r="O75" s="17">
        <f>IF(O$1&gt;Lifetime_UG,0,'Baseline scaling factors'!J$36*OM_REDUCED_POLE_REVENUE*(1+Inflation)^(O$3-2021))</f>
        <v>8045.2287198929871</v>
      </c>
      <c r="P75" s="17">
        <f>IF(P$1&gt;Lifetime_UG,0,'Baseline scaling factors'!K$36*OM_REDUCED_POLE_REVENUE*(1+Inflation)^(P$3-2021))</f>
        <v>8946.5918618338292</v>
      </c>
      <c r="Q75" s="17">
        <f t="shared" si="28"/>
        <v>9143.4168827941739</v>
      </c>
      <c r="R75" s="17">
        <f t="shared" ref="R75" si="30">IF(R$1&gt;Lifetime_UG,0,Q75*(1+Inflation))</f>
        <v>9344.572054215645</v>
      </c>
      <c r="S75" s="17">
        <f t="shared" ref="S75" si="31">IF(S$1&gt;Lifetime_UG,0,R75*(1+Inflation))</f>
        <v>9550.1526394083903</v>
      </c>
      <c r="T75" s="17">
        <f t="shared" ref="T75" si="32">IF(T$1&gt;Lifetime_UG,0,S75*(1+Inflation))</f>
        <v>9760.2559974753749</v>
      </c>
      <c r="U75" s="17">
        <f t="shared" ref="U75" si="33">IF(U$1&gt;Lifetime_UG,0,T75*(1+Inflation))</f>
        <v>9974.9816294198336</v>
      </c>
      <c r="V75" s="17">
        <f t="shared" ref="V75" si="34">IF(V$1&gt;Lifetime_UG,0,U75*(1+Inflation))</f>
        <v>10194.43122526707</v>
      </c>
      <c r="W75" s="17">
        <f t="shared" ref="W75" si="35">IF(W$1&gt;Lifetime_UG,0,V75*(1+Inflation))</f>
        <v>10418.708712222946</v>
      </c>
      <c r="X75" s="17">
        <f t="shared" ref="X75" si="36">IF(X$1&gt;Lifetime_UG,0,W75*(1+Inflation))</f>
        <v>10647.920303891851</v>
      </c>
      <c r="Y75" s="17">
        <f t="shared" ref="Y75" si="37">IF(Y$1&gt;Lifetime_UG,0,X75*(1+Inflation))</f>
        <v>10882.174550577472</v>
      </c>
      <c r="Z75" s="17">
        <f t="shared" ref="Z75" si="38">IF(Z$1&gt;Lifetime_UG,0,Y75*(1+Inflation))</f>
        <v>11121.582390690177</v>
      </c>
      <c r="AA75" s="17">
        <f t="shared" ref="AA75" si="39">IF(AA$1&gt;Lifetime_UG,0,Z75*(1+Inflation))</f>
        <v>11366.25720328536</v>
      </c>
      <c r="AB75" s="17">
        <f t="shared" ref="AB75" si="40">IF(AB$1&gt;Lifetime_UG,0,AA75*(1+Inflation))</f>
        <v>11616.314861757639</v>
      </c>
      <c r="AC75" s="17">
        <f t="shared" ref="AC75" si="41">IF(AC$1&gt;Lifetime_UG,0,AB75*(1+Inflation))</f>
        <v>11871.873788716308</v>
      </c>
      <c r="AD75" s="17">
        <f t="shared" ref="AD75" si="42">IF(AD$1&gt;Lifetime_UG,0,AC75*(1+Inflation))</f>
        <v>12133.055012068067</v>
      </c>
      <c r="AE75" s="17">
        <f t="shared" ref="AE75" si="43">IF(AE$1&gt;Lifetime_UG,0,AD75*(1+Inflation))</f>
        <v>12399.982222333565</v>
      </c>
      <c r="AF75" s="17">
        <f t="shared" ref="AF75" si="44">IF(AF$1&gt;Lifetime_UG,0,AE75*(1+Inflation))</f>
        <v>12672.781831224904</v>
      </c>
      <c r="AG75" s="17">
        <f t="shared" ref="AG75" si="45">IF(AG$1&gt;Lifetime_UG,0,AF75*(1+Inflation))</f>
        <v>12951.583031511851</v>
      </c>
      <c r="AH75" s="17">
        <f t="shared" ref="AH75" si="46">IF(AH$1&gt;Lifetime_UG,0,AG75*(1+Inflation))</f>
        <v>13236.517858205112</v>
      </c>
      <c r="AI75" s="17">
        <f t="shared" ref="AI75" si="47">IF(AI$1&gt;Lifetime_UG,0,AH75*(1+Inflation))</f>
        <v>13527.721251085624</v>
      </c>
      <c r="AJ75" s="17">
        <f t="shared" ref="AJ75" si="48">IF(AJ$1&gt;Lifetime_UG,0,AI75*(1+Inflation))</f>
        <v>13825.331118609509</v>
      </c>
      <c r="AK75" s="17">
        <f t="shared" ref="AK75" si="49">IF(AK$1&gt;Lifetime_UG,0,AJ75*(1+Inflation))</f>
        <v>14129.488403218918</v>
      </c>
      <c r="AL75" s="17">
        <f t="shared" ref="AL75" si="50">IF(AL$1&gt;Lifetime_UG,0,AK75*(1+Inflation))</f>
        <v>14440.337148089735</v>
      </c>
      <c r="AM75" s="17">
        <f t="shared" ref="AM75" si="51">IF(AM$1&gt;Lifetime_UG,0,AL75*(1+Inflation))</f>
        <v>14758.024565347709</v>
      </c>
      <c r="AN75" s="17">
        <f t="shared" ref="AN75" si="52">IF(AN$1&gt;Lifetime_UG,0,AM75*(1+Inflation))</f>
        <v>15082.701105785358</v>
      </c>
      <c r="AO75" s="17">
        <f t="shared" ref="AO75" si="53">IF(AO$1&gt;Lifetime_UG,0,AN75*(1+Inflation))</f>
        <v>15414.520530112635</v>
      </c>
      <c r="AP75" s="17">
        <f t="shared" ref="AP75" si="54">IF(AP$1&gt;Lifetime_UG,0,AO75*(1+Inflation))</f>
        <v>15753.639981775113</v>
      </c>
      <c r="AQ75" s="17">
        <f t="shared" ref="AQ75" si="55">IF(AQ$1&gt;Lifetime_UG,0,AP75*(1+Inflation))</f>
        <v>16100.220061374166</v>
      </c>
      <c r="AR75" s="17">
        <f t="shared" ref="AR75" si="56">IF(AR$1&gt;Lifetime_UG,0,AQ75*(1+Inflation))</f>
        <v>16454.424902724397</v>
      </c>
      <c r="AS75" s="17">
        <f t="shared" ref="AS75" si="57">IF(AS$1&gt;Lifetime_UG,0,AR75*(1+Inflation))</f>
        <v>16816.422250584335</v>
      </c>
      <c r="AT75" s="17">
        <f t="shared" ref="AT75" si="58">IF(AT$1&gt;Lifetime_UG,0,AS75*(1+Inflation))</f>
        <v>17186.383540097191</v>
      </c>
      <c r="AU75" s="17">
        <f t="shared" ref="AU75" si="59">IF(AU$1&gt;Lifetime_UG,0,AT75*(1+Inflation))</f>
        <v>17564.483977979329</v>
      </c>
      <c r="AV75" s="17">
        <f t="shared" ref="AV75" si="60">IF(AV$1&gt;Lifetime_UG,0,AU75*(1+Inflation))</f>
        <v>17950.902625494873</v>
      </c>
      <c r="AW75" s="17">
        <f t="shared" ref="AW75" si="61">IF(AW$1&gt;Lifetime_UG,0,AV75*(1+Inflation))</f>
        <v>18345.822483255761</v>
      </c>
      <c r="AX75" s="17">
        <f t="shared" ref="AX75" si="62">IF(AX$1&gt;Lifetime_UG,0,AW75*(1+Inflation))</f>
        <v>18749.43057788739</v>
      </c>
      <c r="AY75" s="17">
        <f t="shared" ref="AY75" si="63">IF(AY$1&gt;Lifetime_UG,0,AX75*(1+Inflation))</f>
        <v>19161.918050600911</v>
      </c>
      <c r="AZ75" s="17">
        <f t="shared" ref="AZ75" si="64">IF(AZ$1&gt;Lifetime_UG,0,AY75*(1+Inflation))</f>
        <v>19583.480247714131</v>
      </c>
      <c r="BA75" s="17">
        <f t="shared" ref="BA75" si="65">IF(BA$1&gt;Lifetime_UG,0,AZ75*(1+Inflation))</f>
        <v>20014.316813163841</v>
      </c>
      <c r="BB75" s="17">
        <f t="shared" ref="BB75" si="66">IF(BB$1&gt;Lifetime_UG,0,BA75*(1+Inflation))</f>
        <v>20454.631783053446</v>
      </c>
      <c r="BC75" s="17">
        <f t="shared" ref="BC75" si="67">IF(BC$1&gt;Lifetime_UG,0,BB75*(1+Inflation))</f>
        <v>20904.633682280622</v>
      </c>
      <c r="BD75" s="17">
        <f t="shared" ref="BD75" si="68">IF(BD$1&gt;Lifetime_UG,0,BC75*(1+Inflation))</f>
        <v>21364.535623290798</v>
      </c>
      <c r="BE75" s="17">
        <f t="shared" ref="BE75" si="69">IF(BE$1&gt;Lifetime_UG,0,BD75*(1+Inflation))</f>
        <v>21834.555407003198</v>
      </c>
      <c r="BF75" s="17">
        <f t="shared" ref="BF75" si="70">IF(BF$1&gt;Lifetime_UG,0,BE75*(1+Inflation))</f>
        <v>22314.91562595727</v>
      </c>
      <c r="BG75" s="17">
        <f t="shared" ref="BG75" si="71">IF(BG$1&gt;Lifetime_UG,0,BF75*(1+Inflation))</f>
        <v>22805.84376972833</v>
      </c>
      <c r="BH75" s="17">
        <f t="shared" ref="BH75" si="72">IF(BH$1&gt;Lifetime_UG,0,BG75*(1+Inflation))</f>
        <v>23307.572332662352</v>
      </c>
      <c r="BI75" s="17">
        <f t="shared" ref="BI75" si="73">IF(BI$1&gt;Lifetime_UG,0,BH75*(1+Inflation))</f>
        <v>23820.338923980926</v>
      </c>
      <c r="BJ75" s="17">
        <f t="shared" ref="BJ75" si="74">IF(BJ$1&gt;Lifetime_UG,0,BI75*(1+Inflation))</f>
        <v>24344.386380308508</v>
      </c>
      <c r="BK75" s="17">
        <f t="shared" ref="BK75" si="75">IF(BK$1&gt;Lifetime_UG,0,BJ75*(1+Inflation))</f>
        <v>0</v>
      </c>
      <c r="BL75" s="17">
        <f t="shared" ref="BL75" si="76">IF(BL$1&gt;Lifetime_UG,0,BK75*(1+Inflation))</f>
        <v>0</v>
      </c>
      <c r="BM75" s="17">
        <f t="shared" ref="BM75" si="77">IF(BM$1&gt;Lifetime_UG,0,BL75*(1+Inflation))</f>
        <v>0</v>
      </c>
      <c r="BN75" s="17">
        <f t="shared" ref="BN75" si="78">IF(BN$1&gt;Lifetime_UG,0,BM75*(1+Inflation))</f>
        <v>0</v>
      </c>
      <c r="BO75" s="17">
        <f t="shared" ref="BO75" si="79">IF(BO$1&gt;Lifetime_UG,0,BN75*(1+Inflation))</f>
        <v>0</v>
      </c>
      <c r="BP75" s="17">
        <f t="shared" ref="BP75" si="80">IF(BP$1&gt;Lifetime_UG,0,BO75*(1+Inflation))</f>
        <v>0</v>
      </c>
      <c r="BQ75" s="17">
        <f t="shared" ref="BQ75" si="81">IF(BQ$1&gt;Lifetime_UG,0,BP75*(1+Inflation))</f>
        <v>0</v>
      </c>
      <c r="BR75" s="17">
        <f t="shared" ref="BR75" si="82">IF(BR$1&gt;Lifetime_UG,0,BQ75*(1+Inflation))</f>
        <v>0</v>
      </c>
      <c r="BS75" s="17">
        <f t="shared" ref="BS75" si="83">IF(BS$1&gt;Lifetime_UG,0,BR75*(1+Inflation))</f>
        <v>0</v>
      </c>
      <c r="BT75" s="17">
        <f t="shared" ref="BT75" si="84">IF(BT$1&gt;Lifetime_UG,0,BS75*(1+Inflation))</f>
        <v>0</v>
      </c>
    </row>
    <row r="76" spans="1:74" ht="19.5" thickTop="1" x14ac:dyDescent="0.4">
      <c r="C76" s="14" t="s">
        <v>161</v>
      </c>
      <c r="D76" s="14"/>
      <c r="E76" s="14"/>
      <c r="F76" s="15"/>
      <c r="G76" s="15">
        <f t="shared" ref="G76:AL76" si="85">SUM(G66:G75)</f>
        <v>629432.36303246499</v>
      </c>
      <c r="H76" s="15">
        <f t="shared" si="85"/>
        <v>993095.57141862018</v>
      </c>
      <c r="I76" s="15">
        <f t="shared" si="85"/>
        <v>1353979.4424692206</v>
      </c>
      <c r="J76" s="15">
        <f t="shared" si="85"/>
        <v>1712461.8273792581</v>
      </c>
      <c r="K76" s="15">
        <f t="shared" si="85"/>
        <v>2068897.7580466303</v>
      </c>
      <c r="L76" s="15">
        <f t="shared" si="85"/>
        <v>2423621.2220417457</v>
      </c>
      <c r="M76" s="15">
        <f t="shared" si="85"/>
        <v>2776946.605364427</v>
      </c>
      <c r="N76" s="15">
        <f t="shared" si="85"/>
        <v>3129170.1650270028</v>
      </c>
      <c r="O76" s="15">
        <f t="shared" si="85"/>
        <v>3423106.6731235879</v>
      </c>
      <c r="P76" s="15">
        <f t="shared" si="85"/>
        <v>3830883.7676750435</v>
      </c>
      <c r="Q76" s="15">
        <f t="shared" si="85"/>
        <v>3746903.9430909646</v>
      </c>
      <c r="R76" s="15">
        <f t="shared" si="85"/>
        <v>3663753.5696227122</v>
      </c>
      <c r="S76" s="15">
        <f t="shared" si="85"/>
        <v>3582794.6143159722</v>
      </c>
      <c r="T76" s="15">
        <f t="shared" si="85"/>
        <v>3503596.9298721016</v>
      </c>
      <c r="U76" s="15">
        <f t="shared" si="85"/>
        <v>3425756.7137776585</v>
      </c>
      <c r="V76" s="15">
        <f t="shared" si="85"/>
        <v>3348894.3334261668</v>
      </c>
      <c r="W76" s="15">
        <f t="shared" si="85"/>
        <v>3272652.5624697912</v>
      </c>
      <c r="X76" s="15">
        <f t="shared" si="85"/>
        <v>3196694.778370766</v>
      </c>
      <c r="Y76" s="15">
        <f t="shared" si="85"/>
        <v>3120831.6619299413</v>
      </c>
      <c r="Z76" s="15">
        <f t="shared" si="85"/>
        <v>3045037.2921233289</v>
      </c>
      <c r="AA76" s="15">
        <f t="shared" si="85"/>
        <v>2970137.0849514641</v>
      </c>
      <c r="AB76" s="15">
        <f t="shared" si="85"/>
        <v>2897798.1498435857</v>
      </c>
      <c r="AC76" s="15">
        <f t="shared" si="85"/>
        <v>2828900.7383596855</v>
      </c>
      <c r="AD76" s="15">
        <f t="shared" si="85"/>
        <v>2763520.5640194886</v>
      </c>
      <c r="AE76" s="15">
        <f t="shared" si="85"/>
        <v>2701735.0060401564</v>
      </c>
      <c r="AF76" s="15">
        <f t="shared" si="85"/>
        <v>2643623.1459816294</v>
      </c>
      <c r="AG76" s="15">
        <f t="shared" si="85"/>
        <v>2589265.8051981628</v>
      </c>
      <c r="AH76" s="15">
        <f t="shared" si="85"/>
        <v>2538745.5831138105</v>
      </c>
      <c r="AI76" s="15">
        <f t="shared" si="85"/>
        <v>2492146.896339952</v>
      </c>
      <c r="AJ76" s="15">
        <f t="shared" si="85"/>
        <v>2449556.0186534179</v>
      </c>
      <c r="AK76" s="15">
        <f t="shared" si="85"/>
        <v>2410036.9205014599</v>
      </c>
      <c r="AL76" s="15">
        <f t="shared" si="85"/>
        <v>2371609.2374057528</v>
      </c>
      <c r="AM76" s="15">
        <f t="shared" ref="AM76:BQ76" si="86">SUM(AM66:AM75)</f>
        <v>2333272.7791448636</v>
      </c>
      <c r="AN76" s="15">
        <f t="shared" si="86"/>
        <v>2295029.5526651596</v>
      </c>
      <c r="AO76" s="15">
        <f t="shared" si="86"/>
        <v>2256881.6090658251</v>
      </c>
      <c r="AP76" s="15">
        <f t="shared" si="86"/>
        <v>2218831.0445702299</v>
      </c>
      <c r="AQ76" s="15">
        <f t="shared" si="86"/>
        <v>2180880.0015186556</v>
      </c>
      <c r="AR76" s="15">
        <f t="shared" si="86"/>
        <v>2143030.6693828702</v>
      </c>
      <c r="AS76" s="15">
        <f t="shared" si="86"/>
        <v>2105285.2858030219</v>
      </c>
      <c r="AT76" s="15">
        <f t="shared" si="86"/>
        <v>2067646.137647341</v>
      </c>
      <c r="AU76" s="15">
        <f t="shared" si="86"/>
        <v>2030115.562095159</v>
      </c>
      <c r="AV76" s="15">
        <f t="shared" si="86"/>
        <v>1992695.9477437527</v>
      </c>
      <c r="AW76" s="15">
        <f t="shared" si="86"/>
        <v>1955389.7357395401</v>
      </c>
      <c r="AX76" s="15">
        <f t="shared" si="86"/>
        <v>1918199.4209341581</v>
      </c>
      <c r="AY76" s="15">
        <f t="shared" si="86"/>
        <v>1881127.5530659824</v>
      </c>
      <c r="AZ76" s="15">
        <f t="shared" si="86"/>
        <v>1844176.7379676299</v>
      </c>
      <c r="BA76" s="15">
        <f t="shared" si="86"/>
        <v>1807349.638800039</v>
      </c>
      <c r="BB76" s="15">
        <f t="shared" si="86"/>
        <v>1770648.9773136841</v>
      </c>
      <c r="BC76" s="15">
        <f t="shared" si="86"/>
        <v>1734077.5351375535</v>
      </c>
      <c r="BD76" s="15">
        <f t="shared" si="86"/>
        <v>1697638.155096472</v>
      </c>
      <c r="BE76" s="15">
        <f t="shared" si="86"/>
        <v>1555378.1682401558</v>
      </c>
      <c r="BF76" s="15">
        <f t="shared" si="86"/>
        <v>1414777.8391614158</v>
      </c>
      <c r="BG76" s="15">
        <f t="shared" si="86"/>
        <v>1275873.680331358</v>
      </c>
      <c r="BH76" s="15">
        <f t="shared" si="86"/>
        <v>1138703.0074954533</v>
      </c>
      <c r="BI76" s="15">
        <f t="shared" si="86"/>
        <v>1003303.9573455736</v>
      </c>
      <c r="BJ76" s="15">
        <f t="shared" si="86"/>
        <v>869715.5055808106</v>
      </c>
      <c r="BK76" s="15">
        <f t="shared" si="86"/>
        <v>609828.24827047344</v>
      </c>
      <c r="BL76" s="15">
        <f t="shared" si="86"/>
        <v>477162.08588288748</v>
      </c>
      <c r="BM76" s="15">
        <f t="shared" si="86"/>
        <v>346366.64541118953</v>
      </c>
      <c r="BN76" s="15">
        <f t="shared" si="86"/>
        <v>-1.0330913937650621E-10</v>
      </c>
      <c r="BO76" s="15">
        <f t="shared" si="86"/>
        <v>-1.0330913937650621E-10</v>
      </c>
      <c r="BP76" s="15">
        <f t="shared" si="86"/>
        <v>-1.0330913937650621E-10</v>
      </c>
      <c r="BQ76" s="15">
        <f t="shared" si="86"/>
        <v>-1.0330913937650621E-10</v>
      </c>
      <c r="BR76" s="15">
        <f t="shared" ref="BR76:BT76" si="87">SUM(BR66:BR75)</f>
        <v>-1.0330913937650621E-10</v>
      </c>
      <c r="BS76" s="15">
        <f t="shared" si="87"/>
        <v>-1.0330913937650621E-10</v>
      </c>
      <c r="BT76" s="15">
        <f t="shared" si="87"/>
        <v>-1.0330913937650621E-10</v>
      </c>
    </row>
    <row r="77" spans="1:74" x14ac:dyDescent="0.4">
      <c r="C77" s="11" t="s">
        <v>162</v>
      </c>
      <c r="D77" s="11" t="s">
        <v>127</v>
      </c>
      <c r="E77" s="11"/>
      <c r="F77" s="50"/>
      <c r="G77" s="8">
        <f t="shared" ref="G77:AL77" si="88">SUM(G66:G67)</f>
        <v>322871.24279002717</v>
      </c>
      <c r="H77" s="8">
        <f t="shared" si="88"/>
        <v>644942.08082908322</v>
      </c>
      <c r="I77" s="8">
        <f t="shared" si="88"/>
        <v>965113.97031224554</v>
      </c>
      <c r="J77" s="8">
        <f t="shared" si="88"/>
        <v>1283729.9427642529</v>
      </c>
      <c r="K77" s="8">
        <f t="shared" si="88"/>
        <v>1601111.7711685973</v>
      </c>
      <c r="L77" s="8">
        <f t="shared" si="88"/>
        <v>1917561.71806691</v>
      </c>
      <c r="M77" s="8">
        <f t="shared" si="88"/>
        <v>2233363.952818648</v>
      </c>
      <c r="N77" s="8">
        <f t="shared" si="88"/>
        <v>2548786.0000404972</v>
      </c>
      <c r="O77" s="8">
        <f t="shared" si="88"/>
        <v>2863976.8165045017</v>
      </c>
      <c r="P77" s="8">
        <f t="shared" si="88"/>
        <v>3178953.8423047857</v>
      </c>
      <c r="Q77" s="8">
        <f t="shared" si="88"/>
        <v>3092348.4598625824</v>
      </c>
      <c r="R77" s="8">
        <f t="shared" si="88"/>
        <v>3006514.7662633266</v>
      </c>
      <c r="S77" s="8">
        <f t="shared" si="88"/>
        <v>2922813.4577827016</v>
      </c>
      <c r="T77" s="8">
        <f t="shared" si="88"/>
        <v>2840813.0883951196</v>
      </c>
      <c r="U77" s="8">
        <f t="shared" si="88"/>
        <v>2760108.5282882052</v>
      </c>
      <c r="V77" s="8">
        <f t="shared" si="88"/>
        <v>2680318.7883559661</v>
      </c>
      <c r="W77" s="8">
        <f t="shared" si="88"/>
        <v>2601085.2559080673</v>
      </c>
      <c r="X77" s="8">
        <f t="shared" si="88"/>
        <v>2522069.8915647054</v>
      </c>
      <c r="Y77" s="8">
        <f t="shared" si="88"/>
        <v>2443081.9281141683</v>
      </c>
      <c r="Z77" s="8">
        <f t="shared" si="88"/>
        <v>2364093.9646636304</v>
      </c>
      <c r="AA77" s="8">
        <f t="shared" si="88"/>
        <v>2285929.9047876727</v>
      </c>
      <c r="AB77" s="8">
        <f t="shared" si="88"/>
        <v>2210255.312216213</v>
      </c>
      <c r="AC77" s="8">
        <f t="shared" si="88"/>
        <v>2137948.8588045314</v>
      </c>
      <c r="AD77" s="8">
        <f t="shared" si="88"/>
        <v>2069084.6436141422</v>
      </c>
      <c r="AE77" s="8">
        <f t="shared" si="88"/>
        <v>2003738.3958859143</v>
      </c>
      <c r="AF77" s="8">
        <f t="shared" si="88"/>
        <v>1941987.5109040146</v>
      </c>
      <c r="AG77" s="8">
        <f t="shared" si="88"/>
        <v>1883911.0866488621</v>
      </c>
      <c r="AH77" s="8">
        <f t="shared" si="88"/>
        <v>1829589.9612564465</v>
      </c>
      <c r="AI77" s="8">
        <f t="shared" si="88"/>
        <v>1779106.751301747</v>
      </c>
      <c r="AJ77" s="8">
        <f t="shared" si="88"/>
        <v>1732545.8909243939</v>
      </c>
      <c r="AK77" s="8">
        <f t="shared" si="88"/>
        <v>1688969.4704624184</v>
      </c>
      <c r="AL77" s="8">
        <f t="shared" si="88"/>
        <v>1646395.2039658735</v>
      </c>
      <c r="AM77" s="8">
        <f t="shared" ref="AM77:BQ77" si="89">SUM(AM66:AM67)</f>
        <v>1603820.9374693283</v>
      </c>
      <c r="AN77" s="8">
        <f t="shared" si="89"/>
        <v>1561246.6709727836</v>
      </c>
      <c r="AO77" s="8">
        <f t="shared" si="89"/>
        <v>1518672.4044762384</v>
      </c>
      <c r="AP77" s="8">
        <f t="shared" si="89"/>
        <v>1476098.1379796932</v>
      </c>
      <c r="AQ77" s="8">
        <f t="shared" si="89"/>
        <v>1433523.8714831481</v>
      </c>
      <c r="AR77" s="8">
        <f t="shared" si="89"/>
        <v>1390949.6049866029</v>
      </c>
      <c r="AS77" s="8">
        <f t="shared" si="89"/>
        <v>1348375.3384900582</v>
      </c>
      <c r="AT77" s="8">
        <f t="shared" si="89"/>
        <v>1305801.071993513</v>
      </c>
      <c r="AU77" s="8">
        <f t="shared" si="89"/>
        <v>1263226.8054969681</v>
      </c>
      <c r="AV77" s="8">
        <f t="shared" si="89"/>
        <v>1220652.5390004232</v>
      </c>
      <c r="AW77" s="8">
        <f t="shared" si="89"/>
        <v>1178078.272503878</v>
      </c>
      <c r="AX77" s="8">
        <f t="shared" si="89"/>
        <v>1135504.0060073331</v>
      </c>
      <c r="AY77" s="8">
        <f t="shared" si="89"/>
        <v>1092929.7395107881</v>
      </c>
      <c r="AZ77" s="8">
        <f t="shared" si="89"/>
        <v>1050355.4730142429</v>
      </c>
      <c r="BA77" s="8">
        <f t="shared" si="89"/>
        <v>1007781.2065176981</v>
      </c>
      <c r="BB77" s="8">
        <f t="shared" si="89"/>
        <v>965206.94002115307</v>
      </c>
      <c r="BC77" s="8">
        <f t="shared" si="89"/>
        <v>922632.67352460814</v>
      </c>
      <c r="BD77" s="8">
        <f t="shared" si="89"/>
        <v>880058.40702806297</v>
      </c>
      <c r="BE77" s="8">
        <f t="shared" si="89"/>
        <v>779724.78834426322</v>
      </c>
      <c r="BF77" s="8">
        <f t="shared" si="89"/>
        <v>681973.20753783477</v>
      </c>
      <c r="BG77" s="8">
        <f t="shared" si="89"/>
        <v>586860.46944207919</v>
      </c>
      <c r="BH77" s="8">
        <f t="shared" si="89"/>
        <v>494444.62859663181</v>
      </c>
      <c r="BI77" s="8">
        <f t="shared" si="89"/>
        <v>404785.01674099901</v>
      </c>
      <c r="BJ77" s="8">
        <f t="shared" si="89"/>
        <v>317942.2709129568</v>
      </c>
      <c r="BK77" s="8">
        <f t="shared" si="89"/>
        <v>233978.36216511228</v>
      </c>
      <c r="BL77" s="8">
        <f t="shared" si="89"/>
        <v>152956.62491322972</v>
      </c>
      <c r="BM77" s="8">
        <f t="shared" si="89"/>
        <v>74941.786930220551</v>
      </c>
      <c r="BN77" s="8">
        <f t="shared" si="89"/>
        <v>-1.0330913937650621E-10</v>
      </c>
      <c r="BO77" s="8">
        <f t="shared" si="89"/>
        <v>-1.0330913937650621E-10</v>
      </c>
      <c r="BP77" s="8">
        <f t="shared" si="89"/>
        <v>-1.0330913937650621E-10</v>
      </c>
      <c r="BQ77" s="8">
        <f t="shared" si="89"/>
        <v>-1.0330913937650621E-10</v>
      </c>
      <c r="BR77" s="8">
        <f t="shared" ref="BR77:BT77" si="90">SUM(BR66:BR67)</f>
        <v>-1.0330913937650621E-10</v>
      </c>
      <c r="BS77" s="8">
        <f t="shared" si="90"/>
        <v>-1.0330913937650621E-10</v>
      </c>
      <c r="BT77" s="8">
        <f t="shared" si="90"/>
        <v>-1.0330913937650621E-10</v>
      </c>
    </row>
    <row r="78" spans="1:74" x14ac:dyDescent="0.4">
      <c r="C78" s="11" t="s">
        <v>162</v>
      </c>
      <c r="D78" t="s">
        <v>136</v>
      </c>
      <c r="G78" s="8">
        <f t="shared" ref="G78:AL78" si="91">SUM(G68:G75)</f>
        <v>306561.12024243781</v>
      </c>
      <c r="H78" s="8">
        <f>SUM(H68:H75)</f>
        <v>348153.49058953696</v>
      </c>
      <c r="I78" s="8">
        <f t="shared" si="91"/>
        <v>388865.47215697507</v>
      </c>
      <c r="J78" s="8">
        <f t="shared" si="91"/>
        <v>428731.88461500552</v>
      </c>
      <c r="K78" s="8">
        <f t="shared" si="91"/>
        <v>467785.9868780332</v>
      </c>
      <c r="L78" s="8">
        <f t="shared" si="91"/>
        <v>506059.50397483521</v>
      </c>
      <c r="M78" s="8">
        <f t="shared" si="91"/>
        <v>543582.65254577913</v>
      </c>
      <c r="N78" s="8">
        <f t="shared" si="91"/>
        <v>580384.16498650506</v>
      </c>
      <c r="O78" s="8">
        <f t="shared" si="91"/>
        <v>559129.85661908647</v>
      </c>
      <c r="P78" s="8">
        <f t="shared" si="91"/>
        <v>651929.92537025781</v>
      </c>
      <c r="Q78" s="8">
        <f t="shared" si="91"/>
        <v>654555.48322838231</v>
      </c>
      <c r="R78" s="8">
        <f t="shared" si="91"/>
        <v>657238.80335938546</v>
      </c>
      <c r="S78" s="8">
        <f t="shared" si="91"/>
        <v>659981.15653327073</v>
      </c>
      <c r="T78" s="8">
        <f t="shared" si="91"/>
        <v>662783.84147698153</v>
      </c>
      <c r="U78" s="8">
        <f t="shared" si="91"/>
        <v>665648.18548945396</v>
      </c>
      <c r="V78" s="8">
        <f t="shared" si="91"/>
        <v>668575.54507020069</v>
      </c>
      <c r="W78" s="8">
        <f t="shared" si="91"/>
        <v>671567.30656172393</v>
      </c>
      <c r="X78" s="8">
        <f t="shared" si="91"/>
        <v>674624.88680606056</v>
      </c>
      <c r="Y78" s="8">
        <f t="shared" si="91"/>
        <v>677749.73381577258</v>
      </c>
      <c r="Z78" s="8">
        <f t="shared" si="91"/>
        <v>680943.32745969854</v>
      </c>
      <c r="AA78" s="8">
        <f t="shared" si="91"/>
        <v>684207.18016379059</v>
      </c>
      <c r="AB78" s="8">
        <f t="shared" si="91"/>
        <v>687542.83762737282</v>
      </c>
      <c r="AC78" s="8">
        <f t="shared" si="91"/>
        <v>690951.87955515366</v>
      </c>
      <c r="AD78" s="8">
        <f t="shared" si="91"/>
        <v>694435.92040534597</v>
      </c>
      <c r="AE78" s="8">
        <f t="shared" si="91"/>
        <v>697996.61015424225</v>
      </c>
      <c r="AF78" s="8">
        <f t="shared" si="91"/>
        <v>701635.63507761445</v>
      </c>
      <c r="AG78" s="8">
        <f t="shared" si="91"/>
        <v>705354.7185493008</v>
      </c>
      <c r="AH78" s="8">
        <f t="shared" si="91"/>
        <v>709155.6218573642</v>
      </c>
      <c r="AI78" s="8">
        <f t="shared" si="91"/>
        <v>713040.14503820497</v>
      </c>
      <c r="AJ78" s="8">
        <f t="shared" si="91"/>
        <v>717010.12772902427</v>
      </c>
      <c r="AK78" s="8">
        <f t="shared" si="91"/>
        <v>721067.45003904158</v>
      </c>
      <c r="AL78" s="8">
        <f t="shared" si="91"/>
        <v>725214.03343987931</v>
      </c>
      <c r="AM78" s="8">
        <f t="shared" ref="AM78:BQ78" si="92">SUM(AM68:AM75)</f>
        <v>729451.84167553543</v>
      </c>
      <c r="AN78" s="8">
        <f t="shared" si="92"/>
        <v>733782.88169237599</v>
      </c>
      <c r="AO78" s="8">
        <f t="shared" si="92"/>
        <v>738209.20458958705</v>
      </c>
      <c r="AP78" s="8">
        <f t="shared" si="92"/>
        <v>742732.9065905367</v>
      </c>
      <c r="AQ78" s="8">
        <f t="shared" si="92"/>
        <v>747356.13003550726</v>
      </c>
      <c r="AR78" s="8">
        <f t="shared" si="92"/>
        <v>752081.06439626729</v>
      </c>
      <c r="AS78" s="8">
        <f t="shared" si="92"/>
        <v>756909.94731296389</v>
      </c>
      <c r="AT78" s="8">
        <f t="shared" si="92"/>
        <v>761845.06565382786</v>
      </c>
      <c r="AU78" s="8">
        <f t="shared" si="92"/>
        <v>766888.75659819087</v>
      </c>
      <c r="AV78" s="8">
        <f t="shared" si="92"/>
        <v>772043.40874332993</v>
      </c>
      <c r="AW78" s="8">
        <f t="shared" si="92"/>
        <v>777311.46323566197</v>
      </c>
      <c r="AX78" s="8">
        <f t="shared" si="92"/>
        <v>782695.41492682521</v>
      </c>
      <c r="AY78" s="8">
        <f t="shared" si="92"/>
        <v>788197.8135551943</v>
      </c>
      <c r="AZ78" s="8">
        <f t="shared" si="92"/>
        <v>793821.2649533872</v>
      </c>
      <c r="BA78" s="8">
        <f t="shared" si="92"/>
        <v>799568.43228234048</v>
      </c>
      <c r="BB78" s="8">
        <f t="shared" si="92"/>
        <v>805442.03729253076</v>
      </c>
      <c r="BC78" s="8">
        <f t="shared" si="92"/>
        <v>811444.86161294521</v>
      </c>
      <c r="BD78" s="8">
        <f t="shared" si="92"/>
        <v>817579.74806840881</v>
      </c>
      <c r="BE78" s="8">
        <f t="shared" si="92"/>
        <v>775653.37989589258</v>
      </c>
      <c r="BF78" s="8">
        <f t="shared" si="92"/>
        <v>732804.63162358105</v>
      </c>
      <c r="BG78" s="8">
        <f t="shared" si="92"/>
        <v>689013.21088927856</v>
      </c>
      <c r="BH78" s="8">
        <f t="shared" si="92"/>
        <v>644258.37889882154</v>
      </c>
      <c r="BI78" s="8">
        <f t="shared" si="92"/>
        <v>598518.9406045744</v>
      </c>
      <c r="BJ78" s="8">
        <f t="shared" si="92"/>
        <v>551773.23466785369</v>
      </c>
      <c r="BK78" s="8">
        <f t="shared" si="92"/>
        <v>375849.88610536105</v>
      </c>
      <c r="BL78" s="8">
        <f t="shared" si="92"/>
        <v>324205.46096965775</v>
      </c>
      <c r="BM78" s="8">
        <f t="shared" si="92"/>
        <v>271424.85848096904</v>
      </c>
      <c r="BN78" s="8">
        <f t="shared" si="92"/>
        <v>0</v>
      </c>
      <c r="BO78" s="8">
        <f t="shared" si="92"/>
        <v>0</v>
      </c>
      <c r="BP78" s="8">
        <f t="shared" si="92"/>
        <v>0</v>
      </c>
      <c r="BQ78" s="8">
        <f t="shared" si="92"/>
        <v>0</v>
      </c>
      <c r="BR78" s="8">
        <f t="shared" ref="BR78:BT78" si="93">SUM(BR68:BR75)</f>
        <v>0</v>
      </c>
      <c r="BS78" s="8">
        <f t="shared" si="93"/>
        <v>0</v>
      </c>
      <c r="BT78" s="8">
        <f t="shared" si="93"/>
        <v>0</v>
      </c>
    </row>
    <row r="79" spans="1:74" x14ac:dyDescent="0.4">
      <c r="C79" s="11" t="s">
        <v>162</v>
      </c>
      <c r="D79" t="s">
        <v>164</v>
      </c>
      <c r="G79" s="8">
        <f>SUM(G70:G73,G75)</f>
        <v>106709.53272524118</v>
      </c>
      <c r="H79" s="8">
        <f t="shared" ref="H79:BS79" si="94">SUM(H70:H73,H75)</f>
        <v>99761.093554080493</v>
      </c>
      <c r="I79" s="8">
        <f t="shared" si="94"/>
        <v>92873.891602682983</v>
      </c>
      <c r="J79" s="8">
        <f t="shared" si="94"/>
        <v>86044.342957913788</v>
      </c>
      <c r="K79" s="8">
        <f t="shared" si="94"/>
        <v>79268.898432409056</v>
      </c>
      <c r="L79" s="8">
        <f t="shared" si="94"/>
        <v>72544.041712801409</v>
      </c>
      <c r="M79" s="8">
        <f t="shared" si="94"/>
        <v>65866.287527450782</v>
      </c>
      <c r="N79" s="8">
        <f t="shared" si="94"/>
        <v>59232.179832722708</v>
      </c>
      <c r="O79" s="8">
        <f t="shared" si="94"/>
        <v>52638.290016866245</v>
      </c>
      <c r="P79" s="8">
        <f t="shared" si="94"/>
        <v>46081.215120554567</v>
      </c>
      <c r="Q79" s="8">
        <f t="shared" si="94"/>
        <v>47095.00185320677</v>
      </c>
      <c r="R79" s="8">
        <f t="shared" si="94"/>
        <v>48131.091893977311</v>
      </c>
      <c r="S79" s="8">
        <f t="shared" si="94"/>
        <v>49189.97591564482</v>
      </c>
      <c r="T79" s="8">
        <f t="shared" si="94"/>
        <v>50272.155385789003</v>
      </c>
      <c r="U79" s="8">
        <f t="shared" si="94"/>
        <v>51378.142804276358</v>
      </c>
      <c r="V79" s="8">
        <f t="shared" si="94"/>
        <v>52508.461945970455</v>
      </c>
      <c r="W79" s="8">
        <f t="shared" si="94"/>
        <v>53663.648108781796</v>
      </c>
      <c r="X79" s="8">
        <f t="shared" si="94"/>
        <v>54844.248367174994</v>
      </c>
      <c r="Y79" s="8">
        <f t="shared" si="94"/>
        <v>56050.821831252848</v>
      </c>
      <c r="Z79" s="8">
        <f t="shared" si="94"/>
        <v>57283.939911540409</v>
      </c>
      <c r="AA79" s="8">
        <f t="shared" si="94"/>
        <v>58544.186589594305</v>
      </c>
      <c r="AB79" s="8">
        <f t="shared" si="94"/>
        <v>59832.158694565376</v>
      </c>
      <c r="AC79" s="8">
        <f t="shared" si="94"/>
        <v>61148.46618584582</v>
      </c>
      <c r="AD79" s="8">
        <f t="shared" si="94"/>
        <v>62493.732441934437</v>
      </c>
      <c r="AE79" s="8">
        <f t="shared" si="94"/>
        <v>63868.594555656986</v>
      </c>
      <c r="AF79" s="8">
        <f t="shared" si="94"/>
        <v>65273.703635881437</v>
      </c>
      <c r="AG79" s="8">
        <f t="shared" si="94"/>
        <v>66709.725115870839</v>
      </c>
      <c r="AH79" s="8">
        <f t="shared" si="94"/>
        <v>68177.339068419999</v>
      </c>
      <c r="AI79" s="8">
        <f t="shared" si="94"/>
        <v>69677.240527925242</v>
      </c>
      <c r="AJ79" s="8">
        <f t="shared" si="94"/>
        <v>71210.139819539603</v>
      </c>
      <c r="AK79" s="8">
        <f t="shared" si="94"/>
        <v>72776.762895569467</v>
      </c>
      <c r="AL79" s="8">
        <f t="shared" si="94"/>
        <v>74377.851679272004</v>
      </c>
      <c r="AM79" s="8">
        <f t="shared" si="94"/>
        <v>76014.164416215979</v>
      </c>
      <c r="AN79" s="8">
        <f t="shared" si="94"/>
        <v>77686.476033372717</v>
      </c>
      <c r="AO79" s="8">
        <f t="shared" si="94"/>
        <v>79395.578506106933</v>
      </c>
      <c r="AP79" s="8">
        <f t="shared" si="94"/>
        <v>81142.281233241287</v>
      </c>
      <c r="AQ79" s="8">
        <f t="shared" si="94"/>
        <v>82927.411420372606</v>
      </c>
      <c r="AR79" s="8">
        <f t="shared" si="94"/>
        <v>84751.814471620775</v>
      </c>
      <c r="AS79" s="8">
        <f t="shared" si="94"/>
        <v>86616.354389996442</v>
      </c>
      <c r="AT79" s="8">
        <f t="shared" si="94"/>
        <v>88521.914186576367</v>
      </c>
      <c r="AU79" s="8">
        <f t="shared" si="94"/>
        <v>90469.396298681051</v>
      </c>
      <c r="AV79" s="8">
        <f t="shared" si="94"/>
        <v>92459.723017252036</v>
      </c>
      <c r="AW79" s="8">
        <f t="shared" si="94"/>
        <v>94493.836923631578</v>
      </c>
      <c r="AX79" s="8">
        <f t="shared" si="94"/>
        <v>96572.701335951482</v>
      </c>
      <c r="AY79" s="8">
        <f t="shared" si="94"/>
        <v>98697.300765342414</v>
      </c>
      <c r="AZ79" s="8">
        <f t="shared" si="94"/>
        <v>100868.64138217995</v>
      </c>
      <c r="BA79" s="8">
        <f t="shared" si="94"/>
        <v>103087.75149258789</v>
      </c>
      <c r="BB79" s="8">
        <f t="shared" si="94"/>
        <v>105355.68202542482</v>
      </c>
      <c r="BC79" s="8">
        <f t="shared" si="94"/>
        <v>107673.50702998419</v>
      </c>
      <c r="BD79" s="8">
        <f t="shared" si="94"/>
        <v>110042.32418464385</v>
      </c>
      <c r="BE79" s="8">
        <f t="shared" si="94"/>
        <v>112463.25531670601</v>
      </c>
      <c r="BF79" s="8">
        <f t="shared" si="94"/>
        <v>114937.44693367355</v>
      </c>
      <c r="BG79" s="8">
        <f t="shared" si="94"/>
        <v>117466.07076621437</v>
      </c>
      <c r="BH79" s="8">
        <f t="shared" si="94"/>
        <v>120050.32432307108</v>
      </c>
      <c r="BI79" s="8">
        <f t="shared" si="94"/>
        <v>122691.43145817865</v>
      </c>
      <c r="BJ79" s="8">
        <f t="shared" si="94"/>
        <v>125390.64295025858</v>
      </c>
      <c r="BK79" s="8">
        <f t="shared" si="94"/>
        <v>0</v>
      </c>
      <c r="BL79" s="8">
        <f t="shared" si="94"/>
        <v>0</v>
      </c>
      <c r="BM79" s="8">
        <f t="shared" si="94"/>
        <v>0</v>
      </c>
      <c r="BN79" s="8">
        <f t="shared" si="94"/>
        <v>0</v>
      </c>
      <c r="BO79" s="8">
        <f t="shared" si="94"/>
        <v>0</v>
      </c>
      <c r="BP79" s="8">
        <f t="shared" si="94"/>
        <v>0</v>
      </c>
      <c r="BQ79" s="8">
        <f t="shared" si="94"/>
        <v>0</v>
      </c>
      <c r="BR79" s="8">
        <f t="shared" si="94"/>
        <v>0</v>
      </c>
      <c r="BS79" s="8">
        <f t="shared" si="94"/>
        <v>0</v>
      </c>
      <c r="BT79" s="8">
        <f t="shared" ref="BT79" si="95">SUM(BT70:BT73,BT75)</f>
        <v>0</v>
      </c>
    </row>
    <row r="80" spans="1:74" x14ac:dyDescent="0.4">
      <c r="C80" s="11" t="s">
        <v>162</v>
      </c>
      <c r="D80" t="s">
        <v>165</v>
      </c>
      <c r="G80" s="8">
        <f>G68</f>
        <v>128023.75135023416</v>
      </c>
      <c r="H80" s="8">
        <f t="shared" ref="H80:BS80" si="96">H68</f>
        <v>128841.95948162758</v>
      </c>
      <c r="I80" s="8">
        <f t="shared" si="96"/>
        <v>127621.34131934876</v>
      </c>
      <c r="J80" s="8">
        <f t="shared" si="96"/>
        <v>124377.25150556493</v>
      </c>
      <c r="K80" s="8">
        <f t="shared" si="96"/>
        <v>119122.91703198884</v>
      </c>
      <c r="L80" s="8">
        <f t="shared" si="96"/>
        <v>111869.45483207116</v>
      </c>
      <c r="M80" s="8">
        <f t="shared" si="96"/>
        <v>102625.88772252017</v>
      </c>
      <c r="N80" s="8">
        <f t="shared" si="96"/>
        <v>91399.158709197902</v>
      </c>
      <c r="O80" s="8">
        <f t="shared" si="96"/>
        <v>78194.143671302765</v>
      </c>
      <c r="P80" s="8">
        <f t="shared" si="96"/>
        <v>63013.662436624101</v>
      </c>
      <c r="Q80" s="8">
        <f t="shared" si="96"/>
        <v>64399.963010229832</v>
      </c>
      <c r="R80" s="8">
        <f t="shared" si="96"/>
        <v>65816.762196454889</v>
      </c>
      <c r="S80" s="8">
        <f t="shared" si="96"/>
        <v>67264.7309647769</v>
      </c>
      <c r="T80" s="8">
        <f t="shared" si="96"/>
        <v>68744.555046001988</v>
      </c>
      <c r="U80" s="8">
        <f t="shared" si="96"/>
        <v>70256.935257014033</v>
      </c>
      <c r="V80" s="8">
        <f t="shared" si="96"/>
        <v>71802.587832668345</v>
      </c>
      <c r="W80" s="8">
        <f t="shared" si="96"/>
        <v>73382.244764987045</v>
      </c>
      <c r="X80" s="8">
        <f t="shared" si="96"/>
        <v>74996.654149816764</v>
      </c>
      <c r="Y80" s="8">
        <f t="shared" si="96"/>
        <v>76646.580541112737</v>
      </c>
      <c r="Z80" s="8">
        <f t="shared" si="96"/>
        <v>78332.805313017219</v>
      </c>
      <c r="AA80" s="8">
        <f t="shared" si="96"/>
        <v>80056.127029903597</v>
      </c>
      <c r="AB80" s="8">
        <f t="shared" si="96"/>
        <v>81817.361824561478</v>
      </c>
      <c r="AC80" s="8">
        <f t="shared" si="96"/>
        <v>83617.343784701836</v>
      </c>
      <c r="AD80" s="8">
        <f t="shared" si="96"/>
        <v>85456.925347965283</v>
      </c>
      <c r="AE80" s="8">
        <f t="shared" si="96"/>
        <v>87336.97770562052</v>
      </c>
      <c r="AF80" s="8">
        <f t="shared" si="96"/>
        <v>89258.391215144176</v>
      </c>
      <c r="AG80" s="8">
        <f t="shared" si="96"/>
        <v>91222.075821877355</v>
      </c>
      <c r="AH80" s="8">
        <f t="shared" si="96"/>
        <v>93228.96148995866</v>
      </c>
      <c r="AI80" s="8">
        <f t="shared" si="96"/>
        <v>95279.998642737759</v>
      </c>
      <c r="AJ80" s="8">
        <f t="shared" si="96"/>
        <v>97376.158612877989</v>
      </c>
      <c r="AK80" s="8">
        <f t="shared" si="96"/>
        <v>99518.434102361309</v>
      </c>
      <c r="AL80" s="8">
        <f t="shared" si="96"/>
        <v>101707.83965261326</v>
      </c>
      <c r="AM80" s="8">
        <f t="shared" si="96"/>
        <v>103945.41212497075</v>
      </c>
      <c r="AN80" s="8">
        <f t="shared" si="96"/>
        <v>106232.21119172011</v>
      </c>
      <c r="AO80" s="8">
        <f t="shared" si="96"/>
        <v>108569.31983793796</v>
      </c>
      <c r="AP80" s="8">
        <f t="shared" si="96"/>
        <v>110957.8448743726</v>
      </c>
      <c r="AQ80" s="8">
        <f t="shared" si="96"/>
        <v>113398.9174616088</v>
      </c>
      <c r="AR80" s="8">
        <f t="shared" si="96"/>
        <v>115893.6936457642</v>
      </c>
      <c r="AS80" s="8">
        <f t="shared" si="96"/>
        <v>118443.35490597102</v>
      </c>
      <c r="AT80" s="8">
        <f t="shared" si="96"/>
        <v>121049.10871390239</v>
      </c>
      <c r="AU80" s="8">
        <f t="shared" si="96"/>
        <v>123712.18910560824</v>
      </c>
      <c r="AV80" s="8">
        <f t="shared" si="96"/>
        <v>126433.85726593163</v>
      </c>
      <c r="AW80" s="8">
        <f t="shared" si="96"/>
        <v>129215.40212578213</v>
      </c>
      <c r="AX80" s="8">
        <f t="shared" si="96"/>
        <v>132058.14097254933</v>
      </c>
      <c r="AY80" s="8">
        <f t="shared" si="96"/>
        <v>134963.42007394542</v>
      </c>
      <c r="AZ80" s="8">
        <f t="shared" si="96"/>
        <v>137932.61531557221</v>
      </c>
      <c r="BA80" s="8">
        <f t="shared" si="96"/>
        <v>140967.1328525148</v>
      </c>
      <c r="BB80" s="8">
        <f t="shared" si="96"/>
        <v>144068.40977527012</v>
      </c>
      <c r="BC80" s="8">
        <f t="shared" si="96"/>
        <v>147237.91479032606</v>
      </c>
      <c r="BD80" s="8">
        <f t="shared" si="96"/>
        <v>150477.14891571325</v>
      </c>
      <c r="BE80" s="8">
        <f t="shared" si="96"/>
        <v>153787.64619185895</v>
      </c>
      <c r="BF80" s="8">
        <f t="shared" si="96"/>
        <v>157170.97440807984</v>
      </c>
      <c r="BG80" s="8">
        <f t="shared" si="96"/>
        <v>160628.73584505761</v>
      </c>
      <c r="BH80" s="8">
        <f t="shared" si="96"/>
        <v>164162.56803364889</v>
      </c>
      <c r="BI80" s="8">
        <f t="shared" si="96"/>
        <v>167774.14453038917</v>
      </c>
      <c r="BJ80" s="8">
        <f t="shared" si="96"/>
        <v>171465.17571005772</v>
      </c>
      <c r="BK80" s="8">
        <f t="shared" si="96"/>
        <v>175237.40957567899</v>
      </c>
      <c r="BL80" s="8">
        <f t="shared" si="96"/>
        <v>179092.63258634394</v>
      </c>
      <c r="BM80" s="8">
        <f t="shared" si="96"/>
        <v>183032.67050324351</v>
      </c>
      <c r="BN80" s="8">
        <f t="shared" si="96"/>
        <v>0</v>
      </c>
      <c r="BO80" s="8">
        <f t="shared" si="96"/>
        <v>0</v>
      </c>
      <c r="BP80" s="8">
        <f t="shared" si="96"/>
        <v>0</v>
      </c>
      <c r="BQ80" s="8">
        <f t="shared" si="96"/>
        <v>0</v>
      </c>
      <c r="BR80" s="8">
        <f t="shared" si="96"/>
        <v>0</v>
      </c>
      <c r="BS80" s="8">
        <f t="shared" si="96"/>
        <v>0</v>
      </c>
      <c r="BT80" s="8">
        <f t="shared" ref="BT80" si="97">BT68</f>
        <v>0</v>
      </c>
    </row>
    <row r="82" spans="4:69" x14ac:dyDescent="0.4">
      <c r="D82" t="s">
        <v>427</v>
      </c>
    </row>
    <row r="83" spans="4:69" x14ac:dyDescent="0.4">
      <c r="G83">
        <v>2028</v>
      </c>
      <c r="H83">
        <v>2029</v>
      </c>
      <c r="I83">
        <v>2030</v>
      </c>
      <c r="J83">
        <v>2031</v>
      </c>
      <c r="K83">
        <v>2032</v>
      </c>
      <c r="L83">
        <v>2033</v>
      </c>
      <c r="M83">
        <v>2034</v>
      </c>
      <c r="N83">
        <v>2035</v>
      </c>
      <c r="O83">
        <v>2036</v>
      </c>
      <c r="P83">
        <v>2037</v>
      </c>
      <c r="Q83">
        <v>2038</v>
      </c>
      <c r="R83">
        <v>2039</v>
      </c>
      <c r="S83">
        <v>2040</v>
      </c>
      <c r="T83">
        <v>2041</v>
      </c>
      <c r="U83">
        <v>2042</v>
      </c>
      <c r="V83">
        <v>2043</v>
      </c>
      <c r="W83">
        <v>2044</v>
      </c>
      <c r="X83">
        <v>2045</v>
      </c>
      <c r="Y83">
        <v>2046</v>
      </c>
      <c r="Z83">
        <v>2047</v>
      </c>
      <c r="AA83">
        <v>2048</v>
      </c>
      <c r="AB83">
        <v>2049</v>
      </c>
      <c r="AC83">
        <v>2050</v>
      </c>
      <c r="AD83">
        <v>2051</v>
      </c>
      <c r="AE83">
        <v>2052</v>
      </c>
      <c r="AF83">
        <v>2053</v>
      </c>
      <c r="AG83">
        <v>2054</v>
      </c>
      <c r="AH83">
        <v>2055</v>
      </c>
      <c r="AI83">
        <v>2056</v>
      </c>
      <c r="AJ83">
        <v>2057</v>
      </c>
      <c r="AK83">
        <v>2058</v>
      </c>
      <c r="AL83">
        <v>2059</v>
      </c>
      <c r="AM83">
        <v>2060</v>
      </c>
      <c r="AN83">
        <v>2061</v>
      </c>
      <c r="AO83">
        <v>2062</v>
      </c>
      <c r="AP83">
        <v>2063</v>
      </c>
      <c r="AQ83">
        <v>2064</v>
      </c>
      <c r="AR83">
        <v>2065</v>
      </c>
      <c r="AS83">
        <v>2066</v>
      </c>
      <c r="AT83">
        <v>2067</v>
      </c>
      <c r="AU83">
        <v>2068</v>
      </c>
      <c r="AV83">
        <v>2069</v>
      </c>
      <c r="AW83">
        <v>2070</v>
      </c>
      <c r="AX83">
        <v>2071</v>
      </c>
      <c r="AY83">
        <v>2072</v>
      </c>
      <c r="AZ83">
        <v>2073</v>
      </c>
      <c r="BA83">
        <v>2074</v>
      </c>
      <c r="BB83">
        <v>2075</v>
      </c>
      <c r="BC83">
        <v>2076</v>
      </c>
      <c r="BD83">
        <v>2077</v>
      </c>
      <c r="BE83">
        <v>2078</v>
      </c>
      <c r="BF83">
        <v>2079</v>
      </c>
      <c r="BG83">
        <v>2080</v>
      </c>
      <c r="BH83">
        <v>2081</v>
      </c>
      <c r="BI83">
        <v>2082</v>
      </c>
      <c r="BJ83">
        <v>2083</v>
      </c>
      <c r="BK83">
        <v>2084</v>
      </c>
      <c r="BL83">
        <v>2085</v>
      </c>
      <c r="BM83">
        <v>2086</v>
      </c>
      <c r="BN83">
        <v>2087</v>
      </c>
      <c r="BO83">
        <v>2088</v>
      </c>
      <c r="BP83">
        <v>2089</v>
      </c>
      <c r="BQ83">
        <v>2090</v>
      </c>
    </row>
    <row r="84" spans="4:69" x14ac:dyDescent="0.4">
      <c r="D84" t="s">
        <v>128</v>
      </c>
      <c r="G84" s="8">
        <f t="shared" ref="G84:AL84" si="98">G13+G39+G66</f>
        <v>670219.80788844475</v>
      </c>
      <c r="H84" s="8">
        <f t="shared" si="98"/>
        <v>1335057.4681445034</v>
      </c>
      <c r="I84" s="8">
        <f t="shared" si="98"/>
        <v>1991641.8993434415</v>
      </c>
      <c r="J84" s="8">
        <f t="shared" si="98"/>
        <v>2640771.4711676445</v>
      </c>
      <c r="K84" s="8">
        <f t="shared" si="98"/>
        <v>3283188.7629447123</v>
      </c>
      <c r="L84" s="8">
        <f t="shared" si="98"/>
        <v>3919584.9789125556</v>
      </c>
      <c r="M84" s="8">
        <f t="shared" si="98"/>
        <v>4550603.5201781858</v>
      </c>
      <c r="N84" s="8">
        <f t="shared" si="98"/>
        <v>5176843.6352595873</v>
      </c>
      <c r="O84" s="8">
        <f t="shared" si="98"/>
        <v>5798600.8271371573</v>
      </c>
      <c r="P84" s="8">
        <f t="shared" si="98"/>
        <v>6415833.838471638</v>
      </c>
      <c r="Q84" s="8">
        <f t="shared" si="98"/>
        <v>6195287.3469725102</v>
      </c>
      <c r="R84" s="8">
        <f t="shared" si="98"/>
        <v>5976706.0135506447</v>
      </c>
      <c r="S84" s="8">
        <f t="shared" si="98"/>
        <v>5763554.943735701</v>
      </c>
      <c r="T84" s="8">
        <f t="shared" si="98"/>
        <v>5554735.4309053868</v>
      </c>
      <c r="U84" s="8">
        <f t="shared" si="98"/>
        <v>5349215.7844626382</v>
      </c>
      <c r="V84" s="8">
        <f t="shared" si="98"/>
        <v>5146025.7897596303</v>
      </c>
      <c r="W84" s="8">
        <f t="shared" si="98"/>
        <v>4944252.2152115554</v>
      </c>
      <c r="X84" s="8">
        <f t="shared" si="98"/>
        <v>4743034.2205668949</v>
      </c>
      <c r="Y84" s="8">
        <f t="shared" si="98"/>
        <v>4541886.0041577909</v>
      </c>
      <c r="Z84" s="8">
        <f t="shared" si="98"/>
        <v>4340737.787748687</v>
      </c>
      <c r="AA84" s="8">
        <f t="shared" si="98"/>
        <v>4141687.6977791074</v>
      </c>
      <c r="AB84" s="8">
        <f t="shared" si="98"/>
        <v>3948977.2054676223</v>
      </c>
      <c r="AC84" s="8">
        <f t="shared" si="98"/>
        <v>3764843.9084022352</v>
      </c>
      <c r="AD84" s="8">
        <f t="shared" si="98"/>
        <v>3589476.5048783598</v>
      </c>
      <c r="AE84" s="8">
        <f t="shared" si="98"/>
        <v>3423067.8445539097</v>
      </c>
      <c r="AF84" s="8">
        <f t="shared" si="98"/>
        <v>3265815.0197792714</v>
      </c>
      <c r="AG84" s="8">
        <f t="shared" si="98"/>
        <v>3117919.4589365418</v>
      </c>
      <c r="AH84" s="8">
        <f t="shared" si="98"/>
        <v>2979587.0218322235</v>
      </c>
      <c r="AI84" s="8">
        <f t="shared" si="98"/>
        <v>2851028.0971885594</v>
      </c>
      <c r="AJ84" s="8">
        <f t="shared" si="98"/>
        <v>2732457.7022796851</v>
      </c>
      <c r="AK84" s="8">
        <f t="shared" si="98"/>
        <v>2621487.3864174662</v>
      </c>
      <c r="AL84" s="8">
        <f t="shared" si="98"/>
        <v>2513069.1237277528</v>
      </c>
      <c r="AM84" s="8">
        <f t="shared" ref="AM84:BQ84" si="99">AM13+AM39+AM66</f>
        <v>2404650.8610380385</v>
      </c>
      <c r="AN84" s="8">
        <f t="shared" si="99"/>
        <v>2296232.5983483247</v>
      </c>
      <c r="AO84" s="8">
        <f t="shared" si="99"/>
        <v>2187814.3356586099</v>
      </c>
      <c r="AP84" s="8">
        <f t="shared" si="99"/>
        <v>2079396.072968896</v>
      </c>
      <c r="AQ84" s="8">
        <f t="shared" si="99"/>
        <v>1970977.8102791817</v>
      </c>
      <c r="AR84" s="8">
        <f t="shared" si="99"/>
        <v>1862559.5475894678</v>
      </c>
      <c r="AS84" s="8">
        <f t="shared" si="99"/>
        <v>1754141.2848997535</v>
      </c>
      <c r="AT84" s="8">
        <f t="shared" si="99"/>
        <v>1645723.0222100397</v>
      </c>
      <c r="AU84" s="8">
        <f t="shared" si="99"/>
        <v>1537304.7595203256</v>
      </c>
      <c r="AV84" s="8">
        <f t="shared" si="99"/>
        <v>1428886.4968306115</v>
      </c>
      <c r="AW84" s="8">
        <f t="shared" si="99"/>
        <v>1320468.2341408974</v>
      </c>
      <c r="AX84" s="8">
        <f t="shared" si="99"/>
        <v>1212049.9714511833</v>
      </c>
      <c r="AY84" s="8">
        <f t="shared" si="99"/>
        <v>1103631.7087614695</v>
      </c>
      <c r="AZ84" s="8">
        <f t="shared" si="99"/>
        <v>995213.44607175526</v>
      </c>
      <c r="BA84" s="8">
        <f t="shared" si="99"/>
        <v>886795.18338204129</v>
      </c>
      <c r="BB84" s="8">
        <f t="shared" si="99"/>
        <v>778376.9206923272</v>
      </c>
      <c r="BC84" s="8">
        <f t="shared" si="99"/>
        <v>669958.65800261311</v>
      </c>
      <c r="BD84" s="8">
        <f t="shared" si="99"/>
        <v>561540.39531289903</v>
      </c>
      <c r="BE84" s="8">
        <f t="shared" si="99"/>
        <v>458027.76934740716</v>
      </c>
      <c r="BF84" s="8">
        <f t="shared" si="99"/>
        <v>364434.34083829331</v>
      </c>
      <c r="BG84" s="8">
        <f t="shared" si="99"/>
        <v>280978.33212959726</v>
      </c>
      <c r="BH84" s="8">
        <f t="shared" si="99"/>
        <v>207882.76645692828</v>
      </c>
      <c r="BI84" s="8">
        <f t="shared" si="99"/>
        <v>145375.57356707906</v>
      </c>
      <c r="BJ84" s="8">
        <f t="shared" si="99"/>
        <v>93689.69766127145</v>
      </c>
      <c r="BK84" s="8">
        <f t="shared" si="99"/>
        <v>53063.207713154683</v>
      </c>
      <c r="BL84" s="8">
        <f t="shared" si="99"/>
        <v>23739.410213797848</v>
      </c>
      <c r="BM84" s="8">
        <f t="shared" si="99"/>
        <v>5966.964397073687</v>
      </c>
      <c r="BN84" s="8">
        <f t="shared" si="99"/>
        <v>1.3969474821351482E-11</v>
      </c>
      <c r="BO84" s="8">
        <f t="shared" si="99"/>
        <v>1.3969474821351482E-11</v>
      </c>
      <c r="BP84" s="8">
        <f t="shared" si="99"/>
        <v>1.3969474821351482E-11</v>
      </c>
      <c r="BQ84" s="8">
        <f t="shared" si="99"/>
        <v>1.3969474821351482E-11</v>
      </c>
    </row>
    <row r="85" spans="4:69" x14ac:dyDescent="0.4">
      <c r="D85" t="s">
        <v>129</v>
      </c>
      <c r="G85" s="8">
        <f t="shared" ref="G85:AL85" si="100">G14+G40+G67</f>
        <v>151993.75200000004</v>
      </c>
      <c r="H85" s="8">
        <f t="shared" si="100"/>
        <v>307331.36654400005</v>
      </c>
      <c r="I85" s="8">
        <f t="shared" si="100"/>
        <v>466086.40860796807</v>
      </c>
      <c r="J85" s="8">
        <f t="shared" si="100"/>
        <v>628334.0615973433</v>
      </c>
      <c r="K85" s="8">
        <f t="shared" si="100"/>
        <v>794151.1629524848</v>
      </c>
      <c r="L85" s="8">
        <f t="shared" si="100"/>
        <v>963616.24053743971</v>
      </c>
      <c r="M85" s="8">
        <f t="shared" si="100"/>
        <v>1136809.5498292632</v>
      </c>
      <c r="N85" s="8">
        <f t="shared" si="100"/>
        <v>1313813.111925507</v>
      </c>
      <c r="O85" s="8">
        <f t="shared" si="100"/>
        <v>1494710.7523878682</v>
      </c>
      <c r="P85" s="8">
        <f t="shared" si="100"/>
        <v>1679588.1409404012</v>
      </c>
      <c r="Q85" s="8">
        <f t="shared" si="100"/>
        <v>1679588.1409404012</v>
      </c>
      <c r="R85" s="8">
        <f t="shared" si="100"/>
        <v>1679588.1409404012</v>
      </c>
      <c r="S85" s="8">
        <f t="shared" si="100"/>
        <v>1679588.1409404012</v>
      </c>
      <c r="T85" s="8">
        <f t="shared" si="100"/>
        <v>1679588.1409404012</v>
      </c>
      <c r="U85" s="8">
        <f t="shared" si="100"/>
        <v>1679588.1409404012</v>
      </c>
      <c r="V85" s="8">
        <f t="shared" si="100"/>
        <v>1679588.1409404012</v>
      </c>
      <c r="W85" s="8">
        <f t="shared" si="100"/>
        <v>1679588.1409404012</v>
      </c>
      <c r="X85" s="8">
        <f t="shared" si="100"/>
        <v>1679588.1409404012</v>
      </c>
      <c r="Y85" s="8">
        <f t="shared" si="100"/>
        <v>1679588.1409404012</v>
      </c>
      <c r="Z85" s="8">
        <f t="shared" si="100"/>
        <v>1679588.1409404012</v>
      </c>
      <c r="AA85" s="8">
        <f t="shared" si="100"/>
        <v>1679588.1409404012</v>
      </c>
      <c r="AB85" s="8">
        <f t="shared" si="100"/>
        <v>1679588.1409404012</v>
      </c>
      <c r="AC85" s="8">
        <f t="shared" si="100"/>
        <v>1679588.1409404012</v>
      </c>
      <c r="AD85" s="8">
        <f t="shared" si="100"/>
        <v>1679588.1409404012</v>
      </c>
      <c r="AE85" s="8">
        <f t="shared" si="100"/>
        <v>1679588.1409404012</v>
      </c>
      <c r="AF85" s="8">
        <f t="shared" si="100"/>
        <v>1679588.1409404012</v>
      </c>
      <c r="AG85" s="8">
        <f t="shared" si="100"/>
        <v>1679588.1409404012</v>
      </c>
      <c r="AH85" s="8">
        <f t="shared" si="100"/>
        <v>1679588.1409404012</v>
      </c>
      <c r="AI85" s="8">
        <f t="shared" si="100"/>
        <v>1679588.1409404012</v>
      </c>
      <c r="AJ85" s="8">
        <f t="shared" si="100"/>
        <v>1679588.1409404012</v>
      </c>
      <c r="AK85" s="8">
        <f t="shared" si="100"/>
        <v>1679588.1409404012</v>
      </c>
      <c r="AL85" s="8">
        <f t="shared" si="100"/>
        <v>1679588.1409404012</v>
      </c>
      <c r="AM85" s="8">
        <f t="shared" ref="AM85:BQ85" si="101">AM14+AM40+AM67</f>
        <v>1679588.1409404012</v>
      </c>
      <c r="AN85" s="8">
        <f t="shared" si="101"/>
        <v>1679588.1409404012</v>
      </c>
      <c r="AO85" s="8">
        <f t="shared" si="101"/>
        <v>1679588.1409404012</v>
      </c>
      <c r="AP85" s="8">
        <f t="shared" si="101"/>
        <v>1679588.1409404012</v>
      </c>
      <c r="AQ85" s="8">
        <f t="shared" si="101"/>
        <v>1679588.1409404012</v>
      </c>
      <c r="AR85" s="8">
        <f t="shared" si="101"/>
        <v>1679588.1409404012</v>
      </c>
      <c r="AS85" s="8">
        <f t="shared" si="101"/>
        <v>1679588.1409404012</v>
      </c>
      <c r="AT85" s="8">
        <f t="shared" si="101"/>
        <v>1679588.1409404012</v>
      </c>
      <c r="AU85" s="8">
        <f t="shared" si="101"/>
        <v>1679588.1409404012</v>
      </c>
      <c r="AV85" s="8">
        <f t="shared" si="101"/>
        <v>1679588.1409404012</v>
      </c>
      <c r="AW85" s="8">
        <f t="shared" si="101"/>
        <v>1679588.1409404012</v>
      </c>
      <c r="AX85" s="8">
        <f t="shared" si="101"/>
        <v>1679588.1409404012</v>
      </c>
      <c r="AY85" s="8">
        <f t="shared" si="101"/>
        <v>1679588.1409404012</v>
      </c>
      <c r="AZ85" s="8">
        <f t="shared" si="101"/>
        <v>1679588.1409404012</v>
      </c>
      <c r="BA85" s="8">
        <f t="shared" si="101"/>
        <v>1679588.1409404012</v>
      </c>
      <c r="BB85" s="8">
        <f t="shared" si="101"/>
        <v>1679588.1409404012</v>
      </c>
      <c r="BC85" s="8">
        <f t="shared" si="101"/>
        <v>1679588.1409404012</v>
      </c>
      <c r="BD85" s="8">
        <f t="shared" si="101"/>
        <v>1679588.1409404012</v>
      </c>
      <c r="BE85" s="8">
        <f t="shared" si="101"/>
        <v>1527594.3889404014</v>
      </c>
      <c r="BF85" s="8">
        <f t="shared" si="101"/>
        <v>1372256.7743964014</v>
      </c>
      <c r="BG85" s="8">
        <f t="shared" si="101"/>
        <v>1213501.7323324336</v>
      </c>
      <c r="BH85" s="8">
        <f t="shared" si="101"/>
        <v>1051254.0793430582</v>
      </c>
      <c r="BI85" s="8">
        <f t="shared" si="101"/>
        <v>885436.97798791667</v>
      </c>
      <c r="BJ85" s="8">
        <f t="shared" si="101"/>
        <v>715971.900402962</v>
      </c>
      <c r="BK85" s="8">
        <f t="shared" si="101"/>
        <v>542778.59111113823</v>
      </c>
      <c r="BL85" s="8">
        <f t="shared" si="101"/>
        <v>365775.02901489433</v>
      </c>
      <c r="BM85" s="8">
        <f t="shared" si="101"/>
        <v>184877.38855253314</v>
      </c>
      <c r="BN85" s="8">
        <f t="shared" si="101"/>
        <v>0</v>
      </c>
      <c r="BO85" s="8">
        <f t="shared" si="101"/>
        <v>0</v>
      </c>
      <c r="BP85" s="8">
        <f t="shared" si="101"/>
        <v>0</v>
      </c>
      <c r="BQ85" s="8">
        <f t="shared" si="101"/>
        <v>0</v>
      </c>
    </row>
    <row r="86" spans="4:69" x14ac:dyDescent="0.4">
      <c r="D86" t="s">
        <v>148</v>
      </c>
      <c r="G86" s="8">
        <f t="shared" ref="G86:AL86" si="102">G15+G41+G68</f>
        <v>313612.00528515875</v>
      </c>
      <c r="H86" s="8">
        <f t="shared" si="102"/>
        <v>317558.15881549823</v>
      </c>
      <c r="I86" s="8">
        <f t="shared" si="102"/>
        <v>316857.12049544498</v>
      </c>
      <c r="J86" s="8">
        <f t="shared" si="102"/>
        <v>311547.12641569367</v>
      </c>
      <c r="K86" s="8">
        <f t="shared" si="102"/>
        <v>301661.55291271565</v>
      </c>
      <c r="L86" s="8">
        <f t="shared" si="102"/>
        <v>287228.95943142893</v>
      </c>
      <c r="M86" s="8">
        <f t="shared" si="102"/>
        <v>268273.1276128696</v>
      </c>
      <c r="N86" s="8">
        <f t="shared" si="102"/>
        <v>244813.09664314805</v>
      </c>
      <c r="O86" s="8">
        <f t="shared" si="102"/>
        <v>216863.19489736756</v>
      </c>
      <c r="P86" s="8">
        <f t="shared" si="102"/>
        <v>184433.06790960737</v>
      </c>
      <c r="Q86" s="8">
        <f t="shared" si="102"/>
        <v>188490.59540361873</v>
      </c>
      <c r="R86" s="8">
        <f t="shared" si="102"/>
        <v>192637.38850249833</v>
      </c>
      <c r="S86" s="8">
        <f t="shared" si="102"/>
        <v>196875.41104955331</v>
      </c>
      <c r="T86" s="8">
        <f t="shared" si="102"/>
        <v>201206.67009264347</v>
      </c>
      <c r="U86" s="8">
        <f t="shared" si="102"/>
        <v>205633.21683468166</v>
      </c>
      <c r="V86" s="8">
        <f t="shared" si="102"/>
        <v>210157.14760504465</v>
      </c>
      <c r="W86" s="8">
        <f t="shared" si="102"/>
        <v>214780.60485235561</v>
      </c>
      <c r="X86" s="8">
        <f t="shared" si="102"/>
        <v>219505.77815910749</v>
      </c>
      <c r="Y86" s="8">
        <f t="shared" si="102"/>
        <v>224334.90527860785</v>
      </c>
      <c r="Z86" s="8">
        <f t="shared" si="102"/>
        <v>229270.27319473721</v>
      </c>
      <c r="AA86" s="8">
        <f t="shared" si="102"/>
        <v>234314.21920502145</v>
      </c>
      <c r="AB86" s="8">
        <f t="shared" si="102"/>
        <v>239469.13202753192</v>
      </c>
      <c r="AC86" s="8">
        <f t="shared" si="102"/>
        <v>244737.45293213762</v>
      </c>
      <c r="AD86" s="8">
        <f t="shared" si="102"/>
        <v>250121.67689664464</v>
      </c>
      <c r="AE86" s="8">
        <f t="shared" si="102"/>
        <v>255624.35378837085</v>
      </c>
      <c r="AF86" s="8">
        <f t="shared" si="102"/>
        <v>261248.08957171504</v>
      </c>
      <c r="AG86" s="8">
        <f t="shared" si="102"/>
        <v>266995.54754229274</v>
      </c>
      <c r="AH86" s="8">
        <f t="shared" si="102"/>
        <v>272869.44958822324</v>
      </c>
      <c r="AI86" s="8">
        <f t="shared" si="102"/>
        <v>278872.57747916412</v>
      </c>
      <c r="AJ86" s="8">
        <f t="shared" si="102"/>
        <v>285007.77418370574</v>
      </c>
      <c r="AK86" s="8">
        <f t="shared" si="102"/>
        <v>291277.94521574728</v>
      </c>
      <c r="AL86" s="8">
        <f t="shared" si="102"/>
        <v>297686.06001049373</v>
      </c>
      <c r="AM86" s="8">
        <f t="shared" ref="AM86:BQ86" si="103">AM15+AM41+AM68</f>
        <v>304235.15333072457</v>
      </c>
      <c r="AN86" s="8">
        <f t="shared" si="103"/>
        <v>310928.32670400053</v>
      </c>
      <c r="AO86" s="8">
        <f t="shared" si="103"/>
        <v>317768.74989148858</v>
      </c>
      <c r="AP86" s="8">
        <f t="shared" si="103"/>
        <v>324759.66238910134</v>
      </c>
      <c r="AQ86" s="8">
        <f t="shared" si="103"/>
        <v>331904.37496166158</v>
      </c>
      <c r="AR86" s="8">
        <f t="shared" si="103"/>
        <v>339206.27121081814</v>
      </c>
      <c r="AS86" s="8">
        <f t="shared" si="103"/>
        <v>346668.80917745619</v>
      </c>
      <c r="AT86" s="8">
        <f t="shared" si="103"/>
        <v>354295.52297936019</v>
      </c>
      <c r="AU86" s="8">
        <f t="shared" si="103"/>
        <v>362090.02448490611</v>
      </c>
      <c r="AV86" s="8">
        <f t="shared" si="103"/>
        <v>370056.00502357405</v>
      </c>
      <c r="AW86" s="8">
        <f t="shared" si="103"/>
        <v>378197.23713409272</v>
      </c>
      <c r="AX86" s="8">
        <f t="shared" si="103"/>
        <v>386517.57635104272</v>
      </c>
      <c r="AY86" s="8">
        <f t="shared" si="103"/>
        <v>395020.96303076565</v>
      </c>
      <c r="AZ86" s="8">
        <f t="shared" si="103"/>
        <v>403711.42421744252</v>
      </c>
      <c r="BA86" s="8">
        <f t="shared" si="103"/>
        <v>412593.0755502262</v>
      </c>
      <c r="BB86" s="8">
        <f t="shared" si="103"/>
        <v>421670.12321233121</v>
      </c>
      <c r="BC86" s="8">
        <f t="shared" si="103"/>
        <v>430946.86592300248</v>
      </c>
      <c r="BD86" s="8">
        <f t="shared" si="103"/>
        <v>440427.69697330863</v>
      </c>
      <c r="BE86" s="8">
        <f t="shared" si="103"/>
        <v>450117.10630672146</v>
      </c>
      <c r="BF86" s="8">
        <f t="shared" si="103"/>
        <v>460019.68264546932</v>
      </c>
      <c r="BG86" s="8">
        <f t="shared" si="103"/>
        <v>470140.11566366965</v>
      </c>
      <c r="BH86" s="8">
        <f t="shared" si="103"/>
        <v>480483.19820827036</v>
      </c>
      <c r="BI86" s="8">
        <f t="shared" si="103"/>
        <v>491053.82856885233</v>
      </c>
      <c r="BJ86" s="8">
        <f t="shared" si="103"/>
        <v>501857.01279736706</v>
      </c>
      <c r="BK86" s="8">
        <f t="shared" si="103"/>
        <v>175237.40957567899</v>
      </c>
      <c r="BL86" s="8">
        <f t="shared" si="103"/>
        <v>179092.63258634394</v>
      </c>
      <c r="BM86" s="8">
        <f t="shared" si="103"/>
        <v>183032.67050324351</v>
      </c>
      <c r="BN86" s="8">
        <f t="shared" si="103"/>
        <v>0</v>
      </c>
      <c r="BO86" s="8">
        <f t="shared" si="103"/>
        <v>0</v>
      </c>
      <c r="BP86" s="8">
        <f t="shared" si="103"/>
        <v>0</v>
      </c>
      <c r="BQ86" s="8">
        <f t="shared" si="103"/>
        <v>0</v>
      </c>
    </row>
    <row r="87" spans="4:69" x14ac:dyDescent="0.4">
      <c r="D87" t="s">
        <v>160</v>
      </c>
      <c r="G87" s="8">
        <f t="shared" ref="G87:AL87" si="104">G16+G42+G69</f>
        <v>119647.10485554711</v>
      </c>
      <c r="H87" s="8">
        <f t="shared" si="104"/>
        <v>112915.1993067994</v>
      </c>
      <c r="I87" s="8">
        <f t="shared" si="104"/>
        <v>106250.86300744189</v>
      </c>
      <c r="J87" s="8">
        <f t="shared" si="104"/>
        <v>99650.615228764771</v>
      </c>
      <c r="K87" s="8">
        <f t="shared" si="104"/>
        <v>93111.013069793233</v>
      </c>
      <c r="L87" s="8">
        <f t="shared" si="104"/>
        <v>86628.649654595851</v>
      </c>
      <c r="M87" s="8">
        <f t="shared" si="104"/>
        <v>80200.152350619872</v>
      </c>
      <c r="N87" s="8">
        <f t="shared" si="104"/>
        <v>73822.181007117935</v>
      </c>
      <c r="O87" s="8">
        <f t="shared" si="104"/>
        <v>67491.426212743041</v>
      </c>
      <c r="P87" s="8">
        <f t="shared" si="104"/>
        <v>61204.607571399582</v>
      </c>
      <c r="Q87" s="8">
        <f t="shared" si="104"/>
        <v>62551.108937970377</v>
      </c>
      <c r="R87" s="8">
        <f t="shared" si="104"/>
        <v>63927.233334605728</v>
      </c>
      <c r="S87" s="8">
        <f t="shared" si="104"/>
        <v>65333.632467967051</v>
      </c>
      <c r="T87" s="8">
        <f t="shared" si="104"/>
        <v>66770.972382262335</v>
      </c>
      <c r="U87" s="8">
        <f t="shared" si="104"/>
        <v>68239.933774672114</v>
      </c>
      <c r="V87" s="8">
        <f t="shared" si="104"/>
        <v>69741.21231771489</v>
      </c>
      <c r="W87" s="8">
        <f t="shared" si="104"/>
        <v>71275.518988704629</v>
      </c>
      <c r="X87" s="8">
        <f t="shared" si="104"/>
        <v>72843.580406456123</v>
      </c>
      <c r="Y87" s="8">
        <f t="shared" si="104"/>
        <v>74446.139175398159</v>
      </c>
      <c r="Z87" s="8">
        <f t="shared" si="104"/>
        <v>76083.954237256912</v>
      </c>
      <c r="AA87" s="8">
        <f t="shared" si="104"/>
        <v>77757.801230476573</v>
      </c>
      <c r="AB87" s="8">
        <f t="shared" si="104"/>
        <v>79468.472857547051</v>
      </c>
      <c r="AC87" s="8">
        <f t="shared" si="104"/>
        <v>81216.779260413095</v>
      </c>
      <c r="AD87" s="8">
        <f t="shared" si="104"/>
        <v>83003.548404142188</v>
      </c>
      <c r="AE87" s="8">
        <f t="shared" si="104"/>
        <v>84829.626469033319</v>
      </c>
      <c r="AF87" s="8">
        <f t="shared" si="104"/>
        <v>86695.878251352056</v>
      </c>
      <c r="AG87" s="8">
        <f t="shared" si="104"/>
        <v>88603.187572881812</v>
      </c>
      <c r="AH87" s="8">
        <f t="shared" si="104"/>
        <v>90552.457699485196</v>
      </c>
      <c r="AI87" s="8">
        <f t="shared" si="104"/>
        <v>92544.611768873874</v>
      </c>
      <c r="AJ87" s="8">
        <f t="shared" si="104"/>
        <v>94580.593227789112</v>
      </c>
      <c r="AK87" s="8">
        <f t="shared" si="104"/>
        <v>96661.366278800473</v>
      </c>
      <c r="AL87" s="8">
        <f t="shared" si="104"/>
        <v>98787.916336934082</v>
      </c>
      <c r="AM87" s="8">
        <f t="shared" ref="AM87:BQ87" si="105">AM16+AM42+AM69</f>
        <v>100961.25049634663</v>
      </c>
      <c r="AN87" s="8">
        <f t="shared" si="105"/>
        <v>103182.39800726627</v>
      </c>
      <c r="AO87" s="8">
        <f t="shared" si="105"/>
        <v>105452.41076342613</v>
      </c>
      <c r="AP87" s="8">
        <f t="shared" si="105"/>
        <v>107772.3638002215</v>
      </c>
      <c r="AQ87" s="8">
        <f t="shared" si="105"/>
        <v>110143.35580382636</v>
      </c>
      <c r="AR87" s="8">
        <f t="shared" si="105"/>
        <v>112566.50963151056</v>
      </c>
      <c r="AS87" s="8">
        <f t="shared" si="105"/>
        <v>115042.97284340378</v>
      </c>
      <c r="AT87" s="8">
        <f t="shared" si="105"/>
        <v>117573.91824595866</v>
      </c>
      <c r="AU87" s="8">
        <f t="shared" si="105"/>
        <v>120160.54444736976</v>
      </c>
      <c r="AV87" s="8">
        <f t="shared" si="105"/>
        <v>122804.07642521188</v>
      </c>
      <c r="AW87" s="8">
        <f t="shared" si="105"/>
        <v>125505.76610656655</v>
      </c>
      <c r="AX87" s="8">
        <f t="shared" si="105"/>
        <v>128266.89296091101</v>
      </c>
      <c r="AY87" s="8">
        <f t="shared" si="105"/>
        <v>131088.76460605106</v>
      </c>
      <c r="AZ87" s="8">
        <f t="shared" si="105"/>
        <v>133972.71742738417</v>
      </c>
      <c r="BA87" s="8">
        <f t="shared" si="105"/>
        <v>136920.11721078662</v>
      </c>
      <c r="BB87" s="8">
        <f t="shared" si="105"/>
        <v>139932.35978942394</v>
      </c>
      <c r="BC87" s="8">
        <f t="shared" si="105"/>
        <v>143010.87170479127</v>
      </c>
      <c r="BD87" s="8">
        <f t="shared" si="105"/>
        <v>146157.11088229666</v>
      </c>
      <c r="BE87" s="8">
        <f t="shared" si="105"/>
        <v>149372.5673217072</v>
      </c>
      <c r="BF87" s="8">
        <f t="shared" si="105"/>
        <v>152658.76380278476</v>
      </c>
      <c r="BG87" s="8">
        <f t="shared" si="105"/>
        <v>156017.25660644603</v>
      </c>
      <c r="BH87" s="8">
        <f t="shared" si="105"/>
        <v>159449.63625178783</v>
      </c>
      <c r="BI87" s="8">
        <f t="shared" si="105"/>
        <v>162957.52824932718</v>
      </c>
      <c r="BJ87" s="8">
        <f t="shared" si="105"/>
        <v>166542.59387081239</v>
      </c>
      <c r="BK87" s="8">
        <f t="shared" si="105"/>
        <v>28500.944309588842</v>
      </c>
      <c r="BL87" s="8">
        <f t="shared" si="105"/>
        <v>29127.965084399795</v>
      </c>
      <c r="BM87" s="8">
        <f t="shared" si="105"/>
        <v>29768.780316256591</v>
      </c>
      <c r="BN87" s="8">
        <f t="shared" si="105"/>
        <v>0</v>
      </c>
      <c r="BO87" s="8">
        <f t="shared" si="105"/>
        <v>0</v>
      </c>
      <c r="BP87" s="8">
        <f t="shared" si="105"/>
        <v>0</v>
      </c>
      <c r="BQ87" s="8">
        <f t="shared" si="105"/>
        <v>0</v>
      </c>
    </row>
    <row r="88" spans="4:69" x14ac:dyDescent="0.4">
      <c r="D88" t="s">
        <v>130</v>
      </c>
      <c r="G88" s="8">
        <f t="shared" ref="G88:AL88" si="106">G17+G43+G70</f>
        <v>2388.7571346195205</v>
      </c>
      <c r="H88" s="8">
        <f t="shared" si="106"/>
        <v>2363.8361327272296</v>
      </c>
      <c r="I88" s="8">
        <f t="shared" si="106"/>
        <v>2340.1512111303045</v>
      </c>
      <c r="J88" s="8">
        <f t="shared" si="106"/>
        <v>2317.6884673359109</v>
      </c>
      <c r="K88" s="8">
        <f t="shared" si="106"/>
        <v>2296.4346395089888</v>
      </c>
      <c r="L88" s="8">
        <f t="shared" si="106"/>
        <v>2276.3770987670205</v>
      </c>
      <c r="M88" s="8">
        <f t="shared" si="106"/>
        <v>2257.50384180737</v>
      </c>
      <c r="N88" s="8">
        <f t="shared" si="106"/>
        <v>2239.8034838629392</v>
      </c>
      <c r="O88" s="8">
        <f t="shared" si="106"/>
        <v>2223.2652519820717</v>
      </c>
      <c r="P88" s="8">
        <f t="shared" si="106"/>
        <v>2207.8789786287971</v>
      </c>
      <c r="Q88" s="8">
        <f t="shared" si="106"/>
        <v>2256.4523161586308</v>
      </c>
      <c r="R88" s="8">
        <f t="shared" si="106"/>
        <v>2306.0942671141206</v>
      </c>
      <c r="S88" s="8">
        <f t="shared" si="106"/>
        <v>2356.8283409906312</v>
      </c>
      <c r="T88" s="8">
        <f t="shared" si="106"/>
        <v>2408.6785644924253</v>
      </c>
      <c r="U88" s="8">
        <f t="shared" si="106"/>
        <v>2461.6694929112587</v>
      </c>
      <c r="V88" s="8">
        <f t="shared" si="106"/>
        <v>2515.8262217553065</v>
      </c>
      <c r="W88" s="8">
        <f t="shared" si="106"/>
        <v>2571.1743986339234</v>
      </c>
      <c r="X88" s="8">
        <f t="shared" si="106"/>
        <v>2627.7402354038695</v>
      </c>
      <c r="Y88" s="8">
        <f t="shared" si="106"/>
        <v>2685.5505205827549</v>
      </c>
      <c r="Z88" s="8">
        <f t="shared" si="106"/>
        <v>2744.6326320355756</v>
      </c>
      <c r="AA88" s="8">
        <f t="shared" si="106"/>
        <v>2805.0145499403584</v>
      </c>
      <c r="AB88" s="8">
        <f t="shared" si="106"/>
        <v>2866.7248700390464</v>
      </c>
      <c r="AC88" s="8">
        <f t="shared" si="106"/>
        <v>2929.7928171799053</v>
      </c>
      <c r="AD88" s="8">
        <f t="shared" si="106"/>
        <v>2994.2482591578632</v>
      </c>
      <c r="AE88" s="8">
        <f t="shared" si="106"/>
        <v>3060.1217208593362</v>
      </c>
      <c r="AF88" s="8">
        <f t="shared" si="106"/>
        <v>3127.4443987182417</v>
      </c>
      <c r="AG88" s="8">
        <f t="shared" si="106"/>
        <v>3196.2481754900432</v>
      </c>
      <c r="AH88" s="8">
        <f t="shared" si="106"/>
        <v>3266.5656353508243</v>
      </c>
      <c r="AI88" s="8">
        <f t="shared" si="106"/>
        <v>3338.4300793285424</v>
      </c>
      <c r="AJ88" s="8">
        <f t="shared" si="106"/>
        <v>3411.8755410737704</v>
      </c>
      <c r="AK88" s="8">
        <f t="shared" si="106"/>
        <v>3486.9368029773932</v>
      </c>
      <c r="AL88" s="8">
        <f t="shared" si="106"/>
        <v>3563.6494126428961</v>
      </c>
      <c r="AM88" s="8">
        <f t="shared" ref="AM88:BQ88" si="107">AM17+AM43+AM70</f>
        <v>3642.0496997210398</v>
      </c>
      <c r="AN88" s="8">
        <f t="shared" si="107"/>
        <v>3722.174793114903</v>
      </c>
      <c r="AO88" s="8">
        <f t="shared" si="107"/>
        <v>3804.0626385634309</v>
      </c>
      <c r="AP88" s="8">
        <f t="shared" si="107"/>
        <v>3887.7520166118265</v>
      </c>
      <c r="AQ88" s="8">
        <f t="shared" si="107"/>
        <v>3973.2825609772867</v>
      </c>
      <c r="AR88" s="8">
        <f t="shared" si="107"/>
        <v>4060.6947773187871</v>
      </c>
      <c r="AS88" s="8">
        <f t="shared" si="107"/>
        <v>4150.0300624198007</v>
      </c>
      <c r="AT88" s="8">
        <f t="shared" si="107"/>
        <v>4241.3307237930367</v>
      </c>
      <c r="AU88" s="8">
        <f t="shared" si="107"/>
        <v>4334.6399997164835</v>
      </c>
      <c r="AV88" s="8">
        <f t="shared" si="107"/>
        <v>4430.0020797102461</v>
      </c>
      <c r="AW88" s="8">
        <f t="shared" si="107"/>
        <v>4527.4621254638714</v>
      </c>
      <c r="AX88" s="8">
        <f t="shared" si="107"/>
        <v>4627.0662922240763</v>
      </c>
      <c r="AY88" s="8">
        <f t="shared" si="107"/>
        <v>4728.8617506530063</v>
      </c>
      <c r="AZ88" s="8">
        <f t="shared" si="107"/>
        <v>4832.8967091673721</v>
      </c>
      <c r="BA88" s="8">
        <f t="shared" si="107"/>
        <v>4939.2204367690547</v>
      </c>
      <c r="BB88" s="8">
        <f t="shared" si="107"/>
        <v>5047.8832863779744</v>
      </c>
      <c r="BC88" s="8">
        <f t="shared" si="107"/>
        <v>5158.9367186782902</v>
      </c>
      <c r="BD88" s="8">
        <f t="shared" si="107"/>
        <v>5272.433326489213</v>
      </c>
      <c r="BE88" s="8">
        <f t="shared" si="107"/>
        <v>5388.4268596719758</v>
      </c>
      <c r="BF88" s="8">
        <f t="shared" si="107"/>
        <v>5506.9722505847594</v>
      </c>
      <c r="BG88" s="8">
        <f t="shared" si="107"/>
        <v>5628.1256400976245</v>
      </c>
      <c r="BH88" s="8">
        <f t="shared" si="107"/>
        <v>5751.9444041797724</v>
      </c>
      <c r="BI88" s="8">
        <f t="shared" si="107"/>
        <v>5878.4871810717277</v>
      </c>
      <c r="BJ88" s="8">
        <f t="shared" si="107"/>
        <v>6007.8138990553061</v>
      </c>
      <c r="BK88" s="8">
        <f t="shared" si="107"/>
        <v>0</v>
      </c>
      <c r="BL88" s="8">
        <f t="shared" si="107"/>
        <v>0</v>
      </c>
      <c r="BM88" s="8">
        <f t="shared" si="107"/>
        <v>0</v>
      </c>
      <c r="BN88" s="8">
        <f t="shared" si="107"/>
        <v>0</v>
      </c>
      <c r="BO88" s="8">
        <f t="shared" si="107"/>
        <v>0</v>
      </c>
      <c r="BP88" s="8">
        <f t="shared" si="107"/>
        <v>0</v>
      </c>
      <c r="BQ88" s="8">
        <f t="shared" si="107"/>
        <v>0</v>
      </c>
    </row>
    <row r="89" spans="4:69" x14ac:dyDescent="0.4">
      <c r="D89" t="s">
        <v>131</v>
      </c>
      <c r="G89" s="8">
        <f t="shared" ref="G89:AL89" si="108">G18+G44+G71</f>
        <v>87844.817678103675</v>
      </c>
      <c r="H89" s="8">
        <f t="shared" si="108"/>
        <v>80967.963941890921</v>
      </c>
      <c r="I89" s="8">
        <f t="shared" si="108"/>
        <v>74142.71491724407</v>
      </c>
      <c r="J89" s="8">
        <f t="shared" si="108"/>
        <v>67365.532899922269</v>
      </c>
      <c r="K89" s="8">
        <f t="shared" si="108"/>
        <v>60632.90998304086</v>
      </c>
      <c r="L89" s="8">
        <f t="shared" si="108"/>
        <v>53941.366233794819</v>
      </c>
      <c r="M89" s="8">
        <f t="shared" si="108"/>
        <v>47287.447887160983</v>
      </c>
      <c r="N89" s="8">
        <f t="shared" si="108"/>
        <v>40667.72555563815</v>
      </c>
      <c r="O89" s="8">
        <f t="shared" si="108"/>
        <v>34078.792454092996</v>
      </c>
      <c r="P89" s="8">
        <f t="shared" si="108"/>
        <v>27517.262638789362</v>
      </c>
      <c r="Q89" s="8">
        <f t="shared" si="108"/>
        <v>28122.642416842729</v>
      </c>
      <c r="R89" s="8">
        <f t="shared" si="108"/>
        <v>28741.340550013269</v>
      </c>
      <c r="S89" s="8">
        <f t="shared" si="108"/>
        <v>29373.650042113561</v>
      </c>
      <c r="T89" s="8">
        <f t="shared" si="108"/>
        <v>30019.87034304006</v>
      </c>
      <c r="U89" s="8">
        <f t="shared" si="108"/>
        <v>30680.307490586943</v>
      </c>
      <c r="V89" s="8">
        <f t="shared" si="108"/>
        <v>31355.274255379856</v>
      </c>
      <c r="W89" s="8">
        <f t="shared" si="108"/>
        <v>32045.090288998214</v>
      </c>
      <c r="X89" s="8">
        <f t="shared" si="108"/>
        <v>32750.082275356173</v>
      </c>
      <c r="Y89" s="8">
        <f t="shared" si="108"/>
        <v>33470.584085414011</v>
      </c>
      <c r="Z89" s="8">
        <f t="shared" si="108"/>
        <v>34206.936935293117</v>
      </c>
      <c r="AA89" s="8">
        <f t="shared" si="108"/>
        <v>34959.489547869569</v>
      </c>
      <c r="AB89" s="8">
        <f t="shared" si="108"/>
        <v>35728.598317922697</v>
      </c>
      <c r="AC89" s="8">
        <f t="shared" si="108"/>
        <v>36514.627480916999</v>
      </c>
      <c r="AD89" s="8">
        <f t="shared" si="108"/>
        <v>37317.949285497176</v>
      </c>
      <c r="AE89" s="8">
        <f t="shared" si="108"/>
        <v>38138.944169778115</v>
      </c>
      <c r="AF89" s="8">
        <f t="shared" si="108"/>
        <v>38978.000941513237</v>
      </c>
      <c r="AG89" s="8">
        <f t="shared" si="108"/>
        <v>39835.516962226531</v>
      </c>
      <c r="AH89" s="8">
        <f t="shared" si="108"/>
        <v>40711.898335395519</v>
      </c>
      <c r="AI89" s="8">
        <f t="shared" si="108"/>
        <v>41607.560098774222</v>
      </c>
      <c r="AJ89" s="8">
        <f t="shared" si="108"/>
        <v>42522.926420947253</v>
      </c>
      <c r="AK89" s="8">
        <f t="shared" si="108"/>
        <v>43458.430802208095</v>
      </c>
      <c r="AL89" s="8">
        <f t="shared" si="108"/>
        <v>44414.516279856674</v>
      </c>
      <c r="AM89" s="8">
        <f t="shared" ref="AM89:BQ89" si="109">AM18+AM44+AM71</f>
        <v>45391.635638013518</v>
      </c>
      <c r="AN89" s="8">
        <f t="shared" si="109"/>
        <v>46390.251622049815</v>
      </c>
      <c r="AO89" s="8">
        <f t="shared" si="109"/>
        <v>47410.83715773491</v>
      </c>
      <c r="AP89" s="8">
        <f t="shared" si="109"/>
        <v>48453.875575205078</v>
      </c>
      <c r="AQ89" s="8">
        <f t="shared" si="109"/>
        <v>49519.860837859589</v>
      </c>
      <c r="AR89" s="8">
        <f t="shared" si="109"/>
        <v>50609.2977762925</v>
      </c>
      <c r="AS89" s="8">
        <f t="shared" si="109"/>
        <v>51722.702327370935</v>
      </c>
      <c r="AT89" s="8">
        <f t="shared" si="109"/>
        <v>52860.601778573095</v>
      </c>
      <c r="AU89" s="8">
        <f t="shared" si="109"/>
        <v>54023.535017701703</v>
      </c>
      <c r="AV89" s="8">
        <f t="shared" si="109"/>
        <v>55212.05278809114</v>
      </c>
      <c r="AW89" s="8">
        <f t="shared" si="109"/>
        <v>56426.717949429149</v>
      </c>
      <c r="AX89" s="8">
        <f t="shared" si="109"/>
        <v>57668.105744316592</v>
      </c>
      <c r="AY89" s="8">
        <f t="shared" si="109"/>
        <v>58936.804070691556</v>
      </c>
      <c r="AZ89" s="8">
        <f t="shared" si="109"/>
        <v>60233.413760246774</v>
      </c>
      <c r="BA89" s="8">
        <f t="shared" si="109"/>
        <v>61558.548862972202</v>
      </c>
      <c r="BB89" s="8">
        <f t="shared" si="109"/>
        <v>62912.836937957589</v>
      </c>
      <c r="BC89" s="8">
        <f t="shared" si="109"/>
        <v>64296.91935059266</v>
      </c>
      <c r="BD89" s="8">
        <f t="shared" si="109"/>
        <v>65711.451576305699</v>
      </c>
      <c r="BE89" s="8">
        <f t="shared" si="109"/>
        <v>67157.103510984423</v>
      </c>
      <c r="BF89" s="8">
        <f t="shared" si="109"/>
        <v>68634.559788226077</v>
      </c>
      <c r="BG89" s="8">
        <f t="shared" si="109"/>
        <v>70144.520103567047</v>
      </c>
      <c r="BH89" s="8">
        <f t="shared" si="109"/>
        <v>71687.69954584552</v>
      </c>
      <c r="BI89" s="8">
        <f t="shared" si="109"/>
        <v>73264.828935854122</v>
      </c>
      <c r="BJ89" s="8">
        <f t="shared" si="109"/>
        <v>74876.655172442916</v>
      </c>
      <c r="BK89" s="8">
        <f t="shared" si="109"/>
        <v>0</v>
      </c>
      <c r="BL89" s="8">
        <f t="shared" si="109"/>
        <v>0</v>
      </c>
      <c r="BM89" s="8">
        <f t="shared" si="109"/>
        <v>0</v>
      </c>
      <c r="BN89" s="8">
        <f t="shared" si="109"/>
        <v>0</v>
      </c>
      <c r="BO89" s="8">
        <f t="shared" si="109"/>
        <v>0</v>
      </c>
      <c r="BP89" s="8">
        <f t="shared" si="109"/>
        <v>0</v>
      </c>
      <c r="BQ89" s="8">
        <f t="shared" si="109"/>
        <v>0</v>
      </c>
    </row>
    <row r="90" spans="4:69" x14ac:dyDescent="0.4">
      <c r="D90" t="s">
        <v>132</v>
      </c>
      <c r="G90" s="8">
        <f t="shared" ref="G90:AL90" si="110">G19+G45+G72</f>
        <v>12849.419965037139</v>
      </c>
      <c r="H90" s="8">
        <f t="shared" si="110"/>
        <v>12114.257696573857</v>
      </c>
      <c r="I90" s="8">
        <f t="shared" si="110"/>
        <v>11386.364561132523</v>
      </c>
      <c r="J90" s="8">
        <f t="shared" si="110"/>
        <v>10665.360556678101</v>
      </c>
      <c r="K90" s="8">
        <f t="shared" si="110"/>
        <v>9950.869756420574</v>
      </c>
      <c r="L90" s="8">
        <f t="shared" si="110"/>
        <v>9242.5201120657075</v>
      </c>
      <c r="M90" s="8">
        <f t="shared" si="110"/>
        <v>8539.9432593336951</v>
      </c>
      <c r="N90" s="8">
        <f t="shared" si="110"/>
        <v>7842.774325643647</v>
      </c>
      <c r="O90" s="8">
        <f t="shared" si="110"/>
        <v>7150.6517398631331</v>
      </c>
      <c r="P90" s="8">
        <f t="shared" si="110"/>
        <v>6463.2170440232176</v>
      </c>
      <c r="Q90" s="8">
        <f t="shared" si="110"/>
        <v>6605.4078189917282</v>
      </c>
      <c r="R90" s="8">
        <f t="shared" si="110"/>
        <v>6750.7267910095461</v>
      </c>
      <c r="S90" s="8">
        <f t="shared" si="110"/>
        <v>6899.242780411756</v>
      </c>
      <c r="T90" s="8">
        <f t="shared" si="110"/>
        <v>7051.026121580815</v>
      </c>
      <c r="U90" s="8">
        <f t="shared" si="110"/>
        <v>7206.1486962555928</v>
      </c>
      <c r="V90" s="8">
        <f t="shared" si="110"/>
        <v>7364.6839675732163</v>
      </c>
      <c r="W90" s="8">
        <f t="shared" si="110"/>
        <v>7526.7070148598268</v>
      </c>
      <c r="X90" s="8">
        <f t="shared" si="110"/>
        <v>7692.2945691867435</v>
      </c>
      <c r="Y90" s="8">
        <f t="shared" si="110"/>
        <v>7861.5250497088518</v>
      </c>
      <c r="Z90" s="8">
        <f t="shared" si="110"/>
        <v>8034.4786008024466</v>
      </c>
      <c r="AA90" s="8">
        <f t="shared" si="110"/>
        <v>8211.2371300201012</v>
      </c>
      <c r="AB90" s="8">
        <f t="shared" si="110"/>
        <v>8391.8843468805444</v>
      </c>
      <c r="AC90" s="8">
        <f t="shared" si="110"/>
        <v>8576.505802511916</v>
      </c>
      <c r="AD90" s="8">
        <f t="shared" si="110"/>
        <v>8765.1889301671781</v>
      </c>
      <c r="AE90" s="8">
        <f t="shared" si="110"/>
        <v>8958.0230866308557</v>
      </c>
      <c r="AF90" s="8">
        <f t="shared" si="110"/>
        <v>9155.099594536734</v>
      </c>
      <c r="AG90" s="8">
        <f t="shared" si="110"/>
        <v>9356.5117856165416</v>
      </c>
      <c r="AH90" s="8">
        <f t="shared" si="110"/>
        <v>9562.355044900105</v>
      </c>
      <c r="AI90" s="8">
        <f t="shared" si="110"/>
        <v>9772.7268558879077</v>
      </c>
      <c r="AJ90" s="8">
        <f t="shared" si="110"/>
        <v>9987.7268467174417</v>
      </c>
      <c r="AK90" s="8">
        <f t="shared" si="110"/>
        <v>10207.456837345226</v>
      </c>
      <c r="AL90" s="8">
        <f t="shared" si="110"/>
        <v>10432.020887766821</v>
      </c>
      <c r="AM90" s="8">
        <f t="shared" ref="AM90:BQ90" si="111">AM19+AM45+AM72</f>
        <v>10661.525347297691</v>
      </c>
      <c r="AN90" s="8">
        <f t="shared" si="111"/>
        <v>10896.07890493824</v>
      </c>
      <c r="AO90" s="8">
        <f t="shared" si="111"/>
        <v>11135.792640846881</v>
      </c>
      <c r="AP90" s="8">
        <f t="shared" si="111"/>
        <v>11380.780078945512</v>
      </c>
      <c r="AQ90" s="8">
        <f t="shared" si="111"/>
        <v>11631.157240682314</v>
      </c>
      <c r="AR90" s="8">
        <f t="shared" si="111"/>
        <v>11887.042699977326</v>
      </c>
      <c r="AS90" s="8">
        <f t="shared" si="111"/>
        <v>12148.557639376828</v>
      </c>
      <c r="AT90" s="8">
        <f t="shared" si="111"/>
        <v>12415.825907443119</v>
      </c>
      <c r="AU90" s="8">
        <f t="shared" si="111"/>
        <v>12688.974077406869</v>
      </c>
      <c r="AV90" s="8">
        <f t="shared" si="111"/>
        <v>12968.13150710982</v>
      </c>
      <c r="AW90" s="8">
        <f t="shared" si="111"/>
        <v>13253.430400266236</v>
      </c>
      <c r="AX90" s="8">
        <f t="shared" si="111"/>
        <v>13545.005869072093</v>
      </c>
      <c r="AY90" s="8">
        <f t="shared" si="111"/>
        <v>13842.995998191678</v>
      </c>
      <c r="AZ90" s="8">
        <f t="shared" si="111"/>
        <v>14147.541910151895</v>
      </c>
      <c r="BA90" s="8">
        <f t="shared" si="111"/>
        <v>14458.787832175236</v>
      </c>
      <c r="BB90" s="8">
        <f t="shared" si="111"/>
        <v>14776.881164483091</v>
      </c>
      <c r="BC90" s="8">
        <f t="shared" si="111"/>
        <v>15101.97255010172</v>
      </c>
      <c r="BD90" s="8">
        <f t="shared" si="111"/>
        <v>15434.215946203958</v>
      </c>
      <c r="BE90" s="8">
        <f t="shared" si="111"/>
        <v>15773.768697020445</v>
      </c>
      <c r="BF90" s="8">
        <f t="shared" si="111"/>
        <v>16120.791608354895</v>
      </c>
      <c r="BG90" s="8">
        <f t="shared" si="111"/>
        <v>16475.449023738704</v>
      </c>
      <c r="BH90" s="8">
        <f t="shared" si="111"/>
        <v>16837.908902260955</v>
      </c>
      <c r="BI90" s="8">
        <f t="shared" si="111"/>
        <v>17208.342898110695</v>
      </c>
      <c r="BJ90" s="8">
        <f t="shared" si="111"/>
        <v>17586.926441869131</v>
      </c>
      <c r="BK90" s="8">
        <f t="shared" si="111"/>
        <v>0</v>
      </c>
      <c r="BL90" s="8">
        <f t="shared" si="111"/>
        <v>0</v>
      </c>
      <c r="BM90" s="8">
        <f t="shared" si="111"/>
        <v>0</v>
      </c>
      <c r="BN90" s="8">
        <f t="shared" si="111"/>
        <v>0</v>
      </c>
      <c r="BO90" s="8">
        <f t="shared" si="111"/>
        <v>0</v>
      </c>
      <c r="BP90" s="8">
        <f t="shared" si="111"/>
        <v>0</v>
      </c>
      <c r="BQ90" s="8">
        <f t="shared" si="111"/>
        <v>0</v>
      </c>
    </row>
    <row r="91" spans="4:69" x14ac:dyDescent="0.4">
      <c r="D91" t="s">
        <v>133</v>
      </c>
      <c r="G91" s="8">
        <f t="shared" ref="G91:AL91" si="112">G20+G46+G73</f>
        <v>2733.161141766765</v>
      </c>
      <c r="H91" s="8">
        <f t="shared" si="112"/>
        <v>2529.2037791545317</v>
      </c>
      <c r="I91" s="8">
        <f t="shared" si="112"/>
        <v>2326.8416986425673</v>
      </c>
      <c r="J91" s="8">
        <f t="shared" si="112"/>
        <v>2125.9699103199819</v>
      </c>
      <c r="K91" s="8">
        <f t="shared" si="112"/>
        <v>1926.4843409052885</v>
      </c>
      <c r="L91" s="8">
        <f t="shared" si="112"/>
        <v>1728.2817796029237</v>
      </c>
      <c r="M91" s="8">
        <f t="shared" si="112"/>
        <v>1531.2598244800752</v>
      </c>
      <c r="N91" s="8">
        <f t="shared" si="112"/>
        <v>1335.3168293358433</v>
      </c>
      <c r="O91" s="8">
        <f t="shared" si="112"/>
        <v>1140.3518510350589</v>
      </c>
      <c r="P91" s="8">
        <f t="shared" si="112"/>
        <v>946.26459727935935</v>
      </c>
      <c r="Q91" s="8">
        <f t="shared" si="112"/>
        <v>967.0824184195053</v>
      </c>
      <c r="R91" s="8">
        <f t="shared" si="112"/>
        <v>988.35823162473446</v>
      </c>
      <c r="S91" s="8">
        <f t="shared" si="112"/>
        <v>1010.1021127204787</v>
      </c>
      <c r="T91" s="8">
        <f t="shared" si="112"/>
        <v>1032.3243592003291</v>
      </c>
      <c r="U91" s="8">
        <f t="shared" si="112"/>
        <v>1055.0354951027364</v>
      </c>
      <c r="V91" s="8">
        <f t="shared" si="112"/>
        <v>1078.2462759949965</v>
      </c>
      <c r="W91" s="8">
        <f t="shared" si="112"/>
        <v>1101.9676940668865</v>
      </c>
      <c r="X91" s="8">
        <f t="shared" si="112"/>
        <v>1126.2109833363579</v>
      </c>
      <c r="Y91" s="8">
        <f t="shared" si="112"/>
        <v>1150.9876249697579</v>
      </c>
      <c r="Z91" s="8">
        <f t="shared" si="112"/>
        <v>1176.3093527190927</v>
      </c>
      <c r="AA91" s="8">
        <f t="shared" si="112"/>
        <v>1202.1881584789128</v>
      </c>
      <c r="AB91" s="8">
        <f t="shared" si="112"/>
        <v>1228.6362979654489</v>
      </c>
      <c r="AC91" s="8">
        <f t="shared" si="112"/>
        <v>1255.6662965206888</v>
      </c>
      <c r="AD91" s="8">
        <f t="shared" si="112"/>
        <v>1283.2909550441439</v>
      </c>
      <c r="AE91" s="8">
        <f t="shared" si="112"/>
        <v>1311.5233560551151</v>
      </c>
      <c r="AF91" s="8">
        <f t="shared" si="112"/>
        <v>1340.3768698883275</v>
      </c>
      <c r="AG91" s="8">
        <f t="shared" si="112"/>
        <v>1369.8651610258707</v>
      </c>
      <c r="AH91" s="8">
        <f t="shared" si="112"/>
        <v>1400.00219456844</v>
      </c>
      <c r="AI91" s="8">
        <f t="shared" si="112"/>
        <v>1430.8022428489458</v>
      </c>
      <c r="AJ91" s="8">
        <f t="shared" si="112"/>
        <v>1462.2798921916226</v>
      </c>
      <c r="AK91" s="8">
        <f t="shared" si="112"/>
        <v>1494.4500498198383</v>
      </c>
      <c r="AL91" s="8">
        <f t="shared" si="112"/>
        <v>1527.3279509158749</v>
      </c>
      <c r="AM91" s="8">
        <f t="shared" ref="AM91:BQ91" si="113">AM20+AM46+AM73</f>
        <v>1560.9291658360241</v>
      </c>
      <c r="AN91" s="8">
        <f t="shared" si="113"/>
        <v>1595.2696074844166</v>
      </c>
      <c r="AO91" s="8">
        <f t="shared" si="113"/>
        <v>1630.3655388490738</v>
      </c>
      <c r="AP91" s="8">
        <f t="shared" si="113"/>
        <v>1666.2335807037534</v>
      </c>
      <c r="AQ91" s="8">
        <f t="shared" si="113"/>
        <v>1702.8907194792359</v>
      </c>
      <c r="AR91" s="8">
        <f t="shared" si="113"/>
        <v>1740.3543153077792</v>
      </c>
      <c r="AS91" s="8">
        <f t="shared" si="113"/>
        <v>1778.6421102445504</v>
      </c>
      <c r="AT91" s="8">
        <f t="shared" si="113"/>
        <v>1817.7722366699306</v>
      </c>
      <c r="AU91" s="8">
        <f t="shared" si="113"/>
        <v>1857.7632258766691</v>
      </c>
      <c r="AV91" s="8">
        <f t="shared" si="113"/>
        <v>1898.6340168459558</v>
      </c>
      <c r="AW91" s="8">
        <f t="shared" si="113"/>
        <v>1940.4039652165668</v>
      </c>
      <c r="AX91" s="8">
        <f t="shared" si="113"/>
        <v>1983.0928524513313</v>
      </c>
      <c r="AY91" s="8">
        <f t="shared" si="113"/>
        <v>2026.7208952052606</v>
      </c>
      <c r="AZ91" s="8">
        <f t="shared" si="113"/>
        <v>2071.3087548997764</v>
      </c>
      <c r="BA91" s="8">
        <f t="shared" si="113"/>
        <v>2116.8775475075718</v>
      </c>
      <c r="BB91" s="8">
        <f t="shared" si="113"/>
        <v>2163.4488535527385</v>
      </c>
      <c r="BC91" s="8">
        <f t="shared" si="113"/>
        <v>2211.0447283308986</v>
      </c>
      <c r="BD91" s="8">
        <f t="shared" si="113"/>
        <v>2259.6877123541785</v>
      </c>
      <c r="BE91" s="8">
        <f t="shared" si="113"/>
        <v>2309.4008420259706</v>
      </c>
      <c r="BF91" s="8">
        <f t="shared" si="113"/>
        <v>2360.2076605505422</v>
      </c>
      <c r="BG91" s="8">
        <f t="shared" si="113"/>
        <v>2412.1322290826542</v>
      </c>
      <c r="BH91" s="8">
        <f t="shared" si="113"/>
        <v>2465.1991381224725</v>
      </c>
      <c r="BI91" s="8">
        <f t="shared" si="113"/>
        <v>2519.4335191611672</v>
      </c>
      <c r="BJ91" s="8">
        <f t="shared" si="113"/>
        <v>2574.861056582713</v>
      </c>
      <c r="BK91" s="8">
        <f t="shared" si="113"/>
        <v>0</v>
      </c>
      <c r="BL91" s="8">
        <f t="shared" si="113"/>
        <v>0</v>
      </c>
      <c r="BM91" s="8">
        <f t="shared" si="113"/>
        <v>0</v>
      </c>
      <c r="BN91" s="8">
        <f t="shared" si="113"/>
        <v>0</v>
      </c>
      <c r="BO91" s="8">
        <f t="shared" si="113"/>
        <v>0</v>
      </c>
      <c r="BP91" s="8">
        <f t="shared" si="113"/>
        <v>0</v>
      </c>
      <c r="BQ91" s="8">
        <f t="shared" si="113"/>
        <v>0</v>
      </c>
    </row>
    <row r="92" spans="4:69" x14ac:dyDescent="0.4">
      <c r="D92" t="s">
        <v>134</v>
      </c>
      <c r="F92" s="13"/>
      <c r="G92" s="8">
        <f t="shared" ref="G92:AL92" si="114">G21+G47+G74</f>
        <v>122734.95474000002</v>
      </c>
      <c r="H92" s="8">
        <f t="shared" si="114"/>
        <v>248170.07848428001</v>
      </c>
      <c r="I92" s="8">
        <f t="shared" si="114"/>
        <v>376364.77495093422</v>
      </c>
      <c r="J92" s="8">
        <f t="shared" si="114"/>
        <v>507379.75473985472</v>
      </c>
      <c r="K92" s="8">
        <f t="shared" si="114"/>
        <v>641277.0640841315</v>
      </c>
      <c r="L92" s="8">
        <f t="shared" si="114"/>
        <v>778120.11423398252</v>
      </c>
      <c r="M92" s="8">
        <f t="shared" si="114"/>
        <v>917973.71148713003</v>
      </c>
      <c r="N92" s="8">
        <f t="shared" si="114"/>
        <v>1060904.087879847</v>
      </c>
      <c r="O92" s="8">
        <f t="shared" si="114"/>
        <v>1060904.087879847</v>
      </c>
      <c r="P92" s="8">
        <f t="shared" si="114"/>
        <v>1356267.4238093742</v>
      </c>
      <c r="Q92" s="8">
        <f t="shared" si="114"/>
        <v>1356267.4238093742</v>
      </c>
      <c r="R92" s="8">
        <f t="shared" si="114"/>
        <v>1356267.4238093742</v>
      </c>
      <c r="S92" s="8">
        <f t="shared" si="114"/>
        <v>1356267.4238093742</v>
      </c>
      <c r="T92" s="8">
        <f t="shared" si="114"/>
        <v>1356267.4238093742</v>
      </c>
      <c r="U92" s="8">
        <f t="shared" si="114"/>
        <v>1356267.4238093742</v>
      </c>
      <c r="V92" s="8">
        <f t="shared" si="114"/>
        <v>1356267.4238093742</v>
      </c>
      <c r="W92" s="8">
        <f t="shared" si="114"/>
        <v>1356267.4238093742</v>
      </c>
      <c r="X92" s="8">
        <f t="shared" si="114"/>
        <v>1356267.4238093742</v>
      </c>
      <c r="Y92" s="8">
        <f t="shared" si="114"/>
        <v>1356267.4238093742</v>
      </c>
      <c r="Z92" s="8">
        <f t="shared" si="114"/>
        <v>1356267.4238093742</v>
      </c>
      <c r="AA92" s="8">
        <f t="shared" si="114"/>
        <v>1356267.4238093742</v>
      </c>
      <c r="AB92" s="8">
        <f t="shared" si="114"/>
        <v>1356267.4238093742</v>
      </c>
      <c r="AC92" s="8">
        <f t="shared" si="114"/>
        <v>1356267.4238093742</v>
      </c>
      <c r="AD92" s="8">
        <f t="shared" si="114"/>
        <v>1356267.4238093742</v>
      </c>
      <c r="AE92" s="8">
        <f t="shared" si="114"/>
        <v>1356267.4238093742</v>
      </c>
      <c r="AF92" s="8">
        <f t="shared" si="114"/>
        <v>1356267.4238093742</v>
      </c>
      <c r="AG92" s="8">
        <f t="shared" si="114"/>
        <v>1356267.4238093742</v>
      </c>
      <c r="AH92" s="8">
        <f t="shared" si="114"/>
        <v>1356267.4238093742</v>
      </c>
      <c r="AI92" s="8">
        <f t="shared" si="114"/>
        <v>1356267.4238093742</v>
      </c>
      <c r="AJ92" s="8">
        <f t="shared" si="114"/>
        <v>1356267.4238093742</v>
      </c>
      <c r="AK92" s="8">
        <f t="shared" si="114"/>
        <v>1356267.4238093742</v>
      </c>
      <c r="AL92" s="8">
        <f t="shared" si="114"/>
        <v>1356267.4238093742</v>
      </c>
      <c r="AM92" s="8">
        <f t="shared" ref="AM92:BQ92" si="115">AM21+AM47+AM74</f>
        <v>1356267.4238093742</v>
      </c>
      <c r="AN92" s="8">
        <f t="shared" si="115"/>
        <v>1356267.4238093742</v>
      </c>
      <c r="AO92" s="8">
        <f t="shared" si="115"/>
        <v>1356267.4238093742</v>
      </c>
      <c r="AP92" s="8">
        <f t="shared" si="115"/>
        <v>1356267.4238093742</v>
      </c>
      <c r="AQ92" s="8">
        <f t="shared" si="115"/>
        <v>1356267.4238093742</v>
      </c>
      <c r="AR92" s="8">
        <f t="shared" si="115"/>
        <v>1356267.4238093742</v>
      </c>
      <c r="AS92" s="8">
        <f t="shared" si="115"/>
        <v>1356267.4238093742</v>
      </c>
      <c r="AT92" s="8">
        <f t="shared" si="115"/>
        <v>1356267.4238093742</v>
      </c>
      <c r="AU92" s="8">
        <f t="shared" si="115"/>
        <v>1356267.4238093742</v>
      </c>
      <c r="AV92" s="8">
        <f t="shared" si="115"/>
        <v>1356267.4238093742</v>
      </c>
      <c r="AW92" s="8">
        <f t="shared" si="115"/>
        <v>1356267.4238093742</v>
      </c>
      <c r="AX92" s="8">
        <f t="shared" si="115"/>
        <v>1356267.4238093742</v>
      </c>
      <c r="AY92" s="8">
        <f t="shared" si="115"/>
        <v>1356267.4238093742</v>
      </c>
      <c r="AZ92" s="8">
        <f t="shared" si="115"/>
        <v>1356267.4238093742</v>
      </c>
      <c r="BA92" s="8">
        <f t="shared" si="115"/>
        <v>1356267.4238093742</v>
      </c>
      <c r="BB92" s="8">
        <f t="shared" si="115"/>
        <v>1356267.4238093742</v>
      </c>
      <c r="BC92" s="8">
        <f t="shared" si="115"/>
        <v>1356267.4238093742</v>
      </c>
      <c r="BD92" s="8">
        <f t="shared" si="115"/>
        <v>1356267.4238093742</v>
      </c>
      <c r="BE92" s="8">
        <f t="shared" si="115"/>
        <v>1233532.469069374</v>
      </c>
      <c r="BF92" s="8">
        <f t="shared" si="115"/>
        <v>1108097.3453250942</v>
      </c>
      <c r="BG92" s="8">
        <f t="shared" si="115"/>
        <v>979902.64885843988</v>
      </c>
      <c r="BH92" s="8">
        <f t="shared" si="115"/>
        <v>848887.6690695195</v>
      </c>
      <c r="BI92" s="8">
        <f t="shared" si="115"/>
        <v>714990.35972524271</v>
      </c>
      <c r="BJ92" s="8">
        <f t="shared" si="115"/>
        <v>578147.3095753917</v>
      </c>
      <c r="BK92" s="8">
        <f t="shared" si="115"/>
        <v>438293.71232224407</v>
      </c>
      <c r="BL92" s="8">
        <f t="shared" si="115"/>
        <v>295363.33592952718</v>
      </c>
      <c r="BM92" s="8">
        <f t="shared" si="115"/>
        <v>149288.4912561705</v>
      </c>
      <c r="BN92" s="8">
        <f t="shared" si="115"/>
        <v>0</v>
      </c>
      <c r="BO92" s="8">
        <f t="shared" si="115"/>
        <v>0</v>
      </c>
      <c r="BP92" s="8">
        <f t="shared" si="115"/>
        <v>0</v>
      </c>
      <c r="BQ92" s="8">
        <f t="shared" si="115"/>
        <v>0</v>
      </c>
    </row>
    <row r="93" spans="4:69" x14ac:dyDescent="0.4">
      <c r="D93" t="s">
        <v>135</v>
      </c>
      <c r="G93" s="8">
        <f t="shared" ref="G93:AL93" si="116">G22+G48+G75</f>
        <v>893.37680571409135</v>
      </c>
      <c r="H93" s="8">
        <f t="shared" si="116"/>
        <v>1785.8320037339552</v>
      </c>
      <c r="I93" s="8">
        <f t="shared" si="116"/>
        <v>2677.8192145335147</v>
      </c>
      <c r="J93" s="8">
        <f t="shared" si="116"/>
        <v>3569.7911236575205</v>
      </c>
      <c r="K93" s="8">
        <f t="shared" si="116"/>
        <v>4462.1997125333446</v>
      </c>
      <c r="L93" s="8">
        <f t="shared" si="116"/>
        <v>5355.4964885709387</v>
      </c>
      <c r="M93" s="8">
        <f t="shared" si="116"/>
        <v>6250.1327146686581</v>
      </c>
      <c r="N93" s="8">
        <f t="shared" si="116"/>
        <v>7146.5596382421299</v>
      </c>
      <c r="O93" s="8">
        <f t="shared" si="116"/>
        <v>8045.2287198929871</v>
      </c>
      <c r="P93" s="8">
        <f t="shared" si="116"/>
        <v>8946.5918618338292</v>
      </c>
      <c r="Q93" s="8">
        <f t="shared" si="116"/>
        <v>9143.4168827941739</v>
      </c>
      <c r="R93" s="8">
        <f t="shared" si="116"/>
        <v>9344.572054215645</v>
      </c>
      <c r="S93" s="8">
        <f t="shared" si="116"/>
        <v>9550.1526394083903</v>
      </c>
      <c r="T93" s="8">
        <f t="shared" si="116"/>
        <v>9760.2559974753749</v>
      </c>
      <c r="U93" s="8">
        <f t="shared" si="116"/>
        <v>9974.9816294198336</v>
      </c>
      <c r="V93" s="8">
        <f t="shared" si="116"/>
        <v>10194.43122526707</v>
      </c>
      <c r="W93" s="8">
        <f t="shared" si="116"/>
        <v>10418.708712222946</v>
      </c>
      <c r="X93" s="8">
        <f t="shared" si="116"/>
        <v>10647.920303891851</v>
      </c>
      <c r="Y93" s="8">
        <f t="shared" si="116"/>
        <v>10882.174550577472</v>
      </c>
      <c r="Z93" s="8">
        <f t="shared" si="116"/>
        <v>11121.582390690177</v>
      </c>
      <c r="AA93" s="8">
        <f t="shared" si="116"/>
        <v>11366.25720328536</v>
      </c>
      <c r="AB93" s="8">
        <f t="shared" si="116"/>
        <v>11616.314861757639</v>
      </c>
      <c r="AC93" s="8">
        <f t="shared" si="116"/>
        <v>11871.873788716308</v>
      </c>
      <c r="AD93" s="8">
        <f t="shared" si="116"/>
        <v>12133.055012068067</v>
      </c>
      <c r="AE93" s="8">
        <f t="shared" si="116"/>
        <v>12399.982222333565</v>
      </c>
      <c r="AF93" s="8">
        <f t="shared" si="116"/>
        <v>12672.781831224904</v>
      </c>
      <c r="AG93" s="8">
        <f t="shared" si="116"/>
        <v>12951.583031511851</v>
      </c>
      <c r="AH93" s="8">
        <f t="shared" si="116"/>
        <v>13236.517858205112</v>
      </c>
      <c r="AI93" s="8">
        <f t="shared" si="116"/>
        <v>13527.721251085624</v>
      </c>
      <c r="AJ93" s="8">
        <f t="shared" si="116"/>
        <v>13825.331118609509</v>
      </c>
      <c r="AK93" s="8">
        <f t="shared" si="116"/>
        <v>14129.488403218918</v>
      </c>
      <c r="AL93" s="8">
        <f t="shared" si="116"/>
        <v>14440.337148089735</v>
      </c>
      <c r="AM93" s="8">
        <f t="shared" ref="AM93:BQ93" si="117">AM22+AM48+AM75</f>
        <v>14758.024565347709</v>
      </c>
      <c r="AN93" s="8">
        <f t="shared" si="117"/>
        <v>15082.701105785358</v>
      </c>
      <c r="AO93" s="8">
        <f t="shared" si="117"/>
        <v>15414.520530112635</v>
      </c>
      <c r="AP93" s="8">
        <f t="shared" si="117"/>
        <v>15753.639981775113</v>
      </c>
      <c r="AQ93" s="8">
        <f t="shared" si="117"/>
        <v>16100.220061374166</v>
      </c>
      <c r="AR93" s="8">
        <f t="shared" si="117"/>
        <v>16454.424902724397</v>
      </c>
      <c r="AS93" s="8">
        <f t="shared" si="117"/>
        <v>16816.422250584335</v>
      </c>
      <c r="AT93" s="8">
        <f t="shared" si="117"/>
        <v>17186.383540097191</v>
      </c>
      <c r="AU93" s="8">
        <f t="shared" si="117"/>
        <v>17564.483977979329</v>
      </c>
      <c r="AV93" s="8">
        <f t="shared" si="117"/>
        <v>17950.902625494873</v>
      </c>
      <c r="AW93" s="8">
        <f t="shared" si="117"/>
        <v>18345.822483255761</v>
      </c>
      <c r="AX93" s="8">
        <f t="shared" si="117"/>
        <v>18749.43057788739</v>
      </c>
      <c r="AY93" s="8">
        <f t="shared" si="117"/>
        <v>19161.918050600911</v>
      </c>
      <c r="AZ93" s="8">
        <f t="shared" si="117"/>
        <v>19583.480247714131</v>
      </c>
      <c r="BA93" s="8">
        <f t="shared" si="117"/>
        <v>20014.316813163841</v>
      </c>
      <c r="BB93" s="8">
        <f t="shared" si="117"/>
        <v>20454.631783053446</v>
      </c>
      <c r="BC93" s="8">
        <f t="shared" si="117"/>
        <v>20904.633682280622</v>
      </c>
      <c r="BD93" s="8">
        <f t="shared" si="117"/>
        <v>21364.535623290798</v>
      </c>
      <c r="BE93" s="8">
        <f t="shared" si="117"/>
        <v>21834.555407003198</v>
      </c>
      <c r="BF93" s="8">
        <f t="shared" si="117"/>
        <v>22314.91562595727</v>
      </c>
      <c r="BG93" s="8">
        <f t="shared" si="117"/>
        <v>22805.84376972833</v>
      </c>
      <c r="BH93" s="8">
        <f t="shared" si="117"/>
        <v>23307.572332662352</v>
      </c>
      <c r="BI93" s="8">
        <f t="shared" si="117"/>
        <v>23820.338923980926</v>
      </c>
      <c r="BJ93" s="8">
        <f t="shared" si="117"/>
        <v>24344.386380308508</v>
      </c>
      <c r="BK93" s="8">
        <f t="shared" si="117"/>
        <v>0</v>
      </c>
      <c r="BL93" s="8">
        <f t="shared" si="117"/>
        <v>0</v>
      </c>
      <c r="BM93" s="8">
        <f t="shared" si="117"/>
        <v>0</v>
      </c>
      <c r="BN93" s="8">
        <f t="shared" si="117"/>
        <v>0</v>
      </c>
      <c r="BO93" s="8">
        <f t="shared" si="117"/>
        <v>0</v>
      </c>
      <c r="BP93" s="8">
        <f t="shared" si="117"/>
        <v>0</v>
      </c>
      <c r="BQ93" s="8">
        <f t="shared" si="117"/>
        <v>0</v>
      </c>
    </row>
  </sheetData>
  <mergeCells count="6">
    <mergeCell ref="C65:BT65"/>
    <mergeCell ref="C4:BT4"/>
    <mergeCell ref="C57:BT57"/>
    <mergeCell ref="C12:BT12"/>
    <mergeCell ref="C30:BT30"/>
    <mergeCell ref="C38:BT38"/>
  </mergeCells>
  <pageMargins left="0.7" right="0.7" top="0.75" bottom="0.75" header="0.3" footer="0.3"/>
  <pageSetup scale="50" fitToWidth="0" orientation="portrait" r:id="rId1"/>
  <rowBreaks count="2" manualBreakCount="2">
    <brk id="27" max="16383" man="1"/>
    <brk id="53" max="16383" man="1"/>
  </rowBreaks>
  <colBreaks count="5" manualBreakCount="5">
    <brk id="10" max="1048575" man="1"/>
    <brk id="21" max="92" man="1"/>
    <brk id="31" max="1048575" man="1"/>
    <brk id="42" max="1048575" man="1"/>
    <brk id="54" max="1048575" man="1"/>
  </colBreaks>
  <ignoredErrors>
    <ignoredError sqref="BK52 BK26" formulaRange="1"/>
    <ignoredError sqref="Q74:BT7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09DB6-9E8D-48CF-B24C-E0B376DBA5B1}">
  <sheetPr>
    <tabColor theme="4" tint="0.79998168889431442"/>
  </sheetPr>
  <dimension ref="A1:BR96"/>
  <sheetViews>
    <sheetView view="pageBreakPreview" zoomScale="10" zoomScaleNormal="70" zoomScaleSheetLayoutView="10" workbookViewId="0">
      <selection activeCell="A71" sqref="A71:XFD72"/>
    </sheetView>
  </sheetViews>
  <sheetFormatPr defaultRowHeight="18.75" x14ac:dyDescent="0.4"/>
  <cols>
    <col min="3" max="3" width="11.77734375" customWidth="1"/>
    <col min="4" max="4" width="34.21875" customWidth="1"/>
    <col min="5" max="5" width="22.77734375" customWidth="1"/>
    <col min="6" max="69" width="15.77734375" customWidth="1"/>
  </cols>
  <sheetData>
    <row r="1" spans="1:69" x14ac:dyDescent="0.4">
      <c r="F1">
        <v>0</v>
      </c>
      <c r="G1">
        <v>1</v>
      </c>
      <c r="H1">
        <v>2</v>
      </c>
      <c r="I1">
        <v>3</v>
      </c>
      <c r="J1">
        <v>4</v>
      </c>
      <c r="K1">
        <v>5</v>
      </c>
      <c r="L1">
        <v>6</v>
      </c>
      <c r="M1">
        <v>7</v>
      </c>
      <c r="N1">
        <v>8</v>
      </c>
      <c r="O1">
        <v>9</v>
      </c>
      <c r="P1">
        <v>10</v>
      </c>
      <c r="Q1">
        <v>11</v>
      </c>
      <c r="R1">
        <v>12</v>
      </c>
      <c r="S1">
        <v>13</v>
      </c>
      <c r="T1">
        <v>14</v>
      </c>
      <c r="U1">
        <v>15</v>
      </c>
      <c r="V1">
        <v>16</v>
      </c>
      <c r="W1">
        <v>17</v>
      </c>
      <c r="X1">
        <v>18</v>
      </c>
      <c r="Y1">
        <v>19</v>
      </c>
      <c r="Z1">
        <v>20</v>
      </c>
      <c r="AA1">
        <v>21</v>
      </c>
      <c r="AB1">
        <v>22</v>
      </c>
      <c r="AC1">
        <v>23</v>
      </c>
      <c r="AD1">
        <v>24</v>
      </c>
      <c r="AE1">
        <v>25</v>
      </c>
      <c r="AF1">
        <v>26</v>
      </c>
      <c r="AG1">
        <v>27</v>
      </c>
      <c r="AH1">
        <v>28</v>
      </c>
      <c r="AI1">
        <v>29</v>
      </c>
      <c r="AJ1">
        <v>30</v>
      </c>
      <c r="AK1">
        <v>31</v>
      </c>
      <c r="AL1">
        <v>32</v>
      </c>
      <c r="AM1">
        <v>33</v>
      </c>
      <c r="AN1">
        <v>34</v>
      </c>
      <c r="AO1">
        <v>35</v>
      </c>
      <c r="AP1">
        <v>36</v>
      </c>
      <c r="AQ1">
        <v>37</v>
      </c>
      <c r="AR1">
        <v>38</v>
      </c>
      <c r="AS1">
        <v>39</v>
      </c>
      <c r="AT1">
        <v>40</v>
      </c>
      <c r="AU1">
        <v>41</v>
      </c>
      <c r="AV1">
        <v>42</v>
      </c>
      <c r="AW1">
        <v>43</v>
      </c>
      <c r="AX1">
        <v>44</v>
      </c>
      <c r="AY1">
        <v>45</v>
      </c>
      <c r="AZ1">
        <v>46</v>
      </c>
      <c r="BA1">
        <v>47</v>
      </c>
      <c r="BB1">
        <v>48</v>
      </c>
      <c r="BC1">
        <v>49</v>
      </c>
      <c r="BD1">
        <v>50</v>
      </c>
      <c r="BE1">
        <v>51</v>
      </c>
      <c r="BF1">
        <v>52</v>
      </c>
      <c r="BG1">
        <v>53</v>
      </c>
      <c r="BH1">
        <v>54</v>
      </c>
      <c r="BI1">
        <v>55</v>
      </c>
      <c r="BJ1">
        <v>56</v>
      </c>
      <c r="BK1">
        <v>57</v>
      </c>
      <c r="BL1">
        <v>58</v>
      </c>
      <c r="BM1">
        <v>59</v>
      </c>
      <c r="BN1">
        <v>60</v>
      </c>
      <c r="BO1">
        <v>61</v>
      </c>
      <c r="BP1">
        <v>62</v>
      </c>
      <c r="BQ1">
        <v>63</v>
      </c>
    </row>
    <row r="2" spans="1:69" x14ac:dyDescent="0.4">
      <c r="B2" s="11" t="s">
        <v>428</v>
      </c>
    </row>
    <row r="3" spans="1:69" x14ac:dyDescent="0.4">
      <c r="A3" t="s">
        <v>70</v>
      </c>
      <c r="B3" t="s">
        <v>149</v>
      </c>
      <c r="C3" s="5" t="s">
        <v>150</v>
      </c>
      <c r="D3" s="5" t="s">
        <v>151</v>
      </c>
      <c r="E3" s="5" t="s">
        <v>152</v>
      </c>
      <c r="F3" s="5">
        <v>2027</v>
      </c>
      <c r="G3" s="5">
        <v>2028</v>
      </c>
      <c r="H3" s="5">
        <v>2029</v>
      </c>
      <c r="I3" s="5">
        <v>2030</v>
      </c>
      <c r="J3" s="5">
        <v>2031</v>
      </c>
      <c r="K3" s="5">
        <v>2032</v>
      </c>
      <c r="L3" s="5">
        <v>2033</v>
      </c>
      <c r="M3" s="5">
        <v>2034</v>
      </c>
      <c r="N3" s="5">
        <v>2035</v>
      </c>
      <c r="O3" s="5">
        <v>2036</v>
      </c>
      <c r="P3" s="5">
        <v>2037</v>
      </c>
      <c r="Q3" s="5">
        <v>2038</v>
      </c>
      <c r="R3" s="5">
        <v>2039</v>
      </c>
      <c r="S3" s="5">
        <v>2040</v>
      </c>
      <c r="T3" s="5">
        <v>2041</v>
      </c>
      <c r="U3" s="5">
        <v>2042</v>
      </c>
      <c r="V3" s="5">
        <v>2043</v>
      </c>
      <c r="W3" s="5">
        <v>2044</v>
      </c>
      <c r="X3" s="5">
        <v>2045</v>
      </c>
      <c r="Y3" s="5">
        <v>2046</v>
      </c>
      <c r="Z3" s="5">
        <v>2047</v>
      </c>
      <c r="AA3" s="5">
        <v>2048</v>
      </c>
      <c r="AB3" s="5">
        <v>2049</v>
      </c>
      <c r="AC3" s="5">
        <v>2050</v>
      </c>
      <c r="AD3" s="5">
        <v>2051</v>
      </c>
      <c r="AE3" s="5">
        <v>2052</v>
      </c>
      <c r="AF3" s="5">
        <v>2053</v>
      </c>
      <c r="AG3" s="5">
        <v>2054</v>
      </c>
      <c r="AH3" s="5">
        <v>2055</v>
      </c>
      <c r="AI3" s="5">
        <v>2056</v>
      </c>
      <c r="AJ3" s="5">
        <v>2057</v>
      </c>
      <c r="AK3" s="5">
        <v>2058</v>
      </c>
      <c r="AL3" s="5">
        <v>2059</v>
      </c>
      <c r="AM3" s="5">
        <v>2060</v>
      </c>
      <c r="AN3" s="5">
        <v>2061</v>
      </c>
      <c r="AO3" s="5">
        <v>2062</v>
      </c>
      <c r="AP3" s="5">
        <v>2063</v>
      </c>
      <c r="AQ3" s="5">
        <v>2064</v>
      </c>
      <c r="AR3" s="5">
        <v>2065</v>
      </c>
      <c r="AS3" s="5">
        <v>2066</v>
      </c>
      <c r="AT3" s="5">
        <v>2067</v>
      </c>
      <c r="AU3" s="5">
        <v>2068</v>
      </c>
      <c r="AV3" s="5">
        <v>2069</v>
      </c>
      <c r="AW3" s="5">
        <v>2070</v>
      </c>
      <c r="AX3" s="5">
        <v>2071</v>
      </c>
      <c r="AY3" s="5">
        <v>2072</v>
      </c>
      <c r="AZ3" s="5">
        <v>2073</v>
      </c>
      <c r="BA3" s="5">
        <v>2074</v>
      </c>
      <c r="BB3" s="5">
        <v>2075</v>
      </c>
      <c r="BC3" s="5">
        <v>2076</v>
      </c>
      <c r="BD3" s="5">
        <v>2077</v>
      </c>
      <c r="BE3" s="5">
        <v>2078</v>
      </c>
      <c r="BF3" s="5">
        <v>2079</v>
      </c>
      <c r="BG3" s="5">
        <v>2080</v>
      </c>
      <c r="BH3" s="5">
        <v>2081</v>
      </c>
      <c r="BI3" s="5">
        <v>2082</v>
      </c>
      <c r="BJ3" s="5">
        <v>2083</v>
      </c>
      <c r="BK3" s="5">
        <v>2084</v>
      </c>
      <c r="BL3" s="5">
        <v>2085</v>
      </c>
      <c r="BM3" s="5">
        <v>2086</v>
      </c>
      <c r="BN3" s="5">
        <v>2087</v>
      </c>
      <c r="BO3" s="5">
        <v>2088</v>
      </c>
      <c r="BP3" s="5">
        <v>2089</v>
      </c>
      <c r="BQ3" s="5">
        <v>2090</v>
      </c>
    </row>
    <row r="4" spans="1:69" x14ac:dyDescent="0.4"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  <c r="AN4" s="216"/>
      <c r="AO4" s="216"/>
      <c r="AP4" s="216"/>
      <c r="AQ4" s="216"/>
      <c r="AR4" s="216"/>
      <c r="AS4" s="216"/>
      <c r="AT4" s="216"/>
      <c r="AU4" s="216"/>
      <c r="AV4" s="216"/>
      <c r="AW4" s="216"/>
      <c r="AX4" s="216"/>
      <c r="AY4" s="216"/>
      <c r="AZ4" s="216"/>
      <c r="BA4" s="216"/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  <c r="BM4" s="216"/>
      <c r="BN4" s="216"/>
      <c r="BO4" s="216"/>
      <c r="BP4" s="216"/>
      <c r="BQ4" s="216"/>
    </row>
    <row r="5" spans="1:69" x14ac:dyDescent="0.4">
      <c r="A5" t="s">
        <v>37</v>
      </c>
      <c r="B5" t="s">
        <v>15</v>
      </c>
      <c r="C5" t="s">
        <v>127</v>
      </c>
      <c r="D5" t="s">
        <v>154</v>
      </c>
      <c r="F5" s="8">
        <f>SUMIFS('Mitigation Projects'!$L:$L,'Mitigation Projects'!$H:$H,Costs_Mitigation!$B5,'Mitigation Projects'!$G:$G,Costs_Mitigation!$A5)</f>
        <v>10031291</v>
      </c>
      <c r="G5" s="8">
        <f t="shared" ref="G5:AL5" si="0">IF(G$1&lt;=BOOK_DEP_PERIOD_OH,F5,0)</f>
        <v>10031291</v>
      </c>
      <c r="H5" s="8">
        <f t="shared" si="0"/>
        <v>10031291</v>
      </c>
      <c r="I5" s="8">
        <f t="shared" si="0"/>
        <v>10031291</v>
      </c>
      <c r="J5" s="8">
        <f t="shared" si="0"/>
        <v>10031291</v>
      </c>
      <c r="K5" s="8">
        <f t="shared" si="0"/>
        <v>10031291</v>
      </c>
      <c r="L5" s="8">
        <f t="shared" si="0"/>
        <v>10031291</v>
      </c>
      <c r="M5" s="8">
        <f t="shared" si="0"/>
        <v>10031291</v>
      </c>
      <c r="N5" s="8">
        <f t="shared" si="0"/>
        <v>10031291</v>
      </c>
      <c r="O5" s="8">
        <f t="shared" si="0"/>
        <v>10031291</v>
      </c>
      <c r="P5" s="8">
        <f t="shared" si="0"/>
        <v>10031291</v>
      </c>
      <c r="Q5" s="8">
        <f t="shared" si="0"/>
        <v>10031291</v>
      </c>
      <c r="R5" s="8">
        <f t="shared" si="0"/>
        <v>10031291</v>
      </c>
      <c r="S5" s="8">
        <f t="shared" si="0"/>
        <v>10031291</v>
      </c>
      <c r="T5" s="8">
        <f t="shared" si="0"/>
        <v>10031291</v>
      </c>
      <c r="U5" s="8">
        <f t="shared" si="0"/>
        <v>10031291</v>
      </c>
      <c r="V5" s="8">
        <f t="shared" si="0"/>
        <v>10031291</v>
      </c>
      <c r="W5" s="8">
        <f t="shared" si="0"/>
        <v>10031291</v>
      </c>
      <c r="X5" s="8">
        <f t="shared" si="0"/>
        <v>10031291</v>
      </c>
      <c r="Y5" s="8">
        <f t="shared" si="0"/>
        <v>10031291</v>
      </c>
      <c r="Z5" s="8">
        <f t="shared" si="0"/>
        <v>10031291</v>
      </c>
      <c r="AA5" s="8">
        <f t="shared" si="0"/>
        <v>10031291</v>
      </c>
      <c r="AB5" s="8">
        <f t="shared" si="0"/>
        <v>10031291</v>
      </c>
      <c r="AC5" s="8">
        <f t="shared" si="0"/>
        <v>10031291</v>
      </c>
      <c r="AD5" s="8">
        <f t="shared" si="0"/>
        <v>10031291</v>
      </c>
      <c r="AE5" s="8">
        <f t="shared" si="0"/>
        <v>10031291</v>
      </c>
      <c r="AF5" s="8">
        <f t="shared" si="0"/>
        <v>10031291</v>
      </c>
      <c r="AG5" s="8">
        <f t="shared" si="0"/>
        <v>10031291</v>
      </c>
      <c r="AH5" s="8">
        <f t="shared" si="0"/>
        <v>10031291</v>
      </c>
      <c r="AI5" s="8">
        <f t="shared" si="0"/>
        <v>10031291</v>
      </c>
      <c r="AJ5" s="8">
        <f t="shared" si="0"/>
        <v>10031291</v>
      </c>
      <c r="AK5" s="8">
        <f t="shared" si="0"/>
        <v>10031291</v>
      </c>
      <c r="AL5" s="8">
        <f t="shared" si="0"/>
        <v>10031291</v>
      </c>
      <c r="AM5" s="8">
        <f t="shared" ref="AM5:BQ5" si="1">IF(AM$1&lt;=BOOK_DEP_PERIOD_OH,AL5,0)</f>
        <v>10031291</v>
      </c>
      <c r="AN5" s="8">
        <f t="shared" si="1"/>
        <v>10031291</v>
      </c>
      <c r="AO5" s="8">
        <f t="shared" si="1"/>
        <v>10031291</v>
      </c>
      <c r="AP5" s="8">
        <f t="shared" si="1"/>
        <v>10031291</v>
      </c>
      <c r="AQ5" s="8">
        <f t="shared" si="1"/>
        <v>10031291</v>
      </c>
      <c r="AR5" s="8">
        <f t="shared" si="1"/>
        <v>10031291</v>
      </c>
      <c r="AS5" s="8">
        <f t="shared" si="1"/>
        <v>10031291</v>
      </c>
      <c r="AT5" s="8">
        <f t="shared" si="1"/>
        <v>10031291</v>
      </c>
      <c r="AU5" s="8">
        <f t="shared" si="1"/>
        <v>10031291</v>
      </c>
      <c r="AV5" s="8">
        <f t="shared" si="1"/>
        <v>10031291</v>
      </c>
      <c r="AW5" s="8">
        <f t="shared" si="1"/>
        <v>10031291</v>
      </c>
      <c r="AX5" s="8">
        <f t="shared" si="1"/>
        <v>10031291</v>
      </c>
      <c r="AY5" s="8">
        <f t="shared" si="1"/>
        <v>10031291</v>
      </c>
      <c r="AZ5" s="8">
        <f t="shared" si="1"/>
        <v>10031291</v>
      </c>
      <c r="BA5" s="8">
        <f t="shared" si="1"/>
        <v>10031291</v>
      </c>
      <c r="BB5" s="8">
        <f t="shared" si="1"/>
        <v>10031291</v>
      </c>
      <c r="BC5" s="8">
        <f t="shared" si="1"/>
        <v>10031291</v>
      </c>
      <c r="BD5" s="8">
        <f t="shared" si="1"/>
        <v>10031291</v>
      </c>
      <c r="BE5" s="8">
        <f t="shared" si="1"/>
        <v>0</v>
      </c>
      <c r="BF5" s="8">
        <f t="shared" si="1"/>
        <v>0</v>
      </c>
      <c r="BG5" s="8">
        <f t="shared" si="1"/>
        <v>0</v>
      </c>
      <c r="BH5" s="8">
        <f t="shared" si="1"/>
        <v>0</v>
      </c>
      <c r="BI5" s="8">
        <f t="shared" si="1"/>
        <v>0</v>
      </c>
      <c r="BJ5" s="8">
        <f t="shared" si="1"/>
        <v>0</v>
      </c>
      <c r="BK5" s="8">
        <f t="shared" si="1"/>
        <v>0</v>
      </c>
      <c r="BL5" s="8">
        <f t="shared" si="1"/>
        <v>0</v>
      </c>
      <c r="BM5" s="8">
        <f t="shared" si="1"/>
        <v>0</v>
      </c>
      <c r="BN5" s="8">
        <f t="shared" si="1"/>
        <v>0</v>
      </c>
      <c r="BO5" s="8">
        <f t="shared" si="1"/>
        <v>0</v>
      </c>
      <c r="BP5" s="8">
        <f t="shared" si="1"/>
        <v>0</v>
      </c>
      <c r="BQ5" s="8">
        <f t="shared" si="1"/>
        <v>0</v>
      </c>
    </row>
    <row r="6" spans="1:69" x14ac:dyDescent="0.4">
      <c r="A6" t="s">
        <v>37</v>
      </c>
      <c r="B6" t="s">
        <v>15</v>
      </c>
      <c r="C6" t="s">
        <v>127</v>
      </c>
      <c r="D6" t="s">
        <v>155</v>
      </c>
      <c r="F6" s="8">
        <v>0</v>
      </c>
      <c r="G6" s="8">
        <f>IF(G$1&lt;=BOOK_DEP_PERIOD_OH,-SUM($F15:G15),0)</f>
        <v>-200625.82</v>
      </c>
      <c r="H6" s="8">
        <f>IF(H$1&lt;=BOOK_DEP_PERIOD_OH,-SUM($F15:H15),0)</f>
        <v>-401251.64</v>
      </c>
      <c r="I6" s="8">
        <f>IF(I$1&lt;=BOOK_DEP_PERIOD_OH,-SUM($F15:I15),0)</f>
        <v>-601877.46</v>
      </c>
      <c r="J6" s="8">
        <f>IF(J$1&lt;=BOOK_DEP_PERIOD_OH,-SUM($F15:J15),0)</f>
        <v>-802503.28</v>
      </c>
      <c r="K6" s="8">
        <f>IF(K$1&lt;=BOOK_DEP_PERIOD_OH,-SUM($F15:K15),0)</f>
        <v>-1003129.1000000001</v>
      </c>
      <c r="L6" s="8">
        <f>IF(L$1&lt;=BOOK_DEP_PERIOD_OH,-SUM($F15:L15),0)</f>
        <v>-1203754.9200000002</v>
      </c>
      <c r="M6" s="8">
        <f>IF(M$1&lt;=BOOK_DEP_PERIOD_OH,-SUM($F15:M15),0)</f>
        <v>-1404380.7400000002</v>
      </c>
      <c r="N6" s="8">
        <f>IF(N$1&lt;=BOOK_DEP_PERIOD_OH,-SUM($F15:N15),0)</f>
        <v>-1605006.5600000003</v>
      </c>
      <c r="O6" s="8">
        <f>IF(O$1&lt;=BOOK_DEP_PERIOD_OH,-SUM($F15:O15),0)</f>
        <v>-1805632.3800000004</v>
      </c>
      <c r="P6" s="8">
        <f>IF(P$1&lt;=BOOK_DEP_PERIOD_OH,-SUM($F15:P15),0)</f>
        <v>-2006258.2000000004</v>
      </c>
      <c r="Q6" s="8">
        <f>IF(Q$1&lt;=BOOK_DEP_PERIOD_OH,-SUM($F15:Q15),0)</f>
        <v>-2206884.0200000005</v>
      </c>
      <c r="R6" s="8">
        <f>IF(R$1&lt;=BOOK_DEP_PERIOD_OH,-SUM($F15:R15),0)</f>
        <v>-2407509.8400000003</v>
      </c>
      <c r="S6" s="8">
        <f>IF(S$1&lt;=BOOK_DEP_PERIOD_OH,-SUM($F15:S15),0)</f>
        <v>-2608135.66</v>
      </c>
      <c r="T6" s="8">
        <f>IF(T$1&lt;=BOOK_DEP_PERIOD_OH,-SUM($F15:T15),0)</f>
        <v>-2808761.48</v>
      </c>
      <c r="U6" s="8">
        <f>IF(U$1&lt;=BOOK_DEP_PERIOD_OH,-SUM($F15:U15),0)</f>
        <v>-3009387.3</v>
      </c>
      <c r="V6" s="8">
        <f>IF(V$1&lt;=BOOK_DEP_PERIOD_OH,-SUM($F15:V15),0)</f>
        <v>-3210013.1199999996</v>
      </c>
      <c r="W6" s="8">
        <f>IF(W$1&lt;=BOOK_DEP_PERIOD_OH,-SUM($F15:W15),0)</f>
        <v>-3410638.9399999995</v>
      </c>
      <c r="X6" s="8">
        <f>IF(X$1&lt;=BOOK_DEP_PERIOD_OH,-SUM($F15:X15),0)</f>
        <v>-3611264.7599999993</v>
      </c>
      <c r="Y6" s="8">
        <f>IF(Y$1&lt;=BOOK_DEP_PERIOD_OH,-SUM($F15:Y15),0)</f>
        <v>-3811890.5799999991</v>
      </c>
      <c r="Z6" s="8">
        <f>IF(Z$1&lt;=BOOK_DEP_PERIOD_OH,-SUM($F15:Z15),0)</f>
        <v>-4012516.399999999</v>
      </c>
      <c r="AA6" s="8">
        <f>IF(AA$1&lt;=BOOK_DEP_PERIOD_OH,-SUM($F15:AA15),0)</f>
        <v>-4213142.2199999988</v>
      </c>
      <c r="AB6" s="8">
        <f>IF(AB$1&lt;=BOOK_DEP_PERIOD_OH,-SUM($F15:AB15),0)</f>
        <v>-4413768.0399999991</v>
      </c>
      <c r="AC6" s="8">
        <f>IF(AC$1&lt;=BOOK_DEP_PERIOD_OH,-SUM($F15:AC15),0)</f>
        <v>-4614393.8599999994</v>
      </c>
      <c r="AD6" s="8">
        <f>IF(AD$1&lt;=BOOK_DEP_PERIOD_OH,-SUM($F15:AD15),0)</f>
        <v>-4815019.68</v>
      </c>
      <c r="AE6" s="8">
        <f>IF(AE$1&lt;=BOOK_DEP_PERIOD_OH,-SUM($F15:AE15),0)</f>
        <v>-5015645.5</v>
      </c>
      <c r="AF6" s="8">
        <f>IF(AF$1&lt;=BOOK_DEP_PERIOD_OH,-SUM($F15:AF15),0)</f>
        <v>-5216271.32</v>
      </c>
      <c r="AG6" s="8">
        <f>IF(AG$1&lt;=BOOK_DEP_PERIOD_OH,-SUM($F15:AG15),0)</f>
        <v>-5416897.1400000006</v>
      </c>
      <c r="AH6" s="8">
        <f>IF(AH$1&lt;=BOOK_DEP_PERIOD_OH,-SUM($F15:AH15),0)</f>
        <v>-5617522.9600000009</v>
      </c>
      <c r="AI6" s="8">
        <f>IF(AI$1&lt;=BOOK_DEP_PERIOD_OH,-SUM($F15:AI15),0)</f>
        <v>-5818148.7800000012</v>
      </c>
      <c r="AJ6" s="8">
        <f>IF(AJ$1&lt;=BOOK_DEP_PERIOD_OH,-SUM($F15:AJ15),0)</f>
        <v>-6018774.6000000015</v>
      </c>
      <c r="AK6" s="8">
        <f>IF(AK$1&lt;=BOOK_DEP_PERIOD_OH,-SUM($F15:AK15),0)</f>
        <v>-6219400.4200000018</v>
      </c>
      <c r="AL6" s="8">
        <f>IF(AL$1&lt;=BOOK_DEP_PERIOD_OH,-SUM($F15:AL15),0)</f>
        <v>-6420026.2400000021</v>
      </c>
      <c r="AM6" s="8">
        <f>IF(AM$1&lt;=BOOK_DEP_PERIOD_OH,-SUM($F15:AM15),0)</f>
        <v>-6620652.0600000024</v>
      </c>
      <c r="AN6" s="8">
        <f>IF(AN$1&lt;=BOOK_DEP_PERIOD_OH,-SUM($F15:AN15),0)</f>
        <v>-6821277.8800000027</v>
      </c>
      <c r="AO6" s="8">
        <f>IF(AO$1&lt;=BOOK_DEP_PERIOD_OH,-SUM($F15:AO15),0)</f>
        <v>-7021903.700000003</v>
      </c>
      <c r="AP6" s="8">
        <f>IF(AP$1&lt;=BOOK_DEP_PERIOD_OH,-SUM($F15:AP15),0)</f>
        <v>-7222529.5200000033</v>
      </c>
      <c r="AQ6" s="8">
        <f>IF(AQ$1&lt;=BOOK_DEP_PERIOD_OH,-SUM($F15:AQ15),0)</f>
        <v>-7423155.3400000036</v>
      </c>
      <c r="AR6" s="8">
        <f>IF(AR$1&lt;=BOOK_DEP_PERIOD_OH,-SUM($F15:AR15),0)</f>
        <v>-7623781.1600000039</v>
      </c>
      <c r="AS6" s="8">
        <f>IF(AS$1&lt;=BOOK_DEP_PERIOD_OH,-SUM($F15:AS15),0)</f>
        <v>-7824406.9800000042</v>
      </c>
      <c r="AT6" s="8">
        <f>IF(AT$1&lt;=BOOK_DEP_PERIOD_OH,-SUM($F15:AT15),0)</f>
        <v>-8025032.8000000045</v>
      </c>
      <c r="AU6" s="8">
        <f>IF(AU$1&lt;=BOOK_DEP_PERIOD_OH,-SUM($F15:AU15),0)</f>
        <v>-8225658.6200000048</v>
      </c>
      <c r="AV6" s="8">
        <f>IF(AV$1&lt;=BOOK_DEP_PERIOD_OH,-SUM($F15:AV15),0)</f>
        <v>-8426284.4400000051</v>
      </c>
      <c r="AW6" s="8">
        <f>IF(AW$1&lt;=BOOK_DEP_PERIOD_OH,-SUM($F15:AW15),0)</f>
        <v>-8626910.2600000054</v>
      </c>
      <c r="AX6" s="8">
        <f>IF(AX$1&lt;=BOOK_DEP_PERIOD_OH,-SUM($F15:AX15),0)</f>
        <v>-8827536.0800000057</v>
      </c>
      <c r="AY6" s="8">
        <f>IF(AY$1&lt;=BOOK_DEP_PERIOD_OH,-SUM($F15:AY15),0)</f>
        <v>-9028161.900000006</v>
      </c>
      <c r="AZ6" s="8">
        <f>IF(AZ$1&lt;=BOOK_DEP_PERIOD_OH,-SUM($F15:AZ15),0)</f>
        <v>-9228787.7200000063</v>
      </c>
      <c r="BA6" s="8">
        <f>IF(BA$1&lt;=BOOK_DEP_PERIOD_OH,-SUM($F15:BA15),0)</f>
        <v>-9429413.5400000066</v>
      </c>
      <c r="BB6" s="8">
        <f>IF(BB$1&lt;=BOOK_DEP_PERIOD_OH,-SUM($F15:BB15),0)</f>
        <v>-9630039.3600000069</v>
      </c>
      <c r="BC6" s="8">
        <f>IF(BC$1&lt;=BOOK_DEP_PERIOD_OH,-SUM($F15:BC15),0)</f>
        <v>-9830665.1800000072</v>
      </c>
      <c r="BD6" s="8">
        <f>IF(BD$1&lt;=BOOK_DEP_PERIOD_OH,-SUM($F15:BD15),0)</f>
        <v>-10031291.000000007</v>
      </c>
      <c r="BE6" s="8">
        <f>IF(BE$1&lt;=BOOK_DEP_PERIOD_OH,-SUM($F15:BE15),0)</f>
        <v>0</v>
      </c>
      <c r="BF6" s="8">
        <f>IF(BF$1&lt;=BOOK_DEP_PERIOD_OH,-SUM($F15:BF15),0)</f>
        <v>0</v>
      </c>
      <c r="BG6" s="8">
        <f>IF(BG$1&lt;=BOOK_DEP_PERIOD_OH,-SUM($F15:BG15),0)</f>
        <v>0</v>
      </c>
      <c r="BH6" s="8">
        <f>IF(BH$1&lt;=BOOK_DEP_PERIOD_OH,-SUM($F15:BH15),0)</f>
        <v>0</v>
      </c>
      <c r="BI6" s="8">
        <f>IF(BI$1&lt;=BOOK_DEP_PERIOD_OH,-SUM($F15:BI15),0)</f>
        <v>0</v>
      </c>
      <c r="BJ6" s="8">
        <f>IF(BJ$1&lt;=BOOK_DEP_PERIOD_OH,-SUM($F15:BJ15),0)</f>
        <v>0</v>
      </c>
      <c r="BK6" s="8">
        <f>IF(BK$1&lt;=BOOK_DEP_PERIOD_OH,-SUM($F15:BK15),0)</f>
        <v>0</v>
      </c>
      <c r="BL6" s="8">
        <f>IF(BL$1&lt;=BOOK_DEP_PERIOD_OH,-SUM($F15:BL15),0)</f>
        <v>0</v>
      </c>
      <c r="BM6" s="8">
        <f>IF(BM$1&lt;=BOOK_DEP_PERIOD_OH,-SUM($F15:BM15),0)</f>
        <v>0</v>
      </c>
      <c r="BN6" s="8">
        <f>IF(BN$1&lt;=BOOK_DEP_PERIOD_OH,-SUM($F15:BN15),0)</f>
        <v>0</v>
      </c>
      <c r="BO6" s="8">
        <f>IF(BO$1&lt;=BOOK_DEP_PERIOD_OH,-SUM($F15:BO15),0)</f>
        <v>0</v>
      </c>
      <c r="BP6" s="8">
        <f>IF(BP$1&lt;=BOOK_DEP_PERIOD_OH,-SUM($F15:BP15),0)</f>
        <v>0</v>
      </c>
      <c r="BQ6" s="8">
        <f>IF(BQ$1&lt;=BOOK_DEP_PERIOD_OH,-SUM($F15:BQ15),0)</f>
        <v>0</v>
      </c>
    </row>
    <row r="7" spans="1:69" x14ac:dyDescent="0.4">
      <c r="A7" t="s">
        <v>37</v>
      </c>
      <c r="B7" t="s">
        <v>15</v>
      </c>
      <c r="C7" t="s">
        <v>127</v>
      </c>
      <c r="D7" t="s">
        <v>167</v>
      </c>
      <c r="F7" s="8">
        <v>0</v>
      </c>
      <c r="G7" s="8">
        <f>F8</f>
        <v>10031291</v>
      </c>
      <c r="H7" s="8">
        <f t="shared" ref="H7:BQ7" si="2">G8</f>
        <v>9830665.1799999997</v>
      </c>
      <c r="I7" s="8">
        <f t="shared" si="2"/>
        <v>9630039.3599999994</v>
      </c>
      <c r="J7" s="8">
        <f t="shared" si="2"/>
        <v>9429413.5399999991</v>
      </c>
      <c r="K7" s="8">
        <f t="shared" si="2"/>
        <v>9228787.7200000007</v>
      </c>
      <c r="L7" s="8">
        <f t="shared" si="2"/>
        <v>9028161.9000000004</v>
      </c>
      <c r="M7" s="8">
        <f t="shared" si="2"/>
        <v>8827536.0800000001</v>
      </c>
      <c r="N7" s="8">
        <f t="shared" si="2"/>
        <v>8626910.2599999998</v>
      </c>
      <c r="O7" s="8">
        <f t="shared" si="2"/>
        <v>8426284.4399999995</v>
      </c>
      <c r="P7" s="8">
        <f t="shared" si="2"/>
        <v>8225658.6199999992</v>
      </c>
      <c r="Q7" s="8">
        <f t="shared" si="2"/>
        <v>8025032.7999999998</v>
      </c>
      <c r="R7" s="8">
        <f t="shared" si="2"/>
        <v>7824406.9799999995</v>
      </c>
      <c r="S7" s="8">
        <f t="shared" si="2"/>
        <v>7623781.1600000001</v>
      </c>
      <c r="T7" s="8">
        <f t="shared" si="2"/>
        <v>7423155.3399999999</v>
      </c>
      <c r="U7" s="8">
        <f t="shared" si="2"/>
        <v>7222529.5199999996</v>
      </c>
      <c r="V7" s="8">
        <f t="shared" si="2"/>
        <v>7021903.7000000002</v>
      </c>
      <c r="W7" s="8">
        <f t="shared" si="2"/>
        <v>6821277.8800000008</v>
      </c>
      <c r="X7" s="8">
        <f t="shared" si="2"/>
        <v>6620652.0600000005</v>
      </c>
      <c r="Y7" s="8">
        <f t="shared" si="2"/>
        <v>6420026.2400000002</v>
      </c>
      <c r="Z7" s="8">
        <f t="shared" si="2"/>
        <v>6219400.4200000009</v>
      </c>
      <c r="AA7" s="8">
        <f t="shared" si="2"/>
        <v>6018774.6000000015</v>
      </c>
      <c r="AB7" s="8">
        <f t="shared" si="2"/>
        <v>5818148.7800000012</v>
      </c>
      <c r="AC7" s="8">
        <f t="shared" si="2"/>
        <v>5617522.9600000009</v>
      </c>
      <c r="AD7" s="8">
        <f t="shared" si="2"/>
        <v>5416897.1400000006</v>
      </c>
      <c r="AE7" s="8">
        <f t="shared" si="2"/>
        <v>5216271.32</v>
      </c>
      <c r="AF7" s="8">
        <f t="shared" si="2"/>
        <v>5015645.5</v>
      </c>
      <c r="AG7" s="8">
        <f t="shared" si="2"/>
        <v>4815019.68</v>
      </c>
      <c r="AH7" s="8">
        <f t="shared" si="2"/>
        <v>4614393.8599999994</v>
      </c>
      <c r="AI7" s="8">
        <f t="shared" si="2"/>
        <v>4413768.0399999991</v>
      </c>
      <c r="AJ7" s="8">
        <f t="shared" si="2"/>
        <v>4213142.2199999988</v>
      </c>
      <c r="AK7" s="8">
        <f t="shared" si="2"/>
        <v>4012516.3999999985</v>
      </c>
      <c r="AL7" s="8">
        <f t="shared" si="2"/>
        <v>3811890.5799999982</v>
      </c>
      <c r="AM7" s="8">
        <f t="shared" si="2"/>
        <v>3611264.7599999979</v>
      </c>
      <c r="AN7" s="8">
        <f t="shared" si="2"/>
        <v>3410638.9399999976</v>
      </c>
      <c r="AO7" s="8">
        <f t="shared" si="2"/>
        <v>3210013.1199999973</v>
      </c>
      <c r="AP7" s="8">
        <f t="shared" si="2"/>
        <v>3009387.299999997</v>
      </c>
      <c r="AQ7" s="8">
        <f t="shared" si="2"/>
        <v>2808761.4799999967</v>
      </c>
      <c r="AR7" s="8">
        <f t="shared" si="2"/>
        <v>2608135.6599999964</v>
      </c>
      <c r="AS7" s="8">
        <f t="shared" si="2"/>
        <v>2407509.8399999961</v>
      </c>
      <c r="AT7" s="8">
        <f t="shared" si="2"/>
        <v>2206884.0199999958</v>
      </c>
      <c r="AU7" s="8">
        <f t="shared" si="2"/>
        <v>2006258.1999999955</v>
      </c>
      <c r="AV7" s="8">
        <f t="shared" si="2"/>
        <v>1805632.3799999952</v>
      </c>
      <c r="AW7" s="8">
        <f t="shared" si="2"/>
        <v>1605006.5599999949</v>
      </c>
      <c r="AX7" s="8">
        <f t="shared" si="2"/>
        <v>1404380.7399999946</v>
      </c>
      <c r="AY7" s="8">
        <f t="shared" si="2"/>
        <v>1203754.9199999943</v>
      </c>
      <c r="AZ7" s="8">
        <f t="shared" si="2"/>
        <v>1003129.099999994</v>
      </c>
      <c r="BA7" s="8">
        <f t="shared" si="2"/>
        <v>802503.27999999374</v>
      </c>
      <c r="BB7" s="8">
        <f t="shared" si="2"/>
        <v>601877.45999999344</v>
      </c>
      <c r="BC7" s="8">
        <f t="shared" si="2"/>
        <v>401251.63999999315</v>
      </c>
      <c r="BD7" s="8">
        <f t="shared" si="2"/>
        <v>200625.81999999285</v>
      </c>
      <c r="BE7" s="8">
        <f t="shared" si="2"/>
        <v>0</v>
      </c>
      <c r="BF7" s="8">
        <f t="shared" si="2"/>
        <v>0</v>
      </c>
      <c r="BG7" s="8">
        <f t="shared" si="2"/>
        <v>0</v>
      </c>
      <c r="BH7" s="8">
        <f t="shared" si="2"/>
        <v>0</v>
      </c>
      <c r="BI7" s="8">
        <f t="shared" si="2"/>
        <v>0</v>
      </c>
      <c r="BJ7" s="8">
        <f t="shared" si="2"/>
        <v>0</v>
      </c>
      <c r="BK7" s="8">
        <f t="shared" si="2"/>
        <v>0</v>
      </c>
      <c r="BL7" s="8">
        <f t="shared" si="2"/>
        <v>0</v>
      </c>
      <c r="BM7" s="8">
        <f t="shared" si="2"/>
        <v>0</v>
      </c>
      <c r="BN7" s="8">
        <f t="shared" si="2"/>
        <v>0</v>
      </c>
      <c r="BO7" s="8">
        <f t="shared" si="2"/>
        <v>0</v>
      </c>
      <c r="BP7" s="8">
        <f t="shared" si="2"/>
        <v>0</v>
      </c>
      <c r="BQ7" s="8">
        <f t="shared" si="2"/>
        <v>0</v>
      </c>
    </row>
    <row r="8" spans="1:69" x14ac:dyDescent="0.4">
      <c r="A8" t="s">
        <v>37</v>
      </c>
      <c r="B8" t="s">
        <v>15</v>
      </c>
      <c r="C8" t="s">
        <v>127</v>
      </c>
      <c r="D8" t="s">
        <v>168</v>
      </c>
      <c r="F8" s="8">
        <f>SUM(F5:F6)</f>
        <v>10031291</v>
      </c>
      <c r="G8" s="8">
        <f>SUM(G5:G6)</f>
        <v>9830665.1799999997</v>
      </c>
      <c r="H8" s="8">
        <f>SUM(H5:H6)</f>
        <v>9630039.3599999994</v>
      </c>
      <c r="I8" s="8">
        <f t="shared" ref="I8:BQ8" si="3">SUM(I5:I6)</f>
        <v>9429413.5399999991</v>
      </c>
      <c r="J8" s="8">
        <f t="shared" si="3"/>
        <v>9228787.7200000007</v>
      </c>
      <c r="K8" s="8">
        <f t="shared" si="3"/>
        <v>9028161.9000000004</v>
      </c>
      <c r="L8" s="8">
        <f t="shared" si="3"/>
        <v>8827536.0800000001</v>
      </c>
      <c r="M8" s="8">
        <f t="shared" si="3"/>
        <v>8626910.2599999998</v>
      </c>
      <c r="N8" s="8">
        <f t="shared" si="3"/>
        <v>8426284.4399999995</v>
      </c>
      <c r="O8" s="8">
        <f t="shared" si="3"/>
        <v>8225658.6199999992</v>
      </c>
      <c r="P8" s="8">
        <f t="shared" si="3"/>
        <v>8025032.7999999998</v>
      </c>
      <c r="Q8" s="8">
        <f t="shared" si="3"/>
        <v>7824406.9799999995</v>
      </c>
      <c r="R8" s="8">
        <f t="shared" si="3"/>
        <v>7623781.1600000001</v>
      </c>
      <c r="S8" s="8">
        <f t="shared" si="3"/>
        <v>7423155.3399999999</v>
      </c>
      <c r="T8" s="8">
        <f t="shared" si="3"/>
        <v>7222529.5199999996</v>
      </c>
      <c r="U8" s="8">
        <f t="shared" si="3"/>
        <v>7021903.7000000002</v>
      </c>
      <c r="V8" s="8">
        <f t="shared" si="3"/>
        <v>6821277.8800000008</v>
      </c>
      <c r="W8" s="8">
        <f t="shared" si="3"/>
        <v>6620652.0600000005</v>
      </c>
      <c r="X8" s="8">
        <f t="shared" si="3"/>
        <v>6420026.2400000002</v>
      </c>
      <c r="Y8" s="8">
        <f t="shared" si="3"/>
        <v>6219400.4200000009</v>
      </c>
      <c r="Z8" s="8">
        <f t="shared" si="3"/>
        <v>6018774.6000000015</v>
      </c>
      <c r="AA8" s="8">
        <f t="shared" si="3"/>
        <v>5818148.7800000012</v>
      </c>
      <c r="AB8" s="8">
        <f t="shared" si="3"/>
        <v>5617522.9600000009</v>
      </c>
      <c r="AC8" s="8">
        <f t="shared" si="3"/>
        <v>5416897.1400000006</v>
      </c>
      <c r="AD8" s="8">
        <f t="shared" si="3"/>
        <v>5216271.32</v>
      </c>
      <c r="AE8" s="8">
        <f t="shared" si="3"/>
        <v>5015645.5</v>
      </c>
      <c r="AF8" s="8">
        <f t="shared" si="3"/>
        <v>4815019.68</v>
      </c>
      <c r="AG8" s="8">
        <f t="shared" si="3"/>
        <v>4614393.8599999994</v>
      </c>
      <c r="AH8" s="8">
        <f t="shared" si="3"/>
        <v>4413768.0399999991</v>
      </c>
      <c r="AI8" s="8">
        <f t="shared" si="3"/>
        <v>4213142.2199999988</v>
      </c>
      <c r="AJ8" s="8">
        <f t="shared" si="3"/>
        <v>4012516.3999999985</v>
      </c>
      <c r="AK8" s="8">
        <f t="shared" si="3"/>
        <v>3811890.5799999982</v>
      </c>
      <c r="AL8" s="8">
        <f t="shared" si="3"/>
        <v>3611264.7599999979</v>
      </c>
      <c r="AM8" s="8">
        <f t="shared" si="3"/>
        <v>3410638.9399999976</v>
      </c>
      <c r="AN8" s="8">
        <f t="shared" si="3"/>
        <v>3210013.1199999973</v>
      </c>
      <c r="AO8" s="8">
        <f t="shared" si="3"/>
        <v>3009387.299999997</v>
      </c>
      <c r="AP8" s="8">
        <f t="shared" si="3"/>
        <v>2808761.4799999967</v>
      </c>
      <c r="AQ8" s="8">
        <f t="shared" si="3"/>
        <v>2608135.6599999964</v>
      </c>
      <c r="AR8" s="8">
        <f t="shared" si="3"/>
        <v>2407509.8399999961</v>
      </c>
      <c r="AS8" s="8">
        <f t="shared" si="3"/>
        <v>2206884.0199999958</v>
      </c>
      <c r="AT8" s="8">
        <f t="shared" si="3"/>
        <v>2006258.1999999955</v>
      </c>
      <c r="AU8" s="8">
        <f t="shared" si="3"/>
        <v>1805632.3799999952</v>
      </c>
      <c r="AV8" s="8">
        <f t="shared" si="3"/>
        <v>1605006.5599999949</v>
      </c>
      <c r="AW8" s="8">
        <f t="shared" si="3"/>
        <v>1404380.7399999946</v>
      </c>
      <c r="AX8" s="8">
        <f t="shared" si="3"/>
        <v>1203754.9199999943</v>
      </c>
      <c r="AY8" s="8">
        <f t="shared" si="3"/>
        <v>1003129.099999994</v>
      </c>
      <c r="AZ8" s="8">
        <f t="shared" si="3"/>
        <v>802503.27999999374</v>
      </c>
      <c r="BA8" s="8">
        <f t="shared" si="3"/>
        <v>601877.45999999344</v>
      </c>
      <c r="BB8" s="8">
        <f t="shared" si="3"/>
        <v>401251.63999999315</v>
      </c>
      <c r="BC8" s="8">
        <f t="shared" si="3"/>
        <v>200625.81999999285</v>
      </c>
      <c r="BD8" s="8">
        <f t="shared" si="3"/>
        <v>0</v>
      </c>
      <c r="BE8" s="8">
        <f t="shared" si="3"/>
        <v>0</v>
      </c>
      <c r="BF8" s="8">
        <f t="shared" si="3"/>
        <v>0</v>
      </c>
      <c r="BG8" s="8">
        <f t="shared" si="3"/>
        <v>0</v>
      </c>
      <c r="BH8" s="8">
        <f t="shared" si="3"/>
        <v>0</v>
      </c>
      <c r="BI8" s="8">
        <f t="shared" si="3"/>
        <v>0</v>
      </c>
      <c r="BJ8" s="8">
        <f t="shared" si="3"/>
        <v>0</v>
      </c>
      <c r="BK8" s="8">
        <f t="shared" si="3"/>
        <v>0</v>
      </c>
      <c r="BL8" s="8">
        <f t="shared" si="3"/>
        <v>0</v>
      </c>
      <c r="BM8" s="8">
        <f t="shared" si="3"/>
        <v>0</v>
      </c>
      <c r="BN8" s="8">
        <f t="shared" si="3"/>
        <v>0</v>
      </c>
      <c r="BO8" s="8">
        <f t="shared" si="3"/>
        <v>0</v>
      </c>
      <c r="BP8" s="8">
        <f t="shared" si="3"/>
        <v>0</v>
      </c>
      <c r="BQ8" s="8">
        <f t="shared" si="3"/>
        <v>0</v>
      </c>
    </row>
    <row r="9" spans="1:69" x14ac:dyDescent="0.4">
      <c r="A9" t="s">
        <v>37</v>
      </c>
      <c r="B9" t="s">
        <v>15</v>
      </c>
      <c r="C9" t="s">
        <v>127</v>
      </c>
      <c r="D9" t="s">
        <v>169</v>
      </c>
      <c r="F9" s="8">
        <v>0</v>
      </c>
      <c r="G9" s="8">
        <f>IF(G$1&lt;=MACRS_DEP_PERIOD_OH+1,G5*VLOOKUP(G$1,Assumptions!$A$70:$B$90,2,0),0)</f>
        <v>376173.41249999998</v>
      </c>
      <c r="H9" s="8">
        <f>IF(H$1&lt;=MACRS_DEP_PERIOD_OH+1,H5*VLOOKUP(H$1,Assumptions!$A$70:$B$90,2,0),0)</f>
        <v>724158.89728999999</v>
      </c>
      <c r="I9" s="8">
        <f>IF(I$1&lt;=MACRS_DEP_PERIOD_OH+1,I5*VLOOKUP(I$1,Assumptions!$A$70:$B$90,2,0),0)</f>
        <v>669789.30007</v>
      </c>
      <c r="J9" s="8">
        <f>IF(J$1&lt;=MACRS_DEP_PERIOD_OH+1,J5*VLOOKUP(J$1,Assumptions!$A$70:$B$90,2,0),0)</f>
        <v>619632.84507000004</v>
      </c>
      <c r="K9" s="8">
        <f>IF(K$1&lt;=MACRS_DEP_PERIOD_OH+1,K5*VLOOKUP(K$1,Assumptions!$A$70:$B$90,2,0),0)</f>
        <v>573087.65483000001</v>
      </c>
      <c r="L9" s="8">
        <f>IF(L$1&lt;=MACRS_DEP_PERIOD_OH+1,L5*VLOOKUP(L$1,Assumptions!$A$70:$B$90,2,0),0)</f>
        <v>530153.72935000004</v>
      </c>
      <c r="M9" s="8">
        <f>IF(M$1&lt;=MACRS_DEP_PERIOD_OH+1,M5*VLOOKUP(M$1,Assumptions!$A$70:$B$90,2,0),0)</f>
        <v>490329.50407999998</v>
      </c>
      <c r="N9" s="8">
        <f>IF(N$1&lt;=MACRS_DEP_PERIOD_OH+1,N5*VLOOKUP(N$1,Assumptions!$A$70:$B$90,2,0),0)</f>
        <v>453614.97902000003</v>
      </c>
      <c r="O9" s="8">
        <f>IF(O$1&lt;=MACRS_DEP_PERIOD_OH+1,O5*VLOOKUP(O$1,Assumptions!$A$70:$B$90,2,0),0)</f>
        <v>447596.20442000002</v>
      </c>
      <c r="P9" s="8">
        <f>IF(P$1&lt;=MACRS_DEP_PERIOD_OH+1,P5*VLOOKUP(P$1,Assumptions!$A$70:$B$90,2,0),0)</f>
        <v>447495.89150999999</v>
      </c>
      <c r="Q9" s="8">
        <f>IF(Q$1&lt;=MACRS_DEP_PERIOD_OH+1,Q5*VLOOKUP(Q$1,Assumptions!$A$70:$B$90,2,0),0)</f>
        <v>447596.20442000002</v>
      </c>
      <c r="R9" s="8">
        <f>IF(R$1&lt;=MACRS_DEP_PERIOD_OH+1,R5*VLOOKUP(R$1,Assumptions!$A$70:$B$90,2,0),0)</f>
        <v>447495.89150999999</v>
      </c>
      <c r="S9" s="8">
        <f>IF(S$1&lt;=MACRS_DEP_PERIOD_OH+1,S5*VLOOKUP(S$1,Assumptions!$A$70:$B$90,2,0),0)</f>
        <v>447596.20442000002</v>
      </c>
      <c r="T9" s="8">
        <f>IF(T$1&lt;=MACRS_DEP_PERIOD_OH+1,T5*VLOOKUP(T$1,Assumptions!$A$70:$B$90,2,0),0)</f>
        <v>447495.89150999999</v>
      </c>
      <c r="U9" s="8">
        <f>IF(U$1&lt;=MACRS_DEP_PERIOD_OH+1,U5*VLOOKUP(U$1,Assumptions!$A$70:$B$90,2,0),0)</f>
        <v>447596.20442000002</v>
      </c>
      <c r="V9" s="8">
        <f>IF(V$1&lt;=MACRS_DEP_PERIOD_OH+1,V5*VLOOKUP(V$1,Assumptions!$A$70:$B$90,2,0),0)</f>
        <v>447495.89150999999</v>
      </c>
      <c r="W9" s="8">
        <f>IF(W$1&lt;=MACRS_DEP_PERIOD_OH+1,W5*VLOOKUP(W$1,Assumptions!$A$70:$B$90,2,0),0)</f>
        <v>447596.20442000002</v>
      </c>
      <c r="X9" s="8">
        <f>IF(X$1&lt;=MACRS_DEP_PERIOD_OH+1,X5*VLOOKUP(X$1,Assumptions!$A$70:$B$90,2,0),0)</f>
        <v>447495.89150999999</v>
      </c>
      <c r="Y9" s="8">
        <f>IF(Y$1&lt;=MACRS_DEP_PERIOD_OH+1,Y5*VLOOKUP(Y$1,Assumptions!$A$70:$B$90,2,0),0)</f>
        <v>447596.20442000002</v>
      </c>
      <c r="Z9" s="8">
        <f>IF(Z$1&lt;=MACRS_DEP_PERIOD_OH+1,Z5*VLOOKUP(Z$1,Assumptions!$A$70:$B$90,2,0),0)</f>
        <v>447495.89150999999</v>
      </c>
      <c r="AA9" s="8">
        <f>IF(AA$1&lt;=MACRS_DEP_PERIOD_OH+1,AA5*VLOOKUP(AA$1,Assumptions!$A$70:$B$90,2,0),0)</f>
        <v>223798.10221000001</v>
      </c>
      <c r="AB9" s="8">
        <f>IF(AB$1&lt;=MACRS_DEP_PERIOD_OH+1,AB5*VLOOKUP(AB$1,Assumptions!$A$70:$B$90,2,0),0)</f>
        <v>0</v>
      </c>
      <c r="AC9" s="8">
        <f>IF(AC$1&lt;=MACRS_DEP_PERIOD_OH+1,AC5*VLOOKUP(AC$1,Assumptions!$A$70:$B$90,2,0),0)</f>
        <v>0</v>
      </c>
      <c r="AD9" s="8">
        <f>IF(AD$1&lt;=MACRS_DEP_PERIOD_OH+1,AD5*VLOOKUP(AD$1,Assumptions!$A$70:$B$90,2,0),0)</f>
        <v>0</v>
      </c>
      <c r="AE9" s="8">
        <f>IF(AE$1&lt;=MACRS_DEP_PERIOD_OH+1,AE5*VLOOKUP(AE$1,Assumptions!$A$70:$B$90,2,0),0)</f>
        <v>0</v>
      </c>
      <c r="AF9" s="8">
        <f>IF(AF$1&lt;=MACRS_DEP_PERIOD_OH+1,AF5*VLOOKUP(AF$1,Assumptions!$A$70:$B$90,2,0),0)</f>
        <v>0</v>
      </c>
      <c r="AG9" s="8">
        <f>IF(AG$1&lt;=MACRS_DEP_PERIOD_OH+1,AG5*VLOOKUP(AG$1,Assumptions!$A$70:$B$90,2,0),0)</f>
        <v>0</v>
      </c>
      <c r="AH9" s="8">
        <f>IF(AH$1&lt;=MACRS_DEP_PERIOD_OH+1,AH5*VLOOKUP(AH$1,Assumptions!$A$70:$B$90,2,0),0)</f>
        <v>0</v>
      </c>
      <c r="AI9" s="8">
        <f>IF(AI$1&lt;=MACRS_DEP_PERIOD_OH+1,AI5*VLOOKUP(AI$1,Assumptions!$A$70:$B$90,2,0),0)</f>
        <v>0</v>
      </c>
      <c r="AJ9" s="8">
        <f>IF(AJ$1&lt;=MACRS_DEP_PERIOD_OH+1,AJ5*VLOOKUP(AJ$1,Assumptions!$A$70:$B$90,2,0),0)</f>
        <v>0</v>
      </c>
      <c r="AK9" s="8">
        <f>IF(AK$1&lt;=MACRS_DEP_PERIOD_OH+1,AK5*VLOOKUP(AK$1,Assumptions!$A$70:$B$90,2,0),0)</f>
        <v>0</v>
      </c>
      <c r="AL9" s="8">
        <f>IF(AL$1&lt;=MACRS_DEP_PERIOD_OH+1,AL5*VLOOKUP(AL$1,Assumptions!$A$70:$B$90,2,0),0)</f>
        <v>0</v>
      </c>
      <c r="AM9" s="8">
        <f>IF(AM$1&lt;=MACRS_DEP_PERIOD_OH+1,AM5*VLOOKUP(AM$1,Assumptions!$A$70:$B$90,2,0),0)</f>
        <v>0</v>
      </c>
      <c r="AN9" s="8">
        <f>IF(AN$1&lt;=MACRS_DEP_PERIOD_OH+1,AN5*VLOOKUP(AN$1,Assumptions!$A$70:$B$90,2,0),0)</f>
        <v>0</v>
      </c>
      <c r="AO9" s="8">
        <f>IF(AO$1&lt;=MACRS_DEP_PERIOD_OH+1,AO5*VLOOKUP(AO$1,Assumptions!$A$70:$B$90,2,0),0)</f>
        <v>0</v>
      </c>
      <c r="AP9" s="8">
        <f>IF(AP$1&lt;=MACRS_DEP_PERIOD_OH+1,AP5*VLOOKUP(AP$1,Assumptions!$A$70:$B$90,2,0),0)</f>
        <v>0</v>
      </c>
      <c r="AQ9" s="8">
        <f>IF(AQ$1&lt;=MACRS_DEP_PERIOD_OH+1,AQ5*VLOOKUP(AQ$1,Assumptions!$A$70:$B$90,2,0),0)</f>
        <v>0</v>
      </c>
      <c r="AR9" s="8">
        <f>IF(AR$1&lt;=MACRS_DEP_PERIOD_OH+1,AR5*VLOOKUP(AR$1,Assumptions!$A$70:$B$90,2,0),0)</f>
        <v>0</v>
      </c>
      <c r="AS9" s="8">
        <f>IF(AS$1&lt;=MACRS_DEP_PERIOD_OH+1,AS5*VLOOKUP(AS$1,Assumptions!$A$70:$B$90,2,0),0)</f>
        <v>0</v>
      </c>
      <c r="AT9" s="8">
        <f>IF(AT$1&lt;=MACRS_DEP_PERIOD_OH+1,AT5*VLOOKUP(AT$1,Assumptions!$A$70:$B$90,2,0),0)</f>
        <v>0</v>
      </c>
      <c r="AU9" s="8">
        <f>IF(AU$1&lt;=MACRS_DEP_PERIOD_OH+1,AU5*VLOOKUP(AU$1,Assumptions!$A$70:$B$90,2,0),0)</f>
        <v>0</v>
      </c>
      <c r="AV9" s="8">
        <f>IF(AV$1&lt;=MACRS_DEP_PERIOD_OH+1,AV5*VLOOKUP(AV$1,Assumptions!$A$70:$B$90,2,0),0)</f>
        <v>0</v>
      </c>
      <c r="AW9" s="8">
        <f>IF(AW$1&lt;=MACRS_DEP_PERIOD_OH+1,AW5*VLOOKUP(AW$1,Assumptions!$A$70:$B$90,2,0),0)</f>
        <v>0</v>
      </c>
      <c r="AX9" s="8">
        <f>IF(AX$1&lt;=MACRS_DEP_PERIOD_OH+1,AX5*VLOOKUP(AX$1,Assumptions!$A$70:$B$90,2,0),0)</f>
        <v>0</v>
      </c>
      <c r="AY9" s="8">
        <f>IF(AY$1&lt;=MACRS_DEP_PERIOD_OH+1,AY5*VLOOKUP(AY$1,Assumptions!$A$70:$B$90,2,0),0)</f>
        <v>0</v>
      </c>
      <c r="AZ9" s="8">
        <f>IF(AZ$1&lt;=MACRS_DEP_PERIOD_OH+1,AZ5*VLOOKUP(AZ$1,Assumptions!$A$70:$B$90,2,0),0)</f>
        <v>0</v>
      </c>
      <c r="BA9" s="8">
        <f>IF(BA$1&lt;=MACRS_DEP_PERIOD_OH+1,BA5*VLOOKUP(BA$1,Assumptions!$A$70:$B$90,2,0),0)</f>
        <v>0</v>
      </c>
      <c r="BB9" s="8">
        <f>IF(BB$1&lt;=MACRS_DEP_PERIOD_OH+1,BB5*VLOOKUP(BB$1,Assumptions!$A$70:$B$90,2,0),0)</f>
        <v>0</v>
      </c>
      <c r="BC9" s="8">
        <f>IF(BC$1&lt;=MACRS_DEP_PERIOD_OH+1,BC5*VLOOKUP(BC$1,Assumptions!$A$70:$B$90,2,0),0)</f>
        <v>0</v>
      </c>
      <c r="BD9" s="8">
        <f>IF(BD$1&lt;=MACRS_DEP_PERIOD_OH+1,BD5*VLOOKUP(BD$1,Assumptions!$A$70:$B$90,2,0),0)</f>
        <v>0</v>
      </c>
      <c r="BE9" s="8">
        <f>IF(BE$1&lt;=MACRS_DEP_PERIOD_OH+1,BE5*VLOOKUP(BE$1,Assumptions!$A$70:$B$90,2,0),0)</f>
        <v>0</v>
      </c>
      <c r="BF9" s="8">
        <f>IF(BF$1&lt;=MACRS_DEP_PERIOD_OH+1,BF5*VLOOKUP(BF$1,Assumptions!$A$70:$B$90,2,0),0)</f>
        <v>0</v>
      </c>
      <c r="BG9" s="8">
        <f>IF(BG$1&lt;=MACRS_DEP_PERIOD_OH+1,BG5*VLOOKUP(BG$1,Assumptions!$A$70:$B$90,2,0),0)</f>
        <v>0</v>
      </c>
      <c r="BH9" s="8">
        <f>IF(BH$1&lt;=MACRS_DEP_PERIOD_OH+1,BH5*VLOOKUP(BH$1,Assumptions!$A$70:$B$90,2,0),0)</f>
        <v>0</v>
      </c>
      <c r="BI9" s="8">
        <f>IF(BI$1&lt;=MACRS_DEP_PERIOD_OH+1,BI5*VLOOKUP(BI$1,Assumptions!$A$70:$B$90,2,0),0)</f>
        <v>0</v>
      </c>
      <c r="BJ9" s="8">
        <f>IF(BJ$1&lt;=MACRS_DEP_PERIOD_OH+1,BJ5*VLOOKUP(BJ$1,Assumptions!$A$70:$B$90,2,0),0)</f>
        <v>0</v>
      </c>
      <c r="BK9" s="8">
        <f>IF(BK$1&lt;=MACRS_DEP_PERIOD_OH+1,BK5*VLOOKUP(BK$1,Assumptions!$A$70:$B$90,2,0),0)</f>
        <v>0</v>
      </c>
      <c r="BL9" s="8">
        <f>IF(BL$1&lt;=MACRS_DEP_PERIOD_OH+1,BL5*VLOOKUP(BL$1,Assumptions!$A$70:$B$90,2,0),0)</f>
        <v>0</v>
      </c>
      <c r="BM9" s="8">
        <f>IF(BM$1&lt;=MACRS_DEP_PERIOD_OH+1,BM5*VLOOKUP(BM$1,Assumptions!$A$70:$B$90,2,0),0)</f>
        <v>0</v>
      </c>
      <c r="BN9" s="8">
        <f>IF(BN$1&lt;=MACRS_DEP_PERIOD_OH+1,BN5*VLOOKUP(BN$1,Assumptions!$A$70:$B$90,2,0),0)</f>
        <v>0</v>
      </c>
      <c r="BO9" s="8">
        <f>IF(BO$1&lt;=MACRS_DEP_PERIOD_OH+1,BO5*VLOOKUP(BO$1,Assumptions!$A$70:$B$90,2,0),0)</f>
        <v>0</v>
      </c>
      <c r="BP9" s="8">
        <f>IF(BP$1&lt;=MACRS_DEP_PERIOD_OH+1,BP5*VLOOKUP(BP$1,Assumptions!$A$70:$B$90,2,0),0)</f>
        <v>0</v>
      </c>
      <c r="BQ9" s="8">
        <f>IF(BQ$1&lt;=MACRS_DEP_PERIOD_OH+1,BQ5*VLOOKUP(BQ$1,Assumptions!$A$70:$B$90,2,0),0)</f>
        <v>0</v>
      </c>
    </row>
    <row r="10" spans="1:69" x14ac:dyDescent="0.4">
      <c r="A10" t="s">
        <v>37</v>
      </c>
      <c r="B10" t="s">
        <v>15</v>
      </c>
      <c r="C10" t="s">
        <v>127</v>
      </c>
      <c r="D10" t="s">
        <v>170</v>
      </c>
      <c r="F10" s="8">
        <v>0</v>
      </c>
      <c r="G10" s="8">
        <f>F11</f>
        <v>0</v>
      </c>
      <c r="H10" s="8">
        <f t="shared" ref="H10:BQ10" si="4">G11</f>
        <v>-48653.015261374996</v>
      </c>
      <c r="I10" s="8">
        <f t="shared" si="4"/>
        <v>-193750.20763229849</v>
      </c>
      <c r="J10" s="8">
        <f t="shared" si="4"/>
        <v>-323778.86613369896</v>
      </c>
      <c r="K10" s="8">
        <f t="shared" si="4"/>
        <v>-439906.66313184949</v>
      </c>
      <c r="L10" s="8">
        <f t="shared" si="4"/>
        <v>-543134.460654984</v>
      </c>
      <c r="M10" s="8">
        <f t="shared" si="4"/>
        <v>-634463.12073133653</v>
      </c>
      <c r="N10" s="8">
        <f t="shared" si="4"/>
        <v>-714754.4967741085</v>
      </c>
      <c r="O10" s="8">
        <f t="shared" si="4"/>
        <v>-784870.44219650154</v>
      </c>
      <c r="P10" s="8">
        <f t="shared" si="4"/>
        <v>-853318.28423850448</v>
      </c>
      <c r="Q10" s="8">
        <f t="shared" si="4"/>
        <v>-921738.32455750101</v>
      </c>
      <c r="R10" s="8">
        <f t="shared" si="4"/>
        <v>-990186.16659950395</v>
      </c>
      <c r="S10" s="8">
        <f t="shared" si="4"/>
        <v>-1058606.2069185004</v>
      </c>
      <c r="T10" s="8">
        <f t="shared" si="4"/>
        <v>-1127054.0489605034</v>
      </c>
      <c r="U10" s="8">
        <f t="shared" si="4"/>
        <v>-1195474.0892794998</v>
      </c>
      <c r="V10" s="8">
        <f t="shared" si="4"/>
        <v>-1263921.9313215029</v>
      </c>
      <c r="W10" s="8">
        <f t="shared" si="4"/>
        <v>-1332341.9716404993</v>
      </c>
      <c r="X10" s="8">
        <f t="shared" si="4"/>
        <v>-1400789.8136825024</v>
      </c>
      <c r="Y10" s="8">
        <f t="shared" si="4"/>
        <v>-1469209.8540014988</v>
      </c>
      <c r="Z10" s="8">
        <f t="shared" si="4"/>
        <v>-1537657.6960435018</v>
      </c>
      <c r="AA10" s="8">
        <f t="shared" si="4"/>
        <v>-1606077.7363624983</v>
      </c>
      <c r="AB10" s="8">
        <f t="shared" si="4"/>
        <v>-1612499.9343769997</v>
      </c>
      <c r="AC10" s="8">
        <f t="shared" si="4"/>
        <v>-1556896.4883639996</v>
      </c>
      <c r="AD10" s="8">
        <f t="shared" si="4"/>
        <v>-1501293.0423509995</v>
      </c>
      <c r="AE10" s="8">
        <f t="shared" si="4"/>
        <v>-1445689.5963379995</v>
      </c>
      <c r="AF10" s="8">
        <f t="shared" si="4"/>
        <v>-1390086.1503249994</v>
      </c>
      <c r="AG10" s="8">
        <f t="shared" si="4"/>
        <v>-1334482.7043119993</v>
      </c>
      <c r="AH10" s="8">
        <f t="shared" si="4"/>
        <v>-1278879.2582989992</v>
      </c>
      <c r="AI10" s="8">
        <f t="shared" si="4"/>
        <v>-1223275.8122859991</v>
      </c>
      <c r="AJ10" s="8">
        <f t="shared" si="4"/>
        <v>-1167672.366272999</v>
      </c>
      <c r="AK10" s="8">
        <f t="shared" si="4"/>
        <v>-1112068.9202599989</v>
      </c>
      <c r="AL10" s="8">
        <f t="shared" si="4"/>
        <v>-1056465.4742469988</v>
      </c>
      <c r="AM10" s="8">
        <f t="shared" si="4"/>
        <v>-1000862.0282339988</v>
      </c>
      <c r="AN10" s="8">
        <f t="shared" si="4"/>
        <v>-945258.58222099883</v>
      </c>
      <c r="AO10" s="8">
        <f t="shared" si="4"/>
        <v>-889655.13620799885</v>
      </c>
      <c r="AP10" s="8">
        <f t="shared" si="4"/>
        <v>-834051.69019499887</v>
      </c>
      <c r="AQ10" s="8">
        <f t="shared" si="4"/>
        <v>-778448.24418199889</v>
      </c>
      <c r="AR10" s="8">
        <f t="shared" si="4"/>
        <v>-722844.79816899891</v>
      </c>
      <c r="AS10" s="8">
        <f t="shared" si="4"/>
        <v>-667241.35215599893</v>
      </c>
      <c r="AT10" s="8">
        <f t="shared" si="4"/>
        <v>-611637.90614299895</v>
      </c>
      <c r="AU10" s="8">
        <f t="shared" si="4"/>
        <v>-556034.46012999897</v>
      </c>
      <c r="AV10" s="8">
        <f t="shared" si="4"/>
        <v>-500431.01411699899</v>
      </c>
      <c r="AW10" s="8">
        <f t="shared" si="4"/>
        <v>-444827.56810399902</v>
      </c>
      <c r="AX10" s="8">
        <f t="shared" si="4"/>
        <v>-389224.12209099904</v>
      </c>
      <c r="AY10" s="8">
        <f t="shared" si="4"/>
        <v>-333620.67607799906</v>
      </c>
      <c r="AZ10" s="8">
        <f t="shared" si="4"/>
        <v>-278017.23006499908</v>
      </c>
      <c r="BA10" s="8">
        <f t="shared" si="4"/>
        <v>-222413.78405199907</v>
      </c>
      <c r="BB10" s="8">
        <f t="shared" si="4"/>
        <v>-166810.33803899906</v>
      </c>
      <c r="BC10" s="8">
        <f t="shared" si="4"/>
        <v>-111206.89202599906</v>
      </c>
      <c r="BD10" s="8">
        <f t="shared" si="4"/>
        <v>-55603.446012999055</v>
      </c>
      <c r="BE10" s="8">
        <f t="shared" si="4"/>
        <v>9.4587448984384537E-10</v>
      </c>
      <c r="BF10" s="8">
        <f t="shared" si="4"/>
        <v>9.4587448984384537E-10</v>
      </c>
      <c r="BG10" s="8">
        <f t="shared" si="4"/>
        <v>9.4587448984384537E-10</v>
      </c>
      <c r="BH10" s="8">
        <f t="shared" si="4"/>
        <v>9.4587448984384537E-10</v>
      </c>
      <c r="BI10" s="8">
        <f t="shared" si="4"/>
        <v>9.4587448984384537E-10</v>
      </c>
      <c r="BJ10" s="8">
        <f t="shared" si="4"/>
        <v>9.4587448984384537E-10</v>
      </c>
      <c r="BK10" s="8">
        <f t="shared" si="4"/>
        <v>9.4587448984384537E-10</v>
      </c>
      <c r="BL10" s="8">
        <f t="shared" si="4"/>
        <v>9.4587448984384537E-10</v>
      </c>
      <c r="BM10" s="8">
        <f t="shared" si="4"/>
        <v>9.4587448984384537E-10</v>
      </c>
      <c r="BN10" s="8">
        <f t="shared" si="4"/>
        <v>9.4587448984384537E-10</v>
      </c>
      <c r="BO10" s="8">
        <f t="shared" si="4"/>
        <v>9.4587448984384537E-10</v>
      </c>
      <c r="BP10" s="8">
        <f t="shared" si="4"/>
        <v>9.4587448984384537E-10</v>
      </c>
      <c r="BQ10" s="8">
        <f t="shared" si="4"/>
        <v>9.4587448984384537E-10</v>
      </c>
    </row>
    <row r="11" spans="1:69" x14ac:dyDescent="0.4">
      <c r="A11" t="s">
        <v>37</v>
      </c>
      <c r="B11" t="s">
        <v>15</v>
      </c>
      <c r="C11" t="s">
        <v>127</v>
      </c>
      <c r="D11" t="s">
        <v>171</v>
      </c>
      <c r="F11" s="8"/>
      <c r="G11" s="8">
        <f t="shared" ref="G11:AL11" si="5">F11+((G15-G9)*INC_TAX_RATE)</f>
        <v>-48653.015261374996</v>
      </c>
      <c r="H11" s="8">
        <f t="shared" si="5"/>
        <v>-193750.20763229849</v>
      </c>
      <c r="I11" s="8">
        <f t="shared" si="5"/>
        <v>-323778.86613369896</v>
      </c>
      <c r="J11" s="8">
        <f t="shared" si="5"/>
        <v>-439906.66313184949</v>
      </c>
      <c r="K11" s="8">
        <f t="shared" si="5"/>
        <v>-543134.460654984</v>
      </c>
      <c r="L11" s="8">
        <f t="shared" si="5"/>
        <v>-634463.12073133653</v>
      </c>
      <c r="M11" s="8">
        <f t="shared" si="5"/>
        <v>-714754.4967741085</v>
      </c>
      <c r="N11" s="8">
        <f t="shared" si="5"/>
        <v>-784870.44219650154</v>
      </c>
      <c r="O11" s="8">
        <f t="shared" si="5"/>
        <v>-853318.28423850448</v>
      </c>
      <c r="P11" s="8">
        <f t="shared" si="5"/>
        <v>-921738.32455750101</v>
      </c>
      <c r="Q11" s="8">
        <f t="shared" si="5"/>
        <v>-990186.16659950395</v>
      </c>
      <c r="R11" s="8">
        <f t="shared" si="5"/>
        <v>-1058606.2069185004</v>
      </c>
      <c r="S11" s="8">
        <f t="shared" si="5"/>
        <v>-1127054.0489605034</v>
      </c>
      <c r="T11" s="8">
        <f t="shared" si="5"/>
        <v>-1195474.0892794998</v>
      </c>
      <c r="U11" s="8">
        <f t="shared" si="5"/>
        <v>-1263921.9313215029</v>
      </c>
      <c r="V11" s="8">
        <f t="shared" si="5"/>
        <v>-1332341.9716404993</v>
      </c>
      <c r="W11" s="8">
        <f t="shared" si="5"/>
        <v>-1400789.8136825024</v>
      </c>
      <c r="X11" s="8">
        <f t="shared" si="5"/>
        <v>-1469209.8540014988</v>
      </c>
      <c r="Y11" s="8">
        <f t="shared" si="5"/>
        <v>-1537657.6960435018</v>
      </c>
      <c r="Z11" s="8">
        <f t="shared" si="5"/>
        <v>-1606077.7363624983</v>
      </c>
      <c r="AA11" s="8">
        <f t="shared" si="5"/>
        <v>-1612499.9343769997</v>
      </c>
      <c r="AB11" s="8">
        <f t="shared" si="5"/>
        <v>-1556896.4883639996</v>
      </c>
      <c r="AC11" s="8">
        <f t="shared" si="5"/>
        <v>-1501293.0423509995</v>
      </c>
      <c r="AD11" s="8">
        <f t="shared" si="5"/>
        <v>-1445689.5963379995</v>
      </c>
      <c r="AE11" s="8">
        <f t="shared" si="5"/>
        <v>-1390086.1503249994</v>
      </c>
      <c r="AF11" s="8">
        <f t="shared" si="5"/>
        <v>-1334482.7043119993</v>
      </c>
      <c r="AG11" s="8">
        <f t="shared" si="5"/>
        <v>-1278879.2582989992</v>
      </c>
      <c r="AH11" s="8">
        <f t="shared" si="5"/>
        <v>-1223275.8122859991</v>
      </c>
      <c r="AI11" s="8">
        <f t="shared" si="5"/>
        <v>-1167672.366272999</v>
      </c>
      <c r="AJ11" s="8">
        <f t="shared" si="5"/>
        <v>-1112068.9202599989</v>
      </c>
      <c r="AK11" s="8">
        <f t="shared" si="5"/>
        <v>-1056465.4742469988</v>
      </c>
      <c r="AL11" s="8">
        <f t="shared" si="5"/>
        <v>-1000862.0282339988</v>
      </c>
      <c r="AM11" s="8">
        <f t="shared" ref="AM11:BQ11" si="6">AL11+((AM15-AM9)*INC_TAX_RATE)</f>
        <v>-945258.58222099883</v>
      </c>
      <c r="AN11" s="8">
        <f t="shared" si="6"/>
        <v>-889655.13620799885</v>
      </c>
      <c r="AO11" s="8">
        <f t="shared" si="6"/>
        <v>-834051.69019499887</v>
      </c>
      <c r="AP11" s="8">
        <f t="shared" si="6"/>
        <v>-778448.24418199889</v>
      </c>
      <c r="AQ11" s="8">
        <f t="shared" si="6"/>
        <v>-722844.79816899891</v>
      </c>
      <c r="AR11" s="8">
        <f t="shared" si="6"/>
        <v>-667241.35215599893</v>
      </c>
      <c r="AS11" s="8">
        <f t="shared" si="6"/>
        <v>-611637.90614299895</v>
      </c>
      <c r="AT11" s="8">
        <f t="shared" si="6"/>
        <v>-556034.46012999897</v>
      </c>
      <c r="AU11" s="8">
        <f t="shared" si="6"/>
        <v>-500431.01411699899</v>
      </c>
      <c r="AV11" s="8">
        <f t="shared" si="6"/>
        <v>-444827.56810399902</v>
      </c>
      <c r="AW11" s="8">
        <f t="shared" si="6"/>
        <v>-389224.12209099904</v>
      </c>
      <c r="AX11" s="8">
        <f t="shared" si="6"/>
        <v>-333620.67607799906</v>
      </c>
      <c r="AY11" s="8">
        <f t="shared" si="6"/>
        <v>-278017.23006499908</v>
      </c>
      <c r="AZ11" s="8">
        <f t="shared" si="6"/>
        <v>-222413.78405199907</v>
      </c>
      <c r="BA11" s="8">
        <f t="shared" si="6"/>
        <v>-166810.33803899906</v>
      </c>
      <c r="BB11" s="8">
        <f t="shared" si="6"/>
        <v>-111206.89202599906</v>
      </c>
      <c r="BC11" s="8">
        <f t="shared" si="6"/>
        <v>-55603.446012999055</v>
      </c>
      <c r="BD11" s="8">
        <f t="shared" si="6"/>
        <v>9.4587448984384537E-10</v>
      </c>
      <c r="BE11" s="8">
        <f t="shared" si="6"/>
        <v>9.4587448984384537E-10</v>
      </c>
      <c r="BF11" s="8">
        <f t="shared" si="6"/>
        <v>9.4587448984384537E-10</v>
      </c>
      <c r="BG11" s="8">
        <f t="shared" si="6"/>
        <v>9.4587448984384537E-10</v>
      </c>
      <c r="BH11" s="8">
        <f t="shared" si="6"/>
        <v>9.4587448984384537E-10</v>
      </c>
      <c r="BI11" s="8">
        <f t="shared" si="6"/>
        <v>9.4587448984384537E-10</v>
      </c>
      <c r="BJ11" s="8">
        <f t="shared" si="6"/>
        <v>9.4587448984384537E-10</v>
      </c>
      <c r="BK11" s="8">
        <f t="shared" si="6"/>
        <v>9.4587448984384537E-10</v>
      </c>
      <c r="BL11" s="8">
        <f t="shared" si="6"/>
        <v>9.4587448984384537E-10</v>
      </c>
      <c r="BM11" s="8">
        <f t="shared" si="6"/>
        <v>9.4587448984384537E-10</v>
      </c>
      <c r="BN11" s="8">
        <f t="shared" si="6"/>
        <v>9.4587448984384537E-10</v>
      </c>
      <c r="BO11" s="8">
        <f t="shared" si="6"/>
        <v>9.4587448984384537E-10</v>
      </c>
      <c r="BP11" s="8">
        <f t="shared" si="6"/>
        <v>9.4587448984384537E-10</v>
      </c>
      <c r="BQ11" s="8">
        <f t="shared" si="6"/>
        <v>9.4587448984384537E-10</v>
      </c>
    </row>
    <row r="12" spans="1:69" x14ac:dyDescent="0.4">
      <c r="A12" t="s">
        <v>37</v>
      </c>
      <c r="B12" t="s">
        <v>15</v>
      </c>
      <c r="C12" t="s">
        <v>127</v>
      </c>
      <c r="D12" t="s">
        <v>158</v>
      </c>
      <c r="F12" s="8"/>
      <c r="G12" s="8">
        <f>AVERAGE(G7:G8)+AVERAGE(G10:G11)</f>
        <v>9906651.5823693126</v>
      </c>
      <c r="H12" s="8">
        <f t="shared" ref="H12:BQ12" si="7">AVERAGE(H7:H8)+AVERAGE(H10:H11)</f>
        <v>9609150.6585531626</v>
      </c>
      <c r="I12" s="8">
        <f t="shared" si="7"/>
        <v>9270961.9131170008</v>
      </c>
      <c r="J12" s="8">
        <f t="shared" si="7"/>
        <v>8947257.8653672244</v>
      </c>
      <c r="K12" s="8">
        <f t="shared" si="7"/>
        <v>8636954.248106584</v>
      </c>
      <c r="L12" s="8">
        <f t="shared" si="7"/>
        <v>8339050.1993068401</v>
      </c>
      <c r="M12" s="8">
        <f t="shared" si="7"/>
        <v>8052614.3612472769</v>
      </c>
      <c r="N12" s="8">
        <f t="shared" si="7"/>
        <v>7776784.8805146944</v>
      </c>
      <c r="O12" s="8">
        <f t="shared" si="7"/>
        <v>7506877.1667824965</v>
      </c>
      <c r="P12" s="8">
        <f t="shared" si="7"/>
        <v>7237817.405601996</v>
      </c>
      <c r="Q12" s="8">
        <f t="shared" si="7"/>
        <v>6968757.6444214974</v>
      </c>
      <c r="R12" s="8">
        <f t="shared" si="7"/>
        <v>6699697.8832409978</v>
      </c>
      <c r="S12" s="8">
        <f t="shared" si="7"/>
        <v>6430638.1220604982</v>
      </c>
      <c r="T12" s="8">
        <f t="shared" si="7"/>
        <v>6161578.3608799987</v>
      </c>
      <c r="U12" s="8">
        <f t="shared" si="7"/>
        <v>5892518.5996994982</v>
      </c>
      <c r="V12" s="8">
        <f t="shared" si="7"/>
        <v>5623458.8385189995</v>
      </c>
      <c r="W12" s="8">
        <f t="shared" si="7"/>
        <v>5354399.0773384999</v>
      </c>
      <c r="X12" s="8">
        <f t="shared" si="7"/>
        <v>5085339.3161580004</v>
      </c>
      <c r="Y12" s="8">
        <f t="shared" si="7"/>
        <v>4816279.5549774999</v>
      </c>
      <c r="Z12" s="8">
        <f t="shared" si="7"/>
        <v>4547219.7937970012</v>
      </c>
      <c r="AA12" s="8">
        <f t="shared" si="7"/>
        <v>4309172.8546302523</v>
      </c>
      <c r="AB12" s="8">
        <f t="shared" si="7"/>
        <v>4133137.6586295012</v>
      </c>
      <c r="AC12" s="8">
        <f t="shared" si="7"/>
        <v>3988115.2846425013</v>
      </c>
      <c r="AD12" s="8">
        <f t="shared" si="7"/>
        <v>3843092.9106555008</v>
      </c>
      <c r="AE12" s="8">
        <f t="shared" si="7"/>
        <v>3698070.5366685009</v>
      </c>
      <c r="AF12" s="8">
        <f t="shared" si="7"/>
        <v>3553048.1626815004</v>
      </c>
      <c r="AG12" s="8">
        <f t="shared" si="7"/>
        <v>3408025.7886945005</v>
      </c>
      <c r="AH12" s="8">
        <f t="shared" si="7"/>
        <v>3263003.4147075</v>
      </c>
      <c r="AI12" s="8">
        <f t="shared" si="7"/>
        <v>3117981.0407205001</v>
      </c>
      <c r="AJ12" s="8">
        <f t="shared" si="7"/>
        <v>2972958.6667334996</v>
      </c>
      <c r="AK12" s="8">
        <f t="shared" si="7"/>
        <v>2827936.2927464996</v>
      </c>
      <c r="AL12" s="8">
        <f t="shared" si="7"/>
        <v>2682913.9187594992</v>
      </c>
      <c r="AM12" s="8">
        <f t="shared" si="7"/>
        <v>2537891.5447724992</v>
      </c>
      <c r="AN12" s="8">
        <f t="shared" si="7"/>
        <v>2392869.1707854988</v>
      </c>
      <c r="AO12" s="8">
        <f t="shared" si="7"/>
        <v>2247846.7967984984</v>
      </c>
      <c r="AP12" s="8">
        <f t="shared" si="7"/>
        <v>2102824.4228114979</v>
      </c>
      <c r="AQ12" s="8">
        <f t="shared" si="7"/>
        <v>1957802.0488244977</v>
      </c>
      <c r="AR12" s="8">
        <f t="shared" si="7"/>
        <v>1812779.6748374973</v>
      </c>
      <c r="AS12" s="8">
        <f t="shared" si="7"/>
        <v>1667757.3008504971</v>
      </c>
      <c r="AT12" s="8">
        <f t="shared" si="7"/>
        <v>1522734.9268634967</v>
      </c>
      <c r="AU12" s="8">
        <f t="shared" si="7"/>
        <v>1377712.5528764965</v>
      </c>
      <c r="AV12" s="8">
        <f t="shared" si="7"/>
        <v>1232690.178889496</v>
      </c>
      <c r="AW12" s="8">
        <f t="shared" si="7"/>
        <v>1087667.8049024958</v>
      </c>
      <c r="AX12" s="8">
        <f t="shared" si="7"/>
        <v>942645.43091549538</v>
      </c>
      <c r="AY12" s="8">
        <f t="shared" si="7"/>
        <v>797623.05692849518</v>
      </c>
      <c r="AZ12" s="8">
        <f t="shared" si="7"/>
        <v>652600.68294149474</v>
      </c>
      <c r="BA12" s="8">
        <f t="shared" si="7"/>
        <v>507578.30895449454</v>
      </c>
      <c r="BB12" s="8">
        <f t="shared" si="7"/>
        <v>362555.93496749422</v>
      </c>
      <c r="BC12" s="8">
        <f t="shared" si="7"/>
        <v>217533.56098049396</v>
      </c>
      <c r="BD12" s="8">
        <f t="shared" si="7"/>
        <v>72511.186993497366</v>
      </c>
      <c r="BE12" s="8">
        <f t="shared" si="7"/>
        <v>9.4587448984384537E-10</v>
      </c>
      <c r="BF12" s="8">
        <f t="shared" si="7"/>
        <v>9.4587448984384537E-10</v>
      </c>
      <c r="BG12" s="8">
        <f t="shared" si="7"/>
        <v>9.4587448984384537E-10</v>
      </c>
      <c r="BH12" s="8">
        <f t="shared" si="7"/>
        <v>9.4587448984384537E-10</v>
      </c>
      <c r="BI12" s="8">
        <f t="shared" si="7"/>
        <v>9.4587448984384537E-10</v>
      </c>
      <c r="BJ12" s="8">
        <f t="shared" si="7"/>
        <v>9.4587448984384537E-10</v>
      </c>
      <c r="BK12" s="8">
        <f t="shared" si="7"/>
        <v>9.4587448984384537E-10</v>
      </c>
      <c r="BL12" s="8">
        <f t="shared" si="7"/>
        <v>9.4587448984384537E-10</v>
      </c>
      <c r="BM12" s="8">
        <f t="shared" si="7"/>
        <v>9.4587448984384537E-10</v>
      </c>
      <c r="BN12" s="8">
        <f t="shared" si="7"/>
        <v>9.4587448984384537E-10</v>
      </c>
      <c r="BO12" s="8">
        <f t="shared" si="7"/>
        <v>9.4587448984384537E-10</v>
      </c>
      <c r="BP12" s="8">
        <f t="shared" si="7"/>
        <v>9.4587448984384537E-10</v>
      </c>
      <c r="BQ12" s="8">
        <f t="shared" si="7"/>
        <v>9.4587448984384537E-10</v>
      </c>
    </row>
    <row r="13" spans="1:69" x14ac:dyDescent="0.4"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  <c r="BC13" s="216"/>
      <c r="BD13" s="216"/>
      <c r="BE13" s="216"/>
      <c r="BF13" s="216"/>
      <c r="BG13" s="216"/>
      <c r="BH13" s="216"/>
      <c r="BI13" s="216"/>
      <c r="BJ13" s="216"/>
      <c r="BK13" s="216"/>
      <c r="BL13" s="216"/>
      <c r="BM13" s="216"/>
      <c r="BN13" s="216"/>
      <c r="BO13" s="216"/>
      <c r="BP13" s="216"/>
      <c r="BQ13" s="216"/>
    </row>
    <row r="14" spans="1:69" x14ac:dyDescent="0.4">
      <c r="A14" t="s">
        <v>37</v>
      </c>
      <c r="B14" t="s">
        <v>15</v>
      </c>
      <c r="C14" t="s">
        <v>127</v>
      </c>
      <c r="D14" t="s">
        <v>128</v>
      </c>
      <c r="E14" s="13"/>
      <c r="F14" s="8"/>
      <c r="G14" s="8">
        <f t="shared" ref="G14:AL14" si="8">G12*AVG_PRE_TAX_RATE</f>
        <v>884663.98630557966</v>
      </c>
      <c r="H14" s="8">
        <f t="shared" si="8"/>
        <v>858097.15380879748</v>
      </c>
      <c r="I14" s="8">
        <f t="shared" si="8"/>
        <v>827896.89884134824</v>
      </c>
      <c r="J14" s="8">
        <f t="shared" si="8"/>
        <v>798990.12737729319</v>
      </c>
      <c r="K14" s="8">
        <f t="shared" si="8"/>
        <v>771280.01435591793</v>
      </c>
      <c r="L14" s="8">
        <f t="shared" si="8"/>
        <v>744677.18279810087</v>
      </c>
      <c r="M14" s="8">
        <f t="shared" si="8"/>
        <v>719098.4624593819</v>
      </c>
      <c r="N14" s="8">
        <f t="shared" si="8"/>
        <v>694466.88982996228</v>
      </c>
      <c r="O14" s="8">
        <f t="shared" si="8"/>
        <v>670364.13099367695</v>
      </c>
      <c r="P14" s="8">
        <f t="shared" si="8"/>
        <v>646337.09432025824</v>
      </c>
      <c r="Q14" s="8">
        <f t="shared" si="8"/>
        <v>622310.05764683976</v>
      </c>
      <c r="R14" s="8">
        <f t="shared" si="8"/>
        <v>598283.02097342117</v>
      </c>
      <c r="S14" s="8">
        <f t="shared" si="8"/>
        <v>574255.98430000257</v>
      </c>
      <c r="T14" s="8">
        <f t="shared" si="8"/>
        <v>550228.94762658386</v>
      </c>
      <c r="U14" s="8">
        <f t="shared" si="8"/>
        <v>526201.91095316526</v>
      </c>
      <c r="V14" s="8">
        <f t="shared" si="8"/>
        <v>502174.87427974667</v>
      </c>
      <c r="W14" s="8">
        <f t="shared" si="8"/>
        <v>478147.83760632807</v>
      </c>
      <c r="X14" s="8">
        <f t="shared" si="8"/>
        <v>454120.80093290948</v>
      </c>
      <c r="Y14" s="8">
        <f t="shared" si="8"/>
        <v>430093.76425949077</v>
      </c>
      <c r="Z14" s="8">
        <f t="shared" si="8"/>
        <v>406066.72758607223</v>
      </c>
      <c r="AA14" s="8">
        <f t="shared" si="8"/>
        <v>384809.13591848157</v>
      </c>
      <c r="AB14" s="8">
        <f t="shared" si="8"/>
        <v>369089.19291561446</v>
      </c>
      <c r="AC14" s="8">
        <f t="shared" si="8"/>
        <v>356138.69491857541</v>
      </c>
      <c r="AD14" s="8">
        <f t="shared" si="8"/>
        <v>343188.19692153623</v>
      </c>
      <c r="AE14" s="8">
        <f t="shared" si="8"/>
        <v>330237.69892449712</v>
      </c>
      <c r="AF14" s="8">
        <f t="shared" si="8"/>
        <v>317287.20092745801</v>
      </c>
      <c r="AG14" s="8">
        <f t="shared" si="8"/>
        <v>304336.70293041889</v>
      </c>
      <c r="AH14" s="8">
        <f t="shared" si="8"/>
        <v>291386.20493337978</v>
      </c>
      <c r="AI14" s="8">
        <f t="shared" si="8"/>
        <v>278435.70693634066</v>
      </c>
      <c r="AJ14" s="8">
        <f t="shared" si="8"/>
        <v>265485.20893930155</v>
      </c>
      <c r="AK14" s="8">
        <f t="shared" si="8"/>
        <v>252534.71094226243</v>
      </c>
      <c r="AL14" s="8">
        <f t="shared" si="8"/>
        <v>239584.21294522329</v>
      </c>
      <c r="AM14" s="8">
        <f t="shared" ref="AM14:BQ14" si="9">AM12*AVG_PRE_TAX_RATE</f>
        <v>226633.71494818421</v>
      </c>
      <c r="AN14" s="8">
        <f t="shared" si="9"/>
        <v>213683.21695114506</v>
      </c>
      <c r="AO14" s="8">
        <f t="shared" si="9"/>
        <v>200732.71895410592</v>
      </c>
      <c r="AP14" s="8">
        <f t="shared" si="9"/>
        <v>187782.22095706678</v>
      </c>
      <c r="AQ14" s="8">
        <f t="shared" si="9"/>
        <v>174831.72296002766</v>
      </c>
      <c r="AR14" s="8">
        <f t="shared" si="9"/>
        <v>161881.22496298852</v>
      </c>
      <c r="AS14" s="8">
        <f t="shared" si="9"/>
        <v>148930.7269659494</v>
      </c>
      <c r="AT14" s="8">
        <f t="shared" si="9"/>
        <v>135980.22896891026</v>
      </c>
      <c r="AU14" s="8">
        <f t="shared" si="9"/>
        <v>123029.73097187113</v>
      </c>
      <c r="AV14" s="8">
        <f t="shared" si="9"/>
        <v>110079.232974832</v>
      </c>
      <c r="AW14" s="8">
        <f t="shared" si="9"/>
        <v>97128.734977792876</v>
      </c>
      <c r="AX14" s="8">
        <f t="shared" si="9"/>
        <v>84178.236980753747</v>
      </c>
      <c r="AY14" s="8">
        <f t="shared" si="9"/>
        <v>71227.738983714618</v>
      </c>
      <c r="AZ14" s="8">
        <f t="shared" si="9"/>
        <v>58277.240986675482</v>
      </c>
      <c r="BA14" s="8">
        <f t="shared" si="9"/>
        <v>45326.742989636361</v>
      </c>
      <c r="BB14" s="8">
        <f t="shared" si="9"/>
        <v>32376.244992597236</v>
      </c>
      <c r="BC14" s="8">
        <f t="shared" si="9"/>
        <v>19425.746995558111</v>
      </c>
      <c r="BD14" s="8">
        <f t="shared" si="9"/>
        <v>6475.2489985193151</v>
      </c>
      <c r="BE14" s="8">
        <f t="shared" si="9"/>
        <v>8.4466591943055391E-11</v>
      </c>
      <c r="BF14" s="8">
        <f t="shared" si="9"/>
        <v>8.4466591943055391E-11</v>
      </c>
      <c r="BG14" s="8">
        <f t="shared" si="9"/>
        <v>8.4466591943055391E-11</v>
      </c>
      <c r="BH14" s="8">
        <f t="shared" si="9"/>
        <v>8.4466591943055391E-11</v>
      </c>
      <c r="BI14" s="8">
        <f t="shared" si="9"/>
        <v>8.4466591943055391E-11</v>
      </c>
      <c r="BJ14" s="8">
        <f t="shared" si="9"/>
        <v>8.4466591943055391E-11</v>
      </c>
      <c r="BK14" s="8">
        <f t="shared" si="9"/>
        <v>8.4466591943055391E-11</v>
      </c>
      <c r="BL14" s="8">
        <f t="shared" si="9"/>
        <v>8.4466591943055391E-11</v>
      </c>
      <c r="BM14" s="8">
        <f t="shared" si="9"/>
        <v>8.4466591943055391E-11</v>
      </c>
      <c r="BN14" s="8">
        <f t="shared" si="9"/>
        <v>8.4466591943055391E-11</v>
      </c>
      <c r="BO14" s="8">
        <f t="shared" si="9"/>
        <v>8.4466591943055391E-11</v>
      </c>
      <c r="BP14" s="8">
        <f t="shared" si="9"/>
        <v>8.4466591943055391E-11</v>
      </c>
      <c r="BQ14" s="8">
        <f t="shared" si="9"/>
        <v>8.4466591943055391E-11</v>
      </c>
    </row>
    <row r="15" spans="1:69" x14ac:dyDescent="0.4">
      <c r="A15" t="s">
        <v>37</v>
      </c>
      <c r="B15" t="s">
        <v>15</v>
      </c>
      <c r="C15" t="s">
        <v>127</v>
      </c>
      <c r="D15" t="s">
        <v>129</v>
      </c>
      <c r="E15" s="34"/>
      <c r="F15" s="8"/>
      <c r="G15" s="8">
        <f t="shared" ref="G15:AL15" si="10">G5/BOOK_DEP_PERIOD_OH</f>
        <v>200625.82</v>
      </c>
      <c r="H15" s="8">
        <f t="shared" si="10"/>
        <v>200625.82</v>
      </c>
      <c r="I15" s="8">
        <f t="shared" si="10"/>
        <v>200625.82</v>
      </c>
      <c r="J15" s="8">
        <f t="shared" si="10"/>
        <v>200625.82</v>
      </c>
      <c r="K15" s="8">
        <f t="shared" si="10"/>
        <v>200625.82</v>
      </c>
      <c r="L15" s="8">
        <f t="shared" si="10"/>
        <v>200625.82</v>
      </c>
      <c r="M15" s="8">
        <f t="shared" si="10"/>
        <v>200625.82</v>
      </c>
      <c r="N15" s="8">
        <f t="shared" si="10"/>
        <v>200625.82</v>
      </c>
      <c r="O15" s="8">
        <f t="shared" si="10"/>
        <v>200625.82</v>
      </c>
      <c r="P15" s="8">
        <f t="shared" si="10"/>
        <v>200625.82</v>
      </c>
      <c r="Q15" s="8">
        <f t="shared" si="10"/>
        <v>200625.82</v>
      </c>
      <c r="R15" s="8">
        <f t="shared" si="10"/>
        <v>200625.82</v>
      </c>
      <c r="S15" s="8">
        <f t="shared" si="10"/>
        <v>200625.82</v>
      </c>
      <c r="T15" s="8">
        <f t="shared" si="10"/>
        <v>200625.82</v>
      </c>
      <c r="U15" s="8">
        <f t="shared" si="10"/>
        <v>200625.82</v>
      </c>
      <c r="V15" s="8">
        <f t="shared" si="10"/>
        <v>200625.82</v>
      </c>
      <c r="W15" s="8">
        <f t="shared" si="10"/>
        <v>200625.82</v>
      </c>
      <c r="X15" s="8">
        <f t="shared" si="10"/>
        <v>200625.82</v>
      </c>
      <c r="Y15" s="8">
        <f t="shared" si="10"/>
        <v>200625.82</v>
      </c>
      <c r="Z15" s="8">
        <f t="shared" si="10"/>
        <v>200625.82</v>
      </c>
      <c r="AA15" s="8">
        <f t="shared" si="10"/>
        <v>200625.82</v>
      </c>
      <c r="AB15" s="8">
        <f t="shared" si="10"/>
        <v>200625.82</v>
      </c>
      <c r="AC15" s="8">
        <f t="shared" si="10"/>
        <v>200625.82</v>
      </c>
      <c r="AD15" s="8">
        <f t="shared" si="10"/>
        <v>200625.82</v>
      </c>
      <c r="AE15" s="8">
        <f t="shared" si="10"/>
        <v>200625.82</v>
      </c>
      <c r="AF15" s="8">
        <f t="shared" si="10"/>
        <v>200625.82</v>
      </c>
      <c r="AG15" s="8">
        <f t="shared" si="10"/>
        <v>200625.82</v>
      </c>
      <c r="AH15" s="8">
        <f t="shared" si="10"/>
        <v>200625.82</v>
      </c>
      <c r="AI15" s="8">
        <f t="shared" si="10"/>
        <v>200625.82</v>
      </c>
      <c r="AJ15" s="8">
        <f t="shared" si="10"/>
        <v>200625.82</v>
      </c>
      <c r="AK15" s="8">
        <f t="shared" si="10"/>
        <v>200625.82</v>
      </c>
      <c r="AL15" s="8">
        <f t="shared" si="10"/>
        <v>200625.82</v>
      </c>
      <c r="AM15" s="8">
        <f t="shared" ref="AM15:BQ15" si="11">AM5/BOOK_DEP_PERIOD_OH</f>
        <v>200625.82</v>
      </c>
      <c r="AN15" s="8">
        <f t="shared" si="11"/>
        <v>200625.82</v>
      </c>
      <c r="AO15" s="8">
        <f t="shared" si="11"/>
        <v>200625.82</v>
      </c>
      <c r="AP15" s="8">
        <f t="shared" si="11"/>
        <v>200625.82</v>
      </c>
      <c r="AQ15" s="8">
        <f t="shared" si="11"/>
        <v>200625.82</v>
      </c>
      <c r="AR15" s="8">
        <f t="shared" si="11"/>
        <v>200625.82</v>
      </c>
      <c r="AS15" s="8">
        <f t="shared" si="11"/>
        <v>200625.82</v>
      </c>
      <c r="AT15" s="8">
        <f t="shared" si="11"/>
        <v>200625.82</v>
      </c>
      <c r="AU15" s="8">
        <f t="shared" si="11"/>
        <v>200625.82</v>
      </c>
      <c r="AV15" s="8">
        <f t="shared" si="11"/>
        <v>200625.82</v>
      </c>
      <c r="AW15" s="8">
        <f t="shared" si="11"/>
        <v>200625.82</v>
      </c>
      <c r="AX15" s="8">
        <f t="shared" si="11"/>
        <v>200625.82</v>
      </c>
      <c r="AY15" s="8">
        <f t="shared" si="11"/>
        <v>200625.82</v>
      </c>
      <c r="AZ15" s="8">
        <f t="shared" si="11"/>
        <v>200625.82</v>
      </c>
      <c r="BA15" s="8">
        <f t="shared" si="11"/>
        <v>200625.82</v>
      </c>
      <c r="BB15" s="8">
        <f t="shared" si="11"/>
        <v>200625.82</v>
      </c>
      <c r="BC15" s="8">
        <f t="shared" si="11"/>
        <v>200625.82</v>
      </c>
      <c r="BD15" s="8">
        <f t="shared" si="11"/>
        <v>200625.82</v>
      </c>
      <c r="BE15" s="8">
        <f t="shared" si="11"/>
        <v>0</v>
      </c>
      <c r="BF15" s="8">
        <f t="shared" si="11"/>
        <v>0</v>
      </c>
      <c r="BG15" s="8">
        <f t="shared" si="11"/>
        <v>0</v>
      </c>
      <c r="BH15" s="8">
        <f t="shared" si="11"/>
        <v>0</v>
      </c>
      <c r="BI15" s="8">
        <f t="shared" si="11"/>
        <v>0</v>
      </c>
      <c r="BJ15" s="8">
        <f t="shared" si="11"/>
        <v>0</v>
      </c>
      <c r="BK15" s="8">
        <f t="shared" si="11"/>
        <v>0</v>
      </c>
      <c r="BL15" s="8">
        <f t="shared" si="11"/>
        <v>0</v>
      </c>
      <c r="BM15" s="8">
        <f t="shared" si="11"/>
        <v>0</v>
      </c>
      <c r="BN15" s="8">
        <f t="shared" si="11"/>
        <v>0</v>
      </c>
      <c r="BO15" s="8">
        <f t="shared" si="11"/>
        <v>0</v>
      </c>
      <c r="BP15" s="8">
        <f t="shared" si="11"/>
        <v>0</v>
      </c>
      <c r="BQ15" s="8">
        <f t="shared" si="11"/>
        <v>0</v>
      </c>
    </row>
    <row r="16" spans="1:69" x14ac:dyDescent="0.4">
      <c r="A16" t="s">
        <v>37</v>
      </c>
      <c r="B16" t="s">
        <v>15</v>
      </c>
      <c r="C16" t="s">
        <v>136</v>
      </c>
      <c r="D16" t="s">
        <v>148</v>
      </c>
      <c r="E16" s="8"/>
      <c r="F16" s="8"/>
      <c r="G16" s="8">
        <f>IF(G$1&lt;=Lifetime_OH,'Baseline scaling factors'!B16*(1+Inflation)^(G$3-2025),0)</f>
        <v>5708.8053417074298</v>
      </c>
      <c r="H16" s="8">
        <f>IF(H$1&lt;=Lifetime_OH,'Baseline scaling factors'!C16*(1+Inflation)^(H$3-2025),0)</f>
        <v>6411.1544818579105</v>
      </c>
      <c r="I16" s="8">
        <f>IF(I$1&lt;=Lifetime_OH,'Baseline scaling factors'!D16*(1+Inflation)^(I$3-2025),0)</f>
        <v>7141.6439223896268</v>
      </c>
      <c r="J16" s="8">
        <f>IF(J$1&lt;=Lifetime_OH,'Baseline scaling factors'!E16*(1+Inflation)^(J$3-2025),0)</f>
        <v>7901.1718995355177</v>
      </c>
      <c r="K16" s="8">
        <f>IF(K$1&lt;=Lifetime_OH,'Baseline scaling factors'!F16*(1+Inflation)^(K$3-2025),0)</f>
        <v>8690.662552017393</v>
      </c>
      <c r="L16" s="8">
        <f>IF(L$1&lt;=Lifetime_OH,'Baseline scaling factors'!G16*(1+Inflation)^(L$3-2025),0)</f>
        <v>9511.0666260090966</v>
      </c>
      <c r="M16" s="8">
        <f>IF(M$1&lt;=Lifetime_OH,'Baseline scaling factors'!H16*(1+Inflation)^(M$3-2025),0)</f>
        <v>10363.362198581255</v>
      </c>
      <c r="N16" s="8">
        <f>IF(N$1&lt;=Lifetime_OH,'Baseline scaling factors'!I16*(1+Inflation)^(N$3-2025),0)</f>
        <v>11248.555420099603</v>
      </c>
      <c r="O16" s="8">
        <f>IF(O$1&lt;=Lifetime_OH,'Baseline scaling factors'!J16*(1+Inflation)^(O$3-2025),0)</f>
        <v>12167.681276060646</v>
      </c>
      <c r="P16" s="8">
        <f>IF(P$1&lt;=Lifetime_OH,'Baseline scaling factors'!K16*(1+Inflation)^(P$3-2025),0)</f>
        <v>13121.804368860645</v>
      </c>
      <c r="Q16" s="8">
        <f t="shared" ref="Q16:AV16" si="12">IF(Q$1&lt;=Lifetime_OH,P16*(1+Inflation),0)</f>
        <v>13410.484064975579</v>
      </c>
      <c r="R16" s="8">
        <f t="shared" si="12"/>
        <v>13705.514714405042</v>
      </c>
      <c r="S16" s="8">
        <f t="shared" si="12"/>
        <v>14007.036038121954</v>
      </c>
      <c r="T16" s="8">
        <f t="shared" si="12"/>
        <v>14315.190830960637</v>
      </c>
      <c r="U16" s="8">
        <f t="shared" si="12"/>
        <v>14630.125029241772</v>
      </c>
      <c r="V16" s="8">
        <f t="shared" si="12"/>
        <v>14951.98777988509</v>
      </c>
      <c r="W16" s="8">
        <f t="shared" si="12"/>
        <v>15280.931511042563</v>
      </c>
      <c r="X16" s="8">
        <f t="shared" si="12"/>
        <v>15617.1120042855</v>
      </c>
      <c r="Y16" s="8">
        <f t="shared" si="12"/>
        <v>15960.688468379782</v>
      </c>
      <c r="Z16" s="8">
        <f t="shared" si="12"/>
        <v>16311.823614684137</v>
      </c>
      <c r="AA16" s="8">
        <f t="shared" si="12"/>
        <v>16670.683734207189</v>
      </c>
      <c r="AB16" s="8">
        <f t="shared" si="12"/>
        <v>17037.438776359748</v>
      </c>
      <c r="AC16" s="8">
        <f t="shared" si="12"/>
        <v>17412.262429439663</v>
      </c>
      <c r="AD16" s="8">
        <f t="shared" si="12"/>
        <v>17795.332202887337</v>
      </c>
      <c r="AE16" s="8">
        <f t="shared" si="12"/>
        <v>18186.829511350858</v>
      </c>
      <c r="AF16" s="8">
        <f t="shared" si="12"/>
        <v>18586.939760600577</v>
      </c>
      <c r="AG16" s="8">
        <f t="shared" si="12"/>
        <v>18995.852435333789</v>
      </c>
      <c r="AH16" s="8">
        <f t="shared" si="12"/>
        <v>19413.761188911132</v>
      </c>
      <c r="AI16" s="8">
        <f t="shared" si="12"/>
        <v>19840.863935067176</v>
      </c>
      <c r="AJ16" s="8">
        <f t="shared" si="12"/>
        <v>20277.362941638654</v>
      </c>
      <c r="AK16" s="8">
        <f t="shared" si="12"/>
        <v>20723.464926354703</v>
      </c>
      <c r="AL16" s="8">
        <f t="shared" si="12"/>
        <v>21179.381154734507</v>
      </c>
      <c r="AM16" s="8">
        <f t="shared" si="12"/>
        <v>21645.327540138667</v>
      </c>
      <c r="AN16" s="8">
        <f t="shared" si="12"/>
        <v>22121.524746021718</v>
      </c>
      <c r="AO16" s="8">
        <f t="shared" si="12"/>
        <v>22608.198290434197</v>
      </c>
      <c r="AP16" s="8">
        <f t="shared" si="12"/>
        <v>23105.578652823748</v>
      </c>
      <c r="AQ16" s="8">
        <f t="shared" si="12"/>
        <v>23613.901383185872</v>
      </c>
      <c r="AR16" s="8">
        <f t="shared" si="12"/>
        <v>24133.407213615963</v>
      </c>
      <c r="AS16" s="8">
        <f t="shared" si="12"/>
        <v>24664.342172315515</v>
      </c>
      <c r="AT16" s="8">
        <f t="shared" si="12"/>
        <v>25206.957700106457</v>
      </c>
      <c r="AU16" s="8">
        <f t="shared" si="12"/>
        <v>25761.510769508801</v>
      </c>
      <c r="AV16" s="8">
        <f t="shared" si="12"/>
        <v>26328.264006437996</v>
      </c>
      <c r="AW16" s="8">
        <f t="shared" ref="AW16:BQ16" si="13">IF(AW$1&lt;=Lifetime_OH,AV16*(1+Inflation),0)</f>
        <v>26907.485814579632</v>
      </c>
      <c r="AX16" s="8">
        <f t="shared" si="13"/>
        <v>27499.450502500385</v>
      </c>
      <c r="AY16" s="8">
        <f t="shared" si="13"/>
        <v>28104.438413555396</v>
      </c>
      <c r="AZ16" s="8">
        <f t="shared" si="13"/>
        <v>28722.736058653616</v>
      </c>
      <c r="BA16" s="8">
        <f t="shared" si="13"/>
        <v>29354.636251943997</v>
      </c>
      <c r="BB16" s="8">
        <f t="shared" si="13"/>
        <v>0</v>
      </c>
      <c r="BC16" s="8">
        <f t="shared" si="13"/>
        <v>0</v>
      </c>
      <c r="BD16" s="8">
        <f t="shared" si="13"/>
        <v>0</v>
      </c>
      <c r="BE16" s="8">
        <f t="shared" si="13"/>
        <v>0</v>
      </c>
      <c r="BF16" s="8">
        <f t="shared" si="13"/>
        <v>0</v>
      </c>
      <c r="BG16" s="8">
        <f t="shared" si="13"/>
        <v>0</v>
      </c>
      <c r="BH16" s="8">
        <f t="shared" si="13"/>
        <v>0</v>
      </c>
      <c r="BI16" s="8">
        <f t="shared" si="13"/>
        <v>0</v>
      </c>
      <c r="BJ16" s="8">
        <f t="shared" si="13"/>
        <v>0</v>
      </c>
      <c r="BK16" s="8">
        <f t="shared" si="13"/>
        <v>0</v>
      </c>
      <c r="BL16" s="8">
        <f t="shared" si="13"/>
        <v>0</v>
      </c>
      <c r="BM16" s="8">
        <f t="shared" si="13"/>
        <v>0</v>
      </c>
      <c r="BN16" s="8">
        <f t="shared" si="13"/>
        <v>0</v>
      </c>
      <c r="BO16" s="8">
        <f t="shared" si="13"/>
        <v>0</v>
      </c>
      <c r="BP16" s="8">
        <f t="shared" si="13"/>
        <v>0</v>
      </c>
      <c r="BQ16" s="8">
        <f t="shared" si="13"/>
        <v>0</v>
      </c>
    </row>
    <row r="17" spans="1:70" s="54" customFormat="1" x14ac:dyDescent="0.4">
      <c r="A17" s="101" t="s">
        <v>37</v>
      </c>
      <c r="B17" s="101" t="s">
        <v>15</v>
      </c>
      <c r="C17" t="s">
        <v>136</v>
      </c>
      <c r="D17" t="s">
        <v>160</v>
      </c>
      <c r="E17" s="8"/>
      <c r="F17" s="8"/>
      <c r="G17" s="8">
        <f>SUMIFS('Mitigation Projects'!$AF:$AF,'Mitigation Projects'!$G:$G,Costs_Mitigation!$A17,'Mitigation Projects'!$H:$H,Costs_Mitigation!$B17)*(1+Inflation)^(G$3-2025)</f>
        <v>3348.7656902628955</v>
      </c>
      <c r="H17" s="8">
        <f t="shared" ref="H17:P17" si="14">IF(H$1&lt;=Lifetime_OH,G17*(1+Inflation),0)</f>
        <v>3422.4385354486794</v>
      </c>
      <c r="I17" s="8">
        <f t="shared" si="14"/>
        <v>3497.7321832285506</v>
      </c>
      <c r="J17" s="8">
        <f t="shared" si="14"/>
        <v>3574.682291259579</v>
      </c>
      <c r="K17" s="8">
        <f t="shared" si="14"/>
        <v>3653.3253016672898</v>
      </c>
      <c r="L17" s="8">
        <f t="shared" si="14"/>
        <v>3733.6984583039703</v>
      </c>
      <c r="M17" s="8">
        <f t="shared" si="14"/>
        <v>3815.8398243866577</v>
      </c>
      <c r="N17" s="8">
        <f t="shared" si="14"/>
        <v>3899.7883005231643</v>
      </c>
      <c r="O17" s="8">
        <f t="shared" si="14"/>
        <v>3985.5836431346738</v>
      </c>
      <c r="P17" s="8">
        <f t="shared" si="14"/>
        <v>4073.2664832836367</v>
      </c>
      <c r="Q17" s="8">
        <f t="shared" ref="Q17:AV17" si="15">IF(Q$1&lt;=Lifetime_OH,P17*(1+Inflation),0)</f>
        <v>4162.8783459158767</v>
      </c>
      <c r="R17" s="8">
        <f t="shared" si="15"/>
        <v>4254.4616695260265</v>
      </c>
      <c r="S17" s="8">
        <f t="shared" si="15"/>
        <v>4348.0598262555995</v>
      </c>
      <c r="T17" s="8">
        <f t="shared" si="15"/>
        <v>4443.7171424332228</v>
      </c>
      <c r="U17" s="8">
        <f t="shared" si="15"/>
        <v>4541.4789195667536</v>
      </c>
      <c r="V17" s="8">
        <f t="shared" si="15"/>
        <v>4641.3914557972221</v>
      </c>
      <c r="W17" s="8">
        <f t="shared" si="15"/>
        <v>4743.5020678247611</v>
      </c>
      <c r="X17" s="8">
        <f t="shared" si="15"/>
        <v>4847.8591133169057</v>
      </c>
      <c r="Y17" s="8">
        <f t="shared" si="15"/>
        <v>4954.5120138098773</v>
      </c>
      <c r="Z17" s="8">
        <f t="shared" si="15"/>
        <v>5063.511278113695</v>
      </c>
      <c r="AA17" s="8">
        <f t="shared" si="15"/>
        <v>5174.908526232196</v>
      </c>
      <c r="AB17" s="8">
        <f t="shared" si="15"/>
        <v>5288.7565138093041</v>
      </c>
      <c r="AC17" s="8">
        <f t="shared" si="15"/>
        <v>5405.1091571131092</v>
      </c>
      <c r="AD17" s="8">
        <f t="shared" si="15"/>
        <v>5524.0215585695978</v>
      </c>
      <c r="AE17" s="8">
        <f t="shared" si="15"/>
        <v>5645.5500328581293</v>
      </c>
      <c r="AF17" s="8">
        <f t="shared" si="15"/>
        <v>5769.7521335810079</v>
      </c>
      <c r="AG17" s="8">
        <f t="shared" si="15"/>
        <v>5896.6866805197906</v>
      </c>
      <c r="AH17" s="8">
        <f t="shared" si="15"/>
        <v>6026.4137874912258</v>
      </c>
      <c r="AI17" s="8">
        <f t="shared" si="15"/>
        <v>6158.9948908160331</v>
      </c>
      <c r="AJ17" s="8">
        <f t="shared" si="15"/>
        <v>6294.4927784139863</v>
      </c>
      <c r="AK17" s="8">
        <f t="shared" si="15"/>
        <v>6432.9716195390938</v>
      </c>
      <c r="AL17" s="8">
        <f t="shared" si="15"/>
        <v>6574.4969951689536</v>
      </c>
      <c r="AM17" s="8">
        <f t="shared" si="15"/>
        <v>6719.1359290626706</v>
      </c>
      <c r="AN17" s="8">
        <f t="shared" si="15"/>
        <v>6866.9569195020495</v>
      </c>
      <c r="AO17" s="8">
        <f t="shared" si="15"/>
        <v>7018.0299717310945</v>
      </c>
      <c r="AP17" s="8">
        <f t="shared" si="15"/>
        <v>7172.4266311091787</v>
      </c>
      <c r="AQ17" s="8">
        <f t="shared" si="15"/>
        <v>7330.2200169935804</v>
      </c>
      <c r="AR17" s="8">
        <f t="shared" si="15"/>
        <v>7491.484857367439</v>
      </c>
      <c r="AS17" s="8">
        <f t="shared" si="15"/>
        <v>7656.2975242295224</v>
      </c>
      <c r="AT17" s="8">
        <f t="shared" si="15"/>
        <v>7824.7360697625718</v>
      </c>
      <c r="AU17" s="8">
        <f t="shared" si="15"/>
        <v>7996.8802632973484</v>
      </c>
      <c r="AV17" s="8">
        <f t="shared" si="15"/>
        <v>8172.8116290898906</v>
      </c>
      <c r="AW17" s="8">
        <f t="shared" ref="AW17:BQ17" si="16">IF(AW$1&lt;=Lifetime_OH,AV17*(1+Inflation),0)</f>
        <v>8352.6134849298687</v>
      </c>
      <c r="AX17" s="8">
        <f t="shared" si="16"/>
        <v>8536.3709815983257</v>
      </c>
      <c r="AY17" s="8">
        <f t="shared" si="16"/>
        <v>8724.1711431934891</v>
      </c>
      <c r="AZ17" s="8">
        <f t="shared" si="16"/>
        <v>8916.1029083437461</v>
      </c>
      <c r="BA17" s="8">
        <f t="shared" si="16"/>
        <v>9112.2571723273086</v>
      </c>
      <c r="BB17" s="8">
        <f t="shared" si="16"/>
        <v>0</v>
      </c>
      <c r="BC17" s="8">
        <f t="shared" si="16"/>
        <v>0</v>
      </c>
      <c r="BD17" s="8">
        <f t="shared" si="16"/>
        <v>0</v>
      </c>
      <c r="BE17" s="8">
        <f t="shared" si="16"/>
        <v>0</v>
      </c>
      <c r="BF17" s="8">
        <f t="shared" si="16"/>
        <v>0</v>
      </c>
      <c r="BG17" s="8">
        <f t="shared" si="16"/>
        <v>0</v>
      </c>
      <c r="BH17" s="8">
        <f t="shared" si="16"/>
        <v>0</v>
      </c>
      <c r="BI17" s="8">
        <f t="shared" si="16"/>
        <v>0</v>
      </c>
      <c r="BJ17" s="8">
        <f t="shared" si="16"/>
        <v>0</v>
      </c>
      <c r="BK17" s="8">
        <f t="shared" si="16"/>
        <v>0</v>
      </c>
      <c r="BL17" s="8">
        <f t="shared" si="16"/>
        <v>0</v>
      </c>
      <c r="BM17" s="8">
        <f t="shared" si="16"/>
        <v>0</v>
      </c>
      <c r="BN17" s="8">
        <f t="shared" si="16"/>
        <v>0</v>
      </c>
      <c r="BO17" s="8">
        <f t="shared" si="16"/>
        <v>0</v>
      </c>
      <c r="BP17" s="8">
        <f t="shared" si="16"/>
        <v>0</v>
      </c>
      <c r="BQ17" s="8">
        <f t="shared" si="16"/>
        <v>0</v>
      </c>
    </row>
    <row r="18" spans="1:70" x14ac:dyDescent="0.4">
      <c r="A18" t="s">
        <v>37</v>
      </c>
      <c r="B18" t="s">
        <v>15</v>
      </c>
      <c r="C18" t="s">
        <v>136</v>
      </c>
      <c r="D18" t="s">
        <v>130</v>
      </c>
      <c r="E18" t="s">
        <v>420</v>
      </c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</row>
    <row r="19" spans="1:70" x14ac:dyDescent="0.4">
      <c r="A19" t="s">
        <v>37</v>
      </c>
      <c r="B19" t="s">
        <v>15</v>
      </c>
      <c r="C19" t="s">
        <v>136</v>
      </c>
      <c r="D19" t="s">
        <v>131</v>
      </c>
      <c r="E19" t="s">
        <v>420</v>
      </c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</row>
    <row r="20" spans="1:70" x14ac:dyDescent="0.4">
      <c r="A20" t="s">
        <v>37</v>
      </c>
      <c r="B20" t="s">
        <v>15</v>
      </c>
      <c r="C20" t="s">
        <v>136</v>
      </c>
      <c r="D20" t="s">
        <v>132</v>
      </c>
      <c r="E20" t="s">
        <v>420</v>
      </c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</row>
    <row r="21" spans="1:70" x14ac:dyDescent="0.4">
      <c r="A21" t="s">
        <v>37</v>
      </c>
      <c r="B21" t="s">
        <v>15</v>
      </c>
      <c r="C21" t="s">
        <v>136</v>
      </c>
      <c r="D21" t="s">
        <v>133</v>
      </c>
      <c r="E21" t="s">
        <v>420</v>
      </c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</row>
    <row r="22" spans="1:70" x14ac:dyDescent="0.4">
      <c r="A22" t="s">
        <v>37</v>
      </c>
      <c r="B22" t="s">
        <v>15</v>
      </c>
      <c r="C22" t="s">
        <v>136</v>
      </c>
      <c r="D22" t="s">
        <v>134</v>
      </c>
      <c r="F22" s="8">
        <v>0</v>
      </c>
      <c r="G22" s="8">
        <f t="shared" ref="G22:AL22" si="17">IF(G1&lt;=BOOK_DEP_PERIOD_OH,CAPEX_MITIGATION_OH_1PH_AG*Net_Install_Taxable*Property_Tax_Rate_Assumption,0)</f>
        <v>162005.34964999999</v>
      </c>
      <c r="H22" s="8">
        <f t="shared" si="17"/>
        <v>162005.34964999999</v>
      </c>
      <c r="I22" s="8">
        <f t="shared" si="17"/>
        <v>162005.34964999999</v>
      </c>
      <c r="J22" s="8">
        <f t="shared" si="17"/>
        <v>162005.34964999999</v>
      </c>
      <c r="K22" s="8">
        <f t="shared" si="17"/>
        <v>162005.34964999999</v>
      </c>
      <c r="L22" s="8">
        <f t="shared" si="17"/>
        <v>162005.34964999999</v>
      </c>
      <c r="M22" s="8">
        <f t="shared" si="17"/>
        <v>162005.34964999999</v>
      </c>
      <c r="N22" s="8">
        <f t="shared" si="17"/>
        <v>162005.34964999999</v>
      </c>
      <c r="O22" s="8">
        <f t="shared" si="17"/>
        <v>162005.34964999999</v>
      </c>
      <c r="P22" s="8">
        <f t="shared" si="17"/>
        <v>162005.34964999999</v>
      </c>
      <c r="Q22" s="8">
        <f t="shared" si="17"/>
        <v>162005.34964999999</v>
      </c>
      <c r="R22" s="8">
        <f t="shared" si="17"/>
        <v>162005.34964999999</v>
      </c>
      <c r="S22" s="8">
        <f t="shared" si="17"/>
        <v>162005.34964999999</v>
      </c>
      <c r="T22" s="8">
        <f t="shared" si="17"/>
        <v>162005.34964999999</v>
      </c>
      <c r="U22" s="8">
        <f t="shared" si="17"/>
        <v>162005.34964999999</v>
      </c>
      <c r="V22" s="8">
        <f t="shared" si="17"/>
        <v>162005.34964999999</v>
      </c>
      <c r="W22" s="8">
        <f t="shared" si="17"/>
        <v>162005.34964999999</v>
      </c>
      <c r="X22" s="8">
        <f t="shared" si="17"/>
        <v>162005.34964999999</v>
      </c>
      <c r="Y22" s="8">
        <f t="shared" si="17"/>
        <v>162005.34964999999</v>
      </c>
      <c r="Z22" s="8">
        <f t="shared" si="17"/>
        <v>162005.34964999999</v>
      </c>
      <c r="AA22" s="8">
        <f t="shared" si="17"/>
        <v>162005.34964999999</v>
      </c>
      <c r="AB22" s="8">
        <f t="shared" si="17"/>
        <v>162005.34964999999</v>
      </c>
      <c r="AC22" s="8">
        <f t="shared" si="17"/>
        <v>162005.34964999999</v>
      </c>
      <c r="AD22" s="8">
        <f t="shared" si="17"/>
        <v>162005.34964999999</v>
      </c>
      <c r="AE22" s="8">
        <f t="shared" si="17"/>
        <v>162005.34964999999</v>
      </c>
      <c r="AF22" s="8">
        <f t="shared" si="17"/>
        <v>162005.34964999999</v>
      </c>
      <c r="AG22" s="8">
        <f t="shared" si="17"/>
        <v>162005.34964999999</v>
      </c>
      <c r="AH22" s="8">
        <f t="shared" si="17"/>
        <v>162005.34964999999</v>
      </c>
      <c r="AI22" s="8">
        <f t="shared" si="17"/>
        <v>162005.34964999999</v>
      </c>
      <c r="AJ22" s="8">
        <f t="shared" si="17"/>
        <v>162005.34964999999</v>
      </c>
      <c r="AK22" s="8">
        <f t="shared" si="17"/>
        <v>162005.34964999999</v>
      </c>
      <c r="AL22" s="8">
        <f t="shared" si="17"/>
        <v>162005.34964999999</v>
      </c>
      <c r="AM22" s="8">
        <f t="shared" ref="AM22:BQ22" si="18">IF(AM1&lt;=BOOK_DEP_PERIOD_OH,CAPEX_MITIGATION_OH_1PH_AG*Net_Install_Taxable*Property_Tax_Rate_Assumption,0)</f>
        <v>162005.34964999999</v>
      </c>
      <c r="AN22" s="8">
        <f t="shared" si="18"/>
        <v>162005.34964999999</v>
      </c>
      <c r="AO22" s="8">
        <f t="shared" si="18"/>
        <v>162005.34964999999</v>
      </c>
      <c r="AP22" s="8">
        <f t="shared" si="18"/>
        <v>162005.34964999999</v>
      </c>
      <c r="AQ22" s="8">
        <f t="shared" si="18"/>
        <v>162005.34964999999</v>
      </c>
      <c r="AR22" s="8">
        <f t="shared" si="18"/>
        <v>162005.34964999999</v>
      </c>
      <c r="AS22" s="8">
        <f t="shared" si="18"/>
        <v>162005.34964999999</v>
      </c>
      <c r="AT22" s="8">
        <f t="shared" si="18"/>
        <v>162005.34964999999</v>
      </c>
      <c r="AU22" s="8">
        <f t="shared" si="18"/>
        <v>162005.34964999999</v>
      </c>
      <c r="AV22" s="8">
        <f t="shared" si="18"/>
        <v>162005.34964999999</v>
      </c>
      <c r="AW22" s="8">
        <f t="shared" si="18"/>
        <v>162005.34964999999</v>
      </c>
      <c r="AX22" s="8">
        <f t="shared" si="18"/>
        <v>162005.34964999999</v>
      </c>
      <c r="AY22" s="8">
        <f t="shared" si="18"/>
        <v>162005.34964999999</v>
      </c>
      <c r="AZ22" s="8">
        <f t="shared" si="18"/>
        <v>162005.34964999999</v>
      </c>
      <c r="BA22" s="8">
        <f t="shared" si="18"/>
        <v>162005.34964999999</v>
      </c>
      <c r="BB22" s="8">
        <f t="shared" si="18"/>
        <v>162005.34964999999</v>
      </c>
      <c r="BC22" s="8">
        <f t="shared" si="18"/>
        <v>162005.34964999999</v>
      </c>
      <c r="BD22" s="8">
        <f t="shared" si="18"/>
        <v>162005.34964999999</v>
      </c>
      <c r="BE22" s="8">
        <f t="shared" si="18"/>
        <v>0</v>
      </c>
      <c r="BF22" s="8">
        <f t="shared" si="18"/>
        <v>0</v>
      </c>
      <c r="BG22" s="8">
        <f t="shared" si="18"/>
        <v>0</v>
      </c>
      <c r="BH22" s="8">
        <f t="shared" si="18"/>
        <v>0</v>
      </c>
      <c r="BI22" s="8">
        <f t="shared" si="18"/>
        <v>0</v>
      </c>
      <c r="BJ22" s="8">
        <f t="shared" si="18"/>
        <v>0</v>
      </c>
      <c r="BK22" s="8">
        <f t="shared" si="18"/>
        <v>0</v>
      </c>
      <c r="BL22" s="8">
        <f t="shared" si="18"/>
        <v>0</v>
      </c>
      <c r="BM22" s="8">
        <f t="shared" si="18"/>
        <v>0</v>
      </c>
      <c r="BN22" s="8">
        <f t="shared" si="18"/>
        <v>0</v>
      </c>
      <c r="BO22" s="8">
        <f t="shared" si="18"/>
        <v>0</v>
      </c>
      <c r="BP22" s="8">
        <f t="shared" si="18"/>
        <v>0</v>
      </c>
      <c r="BQ22" s="8">
        <f t="shared" si="18"/>
        <v>0</v>
      </c>
    </row>
    <row r="23" spans="1:70" ht="19.5" thickBot="1" x14ac:dyDescent="0.45">
      <c r="A23" t="s">
        <v>37</v>
      </c>
      <c r="B23" t="s">
        <v>15</v>
      </c>
      <c r="C23" s="16" t="s">
        <v>136</v>
      </c>
      <c r="D23" s="16" t="s">
        <v>135</v>
      </c>
      <c r="E23" s="16" t="s">
        <v>420</v>
      </c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</row>
    <row r="24" spans="1:70" ht="19.5" thickTop="1" x14ac:dyDescent="0.4">
      <c r="C24" s="14" t="s">
        <v>161</v>
      </c>
      <c r="D24" s="14"/>
      <c r="E24" s="14"/>
      <c r="F24" s="15"/>
      <c r="G24" s="15">
        <f t="shared" ref="G24:AL24" si="19">SUM(G14:G23)</f>
        <v>1256352.72698755</v>
      </c>
      <c r="H24" s="15">
        <f t="shared" si="19"/>
        <v>1230561.9164761042</v>
      </c>
      <c r="I24" s="15">
        <f t="shared" si="19"/>
        <v>1201167.4445969665</v>
      </c>
      <c r="J24" s="15">
        <f t="shared" si="19"/>
        <v>1173097.1512180881</v>
      </c>
      <c r="K24" s="15">
        <f t="shared" si="19"/>
        <v>1146255.1718596027</v>
      </c>
      <c r="L24" s="15">
        <f t="shared" si="19"/>
        <v>1120553.1175324139</v>
      </c>
      <c r="M24" s="15">
        <f t="shared" si="19"/>
        <v>1095908.8341323498</v>
      </c>
      <c r="N24" s="15">
        <f t="shared" si="19"/>
        <v>1072246.4032005852</v>
      </c>
      <c r="O24" s="15">
        <f t="shared" si="19"/>
        <v>1049148.5655628722</v>
      </c>
      <c r="P24" s="15">
        <f t="shared" si="19"/>
        <v>1026163.3348224025</v>
      </c>
      <c r="Q24" s="15">
        <f t="shared" si="19"/>
        <v>1002514.5897077312</v>
      </c>
      <c r="R24" s="15">
        <f t="shared" si="19"/>
        <v>978874.16700735234</v>
      </c>
      <c r="S24" s="15">
        <f t="shared" si="19"/>
        <v>955242.24981437996</v>
      </c>
      <c r="T24" s="15">
        <f t="shared" si="19"/>
        <v>931619.02524997771</v>
      </c>
      <c r="U24" s="15">
        <f t="shared" si="19"/>
        <v>908004.68455197383</v>
      </c>
      <c r="V24" s="15">
        <f t="shared" si="19"/>
        <v>884399.42316542892</v>
      </c>
      <c r="W24" s="15">
        <f t="shared" si="19"/>
        <v>860803.44083519536</v>
      </c>
      <c r="X24" s="15">
        <f t="shared" si="19"/>
        <v>837216.94170051173</v>
      </c>
      <c r="Y24" s="15">
        <f t="shared" si="19"/>
        <v>813640.13439168036</v>
      </c>
      <c r="Z24" s="15">
        <f t="shared" si="19"/>
        <v>790073.23212887009</v>
      </c>
      <c r="AA24" s="15">
        <f t="shared" si="19"/>
        <v>769285.89782892098</v>
      </c>
      <c r="AB24" s="15">
        <f t="shared" si="19"/>
        <v>754046.55785578361</v>
      </c>
      <c r="AC24" s="15">
        <f t="shared" si="19"/>
        <v>741587.23615512822</v>
      </c>
      <c r="AD24" s="15">
        <f t="shared" si="19"/>
        <v>729138.72033299331</v>
      </c>
      <c r="AE24" s="15">
        <f t="shared" si="19"/>
        <v>716701.24811870605</v>
      </c>
      <c r="AF24" s="15">
        <f t="shared" si="19"/>
        <v>704275.0624716396</v>
      </c>
      <c r="AG24" s="15">
        <f t="shared" si="19"/>
        <v>691860.41169627244</v>
      </c>
      <c r="AH24" s="15">
        <f t="shared" si="19"/>
        <v>679457.54955978214</v>
      </c>
      <c r="AI24" s="15">
        <f t="shared" si="19"/>
        <v>667066.73541222396</v>
      </c>
      <c r="AJ24" s="15">
        <f t="shared" si="19"/>
        <v>654688.2343093541</v>
      </c>
      <c r="AK24" s="15">
        <f t="shared" si="19"/>
        <v>642322.31713815616</v>
      </c>
      <c r="AL24" s="15">
        <f t="shared" si="19"/>
        <v>629969.26074512675</v>
      </c>
      <c r="AM24" s="15">
        <f t="shared" ref="AM24:BQ24" si="20">SUM(AM14:AM23)</f>
        <v>617629.34806738561</v>
      </c>
      <c r="AN24" s="15">
        <f t="shared" si="20"/>
        <v>605302.86826666887</v>
      </c>
      <c r="AO24" s="15">
        <f t="shared" si="20"/>
        <v>592990.11686627124</v>
      </c>
      <c r="AP24" s="15">
        <f t="shared" si="20"/>
        <v>580691.39589099982</v>
      </c>
      <c r="AQ24" s="15">
        <f t="shared" si="20"/>
        <v>568407.01401020715</v>
      </c>
      <c r="AR24" s="15">
        <f t="shared" si="20"/>
        <v>556137.28668397188</v>
      </c>
      <c r="AS24" s="15">
        <f t="shared" si="20"/>
        <v>543882.53631249443</v>
      </c>
      <c r="AT24" s="15">
        <f t="shared" si="20"/>
        <v>531643.09238877916</v>
      </c>
      <c r="AU24" s="15">
        <f t="shared" si="20"/>
        <v>519419.29165467725</v>
      </c>
      <c r="AV24" s="15">
        <f t="shared" si="20"/>
        <v>507211.47826035984</v>
      </c>
      <c r="AW24" s="15">
        <f t="shared" si="20"/>
        <v>495020.00392730243</v>
      </c>
      <c r="AX24" s="15">
        <f t="shared" si="20"/>
        <v>482845.22811485251</v>
      </c>
      <c r="AY24" s="15">
        <f t="shared" si="20"/>
        <v>470687.51819046348</v>
      </c>
      <c r="AZ24" s="15">
        <f t="shared" si="20"/>
        <v>458547.24960367288</v>
      </c>
      <c r="BA24" s="15">
        <f t="shared" si="20"/>
        <v>446424.80606390769</v>
      </c>
      <c r="BB24" s="15">
        <f t="shared" si="20"/>
        <v>395007.4146425972</v>
      </c>
      <c r="BC24" s="15">
        <f t="shared" si="20"/>
        <v>382056.91664555809</v>
      </c>
      <c r="BD24" s="15">
        <f t="shared" si="20"/>
        <v>369106.41864851932</v>
      </c>
      <c r="BE24" s="15">
        <f t="shared" si="20"/>
        <v>8.4466591943055391E-11</v>
      </c>
      <c r="BF24" s="15">
        <f t="shared" si="20"/>
        <v>8.4466591943055391E-11</v>
      </c>
      <c r="BG24" s="15">
        <f t="shared" si="20"/>
        <v>8.4466591943055391E-11</v>
      </c>
      <c r="BH24" s="15">
        <f t="shared" si="20"/>
        <v>8.4466591943055391E-11</v>
      </c>
      <c r="BI24" s="15">
        <f t="shared" si="20"/>
        <v>8.4466591943055391E-11</v>
      </c>
      <c r="BJ24" s="15">
        <f t="shared" si="20"/>
        <v>8.4466591943055391E-11</v>
      </c>
      <c r="BK24" s="15">
        <f t="shared" si="20"/>
        <v>8.4466591943055391E-11</v>
      </c>
      <c r="BL24" s="15">
        <f t="shared" si="20"/>
        <v>8.4466591943055391E-11</v>
      </c>
      <c r="BM24" s="15">
        <f t="shared" si="20"/>
        <v>8.4466591943055391E-11</v>
      </c>
      <c r="BN24" s="15">
        <f t="shared" si="20"/>
        <v>8.4466591943055391E-11</v>
      </c>
      <c r="BO24" s="15">
        <f t="shared" si="20"/>
        <v>8.4466591943055391E-11</v>
      </c>
      <c r="BP24" s="15">
        <f t="shared" si="20"/>
        <v>8.4466591943055391E-11</v>
      </c>
      <c r="BQ24" s="15">
        <f t="shared" si="20"/>
        <v>8.4466591943055391E-11</v>
      </c>
      <c r="BR24" s="8"/>
    </row>
    <row r="25" spans="1:70" x14ac:dyDescent="0.4">
      <c r="C25" s="11" t="s">
        <v>162</v>
      </c>
      <c r="D25" s="11" t="s">
        <v>127</v>
      </c>
      <c r="G25" s="8">
        <f>SUM(G14:G15)</f>
        <v>1085289.8063055796</v>
      </c>
      <c r="H25" s="8">
        <f t="shared" ref="H25:AL25" si="21">SUM(H14:H15)</f>
        <v>1058722.9738087975</v>
      </c>
      <c r="I25" s="8">
        <f t="shared" si="21"/>
        <v>1028522.7188413483</v>
      </c>
      <c r="J25" s="8">
        <f t="shared" si="21"/>
        <v>999615.94737729314</v>
      </c>
      <c r="K25" s="8">
        <f t="shared" si="21"/>
        <v>971905.83435591799</v>
      </c>
      <c r="L25" s="8">
        <f t="shared" si="21"/>
        <v>945303.00279810093</v>
      </c>
      <c r="M25" s="8">
        <f t="shared" si="21"/>
        <v>919724.28245938197</v>
      </c>
      <c r="N25" s="8">
        <f t="shared" si="21"/>
        <v>895092.70982996235</v>
      </c>
      <c r="O25" s="8">
        <f t="shared" si="21"/>
        <v>870989.9509936769</v>
      </c>
      <c r="P25" s="8">
        <f t="shared" si="21"/>
        <v>846962.91432025819</v>
      </c>
      <c r="Q25" s="8">
        <f t="shared" si="21"/>
        <v>822935.87764683971</v>
      </c>
      <c r="R25" s="8">
        <f t="shared" si="21"/>
        <v>798908.84097342123</v>
      </c>
      <c r="S25" s="8">
        <f t="shared" si="21"/>
        <v>774881.80430000252</v>
      </c>
      <c r="T25" s="8">
        <f t="shared" si="21"/>
        <v>750854.76762658381</v>
      </c>
      <c r="U25" s="8">
        <f t="shared" si="21"/>
        <v>726827.73095316533</v>
      </c>
      <c r="V25" s="8">
        <f t="shared" si="21"/>
        <v>702800.69427974662</v>
      </c>
      <c r="W25" s="8">
        <f t="shared" si="21"/>
        <v>678773.65760632814</v>
      </c>
      <c r="X25" s="8">
        <f t="shared" si="21"/>
        <v>654746.62093290943</v>
      </c>
      <c r="Y25" s="8">
        <f t="shared" si="21"/>
        <v>630719.58425949072</v>
      </c>
      <c r="Z25" s="8">
        <f t="shared" si="21"/>
        <v>606692.54758607224</v>
      </c>
      <c r="AA25" s="8">
        <f t="shared" si="21"/>
        <v>585434.95591848157</v>
      </c>
      <c r="AB25" s="8">
        <f t="shared" si="21"/>
        <v>569715.01291561453</v>
      </c>
      <c r="AC25" s="8">
        <f t="shared" si="21"/>
        <v>556764.51491857541</v>
      </c>
      <c r="AD25" s="8">
        <f t="shared" si="21"/>
        <v>543814.0169215363</v>
      </c>
      <c r="AE25" s="8">
        <f t="shared" si="21"/>
        <v>530863.51892449707</v>
      </c>
      <c r="AF25" s="8">
        <f t="shared" si="21"/>
        <v>517913.02092745801</v>
      </c>
      <c r="AG25" s="8">
        <f t="shared" si="21"/>
        <v>504962.5229304189</v>
      </c>
      <c r="AH25" s="8">
        <f t="shared" si="21"/>
        <v>492012.02493337978</v>
      </c>
      <c r="AI25" s="8">
        <f t="shared" si="21"/>
        <v>479061.52693634067</v>
      </c>
      <c r="AJ25" s="8">
        <f t="shared" si="21"/>
        <v>466111.02893930156</v>
      </c>
      <c r="AK25" s="8">
        <f t="shared" si="21"/>
        <v>453160.53094226244</v>
      </c>
      <c r="AL25" s="8">
        <f t="shared" si="21"/>
        <v>440210.03294522327</v>
      </c>
      <c r="AM25" s="8">
        <f t="shared" ref="AM25:BQ25" si="22">SUM(AM14:AM15)</f>
        <v>427259.53494818421</v>
      </c>
      <c r="AN25" s="8">
        <f t="shared" si="22"/>
        <v>414309.03695114504</v>
      </c>
      <c r="AO25" s="8">
        <f t="shared" si="22"/>
        <v>401358.53895410593</v>
      </c>
      <c r="AP25" s="8">
        <f t="shared" si="22"/>
        <v>388408.04095706681</v>
      </c>
      <c r="AQ25" s="8">
        <f t="shared" si="22"/>
        <v>375457.5429600277</v>
      </c>
      <c r="AR25" s="8">
        <f t="shared" si="22"/>
        <v>362507.04496298853</v>
      </c>
      <c r="AS25" s="8">
        <f t="shared" si="22"/>
        <v>349556.54696594941</v>
      </c>
      <c r="AT25" s="8">
        <f t="shared" si="22"/>
        <v>336606.04896891024</v>
      </c>
      <c r="AU25" s="8">
        <f t="shared" si="22"/>
        <v>323655.55097187113</v>
      </c>
      <c r="AV25" s="8">
        <f t="shared" si="22"/>
        <v>310705.05297483201</v>
      </c>
      <c r="AW25" s="8">
        <f t="shared" si="22"/>
        <v>297754.5549777929</v>
      </c>
      <c r="AX25" s="8">
        <f t="shared" si="22"/>
        <v>284804.05698075378</v>
      </c>
      <c r="AY25" s="8">
        <f t="shared" si="22"/>
        <v>271853.55898371461</v>
      </c>
      <c r="AZ25" s="8">
        <f t="shared" si="22"/>
        <v>258903.0609866755</v>
      </c>
      <c r="BA25" s="8">
        <f t="shared" si="22"/>
        <v>245952.56298963638</v>
      </c>
      <c r="BB25" s="8">
        <f t="shared" si="22"/>
        <v>233002.06499259724</v>
      </c>
      <c r="BC25" s="8">
        <f t="shared" si="22"/>
        <v>220051.56699555813</v>
      </c>
      <c r="BD25" s="8">
        <f t="shared" si="22"/>
        <v>207101.06899851933</v>
      </c>
      <c r="BE25" s="8">
        <f t="shared" si="22"/>
        <v>8.4466591943055391E-11</v>
      </c>
      <c r="BF25" s="8">
        <f t="shared" si="22"/>
        <v>8.4466591943055391E-11</v>
      </c>
      <c r="BG25" s="8">
        <f t="shared" si="22"/>
        <v>8.4466591943055391E-11</v>
      </c>
      <c r="BH25" s="8">
        <f t="shared" si="22"/>
        <v>8.4466591943055391E-11</v>
      </c>
      <c r="BI25" s="8">
        <f t="shared" si="22"/>
        <v>8.4466591943055391E-11</v>
      </c>
      <c r="BJ25" s="8">
        <f t="shared" si="22"/>
        <v>8.4466591943055391E-11</v>
      </c>
      <c r="BK25" s="8">
        <f t="shared" si="22"/>
        <v>8.4466591943055391E-11</v>
      </c>
      <c r="BL25" s="8">
        <f t="shared" si="22"/>
        <v>8.4466591943055391E-11</v>
      </c>
      <c r="BM25" s="8">
        <f t="shared" si="22"/>
        <v>8.4466591943055391E-11</v>
      </c>
      <c r="BN25" s="8">
        <f t="shared" si="22"/>
        <v>8.4466591943055391E-11</v>
      </c>
      <c r="BO25" s="8">
        <f t="shared" si="22"/>
        <v>8.4466591943055391E-11</v>
      </c>
      <c r="BP25" s="8">
        <f t="shared" si="22"/>
        <v>8.4466591943055391E-11</v>
      </c>
      <c r="BQ25" s="8">
        <f t="shared" si="22"/>
        <v>8.4466591943055391E-11</v>
      </c>
    </row>
    <row r="26" spans="1:70" x14ac:dyDescent="0.4">
      <c r="C26" s="11" t="s">
        <v>162</v>
      </c>
      <c r="D26" t="s">
        <v>136</v>
      </c>
      <c r="G26" s="8">
        <f t="shared" ref="G26:AL26" si="23">SUM(G16:G23)</f>
        <v>171062.92068197031</v>
      </c>
      <c r="H26" s="8">
        <f t="shared" si="23"/>
        <v>171838.94266730658</v>
      </c>
      <c r="I26" s="8">
        <f t="shared" si="23"/>
        <v>172644.72575561816</v>
      </c>
      <c r="J26" s="8">
        <f t="shared" si="23"/>
        <v>173481.20384079509</v>
      </c>
      <c r="K26" s="8">
        <f t="shared" si="23"/>
        <v>174349.33750368468</v>
      </c>
      <c r="L26" s="8">
        <f t="shared" si="23"/>
        <v>175250.11473431304</v>
      </c>
      <c r="M26" s="8">
        <f t="shared" si="23"/>
        <v>176184.55167296791</v>
      </c>
      <c r="N26" s="8">
        <f t="shared" si="23"/>
        <v>177153.69337062276</v>
      </c>
      <c r="O26" s="8">
        <f t="shared" si="23"/>
        <v>178158.61456919531</v>
      </c>
      <c r="P26" s="8">
        <f t="shared" si="23"/>
        <v>179200.42050214426</v>
      </c>
      <c r="Q26" s="8">
        <f t="shared" si="23"/>
        <v>179578.71206089144</v>
      </c>
      <c r="R26" s="8">
        <f t="shared" si="23"/>
        <v>179965.32603393105</v>
      </c>
      <c r="S26" s="8">
        <f t="shared" si="23"/>
        <v>180360.44551437756</v>
      </c>
      <c r="T26" s="8">
        <f t="shared" si="23"/>
        <v>180764.25762339385</v>
      </c>
      <c r="U26" s="8">
        <f t="shared" si="23"/>
        <v>181176.95359880853</v>
      </c>
      <c r="V26" s="8">
        <f t="shared" si="23"/>
        <v>181598.7288856823</v>
      </c>
      <c r="W26" s="8">
        <f t="shared" si="23"/>
        <v>182029.78322886731</v>
      </c>
      <c r="X26" s="8">
        <f t="shared" si="23"/>
        <v>182470.32076760239</v>
      </c>
      <c r="Y26" s="8">
        <f t="shared" si="23"/>
        <v>182920.55013218964</v>
      </c>
      <c r="Z26" s="8">
        <f t="shared" si="23"/>
        <v>183380.68454279783</v>
      </c>
      <c r="AA26" s="8">
        <f t="shared" si="23"/>
        <v>183850.94191043937</v>
      </c>
      <c r="AB26" s="8">
        <f t="shared" si="23"/>
        <v>184331.54494016903</v>
      </c>
      <c r="AC26" s="8">
        <f t="shared" si="23"/>
        <v>184822.72123655275</v>
      </c>
      <c r="AD26" s="8">
        <f t="shared" si="23"/>
        <v>185324.70341145693</v>
      </c>
      <c r="AE26" s="8">
        <f t="shared" si="23"/>
        <v>185837.72919420898</v>
      </c>
      <c r="AF26" s="8">
        <f t="shared" si="23"/>
        <v>186362.04154418159</v>
      </c>
      <c r="AG26" s="8">
        <f t="shared" si="23"/>
        <v>186897.88876585357</v>
      </c>
      <c r="AH26" s="8">
        <f t="shared" si="23"/>
        <v>187445.52462640236</v>
      </c>
      <c r="AI26" s="8">
        <f t="shared" si="23"/>
        <v>188005.20847588321</v>
      </c>
      <c r="AJ26" s="8">
        <f t="shared" si="23"/>
        <v>188577.20537005263</v>
      </c>
      <c r="AK26" s="8">
        <f t="shared" si="23"/>
        <v>189161.78619589377</v>
      </c>
      <c r="AL26" s="8">
        <f t="shared" si="23"/>
        <v>189759.22779990346</v>
      </c>
      <c r="AM26" s="8">
        <f t="shared" ref="AM26:BQ26" si="24">SUM(AM16:AM23)</f>
        <v>190369.81311920134</v>
      </c>
      <c r="AN26" s="8">
        <f t="shared" si="24"/>
        <v>190993.83131552377</v>
      </c>
      <c r="AO26" s="8">
        <f t="shared" si="24"/>
        <v>191631.57791216529</v>
      </c>
      <c r="AP26" s="8">
        <f t="shared" si="24"/>
        <v>192283.35493393292</v>
      </c>
      <c r="AQ26" s="8">
        <f t="shared" si="24"/>
        <v>192949.47105017945</v>
      </c>
      <c r="AR26" s="8">
        <f t="shared" si="24"/>
        <v>193630.24172098338</v>
      </c>
      <c r="AS26" s="8">
        <f t="shared" si="24"/>
        <v>194325.98934654501</v>
      </c>
      <c r="AT26" s="8">
        <f t="shared" si="24"/>
        <v>195037.04341986903</v>
      </c>
      <c r="AU26" s="8">
        <f t="shared" si="24"/>
        <v>195763.74068280612</v>
      </c>
      <c r="AV26" s="8">
        <f t="shared" si="24"/>
        <v>196506.42528552789</v>
      </c>
      <c r="AW26" s="8">
        <f t="shared" si="24"/>
        <v>197265.44894950947</v>
      </c>
      <c r="AX26" s="8">
        <f t="shared" si="24"/>
        <v>198041.17113409869</v>
      </c>
      <c r="AY26" s="8">
        <f t="shared" si="24"/>
        <v>198833.95920674887</v>
      </c>
      <c r="AZ26" s="8">
        <f t="shared" si="24"/>
        <v>199644.18861699736</v>
      </c>
      <c r="BA26" s="8">
        <f t="shared" si="24"/>
        <v>200472.2430742713</v>
      </c>
      <c r="BB26" s="8">
        <f t="shared" si="24"/>
        <v>162005.34964999999</v>
      </c>
      <c r="BC26" s="8">
        <f t="shared" si="24"/>
        <v>162005.34964999999</v>
      </c>
      <c r="BD26" s="8">
        <f t="shared" si="24"/>
        <v>162005.34964999999</v>
      </c>
      <c r="BE26" s="8">
        <f t="shared" si="24"/>
        <v>0</v>
      </c>
      <c r="BF26" s="8">
        <f t="shared" si="24"/>
        <v>0</v>
      </c>
      <c r="BG26" s="8">
        <f t="shared" si="24"/>
        <v>0</v>
      </c>
      <c r="BH26" s="8">
        <f t="shared" si="24"/>
        <v>0</v>
      </c>
      <c r="BI26" s="8">
        <f t="shared" si="24"/>
        <v>0</v>
      </c>
      <c r="BJ26" s="8">
        <f t="shared" si="24"/>
        <v>0</v>
      </c>
      <c r="BK26" s="8">
        <f t="shared" si="24"/>
        <v>0</v>
      </c>
      <c r="BL26" s="8">
        <f t="shared" si="24"/>
        <v>0</v>
      </c>
      <c r="BM26" s="8">
        <f t="shared" si="24"/>
        <v>0</v>
      </c>
      <c r="BN26" s="8">
        <f t="shared" si="24"/>
        <v>0</v>
      </c>
      <c r="BO26" s="8">
        <f t="shared" si="24"/>
        <v>0</v>
      </c>
      <c r="BP26" s="8">
        <f t="shared" si="24"/>
        <v>0</v>
      </c>
      <c r="BQ26" s="8">
        <f t="shared" si="24"/>
        <v>0</v>
      </c>
    </row>
    <row r="27" spans="1:70" x14ac:dyDescent="0.4">
      <c r="C27" s="11" t="s">
        <v>162</v>
      </c>
      <c r="D27" t="s">
        <v>164</v>
      </c>
      <c r="G27" s="8">
        <f>SUM(G18:G21,G23)</f>
        <v>0</v>
      </c>
      <c r="H27" s="8">
        <f t="shared" ref="H27:BQ27" si="25">SUM(H18:H21,H23)</f>
        <v>0</v>
      </c>
      <c r="I27" s="8">
        <f t="shared" si="25"/>
        <v>0</v>
      </c>
      <c r="J27" s="8">
        <f t="shared" si="25"/>
        <v>0</v>
      </c>
      <c r="K27" s="8">
        <f t="shared" si="25"/>
        <v>0</v>
      </c>
      <c r="L27" s="8">
        <f t="shared" si="25"/>
        <v>0</v>
      </c>
      <c r="M27" s="8">
        <f t="shared" si="25"/>
        <v>0</v>
      </c>
      <c r="N27" s="8">
        <f t="shared" si="25"/>
        <v>0</v>
      </c>
      <c r="O27" s="8">
        <f t="shared" si="25"/>
        <v>0</v>
      </c>
      <c r="P27" s="8">
        <f t="shared" si="25"/>
        <v>0</v>
      </c>
      <c r="Q27" s="8">
        <f t="shared" si="25"/>
        <v>0</v>
      </c>
      <c r="R27" s="8">
        <f t="shared" si="25"/>
        <v>0</v>
      </c>
      <c r="S27" s="8">
        <f t="shared" si="25"/>
        <v>0</v>
      </c>
      <c r="T27" s="8">
        <f t="shared" si="25"/>
        <v>0</v>
      </c>
      <c r="U27" s="8">
        <f t="shared" si="25"/>
        <v>0</v>
      </c>
      <c r="V27" s="8">
        <f t="shared" si="25"/>
        <v>0</v>
      </c>
      <c r="W27" s="8">
        <f t="shared" si="25"/>
        <v>0</v>
      </c>
      <c r="X27" s="8">
        <f t="shared" si="25"/>
        <v>0</v>
      </c>
      <c r="Y27" s="8">
        <f t="shared" si="25"/>
        <v>0</v>
      </c>
      <c r="Z27" s="8">
        <f t="shared" si="25"/>
        <v>0</v>
      </c>
      <c r="AA27" s="8">
        <f t="shared" si="25"/>
        <v>0</v>
      </c>
      <c r="AB27" s="8">
        <f t="shared" si="25"/>
        <v>0</v>
      </c>
      <c r="AC27" s="8">
        <f t="shared" si="25"/>
        <v>0</v>
      </c>
      <c r="AD27" s="8">
        <f t="shared" si="25"/>
        <v>0</v>
      </c>
      <c r="AE27" s="8">
        <f t="shared" si="25"/>
        <v>0</v>
      </c>
      <c r="AF27" s="8">
        <f t="shared" si="25"/>
        <v>0</v>
      </c>
      <c r="AG27" s="8">
        <f t="shared" si="25"/>
        <v>0</v>
      </c>
      <c r="AH27" s="8">
        <f t="shared" si="25"/>
        <v>0</v>
      </c>
      <c r="AI27" s="8">
        <f t="shared" si="25"/>
        <v>0</v>
      </c>
      <c r="AJ27" s="8">
        <f t="shared" si="25"/>
        <v>0</v>
      </c>
      <c r="AK27" s="8">
        <f t="shared" si="25"/>
        <v>0</v>
      </c>
      <c r="AL27" s="8">
        <f t="shared" si="25"/>
        <v>0</v>
      </c>
      <c r="AM27" s="8">
        <f t="shared" si="25"/>
        <v>0</v>
      </c>
      <c r="AN27" s="8">
        <f t="shared" si="25"/>
        <v>0</v>
      </c>
      <c r="AO27" s="8">
        <f t="shared" si="25"/>
        <v>0</v>
      </c>
      <c r="AP27" s="8">
        <f t="shared" si="25"/>
        <v>0</v>
      </c>
      <c r="AQ27" s="8">
        <f t="shared" si="25"/>
        <v>0</v>
      </c>
      <c r="AR27" s="8">
        <f t="shared" si="25"/>
        <v>0</v>
      </c>
      <c r="AS27" s="8">
        <f t="shared" si="25"/>
        <v>0</v>
      </c>
      <c r="AT27" s="8">
        <f t="shared" si="25"/>
        <v>0</v>
      </c>
      <c r="AU27" s="8">
        <f t="shared" si="25"/>
        <v>0</v>
      </c>
      <c r="AV27" s="8">
        <f t="shared" si="25"/>
        <v>0</v>
      </c>
      <c r="AW27" s="8">
        <f t="shared" si="25"/>
        <v>0</v>
      </c>
      <c r="AX27" s="8">
        <f t="shared" si="25"/>
        <v>0</v>
      </c>
      <c r="AY27" s="8">
        <f t="shared" si="25"/>
        <v>0</v>
      </c>
      <c r="AZ27" s="8">
        <f t="shared" si="25"/>
        <v>0</v>
      </c>
      <c r="BA27" s="8">
        <f t="shared" si="25"/>
        <v>0</v>
      </c>
      <c r="BB27" s="8">
        <f t="shared" si="25"/>
        <v>0</v>
      </c>
      <c r="BC27" s="8">
        <f t="shared" si="25"/>
        <v>0</v>
      </c>
      <c r="BD27" s="8">
        <f t="shared" si="25"/>
        <v>0</v>
      </c>
      <c r="BE27" s="8">
        <f t="shared" si="25"/>
        <v>0</v>
      </c>
      <c r="BF27" s="8">
        <f t="shared" si="25"/>
        <v>0</v>
      </c>
      <c r="BG27" s="8">
        <f t="shared" si="25"/>
        <v>0</v>
      </c>
      <c r="BH27" s="8">
        <f t="shared" si="25"/>
        <v>0</v>
      </c>
      <c r="BI27" s="8">
        <f t="shared" si="25"/>
        <v>0</v>
      </c>
      <c r="BJ27" s="8">
        <f t="shared" si="25"/>
        <v>0</v>
      </c>
      <c r="BK27" s="8">
        <f t="shared" si="25"/>
        <v>0</v>
      </c>
      <c r="BL27" s="8">
        <f t="shared" si="25"/>
        <v>0</v>
      </c>
      <c r="BM27" s="8">
        <f t="shared" si="25"/>
        <v>0</v>
      </c>
      <c r="BN27" s="8">
        <f t="shared" si="25"/>
        <v>0</v>
      </c>
      <c r="BO27" s="8">
        <f t="shared" si="25"/>
        <v>0</v>
      </c>
      <c r="BP27" s="8">
        <f t="shared" si="25"/>
        <v>0</v>
      </c>
      <c r="BQ27" s="8">
        <f t="shared" si="25"/>
        <v>0</v>
      </c>
    </row>
    <row r="28" spans="1:70" x14ac:dyDescent="0.4">
      <c r="C28" s="11" t="s">
        <v>162</v>
      </c>
      <c r="D28" t="s">
        <v>165</v>
      </c>
      <c r="G28" s="8">
        <f>G16</f>
        <v>5708.8053417074298</v>
      </c>
      <c r="H28" s="8">
        <f t="shared" ref="H28:BQ28" si="26">H16</f>
        <v>6411.1544818579105</v>
      </c>
      <c r="I28" s="8">
        <f t="shared" si="26"/>
        <v>7141.6439223896268</v>
      </c>
      <c r="J28" s="8">
        <f t="shared" si="26"/>
        <v>7901.1718995355177</v>
      </c>
      <c r="K28" s="8">
        <f t="shared" si="26"/>
        <v>8690.662552017393</v>
      </c>
      <c r="L28" s="8">
        <f t="shared" si="26"/>
        <v>9511.0666260090966</v>
      </c>
      <c r="M28" s="8">
        <f t="shared" si="26"/>
        <v>10363.362198581255</v>
      </c>
      <c r="N28" s="8">
        <f t="shared" si="26"/>
        <v>11248.555420099603</v>
      </c>
      <c r="O28" s="8">
        <f t="shared" si="26"/>
        <v>12167.681276060646</v>
      </c>
      <c r="P28" s="8">
        <f t="shared" si="26"/>
        <v>13121.804368860645</v>
      </c>
      <c r="Q28" s="8">
        <f t="shared" si="26"/>
        <v>13410.484064975579</v>
      </c>
      <c r="R28" s="8">
        <f t="shared" si="26"/>
        <v>13705.514714405042</v>
      </c>
      <c r="S28" s="8">
        <f t="shared" si="26"/>
        <v>14007.036038121954</v>
      </c>
      <c r="T28" s="8">
        <f t="shared" si="26"/>
        <v>14315.190830960637</v>
      </c>
      <c r="U28" s="8">
        <f t="shared" si="26"/>
        <v>14630.125029241772</v>
      </c>
      <c r="V28" s="8">
        <f t="shared" si="26"/>
        <v>14951.98777988509</v>
      </c>
      <c r="W28" s="8">
        <f t="shared" si="26"/>
        <v>15280.931511042563</v>
      </c>
      <c r="X28" s="8">
        <f t="shared" si="26"/>
        <v>15617.1120042855</v>
      </c>
      <c r="Y28" s="8">
        <f t="shared" si="26"/>
        <v>15960.688468379782</v>
      </c>
      <c r="Z28" s="8">
        <f t="shared" si="26"/>
        <v>16311.823614684137</v>
      </c>
      <c r="AA28" s="8">
        <f t="shared" si="26"/>
        <v>16670.683734207189</v>
      </c>
      <c r="AB28" s="8">
        <f t="shared" si="26"/>
        <v>17037.438776359748</v>
      </c>
      <c r="AC28" s="8">
        <f t="shared" si="26"/>
        <v>17412.262429439663</v>
      </c>
      <c r="AD28" s="8">
        <f t="shared" si="26"/>
        <v>17795.332202887337</v>
      </c>
      <c r="AE28" s="8">
        <f t="shared" si="26"/>
        <v>18186.829511350858</v>
      </c>
      <c r="AF28" s="8">
        <f t="shared" si="26"/>
        <v>18586.939760600577</v>
      </c>
      <c r="AG28" s="8">
        <f t="shared" si="26"/>
        <v>18995.852435333789</v>
      </c>
      <c r="AH28" s="8">
        <f t="shared" si="26"/>
        <v>19413.761188911132</v>
      </c>
      <c r="AI28" s="8">
        <f t="shared" si="26"/>
        <v>19840.863935067176</v>
      </c>
      <c r="AJ28" s="8">
        <f t="shared" si="26"/>
        <v>20277.362941638654</v>
      </c>
      <c r="AK28" s="8">
        <f t="shared" si="26"/>
        <v>20723.464926354703</v>
      </c>
      <c r="AL28" s="8">
        <f t="shared" si="26"/>
        <v>21179.381154734507</v>
      </c>
      <c r="AM28" s="8">
        <f t="shared" si="26"/>
        <v>21645.327540138667</v>
      </c>
      <c r="AN28" s="8">
        <f t="shared" si="26"/>
        <v>22121.524746021718</v>
      </c>
      <c r="AO28" s="8">
        <f t="shared" si="26"/>
        <v>22608.198290434197</v>
      </c>
      <c r="AP28" s="8">
        <f t="shared" si="26"/>
        <v>23105.578652823748</v>
      </c>
      <c r="AQ28" s="8">
        <f t="shared" si="26"/>
        <v>23613.901383185872</v>
      </c>
      <c r="AR28" s="8">
        <f t="shared" si="26"/>
        <v>24133.407213615963</v>
      </c>
      <c r="AS28" s="8">
        <f t="shared" si="26"/>
        <v>24664.342172315515</v>
      </c>
      <c r="AT28" s="8">
        <f t="shared" si="26"/>
        <v>25206.957700106457</v>
      </c>
      <c r="AU28" s="8">
        <f t="shared" si="26"/>
        <v>25761.510769508801</v>
      </c>
      <c r="AV28" s="8">
        <f t="shared" si="26"/>
        <v>26328.264006437996</v>
      </c>
      <c r="AW28" s="8">
        <f t="shared" si="26"/>
        <v>26907.485814579632</v>
      </c>
      <c r="AX28" s="8">
        <f t="shared" si="26"/>
        <v>27499.450502500385</v>
      </c>
      <c r="AY28" s="8">
        <f t="shared" si="26"/>
        <v>28104.438413555396</v>
      </c>
      <c r="AZ28" s="8">
        <f t="shared" si="26"/>
        <v>28722.736058653616</v>
      </c>
      <c r="BA28" s="8">
        <f t="shared" si="26"/>
        <v>29354.636251943997</v>
      </c>
      <c r="BB28" s="8">
        <f t="shared" si="26"/>
        <v>0</v>
      </c>
      <c r="BC28" s="8">
        <f t="shared" si="26"/>
        <v>0</v>
      </c>
      <c r="BD28" s="8">
        <f t="shared" si="26"/>
        <v>0</v>
      </c>
      <c r="BE28" s="8">
        <f t="shared" si="26"/>
        <v>0</v>
      </c>
      <c r="BF28" s="8">
        <f t="shared" si="26"/>
        <v>0</v>
      </c>
      <c r="BG28" s="8">
        <f t="shared" si="26"/>
        <v>0</v>
      </c>
      <c r="BH28" s="8">
        <f t="shared" si="26"/>
        <v>0</v>
      </c>
      <c r="BI28" s="8">
        <f t="shared" si="26"/>
        <v>0</v>
      </c>
      <c r="BJ28" s="8">
        <f t="shared" si="26"/>
        <v>0</v>
      </c>
      <c r="BK28" s="8">
        <f t="shared" si="26"/>
        <v>0</v>
      </c>
      <c r="BL28" s="8">
        <f t="shared" si="26"/>
        <v>0</v>
      </c>
      <c r="BM28" s="8">
        <f t="shared" si="26"/>
        <v>0</v>
      </c>
      <c r="BN28" s="8">
        <f t="shared" si="26"/>
        <v>0</v>
      </c>
      <c r="BO28" s="8">
        <f t="shared" si="26"/>
        <v>0</v>
      </c>
      <c r="BP28" s="8">
        <f t="shared" si="26"/>
        <v>0</v>
      </c>
      <c r="BQ28" s="8">
        <f t="shared" si="26"/>
        <v>0</v>
      </c>
    </row>
    <row r="30" spans="1:70" x14ac:dyDescent="0.4">
      <c r="A30" t="s">
        <v>70</v>
      </c>
      <c r="B30" t="s">
        <v>149</v>
      </c>
      <c r="C30" s="5" t="s">
        <v>150</v>
      </c>
      <c r="D30" s="5" t="s">
        <v>151</v>
      </c>
      <c r="E30" s="5" t="s">
        <v>152</v>
      </c>
      <c r="F30" s="5">
        <v>2027</v>
      </c>
      <c r="G30" s="5">
        <v>2028</v>
      </c>
      <c r="H30" s="5">
        <v>2029</v>
      </c>
      <c r="I30" s="5">
        <v>2030</v>
      </c>
      <c r="J30" s="5">
        <v>2031</v>
      </c>
      <c r="K30" s="5">
        <v>2032</v>
      </c>
      <c r="L30" s="5">
        <v>2033</v>
      </c>
      <c r="M30" s="5">
        <v>2034</v>
      </c>
      <c r="N30" s="5">
        <v>2035</v>
      </c>
      <c r="O30" s="5">
        <v>2036</v>
      </c>
      <c r="P30" s="5">
        <v>2037</v>
      </c>
      <c r="Q30" s="5">
        <v>2038</v>
      </c>
      <c r="R30" s="5">
        <v>2039</v>
      </c>
      <c r="S30" s="5">
        <v>2040</v>
      </c>
      <c r="T30" s="5">
        <v>2041</v>
      </c>
      <c r="U30" s="5">
        <v>2042</v>
      </c>
      <c r="V30" s="5">
        <v>2043</v>
      </c>
      <c r="W30" s="5">
        <v>2044</v>
      </c>
      <c r="X30" s="5">
        <v>2045</v>
      </c>
      <c r="Y30" s="5">
        <v>2046</v>
      </c>
      <c r="Z30" s="5">
        <v>2047</v>
      </c>
      <c r="AA30" s="5">
        <v>2048</v>
      </c>
      <c r="AB30" s="5">
        <v>2049</v>
      </c>
      <c r="AC30" s="5">
        <v>2050</v>
      </c>
      <c r="AD30" s="5">
        <v>2051</v>
      </c>
      <c r="AE30" s="5">
        <v>2052</v>
      </c>
      <c r="AF30" s="5">
        <v>2053</v>
      </c>
      <c r="AG30" s="5">
        <v>2054</v>
      </c>
      <c r="AH30" s="5">
        <v>2055</v>
      </c>
      <c r="AI30" s="5">
        <v>2056</v>
      </c>
      <c r="AJ30" s="5">
        <v>2057</v>
      </c>
      <c r="AK30" s="5">
        <v>2058</v>
      </c>
      <c r="AL30" s="5">
        <v>2059</v>
      </c>
      <c r="AM30" s="5">
        <v>2060</v>
      </c>
      <c r="AN30" s="5">
        <v>2061</v>
      </c>
      <c r="AO30" s="5">
        <v>2062</v>
      </c>
      <c r="AP30" s="5">
        <v>2063</v>
      </c>
      <c r="AQ30" s="5">
        <v>2064</v>
      </c>
      <c r="AR30" s="5">
        <v>2065</v>
      </c>
      <c r="AS30" s="5">
        <v>2066</v>
      </c>
      <c r="AT30" s="5">
        <v>2067</v>
      </c>
      <c r="AU30" s="5">
        <v>2068</v>
      </c>
      <c r="AV30" s="5">
        <v>2069</v>
      </c>
      <c r="AW30" s="5">
        <v>2070</v>
      </c>
      <c r="AX30" s="5">
        <v>2071</v>
      </c>
      <c r="AY30" s="5">
        <v>2072</v>
      </c>
      <c r="AZ30" s="5">
        <v>2073</v>
      </c>
      <c r="BA30" s="5">
        <v>2074</v>
      </c>
      <c r="BB30" s="5">
        <v>2075</v>
      </c>
      <c r="BC30" s="5">
        <v>2076</v>
      </c>
      <c r="BD30" s="5">
        <v>2077</v>
      </c>
      <c r="BE30" s="5">
        <v>2078</v>
      </c>
      <c r="BF30" s="5">
        <v>2079</v>
      </c>
      <c r="BG30" s="5">
        <v>2080</v>
      </c>
      <c r="BH30" s="5">
        <v>2081</v>
      </c>
      <c r="BI30" s="5">
        <v>2082</v>
      </c>
      <c r="BJ30" s="5">
        <v>2083</v>
      </c>
      <c r="BK30" s="5">
        <v>2084</v>
      </c>
      <c r="BL30" s="5">
        <v>2085</v>
      </c>
      <c r="BM30" s="5">
        <v>2086</v>
      </c>
      <c r="BN30" s="5">
        <v>2087</v>
      </c>
      <c r="BO30" s="5">
        <v>2088</v>
      </c>
      <c r="BP30" s="5">
        <v>2089</v>
      </c>
      <c r="BQ30" s="5">
        <v>2090</v>
      </c>
    </row>
    <row r="31" spans="1:70" x14ac:dyDescent="0.4">
      <c r="A31" t="s">
        <v>70</v>
      </c>
      <c r="B31" t="s">
        <v>149</v>
      </c>
      <c r="C31" s="216"/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</row>
    <row r="32" spans="1:70" x14ac:dyDescent="0.4">
      <c r="A32" t="s">
        <v>39</v>
      </c>
      <c r="B32" t="s">
        <v>15</v>
      </c>
      <c r="C32" t="s">
        <v>127</v>
      </c>
      <c r="D32" t="s">
        <v>154</v>
      </c>
      <c r="E32" s="8"/>
      <c r="F32" s="8">
        <f>SUMIFS('Mitigation Projects'!$L:$L,'Mitigation Projects'!$H:$H,Costs_Mitigation!$B32,'Mitigation Projects'!$G:$G,Costs_Mitigation!$A32)</f>
        <v>36122723</v>
      </c>
      <c r="G32" s="8">
        <f t="shared" ref="G32:AL32" si="27">IF(G$1&lt;=BOOK_DEP_PERIOD_OH,F32,0)</f>
        <v>36122723</v>
      </c>
      <c r="H32" s="8">
        <f t="shared" si="27"/>
        <v>36122723</v>
      </c>
      <c r="I32" s="8">
        <f t="shared" si="27"/>
        <v>36122723</v>
      </c>
      <c r="J32" s="8">
        <f t="shared" si="27"/>
        <v>36122723</v>
      </c>
      <c r="K32" s="8">
        <f t="shared" si="27"/>
        <v>36122723</v>
      </c>
      <c r="L32" s="8">
        <f t="shared" si="27"/>
        <v>36122723</v>
      </c>
      <c r="M32" s="8">
        <f t="shared" si="27"/>
        <v>36122723</v>
      </c>
      <c r="N32" s="8">
        <f t="shared" si="27"/>
        <v>36122723</v>
      </c>
      <c r="O32" s="8">
        <f t="shared" si="27"/>
        <v>36122723</v>
      </c>
      <c r="P32" s="8">
        <f t="shared" si="27"/>
        <v>36122723</v>
      </c>
      <c r="Q32" s="8">
        <f t="shared" si="27"/>
        <v>36122723</v>
      </c>
      <c r="R32" s="8">
        <f t="shared" si="27"/>
        <v>36122723</v>
      </c>
      <c r="S32" s="8">
        <f t="shared" si="27"/>
        <v>36122723</v>
      </c>
      <c r="T32" s="8">
        <f t="shared" si="27"/>
        <v>36122723</v>
      </c>
      <c r="U32" s="8">
        <f t="shared" si="27"/>
        <v>36122723</v>
      </c>
      <c r="V32" s="8">
        <f t="shared" si="27"/>
        <v>36122723</v>
      </c>
      <c r="W32" s="8">
        <f t="shared" si="27"/>
        <v>36122723</v>
      </c>
      <c r="X32" s="8">
        <f t="shared" si="27"/>
        <v>36122723</v>
      </c>
      <c r="Y32" s="8">
        <f t="shared" si="27"/>
        <v>36122723</v>
      </c>
      <c r="Z32" s="8">
        <f t="shared" si="27"/>
        <v>36122723</v>
      </c>
      <c r="AA32" s="8">
        <f t="shared" si="27"/>
        <v>36122723</v>
      </c>
      <c r="AB32" s="8">
        <f t="shared" si="27"/>
        <v>36122723</v>
      </c>
      <c r="AC32" s="8">
        <f t="shared" si="27"/>
        <v>36122723</v>
      </c>
      <c r="AD32" s="8">
        <f t="shared" si="27"/>
        <v>36122723</v>
      </c>
      <c r="AE32" s="8">
        <f t="shared" si="27"/>
        <v>36122723</v>
      </c>
      <c r="AF32" s="8">
        <f t="shared" si="27"/>
        <v>36122723</v>
      </c>
      <c r="AG32" s="8">
        <f t="shared" si="27"/>
        <v>36122723</v>
      </c>
      <c r="AH32" s="8">
        <f t="shared" si="27"/>
        <v>36122723</v>
      </c>
      <c r="AI32" s="8">
        <f t="shared" si="27"/>
        <v>36122723</v>
      </c>
      <c r="AJ32" s="8">
        <f t="shared" si="27"/>
        <v>36122723</v>
      </c>
      <c r="AK32" s="8">
        <f t="shared" si="27"/>
        <v>36122723</v>
      </c>
      <c r="AL32" s="8">
        <f t="shared" si="27"/>
        <v>36122723</v>
      </c>
      <c r="AM32" s="8">
        <f t="shared" ref="AM32:BQ32" si="28">IF(AM$1&lt;=BOOK_DEP_PERIOD_OH,AL32,0)</f>
        <v>36122723</v>
      </c>
      <c r="AN32" s="8">
        <f t="shared" si="28"/>
        <v>36122723</v>
      </c>
      <c r="AO32" s="8">
        <f t="shared" si="28"/>
        <v>36122723</v>
      </c>
      <c r="AP32" s="8">
        <f t="shared" si="28"/>
        <v>36122723</v>
      </c>
      <c r="AQ32" s="8">
        <f t="shared" si="28"/>
        <v>36122723</v>
      </c>
      <c r="AR32" s="8">
        <f t="shared" si="28"/>
        <v>36122723</v>
      </c>
      <c r="AS32" s="8">
        <f t="shared" si="28"/>
        <v>36122723</v>
      </c>
      <c r="AT32" s="8">
        <f t="shared" si="28"/>
        <v>36122723</v>
      </c>
      <c r="AU32" s="8">
        <f t="shared" si="28"/>
        <v>36122723</v>
      </c>
      <c r="AV32" s="8">
        <f t="shared" si="28"/>
        <v>36122723</v>
      </c>
      <c r="AW32" s="8">
        <f t="shared" si="28"/>
        <v>36122723</v>
      </c>
      <c r="AX32" s="8">
        <f t="shared" si="28"/>
        <v>36122723</v>
      </c>
      <c r="AY32" s="8">
        <f t="shared" si="28"/>
        <v>36122723</v>
      </c>
      <c r="AZ32" s="8">
        <f t="shared" si="28"/>
        <v>36122723</v>
      </c>
      <c r="BA32" s="8">
        <f t="shared" si="28"/>
        <v>36122723</v>
      </c>
      <c r="BB32" s="8">
        <f t="shared" si="28"/>
        <v>36122723</v>
      </c>
      <c r="BC32" s="8">
        <f t="shared" si="28"/>
        <v>36122723</v>
      </c>
      <c r="BD32" s="8">
        <f t="shared" si="28"/>
        <v>36122723</v>
      </c>
      <c r="BE32" s="8">
        <f t="shared" si="28"/>
        <v>0</v>
      </c>
      <c r="BF32" s="8">
        <f t="shared" si="28"/>
        <v>0</v>
      </c>
      <c r="BG32" s="8">
        <f t="shared" si="28"/>
        <v>0</v>
      </c>
      <c r="BH32" s="8">
        <f t="shared" si="28"/>
        <v>0</v>
      </c>
      <c r="BI32" s="8">
        <f t="shared" si="28"/>
        <v>0</v>
      </c>
      <c r="BJ32" s="8">
        <f t="shared" si="28"/>
        <v>0</v>
      </c>
      <c r="BK32" s="8">
        <f t="shared" si="28"/>
        <v>0</v>
      </c>
      <c r="BL32" s="8">
        <f t="shared" si="28"/>
        <v>0</v>
      </c>
      <c r="BM32" s="8">
        <f t="shared" si="28"/>
        <v>0</v>
      </c>
      <c r="BN32" s="8">
        <f t="shared" si="28"/>
        <v>0</v>
      </c>
      <c r="BO32" s="8">
        <f t="shared" si="28"/>
        <v>0</v>
      </c>
      <c r="BP32" s="8">
        <f t="shared" si="28"/>
        <v>0</v>
      </c>
      <c r="BQ32" s="8">
        <f t="shared" si="28"/>
        <v>0</v>
      </c>
    </row>
    <row r="33" spans="1:69" x14ac:dyDescent="0.4">
      <c r="A33" t="s">
        <v>39</v>
      </c>
      <c r="B33" t="s">
        <v>15</v>
      </c>
      <c r="C33" t="s">
        <v>127</v>
      </c>
      <c r="D33" t="s">
        <v>155</v>
      </c>
      <c r="F33" s="8">
        <v>0</v>
      </c>
      <c r="G33" s="8">
        <f>IF(G$1&lt;=BOOK_DEP_PERIOD_OH,-SUM($F42:G42),0)</f>
        <v>-722454.46</v>
      </c>
      <c r="H33" s="8">
        <f>IF(H$1&lt;=BOOK_DEP_PERIOD_OH,-SUM($F42:H42),0)</f>
        <v>-1444908.92</v>
      </c>
      <c r="I33" s="8">
        <f>IF(I$1&lt;=BOOK_DEP_PERIOD_OH,-SUM($F42:I42),0)</f>
        <v>-2167363.38</v>
      </c>
      <c r="J33" s="8">
        <f>IF(J$1&lt;=BOOK_DEP_PERIOD_OH,-SUM($F42:J42),0)</f>
        <v>-2889817.84</v>
      </c>
      <c r="K33" s="8">
        <f>IF(K$1&lt;=BOOK_DEP_PERIOD_OH,-SUM($F42:K42),0)</f>
        <v>-3612272.3</v>
      </c>
      <c r="L33" s="8">
        <f>IF(L$1&lt;=BOOK_DEP_PERIOD_OH,-SUM($F42:L42),0)</f>
        <v>-4334726.76</v>
      </c>
      <c r="M33" s="8">
        <f>IF(M$1&lt;=BOOK_DEP_PERIOD_OH,-SUM($F42:M42),0)</f>
        <v>-5057181.22</v>
      </c>
      <c r="N33" s="8">
        <f>IF(N$1&lt;=BOOK_DEP_PERIOD_OH,-SUM($F42:N42),0)</f>
        <v>-5779635.6799999997</v>
      </c>
      <c r="O33" s="8">
        <f>IF(O$1&lt;=BOOK_DEP_PERIOD_OH,-SUM($F42:O42),0)</f>
        <v>-6502090.1399999997</v>
      </c>
      <c r="P33" s="8">
        <f>IF(P$1&lt;=BOOK_DEP_PERIOD_OH,-SUM($F42:P42),0)</f>
        <v>-7224544.5999999996</v>
      </c>
      <c r="Q33" s="8">
        <f>IF(Q$1&lt;=BOOK_DEP_PERIOD_OH,-SUM($F42:Q42),0)</f>
        <v>-7946999.0599999996</v>
      </c>
      <c r="R33" s="8">
        <f>IF(R$1&lt;=BOOK_DEP_PERIOD_OH,-SUM($F42:R42),0)</f>
        <v>-8669453.5199999996</v>
      </c>
      <c r="S33" s="8">
        <f>IF(S$1&lt;=BOOK_DEP_PERIOD_OH,-SUM($F42:S42),0)</f>
        <v>-9391907.9800000004</v>
      </c>
      <c r="T33" s="8">
        <f>IF(T$1&lt;=BOOK_DEP_PERIOD_OH,-SUM($F42:T42),0)</f>
        <v>-10114362.440000001</v>
      </c>
      <c r="U33" s="8">
        <f>IF(U$1&lt;=BOOK_DEP_PERIOD_OH,-SUM($F42:U42),0)</f>
        <v>-10836816.900000002</v>
      </c>
      <c r="V33" s="8">
        <f>IF(V$1&lt;=BOOK_DEP_PERIOD_OH,-SUM($F42:V42),0)</f>
        <v>-11559271.360000003</v>
      </c>
      <c r="W33" s="8">
        <f>IF(W$1&lt;=BOOK_DEP_PERIOD_OH,-SUM($F42:W42),0)</f>
        <v>-12281725.820000004</v>
      </c>
      <c r="X33" s="8">
        <f>IF(X$1&lt;=BOOK_DEP_PERIOD_OH,-SUM($F42:X42),0)</f>
        <v>-13004180.280000005</v>
      </c>
      <c r="Y33" s="8">
        <f>IF(Y$1&lt;=BOOK_DEP_PERIOD_OH,-SUM($F42:Y42),0)</f>
        <v>-13726634.740000006</v>
      </c>
      <c r="Z33" s="8">
        <f>IF(Z$1&lt;=BOOK_DEP_PERIOD_OH,-SUM($F42:Z42),0)</f>
        <v>-14449089.200000007</v>
      </c>
      <c r="AA33" s="8">
        <f>IF(AA$1&lt;=BOOK_DEP_PERIOD_OH,-SUM($F42:AA42),0)</f>
        <v>-15171543.660000008</v>
      </c>
      <c r="AB33" s="8">
        <f>IF(AB$1&lt;=BOOK_DEP_PERIOD_OH,-SUM($F42:AB42),0)</f>
        <v>-15893998.120000008</v>
      </c>
      <c r="AC33" s="8">
        <f>IF(AC$1&lt;=BOOK_DEP_PERIOD_OH,-SUM($F42:AC42),0)</f>
        <v>-16616452.580000009</v>
      </c>
      <c r="AD33" s="8">
        <f>IF(AD$1&lt;=BOOK_DEP_PERIOD_OH,-SUM($F42:AD42),0)</f>
        <v>-17338907.04000001</v>
      </c>
      <c r="AE33" s="8">
        <f>IF(AE$1&lt;=BOOK_DEP_PERIOD_OH,-SUM($F42:AE42),0)</f>
        <v>-18061361.500000011</v>
      </c>
      <c r="AF33" s="8">
        <f>IF(AF$1&lt;=BOOK_DEP_PERIOD_OH,-SUM($F42:AF42),0)</f>
        <v>-18783815.960000012</v>
      </c>
      <c r="AG33" s="8">
        <f>IF(AG$1&lt;=BOOK_DEP_PERIOD_OH,-SUM($F42:AG42),0)</f>
        <v>-19506270.420000013</v>
      </c>
      <c r="AH33" s="8">
        <f>IF(AH$1&lt;=BOOK_DEP_PERIOD_OH,-SUM($F42:AH42),0)</f>
        <v>-20228724.880000014</v>
      </c>
      <c r="AI33" s="8">
        <f>IF(AI$1&lt;=BOOK_DEP_PERIOD_OH,-SUM($F42:AI42),0)</f>
        <v>-20951179.340000015</v>
      </c>
      <c r="AJ33" s="8">
        <f>IF(AJ$1&lt;=BOOK_DEP_PERIOD_OH,-SUM($F42:AJ42),0)</f>
        <v>-21673633.800000016</v>
      </c>
      <c r="AK33" s="8">
        <f>IF(AK$1&lt;=BOOK_DEP_PERIOD_OH,-SUM($F42:AK42),0)</f>
        <v>-22396088.260000017</v>
      </c>
      <c r="AL33" s="8">
        <f>IF(AL$1&lt;=BOOK_DEP_PERIOD_OH,-SUM($F42:AL42),0)</f>
        <v>-23118542.720000017</v>
      </c>
      <c r="AM33" s="8">
        <f>IF(AM$1&lt;=BOOK_DEP_PERIOD_OH,-SUM($F42:AM42),0)</f>
        <v>-23840997.180000018</v>
      </c>
      <c r="AN33" s="8">
        <f>IF(AN$1&lt;=BOOK_DEP_PERIOD_OH,-SUM($F42:AN42),0)</f>
        <v>-24563451.640000019</v>
      </c>
      <c r="AO33" s="8">
        <f>IF(AO$1&lt;=BOOK_DEP_PERIOD_OH,-SUM($F42:AO42),0)</f>
        <v>-25285906.10000002</v>
      </c>
      <c r="AP33" s="8">
        <f>IF(AP$1&lt;=BOOK_DEP_PERIOD_OH,-SUM($F42:AP42),0)</f>
        <v>-26008360.560000021</v>
      </c>
      <c r="AQ33" s="8">
        <f>IF(AQ$1&lt;=BOOK_DEP_PERIOD_OH,-SUM($F42:AQ42),0)</f>
        <v>-26730815.020000022</v>
      </c>
      <c r="AR33" s="8">
        <f>IF(AR$1&lt;=BOOK_DEP_PERIOD_OH,-SUM($F42:AR42),0)</f>
        <v>-27453269.480000023</v>
      </c>
      <c r="AS33" s="8">
        <f>IF(AS$1&lt;=BOOK_DEP_PERIOD_OH,-SUM($F42:AS42),0)</f>
        <v>-28175723.940000024</v>
      </c>
      <c r="AT33" s="8">
        <f>IF(AT$1&lt;=BOOK_DEP_PERIOD_OH,-SUM($F42:AT42),0)</f>
        <v>-28898178.400000025</v>
      </c>
      <c r="AU33" s="8">
        <f>IF(AU$1&lt;=BOOK_DEP_PERIOD_OH,-SUM($F42:AU42),0)</f>
        <v>-29620632.860000025</v>
      </c>
      <c r="AV33" s="8">
        <f>IF(AV$1&lt;=BOOK_DEP_PERIOD_OH,-SUM($F42:AV42),0)</f>
        <v>-30343087.320000026</v>
      </c>
      <c r="AW33" s="8">
        <f>IF(AW$1&lt;=BOOK_DEP_PERIOD_OH,-SUM($F42:AW42),0)</f>
        <v>-31065541.780000027</v>
      </c>
      <c r="AX33" s="8">
        <f>IF(AX$1&lt;=BOOK_DEP_PERIOD_OH,-SUM($F42:AX42),0)</f>
        <v>-31787996.240000028</v>
      </c>
      <c r="AY33" s="8">
        <f>IF(AY$1&lt;=BOOK_DEP_PERIOD_OH,-SUM($F42:AY42),0)</f>
        <v>-32510450.700000029</v>
      </c>
      <c r="AZ33" s="8">
        <f>IF(AZ$1&lt;=BOOK_DEP_PERIOD_OH,-SUM($F42:AZ42),0)</f>
        <v>-33232905.16000003</v>
      </c>
      <c r="BA33" s="8">
        <f>IF(BA$1&lt;=BOOK_DEP_PERIOD_OH,-SUM($F42:BA42),0)</f>
        <v>-33955359.620000027</v>
      </c>
      <c r="BB33" s="8">
        <f>IF(BB$1&lt;=BOOK_DEP_PERIOD_OH,-SUM($F42:BB42),0)</f>
        <v>-34677814.080000028</v>
      </c>
      <c r="BC33" s="8">
        <f>IF(BC$1&lt;=BOOK_DEP_PERIOD_OH,-SUM($F42:BC42),0)</f>
        <v>-35400268.540000029</v>
      </c>
      <c r="BD33" s="8">
        <f>IF(BD$1&lt;=BOOK_DEP_PERIOD_OH,-SUM($F42:BD42),0)</f>
        <v>-36122723.00000003</v>
      </c>
      <c r="BE33" s="8">
        <f>IF(BE$1&lt;=BOOK_DEP_PERIOD_OH,-SUM($F42:BE42),0)</f>
        <v>0</v>
      </c>
      <c r="BF33" s="8">
        <f>IF(BF$1&lt;=BOOK_DEP_PERIOD_OH,-SUM($F42:BF42),0)</f>
        <v>0</v>
      </c>
      <c r="BG33" s="8">
        <f>IF(BG$1&lt;=BOOK_DEP_PERIOD_OH,-SUM($F42:BG42),0)</f>
        <v>0</v>
      </c>
      <c r="BH33" s="8">
        <f>IF(BH$1&lt;=BOOK_DEP_PERIOD_OH,-SUM($F42:BH42),0)</f>
        <v>0</v>
      </c>
      <c r="BI33" s="8">
        <f>IF(BI$1&lt;=BOOK_DEP_PERIOD_OH,-SUM($F42:BI42),0)</f>
        <v>0</v>
      </c>
      <c r="BJ33" s="8">
        <f>IF(BJ$1&lt;=BOOK_DEP_PERIOD_OH,-SUM($F42:BJ42),0)</f>
        <v>0</v>
      </c>
      <c r="BK33" s="8">
        <f>IF(BK$1&lt;=BOOK_DEP_PERIOD_OH,-SUM($F42:BK42),0)</f>
        <v>0</v>
      </c>
      <c r="BL33" s="8">
        <f>IF(BL$1&lt;=BOOK_DEP_PERIOD_OH,-SUM($F42:BL42),0)</f>
        <v>0</v>
      </c>
      <c r="BM33" s="8">
        <f>IF(BM$1&lt;=BOOK_DEP_PERIOD_OH,-SUM($F42:BM42),0)</f>
        <v>0</v>
      </c>
      <c r="BN33" s="8">
        <f>IF(BN$1&lt;=BOOK_DEP_PERIOD_OH,-SUM($F42:BN42),0)</f>
        <v>0</v>
      </c>
      <c r="BO33" s="8">
        <f>IF(BO$1&lt;=BOOK_DEP_PERIOD_OH,-SUM($F42:BO42),0)</f>
        <v>0</v>
      </c>
      <c r="BP33" s="8">
        <f>IF(BP$1&lt;=BOOK_DEP_PERIOD_OH,-SUM($F42:BP42),0)</f>
        <v>0</v>
      </c>
      <c r="BQ33" s="8">
        <f>IF(BQ$1&lt;=BOOK_DEP_PERIOD_OH,-SUM($F42:BQ42),0)</f>
        <v>0</v>
      </c>
    </row>
    <row r="34" spans="1:69" x14ac:dyDescent="0.4">
      <c r="A34" t="s">
        <v>39</v>
      </c>
      <c r="B34" t="s">
        <v>15</v>
      </c>
      <c r="C34" t="s">
        <v>127</v>
      </c>
      <c r="D34" t="s">
        <v>167</v>
      </c>
      <c r="F34" s="8">
        <v>0</v>
      </c>
      <c r="G34" s="8">
        <f>F35</f>
        <v>36122723</v>
      </c>
      <c r="H34" s="8">
        <f t="shared" ref="H34:BQ34" si="29">G35</f>
        <v>35400268.539999999</v>
      </c>
      <c r="I34" s="8">
        <f t="shared" si="29"/>
        <v>34677814.079999998</v>
      </c>
      <c r="J34" s="8">
        <f t="shared" si="29"/>
        <v>33955359.619999997</v>
      </c>
      <c r="K34" s="8">
        <f t="shared" si="29"/>
        <v>33232905.16</v>
      </c>
      <c r="L34" s="8">
        <f t="shared" si="29"/>
        <v>32510450.699999999</v>
      </c>
      <c r="M34" s="8">
        <f t="shared" si="29"/>
        <v>31787996.240000002</v>
      </c>
      <c r="N34" s="8">
        <f t="shared" si="29"/>
        <v>31065541.780000001</v>
      </c>
      <c r="O34" s="8">
        <f t="shared" si="29"/>
        <v>30343087.32</v>
      </c>
      <c r="P34" s="8">
        <f t="shared" si="29"/>
        <v>29620632.859999999</v>
      </c>
      <c r="Q34" s="8">
        <f t="shared" si="29"/>
        <v>28898178.399999999</v>
      </c>
      <c r="R34" s="8">
        <f t="shared" si="29"/>
        <v>28175723.940000001</v>
      </c>
      <c r="S34" s="8">
        <f t="shared" si="29"/>
        <v>27453269.48</v>
      </c>
      <c r="T34" s="8">
        <f t="shared" si="29"/>
        <v>26730815.02</v>
      </c>
      <c r="U34" s="8">
        <f t="shared" si="29"/>
        <v>26008360.559999999</v>
      </c>
      <c r="V34" s="8">
        <f t="shared" si="29"/>
        <v>25285906.099999998</v>
      </c>
      <c r="W34" s="8">
        <f t="shared" si="29"/>
        <v>24563451.639999997</v>
      </c>
      <c r="X34" s="8">
        <f t="shared" si="29"/>
        <v>23840997.179999996</v>
      </c>
      <c r="Y34" s="8">
        <f t="shared" si="29"/>
        <v>23118542.719999995</v>
      </c>
      <c r="Z34" s="8">
        <f t="shared" si="29"/>
        <v>22396088.259999994</v>
      </c>
      <c r="AA34" s="8">
        <f t="shared" si="29"/>
        <v>21673633.799999993</v>
      </c>
      <c r="AB34" s="8">
        <f t="shared" si="29"/>
        <v>20951179.339999992</v>
      </c>
      <c r="AC34" s="8">
        <f t="shared" si="29"/>
        <v>20228724.879999992</v>
      </c>
      <c r="AD34" s="8">
        <f t="shared" si="29"/>
        <v>19506270.419999991</v>
      </c>
      <c r="AE34" s="8">
        <f t="shared" si="29"/>
        <v>18783815.95999999</v>
      </c>
      <c r="AF34" s="8">
        <f t="shared" si="29"/>
        <v>18061361.499999989</v>
      </c>
      <c r="AG34" s="8">
        <f t="shared" si="29"/>
        <v>17338907.039999988</v>
      </c>
      <c r="AH34" s="8">
        <f t="shared" si="29"/>
        <v>16616452.579999987</v>
      </c>
      <c r="AI34" s="8">
        <f t="shared" si="29"/>
        <v>15893998.119999986</v>
      </c>
      <c r="AJ34" s="8">
        <f t="shared" si="29"/>
        <v>15171543.659999985</v>
      </c>
      <c r="AK34" s="8">
        <f t="shared" si="29"/>
        <v>14449089.199999984</v>
      </c>
      <c r="AL34" s="8">
        <f t="shared" si="29"/>
        <v>13726634.739999983</v>
      </c>
      <c r="AM34" s="8">
        <f t="shared" si="29"/>
        <v>13004180.279999983</v>
      </c>
      <c r="AN34" s="8">
        <f t="shared" si="29"/>
        <v>12281725.819999982</v>
      </c>
      <c r="AO34" s="8">
        <f t="shared" si="29"/>
        <v>11559271.359999981</v>
      </c>
      <c r="AP34" s="8">
        <f t="shared" si="29"/>
        <v>10836816.89999998</v>
      </c>
      <c r="AQ34" s="8">
        <f t="shared" si="29"/>
        <v>10114362.439999979</v>
      </c>
      <c r="AR34" s="8">
        <f t="shared" si="29"/>
        <v>9391907.9799999781</v>
      </c>
      <c r="AS34" s="8">
        <f t="shared" si="29"/>
        <v>8669453.5199999772</v>
      </c>
      <c r="AT34" s="8">
        <f t="shared" si="29"/>
        <v>7946999.0599999763</v>
      </c>
      <c r="AU34" s="8">
        <f t="shared" si="29"/>
        <v>7224544.5999999754</v>
      </c>
      <c r="AV34" s="8">
        <f t="shared" si="29"/>
        <v>6502090.1399999745</v>
      </c>
      <c r="AW34" s="8">
        <f t="shared" si="29"/>
        <v>5779635.6799999736</v>
      </c>
      <c r="AX34" s="8">
        <f t="shared" si="29"/>
        <v>5057181.2199999727</v>
      </c>
      <c r="AY34" s="8">
        <f t="shared" si="29"/>
        <v>4334726.7599999718</v>
      </c>
      <c r="AZ34" s="8">
        <f t="shared" si="29"/>
        <v>3612272.2999999709</v>
      </c>
      <c r="BA34" s="8">
        <f t="shared" si="29"/>
        <v>2889817.83999997</v>
      </c>
      <c r="BB34" s="8">
        <f t="shared" si="29"/>
        <v>2167363.3799999729</v>
      </c>
      <c r="BC34" s="8">
        <f t="shared" si="29"/>
        <v>1444908.919999972</v>
      </c>
      <c r="BD34" s="8">
        <f t="shared" si="29"/>
        <v>722454.45999997109</v>
      </c>
      <c r="BE34" s="8">
        <f t="shared" si="29"/>
        <v>0</v>
      </c>
      <c r="BF34" s="8">
        <f t="shared" si="29"/>
        <v>0</v>
      </c>
      <c r="BG34" s="8">
        <f t="shared" si="29"/>
        <v>0</v>
      </c>
      <c r="BH34" s="8">
        <f t="shared" si="29"/>
        <v>0</v>
      </c>
      <c r="BI34" s="8">
        <f t="shared" si="29"/>
        <v>0</v>
      </c>
      <c r="BJ34" s="8">
        <f t="shared" si="29"/>
        <v>0</v>
      </c>
      <c r="BK34" s="8">
        <f t="shared" si="29"/>
        <v>0</v>
      </c>
      <c r="BL34" s="8">
        <f t="shared" si="29"/>
        <v>0</v>
      </c>
      <c r="BM34" s="8">
        <f t="shared" si="29"/>
        <v>0</v>
      </c>
      <c r="BN34" s="8">
        <f t="shared" si="29"/>
        <v>0</v>
      </c>
      <c r="BO34" s="8">
        <f t="shared" si="29"/>
        <v>0</v>
      </c>
      <c r="BP34" s="8">
        <f t="shared" si="29"/>
        <v>0</v>
      </c>
      <c r="BQ34" s="8">
        <f t="shared" si="29"/>
        <v>0</v>
      </c>
    </row>
    <row r="35" spans="1:69" x14ac:dyDescent="0.4">
      <c r="A35" t="s">
        <v>39</v>
      </c>
      <c r="B35" t="s">
        <v>15</v>
      </c>
      <c r="C35" t="s">
        <v>127</v>
      </c>
      <c r="D35" t="s">
        <v>168</v>
      </c>
      <c r="F35" s="8">
        <f>SUM(F32:F33)</f>
        <v>36122723</v>
      </c>
      <c r="G35" s="8">
        <f>SUM(G32:G33)</f>
        <v>35400268.539999999</v>
      </c>
      <c r="H35" s="8">
        <f t="shared" ref="H35:BQ35" si="30">SUM(H32:H33)</f>
        <v>34677814.079999998</v>
      </c>
      <c r="I35" s="8">
        <f t="shared" si="30"/>
        <v>33955359.619999997</v>
      </c>
      <c r="J35" s="8">
        <f t="shared" si="30"/>
        <v>33232905.16</v>
      </c>
      <c r="K35" s="8">
        <f t="shared" si="30"/>
        <v>32510450.699999999</v>
      </c>
      <c r="L35" s="8">
        <f t="shared" si="30"/>
        <v>31787996.240000002</v>
      </c>
      <c r="M35" s="8">
        <f t="shared" si="30"/>
        <v>31065541.780000001</v>
      </c>
      <c r="N35" s="8">
        <f t="shared" si="30"/>
        <v>30343087.32</v>
      </c>
      <c r="O35" s="8">
        <f t="shared" si="30"/>
        <v>29620632.859999999</v>
      </c>
      <c r="P35" s="8">
        <f t="shared" si="30"/>
        <v>28898178.399999999</v>
      </c>
      <c r="Q35" s="8">
        <f t="shared" si="30"/>
        <v>28175723.940000001</v>
      </c>
      <c r="R35" s="8">
        <f t="shared" si="30"/>
        <v>27453269.48</v>
      </c>
      <c r="S35" s="8">
        <f t="shared" si="30"/>
        <v>26730815.02</v>
      </c>
      <c r="T35" s="8">
        <f t="shared" si="30"/>
        <v>26008360.559999999</v>
      </c>
      <c r="U35" s="8">
        <f t="shared" si="30"/>
        <v>25285906.099999998</v>
      </c>
      <c r="V35" s="8">
        <f t="shared" si="30"/>
        <v>24563451.639999997</v>
      </c>
      <c r="W35" s="8">
        <f t="shared" si="30"/>
        <v>23840997.179999996</v>
      </c>
      <c r="X35" s="8">
        <f t="shared" si="30"/>
        <v>23118542.719999995</v>
      </c>
      <c r="Y35" s="8">
        <f t="shared" si="30"/>
        <v>22396088.259999994</v>
      </c>
      <c r="Z35" s="8">
        <f t="shared" si="30"/>
        <v>21673633.799999993</v>
      </c>
      <c r="AA35" s="8">
        <f t="shared" si="30"/>
        <v>20951179.339999992</v>
      </c>
      <c r="AB35" s="8">
        <f t="shared" si="30"/>
        <v>20228724.879999992</v>
      </c>
      <c r="AC35" s="8">
        <f t="shared" si="30"/>
        <v>19506270.419999991</v>
      </c>
      <c r="AD35" s="8">
        <f t="shared" si="30"/>
        <v>18783815.95999999</v>
      </c>
      <c r="AE35" s="8">
        <f t="shared" si="30"/>
        <v>18061361.499999989</v>
      </c>
      <c r="AF35" s="8">
        <f t="shared" si="30"/>
        <v>17338907.039999988</v>
      </c>
      <c r="AG35" s="8">
        <f t="shared" si="30"/>
        <v>16616452.579999987</v>
      </c>
      <c r="AH35" s="8">
        <f t="shared" si="30"/>
        <v>15893998.119999986</v>
      </c>
      <c r="AI35" s="8">
        <f t="shared" si="30"/>
        <v>15171543.659999985</v>
      </c>
      <c r="AJ35" s="8">
        <f t="shared" si="30"/>
        <v>14449089.199999984</v>
      </c>
      <c r="AK35" s="8">
        <f t="shared" si="30"/>
        <v>13726634.739999983</v>
      </c>
      <c r="AL35" s="8">
        <f t="shared" si="30"/>
        <v>13004180.279999983</v>
      </c>
      <c r="AM35" s="8">
        <f t="shared" si="30"/>
        <v>12281725.819999982</v>
      </c>
      <c r="AN35" s="8">
        <f t="shared" si="30"/>
        <v>11559271.359999981</v>
      </c>
      <c r="AO35" s="8">
        <f t="shared" si="30"/>
        <v>10836816.89999998</v>
      </c>
      <c r="AP35" s="8">
        <f t="shared" si="30"/>
        <v>10114362.439999979</v>
      </c>
      <c r="AQ35" s="8">
        <f t="shared" si="30"/>
        <v>9391907.9799999781</v>
      </c>
      <c r="AR35" s="8">
        <f t="shared" si="30"/>
        <v>8669453.5199999772</v>
      </c>
      <c r="AS35" s="8">
        <f t="shared" si="30"/>
        <v>7946999.0599999763</v>
      </c>
      <c r="AT35" s="8">
        <f t="shared" si="30"/>
        <v>7224544.5999999754</v>
      </c>
      <c r="AU35" s="8">
        <f t="shared" si="30"/>
        <v>6502090.1399999745</v>
      </c>
      <c r="AV35" s="8">
        <f t="shared" si="30"/>
        <v>5779635.6799999736</v>
      </c>
      <c r="AW35" s="8">
        <f t="shared" si="30"/>
        <v>5057181.2199999727</v>
      </c>
      <c r="AX35" s="8">
        <f t="shared" si="30"/>
        <v>4334726.7599999718</v>
      </c>
      <c r="AY35" s="8">
        <f t="shared" si="30"/>
        <v>3612272.2999999709</v>
      </c>
      <c r="AZ35" s="8">
        <f t="shared" si="30"/>
        <v>2889817.83999997</v>
      </c>
      <c r="BA35" s="8">
        <f t="shared" si="30"/>
        <v>2167363.3799999729</v>
      </c>
      <c r="BB35" s="8">
        <f t="shared" si="30"/>
        <v>1444908.919999972</v>
      </c>
      <c r="BC35" s="8">
        <f t="shared" si="30"/>
        <v>722454.45999997109</v>
      </c>
      <c r="BD35" s="8">
        <f t="shared" si="30"/>
        <v>0</v>
      </c>
      <c r="BE35" s="8">
        <f t="shared" si="30"/>
        <v>0</v>
      </c>
      <c r="BF35" s="8">
        <f t="shared" si="30"/>
        <v>0</v>
      </c>
      <c r="BG35" s="8">
        <f t="shared" si="30"/>
        <v>0</v>
      </c>
      <c r="BH35" s="8">
        <f t="shared" si="30"/>
        <v>0</v>
      </c>
      <c r="BI35" s="8">
        <f t="shared" si="30"/>
        <v>0</v>
      </c>
      <c r="BJ35" s="8">
        <f t="shared" si="30"/>
        <v>0</v>
      </c>
      <c r="BK35" s="8">
        <f t="shared" si="30"/>
        <v>0</v>
      </c>
      <c r="BL35" s="8">
        <f t="shared" si="30"/>
        <v>0</v>
      </c>
      <c r="BM35" s="8">
        <f t="shared" si="30"/>
        <v>0</v>
      </c>
      <c r="BN35" s="8">
        <f t="shared" si="30"/>
        <v>0</v>
      </c>
      <c r="BO35" s="8">
        <f t="shared" si="30"/>
        <v>0</v>
      </c>
      <c r="BP35" s="8">
        <f t="shared" si="30"/>
        <v>0</v>
      </c>
      <c r="BQ35" s="8">
        <f t="shared" si="30"/>
        <v>0</v>
      </c>
    </row>
    <row r="36" spans="1:69" x14ac:dyDescent="0.4">
      <c r="A36" t="s">
        <v>39</v>
      </c>
      <c r="B36" t="s">
        <v>15</v>
      </c>
      <c r="C36" t="s">
        <v>127</v>
      </c>
      <c r="D36" t="s">
        <v>169</v>
      </c>
      <c r="F36" s="8">
        <v>0</v>
      </c>
      <c r="G36" s="8">
        <f>IF(G$1&lt;=MACRS_DEP_PERIOD_OH+1,G32*VLOOKUP(G$1,Assumptions!$A$70:$B$90,2,0),0)</f>
        <v>1354602.1125</v>
      </c>
      <c r="H36" s="8">
        <f>IF(H$1&lt;=MACRS_DEP_PERIOD_OH+1,H32*VLOOKUP(H$1,Assumptions!$A$70:$B$90,2,0),0)</f>
        <v>2607699.3733700002</v>
      </c>
      <c r="I36" s="8">
        <f>IF(I$1&lt;=MACRS_DEP_PERIOD_OH+1,I32*VLOOKUP(I$1,Assumptions!$A$70:$B$90,2,0),0)</f>
        <v>2411914.21471</v>
      </c>
      <c r="J36" s="8">
        <f>IF(J$1&lt;=MACRS_DEP_PERIOD_OH+1,J32*VLOOKUP(J$1,Assumptions!$A$70:$B$90,2,0),0)</f>
        <v>2231300.5997099997</v>
      </c>
      <c r="K36" s="8">
        <f>IF(K$1&lt;=MACRS_DEP_PERIOD_OH+1,K32*VLOOKUP(K$1,Assumptions!$A$70:$B$90,2,0),0)</f>
        <v>2063691.16499</v>
      </c>
      <c r="L36" s="8">
        <f>IF(L$1&lt;=MACRS_DEP_PERIOD_OH+1,L32*VLOOKUP(L$1,Assumptions!$A$70:$B$90,2,0),0)</f>
        <v>1909085.9105500001</v>
      </c>
      <c r="M36" s="8">
        <f>IF(M$1&lt;=MACRS_DEP_PERIOD_OH+1,M32*VLOOKUP(M$1,Assumptions!$A$70:$B$90,2,0),0)</f>
        <v>1765678.7002399999</v>
      </c>
      <c r="N36" s="8">
        <f>IF(N$1&lt;=MACRS_DEP_PERIOD_OH+1,N32*VLOOKUP(N$1,Assumptions!$A$70:$B$90,2,0),0)</f>
        <v>1633469.5340600002</v>
      </c>
      <c r="O36" s="8">
        <f>IF(O$1&lt;=MACRS_DEP_PERIOD_OH+1,O32*VLOOKUP(O$1,Assumptions!$A$70:$B$90,2,0),0)</f>
        <v>1611795.90026</v>
      </c>
      <c r="P36" s="8">
        <f>IF(P$1&lt;=MACRS_DEP_PERIOD_OH+1,P32*VLOOKUP(P$1,Assumptions!$A$70:$B$90,2,0),0)</f>
        <v>1611434.6730299999</v>
      </c>
      <c r="Q36" s="8">
        <f>IF(Q$1&lt;=MACRS_DEP_PERIOD_OH+1,Q32*VLOOKUP(Q$1,Assumptions!$A$70:$B$90,2,0),0)</f>
        <v>1611795.90026</v>
      </c>
      <c r="R36" s="8">
        <f>IF(R$1&lt;=MACRS_DEP_PERIOD_OH+1,R32*VLOOKUP(R$1,Assumptions!$A$70:$B$90,2,0),0)</f>
        <v>1611434.6730299999</v>
      </c>
      <c r="S36" s="8">
        <f>IF(S$1&lt;=MACRS_DEP_PERIOD_OH+1,S32*VLOOKUP(S$1,Assumptions!$A$70:$B$90,2,0),0)</f>
        <v>1611795.90026</v>
      </c>
      <c r="T36" s="8">
        <f>IF(T$1&lt;=MACRS_DEP_PERIOD_OH+1,T32*VLOOKUP(T$1,Assumptions!$A$70:$B$90,2,0),0)</f>
        <v>1611434.6730299999</v>
      </c>
      <c r="U36" s="8">
        <f>IF(U$1&lt;=MACRS_DEP_PERIOD_OH+1,U32*VLOOKUP(U$1,Assumptions!$A$70:$B$90,2,0),0)</f>
        <v>1611795.90026</v>
      </c>
      <c r="V36" s="8">
        <f>IF(V$1&lt;=MACRS_DEP_PERIOD_OH+1,V32*VLOOKUP(V$1,Assumptions!$A$70:$B$90,2,0),0)</f>
        <v>1611434.6730299999</v>
      </c>
      <c r="W36" s="8">
        <f>IF(W$1&lt;=MACRS_DEP_PERIOD_OH+1,W32*VLOOKUP(W$1,Assumptions!$A$70:$B$90,2,0),0)</f>
        <v>1611795.90026</v>
      </c>
      <c r="X36" s="8">
        <f>IF(X$1&lt;=MACRS_DEP_PERIOD_OH+1,X32*VLOOKUP(X$1,Assumptions!$A$70:$B$90,2,0),0)</f>
        <v>1611434.6730299999</v>
      </c>
      <c r="Y36" s="8">
        <f>IF(Y$1&lt;=MACRS_DEP_PERIOD_OH+1,Y32*VLOOKUP(Y$1,Assumptions!$A$70:$B$90,2,0),0)</f>
        <v>1611795.90026</v>
      </c>
      <c r="Z36" s="8">
        <f>IF(Z$1&lt;=MACRS_DEP_PERIOD_OH+1,Z32*VLOOKUP(Z$1,Assumptions!$A$70:$B$90,2,0),0)</f>
        <v>1611434.6730299999</v>
      </c>
      <c r="AA36" s="8">
        <f>IF(AA$1&lt;=MACRS_DEP_PERIOD_OH+1,AA32*VLOOKUP(AA$1,Assumptions!$A$70:$B$90,2,0),0)</f>
        <v>805897.95013000001</v>
      </c>
      <c r="AB36" s="8">
        <f>IF(AB$1&lt;=MACRS_DEP_PERIOD_OH+1,AB32*VLOOKUP(AB$1,Assumptions!$A$70:$B$90,2,0),0)</f>
        <v>0</v>
      </c>
      <c r="AC36" s="8">
        <f>IF(AC$1&lt;=MACRS_DEP_PERIOD_OH+1,AC32*VLOOKUP(AC$1,Assumptions!$A$70:$B$90,2,0),0)</f>
        <v>0</v>
      </c>
      <c r="AD36" s="8">
        <f>IF(AD$1&lt;=MACRS_DEP_PERIOD_OH+1,AD32*VLOOKUP(AD$1,Assumptions!$A$70:$B$90,2,0),0)</f>
        <v>0</v>
      </c>
      <c r="AE36" s="8">
        <f>IF(AE$1&lt;=MACRS_DEP_PERIOD_OH+1,AE32*VLOOKUP(AE$1,Assumptions!$A$70:$B$90,2,0),0)</f>
        <v>0</v>
      </c>
      <c r="AF36" s="8">
        <f>IF(AF$1&lt;=MACRS_DEP_PERIOD_OH+1,AF32*VLOOKUP(AF$1,Assumptions!$A$70:$B$90,2,0),0)</f>
        <v>0</v>
      </c>
      <c r="AG36" s="8">
        <f>IF(AG$1&lt;=MACRS_DEP_PERIOD_OH+1,AG32*VLOOKUP(AG$1,Assumptions!$A$70:$B$90,2,0),0)</f>
        <v>0</v>
      </c>
      <c r="AH36" s="8">
        <f>IF(AH$1&lt;=MACRS_DEP_PERIOD_OH+1,AH32*VLOOKUP(AH$1,Assumptions!$A$70:$B$90,2,0),0)</f>
        <v>0</v>
      </c>
      <c r="AI36" s="8">
        <f>IF(AI$1&lt;=MACRS_DEP_PERIOD_OH+1,AI32*VLOOKUP(AI$1,Assumptions!$A$70:$B$90,2,0),0)</f>
        <v>0</v>
      </c>
      <c r="AJ36" s="8">
        <f>IF(AJ$1&lt;=MACRS_DEP_PERIOD_OH+1,AJ32*VLOOKUP(AJ$1,Assumptions!$A$70:$B$90,2,0),0)</f>
        <v>0</v>
      </c>
      <c r="AK36" s="8">
        <f>IF(AK$1&lt;=MACRS_DEP_PERIOD_OH+1,AK32*VLOOKUP(AK$1,Assumptions!$A$70:$B$90,2,0),0)</f>
        <v>0</v>
      </c>
      <c r="AL36" s="8">
        <f>IF(AL$1&lt;=MACRS_DEP_PERIOD_OH+1,AL32*VLOOKUP(AL$1,Assumptions!$A$70:$B$90,2,0),0)</f>
        <v>0</v>
      </c>
      <c r="AM36" s="8">
        <f>IF(AM$1&lt;=MACRS_DEP_PERIOD_OH+1,AM32*VLOOKUP(AM$1,Assumptions!$A$70:$B$90,2,0),0)</f>
        <v>0</v>
      </c>
      <c r="AN36" s="8">
        <f>IF(AN$1&lt;=MACRS_DEP_PERIOD_OH+1,AN32*VLOOKUP(AN$1,Assumptions!$A$70:$B$90,2,0),0)</f>
        <v>0</v>
      </c>
      <c r="AO36" s="8">
        <f>IF(AO$1&lt;=MACRS_DEP_PERIOD_OH+1,AO32*VLOOKUP(AO$1,Assumptions!$A$70:$B$90,2,0),0)</f>
        <v>0</v>
      </c>
      <c r="AP36" s="8">
        <f>IF(AP$1&lt;=MACRS_DEP_PERIOD_OH+1,AP32*VLOOKUP(AP$1,Assumptions!$A$70:$B$90,2,0),0)</f>
        <v>0</v>
      </c>
      <c r="AQ36" s="8">
        <f>IF(AQ$1&lt;=MACRS_DEP_PERIOD_OH+1,AQ32*VLOOKUP(AQ$1,Assumptions!$A$70:$B$90,2,0),0)</f>
        <v>0</v>
      </c>
      <c r="AR36" s="8">
        <f>IF(AR$1&lt;=MACRS_DEP_PERIOD_OH+1,AR32*VLOOKUP(AR$1,Assumptions!$A$70:$B$90,2,0),0)</f>
        <v>0</v>
      </c>
      <c r="AS36" s="8">
        <f>IF(AS$1&lt;=MACRS_DEP_PERIOD_OH+1,AS32*VLOOKUP(AS$1,Assumptions!$A$70:$B$90,2,0),0)</f>
        <v>0</v>
      </c>
      <c r="AT36" s="8">
        <f>IF(AT$1&lt;=MACRS_DEP_PERIOD_OH+1,AT32*VLOOKUP(AT$1,Assumptions!$A$70:$B$90,2,0),0)</f>
        <v>0</v>
      </c>
      <c r="AU36" s="8">
        <f>IF(AU$1&lt;=MACRS_DEP_PERIOD_OH+1,AU32*VLOOKUP(AU$1,Assumptions!$A$70:$B$90,2,0),0)</f>
        <v>0</v>
      </c>
      <c r="AV36" s="8">
        <f>IF(AV$1&lt;=MACRS_DEP_PERIOD_OH+1,AV32*VLOOKUP(AV$1,Assumptions!$A$70:$B$90,2,0),0)</f>
        <v>0</v>
      </c>
      <c r="AW36" s="8">
        <f>IF(AW$1&lt;=MACRS_DEP_PERIOD_OH+1,AW32*VLOOKUP(AW$1,Assumptions!$A$70:$B$90,2,0),0)</f>
        <v>0</v>
      </c>
      <c r="AX36" s="8">
        <f>IF(AX$1&lt;=MACRS_DEP_PERIOD_OH+1,AX32*VLOOKUP(AX$1,Assumptions!$A$70:$B$90,2,0),0)</f>
        <v>0</v>
      </c>
      <c r="AY36" s="8">
        <f>IF(AY$1&lt;=MACRS_DEP_PERIOD_OH+1,AY32*VLOOKUP(AY$1,Assumptions!$A$70:$B$90,2,0),0)</f>
        <v>0</v>
      </c>
      <c r="AZ36" s="8">
        <f>IF(AZ$1&lt;=MACRS_DEP_PERIOD_OH+1,AZ32*VLOOKUP(AZ$1,Assumptions!$A$70:$B$90,2,0),0)</f>
        <v>0</v>
      </c>
      <c r="BA36" s="8">
        <f>IF(BA$1&lt;=MACRS_DEP_PERIOD_OH+1,BA32*VLOOKUP(BA$1,Assumptions!$A$70:$B$90,2,0),0)</f>
        <v>0</v>
      </c>
      <c r="BB36" s="8">
        <f>IF(BB$1&lt;=MACRS_DEP_PERIOD_OH+1,BB32*VLOOKUP(BB$1,Assumptions!$A$70:$B$90,2,0),0)</f>
        <v>0</v>
      </c>
      <c r="BC36" s="8">
        <f>IF(BC$1&lt;=MACRS_DEP_PERIOD_OH+1,BC32*VLOOKUP(BC$1,Assumptions!$A$70:$B$90,2,0),0)</f>
        <v>0</v>
      </c>
      <c r="BD36" s="8">
        <f>IF(BD$1&lt;=MACRS_DEP_PERIOD_OH+1,BD32*VLOOKUP(BD$1,Assumptions!$A$70:$B$90,2,0),0)</f>
        <v>0</v>
      </c>
      <c r="BE36" s="8">
        <f>IF(BE$1&lt;=MACRS_DEP_PERIOD_OH+1,BE32*VLOOKUP(BE$1,Assumptions!$A$70:$B$90,2,0),0)</f>
        <v>0</v>
      </c>
      <c r="BF36" s="8">
        <f>IF(BF$1&lt;=MACRS_DEP_PERIOD_OH+1,BF32*VLOOKUP(BF$1,Assumptions!$A$70:$B$90,2,0),0)</f>
        <v>0</v>
      </c>
      <c r="BG36" s="8">
        <f>IF(BG$1&lt;=MACRS_DEP_PERIOD_OH+1,BG32*VLOOKUP(BG$1,Assumptions!$A$70:$B$90,2,0),0)</f>
        <v>0</v>
      </c>
      <c r="BH36" s="8">
        <f>IF(BH$1&lt;=MACRS_DEP_PERIOD_OH+1,BH32*VLOOKUP(BH$1,Assumptions!$A$70:$B$90,2,0),0)</f>
        <v>0</v>
      </c>
      <c r="BI36" s="8">
        <f>IF(BI$1&lt;=MACRS_DEP_PERIOD_OH+1,BI32*VLOOKUP(BI$1,Assumptions!$A$70:$B$90,2,0),0)</f>
        <v>0</v>
      </c>
      <c r="BJ36" s="8">
        <f>IF(BJ$1&lt;=MACRS_DEP_PERIOD_OH+1,BJ32*VLOOKUP(BJ$1,Assumptions!$A$70:$B$90,2,0),0)</f>
        <v>0</v>
      </c>
      <c r="BK36" s="8">
        <f>IF(BK$1&lt;=MACRS_DEP_PERIOD_OH+1,BK32*VLOOKUP(BK$1,Assumptions!$A$70:$B$90,2,0),0)</f>
        <v>0</v>
      </c>
      <c r="BL36" s="8">
        <f>IF(BL$1&lt;=MACRS_DEP_PERIOD_OH+1,BL32*VLOOKUP(BL$1,Assumptions!$A$70:$B$90,2,0),0)</f>
        <v>0</v>
      </c>
      <c r="BM36" s="8">
        <f>IF(BM$1&lt;=MACRS_DEP_PERIOD_OH+1,BM32*VLOOKUP(BM$1,Assumptions!$A$70:$B$90,2,0),0)</f>
        <v>0</v>
      </c>
      <c r="BN36" s="8">
        <f>IF(BN$1&lt;=MACRS_DEP_PERIOD_OH+1,BN32*VLOOKUP(BN$1,Assumptions!$A$70:$B$90,2,0),0)</f>
        <v>0</v>
      </c>
      <c r="BO36" s="8">
        <f>IF(BO$1&lt;=MACRS_DEP_PERIOD_OH+1,BO32*VLOOKUP(BO$1,Assumptions!$A$70:$B$90,2,0),0)</f>
        <v>0</v>
      </c>
      <c r="BP36" s="8">
        <f>IF(BP$1&lt;=MACRS_DEP_PERIOD_OH+1,BP32*VLOOKUP(BP$1,Assumptions!$A$70:$B$90,2,0),0)</f>
        <v>0</v>
      </c>
      <c r="BQ36" s="8">
        <f>IF(BQ$1&lt;=MACRS_DEP_PERIOD_OH+1,BQ32*VLOOKUP(BQ$1,Assumptions!$A$70:$B$90,2,0),0)</f>
        <v>0</v>
      </c>
    </row>
    <row r="37" spans="1:69" x14ac:dyDescent="0.4">
      <c r="A37" t="s">
        <v>39</v>
      </c>
      <c r="B37" t="s">
        <v>15</v>
      </c>
      <c r="C37" t="s">
        <v>127</v>
      </c>
      <c r="D37" t="s">
        <v>170</v>
      </c>
      <c r="F37" s="8">
        <v>0</v>
      </c>
      <c r="G37" s="8">
        <f>F38</f>
        <v>0</v>
      </c>
      <c r="H37" s="8">
        <f t="shared" ref="H37:BQ37" si="31">G38</f>
        <v>-175199.72189037502</v>
      </c>
      <c r="I37" s="8">
        <f t="shared" si="31"/>
        <v>-697695.34963087062</v>
      </c>
      <c r="J37" s="8">
        <f t="shared" si="31"/>
        <v>-1165929.1206487471</v>
      </c>
      <c r="K37" s="8">
        <f t="shared" si="31"/>
        <v>-1584105.8282693736</v>
      </c>
      <c r="L37" s="8">
        <f t="shared" si="31"/>
        <v>-1955829.581057352</v>
      </c>
      <c r="M37" s="8">
        <f t="shared" si="31"/>
        <v>-2284704.4875772847</v>
      </c>
      <c r="N37" s="8">
        <f t="shared" si="31"/>
        <v>-2573834.0857598009</v>
      </c>
      <c r="O37" s="8">
        <f t="shared" si="31"/>
        <v>-2826321.9135355297</v>
      </c>
      <c r="P37" s="8">
        <f t="shared" si="31"/>
        <v>-3072802.8937035888</v>
      </c>
      <c r="Q37" s="8">
        <f t="shared" si="31"/>
        <v>-3319183.7597448532</v>
      </c>
      <c r="R37" s="8">
        <f t="shared" si="31"/>
        <v>-3565664.7399129122</v>
      </c>
      <c r="S37" s="8">
        <f t="shared" si="31"/>
        <v>-3812045.6059541767</v>
      </c>
      <c r="T37" s="8">
        <f t="shared" si="31"/>
        <v>-4058526.5861222357</v>
      </c>
      <c r="U37" s="8">
        <f t="shared" si="31"/>
        <v>-4304907.4521635007</v>
      </c>
      <c r="V37" s="8">
        <f t="shared" si="31"/>
        <v>-4551388.4323315602</v>
      </c>
      <c r="W37" s="8">
        <f t="shared" si="31"/>
        <v>-4797769.2983728247</v>
      </c>
      <c r="X37" s="8">
        <f t="shared" si="31"/>
        <v>-5044250.2785408841</v>
      </c>
      <c r="Y37" s="8">
        <f t="shared" si="31"/>
        <v>-5290631.1445821486</v>
      </c>
      <c r="Z37" s="8">
        <f t="shared" si="31"/>
        <v>-5537112.1247502081</v>
      </c>
      <c r="AA37" s="8">
        <f t="shared" si="31"/>
        <v>-5783492.9907914726</v>
      </c>
      <c r="AB37" s="8">
        <f t="shared" si="31"/>
        <v>-5806619.3540810021</v>
      </c>
      <c r="AC37" s="8">
        <f t="shared" si="31"/>
        <v>-5606391.1004920024</v>
      </c>
      <c r="AD37" s="8">
        <f t="shared" si="31"/>
        <v>-5406162.8469030028</v>
      </c>
      <c r="AE37" s="8">
        <f t="shared" si="31"/>
        <v>-5205934.5933140032</v>
      </c>
      <c r="AF37" s="8">
        <f t="shared" si="31"/>
        <v>-5005706.3397250036</v>
      </c>
      <c r="AG37" s="8">
        <f t="shared" si="31"/>
        <v>-4805478.086136004</v>
      </c>
      <c r="AH37" s="8">
        <f t="shared" si="31"/>
        <v>-4605249.8325470043</v>
      </c>
      <c r="AI37" s="8">
        <f t="shared" si="31"/>
        <v>-4405021.5789580047</v>
      </c>
      <c r="AJ37" s="8">
        <f t="shared" si="31"/>
        <v>-4204793.3253690051</v>
      </c>
      <c r="AK37" s="8">
        <f t="shared" si="31"/>
        <v>-4004565.071780005</v>
      </c>
      <c r="AL37" s="8">
        <f t="shared" si="31"/>
        <v>-3804336.8181910049</v>
      </c>
      <c r="AM37" s="8">
        <f t="shared" si="31"/>
        <v>-3604108.5646020048</v>
      </c>
      <c r="AN37" s="8">
        <f t="shared" si="31"/>
        <v>-3403880.3110130047</v>
      </c>
      <c r="AO37" s="8">
        <f t="shared" si="31"/>
        <v>-3203652.0574240047</v>
      </c>
      <c r="AP37" s="8">
        <f t="shared" si="31"/>
        <v>-3003423.8038350046</v>
      </c>
      <c r="AQ37" s="8">
        <f t="shared" si="31"/>
        <v>-2803195.5502460045</v>
      </c>
      <c r="AR37" s="8">
        <f t="shared" si="31"/>
        <v>-2602967.2966570044</v>
      </c>
      <c r="AS37" s="8">
        <f t="shared" si="31"/>
        <v>-2402739.0430680043</v>
      </c>
      <c r="AT37" s="8">
        <f t="shared" si="31"/>
        <v>-2202510.7894790042</v>
      </c>
      <c r="AU37" s="8">
        <f t="shared" si="31"/>
        <v>-2002282.5358900041</v>
      </c>
      <c r="AV37" s="8">
        <f t="shared" si="31"/>
        <v>-1802054.282301004</v>
      </c>
      <c r="AW37" s="8">
        <f t="shared" si="31"/>
        <v>-1601826.028712004</v>
      </c>
      <c r="AX37" s="8">
        <f t="shared" si="31"/>
        <v>-1401597.7751230039</v>
      </c>
      <c r="AY37" s="8">
        <f t="shared" si="31"/>
        <v>-1201369.5215340038</v>
      </c>
      <c r="AZ37" s="8">
        <f t="shared" si="31"/>
        <v>-1001141.2679450038</v>
      </c>
      <c r="BA37" s="8">
        <f t="shared" si="31"/>
        <v>-800913.01435600384</v>
      </c>
      <c r="BB37" s="8">
        <f t="shared" si="31"/>
        <v>-600684.76076700387</v>
      </c>
      <c r="BC37" s="8">
        <f t="shared" si="31"/>
        <v>-400456.5071780039</v>
      </c>
      <c r="BD37" s="8">
        <f t="shared" si="31"/>
        <v>-200228.2535890039</v>
      </c>
      <c r="BE37" s="8">
        <f t="shared" si="31"/>
        <v>-3.8999132812023163E-9</v>
      </c>
      <c r="BF37" s="8">
        <f t="shared" si="31"/>
        <v>-3.8999132812023163E-9</v>
      </c>
      <c r="BG37" s="8">
        <f t="shared" si="31"/>
        <v>-3.8999132812023163E-9</v>
      </c>
      <c r="BH37" s="8">
        <f t="shared" si="31"/>
        <v>-3.8999132812023163E-9</v>
      </c>
      <c r="BI37" s="8">
        <f t="shared" si="31"/>
        <v>-3.8999132812023163E-9</v>
      </c>
      <c r="BJ37" s="8">
        <f t="shared" si="31"/>
        <v>-3.8999132812023163E-9</v>
      </c>
      <c r="BK37" s="8">
        <f t="shared" si="31"/>
        <v>-3.8999132812023163E-9</v>
      </c>
      <c r="BL37" s="8">
        <f t="shared" si="31"/>
        <v>-3.8999132812023163E-9</v>
      </c>
      <c r="BM37" s="8">
        <f t="shared" si="31"/>
        <v>-3.8999132812023163E-9</v>
      </c>
      <c r="BN37" s="8">
        <f t="shared" si="31"/>
        <v>-3.8999132812023163E-9</v>
      </c>
      <c r="BO37" s="8">
        <f t="shared" si="31"/>
        <v>-3.8999132812023163E-9</v>
      </c>
      <c r="BP37" s="8">
        <f t="shared" si="31"/>
        <v>-3.8999132812023163E-9</v>
      </c>
      <c r="BQ37" s="8">
        <f t="shared" si="31"/>
        <v>-3.8999132812023163E-9</v>
      </c>
    </row>
    <row r="38" spans="1:69" x14ac:dyDescent="0.4">
      <c r="A38" t="s">
        <v>39</v>
      </c>
      <c r="B38" t="s">
        <v>15</v>
      </c>
      <c r="C38" t="s">
        <v>127</v>
      </c>
      <c r="D38" t="s">
        <v>171</v>
      </c>
      <c r="F38" s="8"/>
      <c r="G38" s="8">
        <f t="shared" ref="G38:AL38" si="32">F38+((G42-G36)*INC_TAX_RATE)</f>
        <v>-175199.72189037502</v>
      </c>
      <c r="H38" s="8">
        <f t="shared" si="32"/>
        <v>-697695.34963087062</v>
      </c>
      <c r="I38" s="8">
        <f t="shared" si="32"/>
        <v>-1165929.1206487471</v>
      </c>
      <c r="J38" s="8">
        <f t="shared" si="32"/>
        <v>-1584105.8282693736</v>
      </c>
      <c r="K38" s="8">
        <f t="shared" si="32"/>
        <v>-1955829.581057352</v>
      </c>
      <c r="L38" s="8">
        <f t="shared" si="32"/>
        <v>-2284704.4875772847</v>
      </c>
      <c r="M38" s="8">
        <f t="shared" si="32"/>
        <v>-2573834.0857598009</v>
      </c>
      <c r="N38" s="8">
        <f t="shared" si="32"/>
        <v>-2826321.9135355297</v>
      </c>
      <c r="O38" s="8">
        <f t="shared" si="32"/>
        <v>-3072802.8937035888</v>
      </c>
      <c r="P38" s="8">
        <f t="shared" si="32"/>
        <v>-3319183.7597448532</v>
      </c>
      <c r="Q38" s="8">
        <f t="shared" si="32"/>
        <v>-3565664.7399129122</v>
      </c>
      <c r="R38" s="8">
        <f t="shared" si="32"/>
        <v>-3812045.6059541767</v>
      </c>
      <c r="S38" s="8">
        <f t="shared" si="32"/>
        <v>-4058526.5861222357</v>
      </c>
      <c r="T38" s="8">
        <f t="shared" si="32"/>
        <v>-4304907.4521635007</v>
      </c>
      <c r="U38" s="8">
        <f t="shared" si="32"/>
        <v>-4551388.4323315602</v>
      </c>
      <c r="V38" s="8">
        <f t="shared" si="32"/>
        <v>-4797769.2983728247</v>
      </c>
      <c r="W38" s="8">
        <f t="shared" si="32"/>
        <v>-5044250.2785408841</v>
      </c>
      <c r="X38" s="8">
        <f t="shared" si="32"/>
        <v>-5290631.1445821486</v>
      </c>
      <c r="Y38" s="8">
        <f t="shared" si="32"/>
        <v>-5537112.1247502081</v>
      </c>
      <c r="Z38" s="8">
        <f t="shared" si="32"/>
        <v>-5783492.9907914726</v>
      </c>
      <c r="AA38" s="8">
        <f t="shared" si="32"/>
        <v>-5806619.3540810021</v>
      </c>
      <c r="AB38" s="8">
        <f t="shared" si="32"/>
        <v>-5606391.1004920024</v>
      </c>
      <c r="AC38" s="8">
        <f t="shared" si="32"/>
        <v>-5406162.8469030028</v>
      </c>
      <c r="AD38" s="8">
        <f t="shared" si="32"/>
        <v>-5205934.5933140032</v>
      </c>
      <c r="AE38" s="8">
        <f t="shared" si="32"/>
        <v>-5005706.3397250036</v>
      </c>
      <c r="AF38" s="8">
        <f t="shared" si="32"/>
        <v>-4805478.086136004</v>
      </c>
      <c r="AG38" s="8">
        <f t="shared" si="32"/>
        <v>-4605249.8325470043</v>
      </c>
      <c r="AH38" s="8">
        <f t="shared" si="32"/>
        <v>-4405021.5789580047</v>
      </c>
      <c r="AI38" s="8">
        <f t="shared" si="32"/>
        <v>-4204793.3253690051</v>
      </c>
      <c r="AJ38" s="8">
        <f t="shared" si="32"/>
        <v>-4004565.071780005</v>
      </c>
      <c r="AK38" s="8">
        <f t="shared" si="32"/>
        <v>-3804336.8181910049</v>
      </c>
      <c r="AL38" s="8">
        <f t="shared" si="32"/>
        <v>-3604108.5646020048</v>
      </c>
      <c r="AM38" s="8">
        <f t="shared" ref="AM38:BQ38" si="33">AL38+((AM42-AM36)*INC_TAX_RATE)</f>
        <v>-3403880.3110130047</v>
      </c>
      <c r="AN38" s="8">
        <f t="shared" si="33"/>
        <v>-3203652.0574240047</v>
      </c>
      <c r="AO38" s="8">
        <f t="shared" si="33"/>
        <v>-3003423.8038350046</v>
      </c>
      <c r="AP38" s="8">
        <f t="shared" si="33"/>
        <v>-2803195.5502460045</v>
      </c>
      <c r="AQ38" s="8">
        <f t="shared" si="33"/>
        <v>-2602967.2966570044</v>
      </c>
      <c r="AR38" s="8">
        <f t="shared" si="33"/>
        <v>-2402739.0430680043</v>
      </c>
      <c r="AS38" s="8">
        <f t="shared" si="33"/>
        <v>-2202510.7894790042</v>
      </c>
      <c r="AT38" s="8">
        <f t="shared" si="33"/>
        <v>-2002282.5358900041</v>
      </c>
      <c r="AU38" s="8">
        <f t="shared" si="33"/>
        <v>-1802054.282301004</v>
      </c>
      <c r="AV38" s="8">
        <f t="shared" si="33"/>
        <v>-1601826.028712004</v>
      </c>
      <c r="AW38" s="8">
        <f t="shared" si="33"/>
        <v>-1401597.7751230039</v>
      </c>
      <c r="AX38" s="8">
        <f t="shared" si="33"/>
        <v>-1201369.5215340038</v>
      </c>
      <c r="AY38" s="8">
        <f t="shared" si="33"/>
        <v>-1001141.2679450038</v>
      </c>
      <c r="AZ38" s="8">
        <f t="shared" si="33"/>
        <v>-800913.01435600384</v>
      </c>
      <c r="BA38" s="8">
        <f t="shared" si="33"/>
        <v>-600684.76076700387</v>
      </c>
      <c r="BB38" s="8">
        <f t="shared" si="33"/>
        <v>-400456.5071780039</v>
      </c>
      <c r="BC38" s="8">
        <f t="shared" si="33"/>
        <v>-200228.2535890039</v>
      </c>
      <c r="BD38" s="8">
        <f t="shared" si="33"/>
        <v>-3.8999132812023163E-9</v>
      </c>
      <c r="BE38" s="8">
        <f t="shared" si="33"/>
        <v>-3.8999132812023163E-9</v>
      </c>
      <c r="BF38" s="8">
        <f t="shared" si="33"/>
        <v>-3.8999132812023163E-9</v>
      </c>
      <c r="BG38" s="8">
        <f t="shared" si="33"/>
        <v>-3.8999132812023163E-9</v>
      </c>
      <c r="BH38" s="8">
        <f t="shared" si="33"/>
        <v>-3.8999132812023163E-9</v>
      </c>
      <c r="BI38" s="8">
        <f t="shared" si="33"/>
        <v>-3.8999132812023163E-9</v>
      </c>
      <c r="BJ38" s="8">
        <f t="shared" si="33"/>
        <v>-3.8999132812023163E-9</v>
      </c>
      <c r="BK38" s="8">
        <f t="shared" si="33"/>
        <v>-3.8999132812023163E-9</v>
      </c>
      <c r="BL38" s="8">
        <f t="shared" si="33"/>
        <v>-3.8999132812023163E-9</v>
      </c>
      <c r="BM38" s="8">
        <f t="shared" si="33"/>
        <v>-3.8999132812023163E-9</v>
      </c>
      <c r="BN38" s="8">
        <f t="shared" si="33"/>
        <v>-3.8999132812023163E-9</v>
      </c>
      <c r="BO38" s="8">
        <f t="shared" si="33"/>
        <v>-3.8999132812023163E-9</v>
      </c>
      <c r="BP38" s="8">
        <f t="shared" si="33"/>
        <v>-3.8999132812023163E-9</v>
      </c>
      <c r="BQ38" s="8">
        <f t="shared" si="33"/>
        <v>-3.8999132812023163E-9</v>
      </c>
    </row>
    <row r="39" spans="1:69" x14ac:dyDescent="0.4">
      <c r="A39" t="s">
        <v>39</v>
      </c>
      <c r="B39" t="s">
        <v>15</v>
      </c>
      <c r="C39" t="s">
        <v>127</v>
      </c>
      <c r="D39" t="s">
        <v>158</v>
      </c>
      <c r="F39" s="8"/>
      <c r="G39" s="8">
        <f>AVERAGE(G34:G35)+AVERAGE(G37:G38)</f>
        <v>35673895.909054808</v>
      </c>
      <c r="H39" s="8">
        <f t="shared" ref="H39:BQ39" si="34">AVERAGE(H34:H35)+AVERAGE(H37:H38)</f>
        <v>34602593.774239376</v>
      </c>
      <c r="I39" s="8">
        <f t="shared" si="34"/>
        <v>33384774.614860184</v>
      </c>
      <c r="J39" s="8">
        <f t="shared" si="34"/>
        <v>32219114.915540941</v>
      </c>
      <c r="K39" s="8">
        <f t="shared" si="34"/>
        <v>31101710.225336637</v>
      </c>
      <c r="L39" s="8">
        <f t="shared" si="34"/>
        <v>30028956.43568268</v>
      </c>
      <c r="M39" s="8">
        <f t="shared" si="34"/>
        <v>28997499.723331459</v>
      </c>
      <c r="N39" s="8">
        <f t="shared" si="34"/>
        <v>28004236.550352335</v>
      </c>
      <c r="O39" s="8">
        <f t="shared" si="34"/>
        <v>27032297.686380439</v>
      </c>
      <c r="P39" s="8">
        <f t="shared" si="34"/>
        <v>26063412.303275779</v>
      </c>
      <c r="Q39" s="8">
        <f t="shared" si="34"/>
        <v>25094526.920171119</v>
      </c>
      <c r="R39" s="8">
        <f t="shared" si="34"/>
        <v>24125641.537066456</v>
      </c>
      <c r="S39" s="8">
        <f t="shared" si="34"/>
        <v>23156756.153961793</v>
      </c>
      <c r="T39" s="8">
        <f t="shared" si="34"/>
        <v>22187870.770857133</v>
      </c>
      <c r="U39" s="8">
        <f t="shared" si="34"/>
        <v>21218985.387752466</v>
      </c>
      <c r="V39" s="8">
        <f t="shared" si="34"/>
        <v>20250100.004647806</v>
      </c>
      <c r="W39" s="8">
        <f t="shared" si="34"/>
        <v>19281214.621543143</v>
      </c>
      <c r="X39" s="8">
        <f t="shared" si="34"/>
        <v>18312329.23843848</v>
      </c>
      <c r="Y39" s="8">
        <f t="shared" si="34"/>
        <v>17343443.855333816</v>
      </c>
      <c r="Z39" s="8">
        <f t="shared" si="34"/>
        <v>16374558.472229153</v>
      </c>
      <c r="AA39" s="8">
        <f t="shared" si="34"/>
        <v>15517350.397563756</v>
      </c>
      <c r="AB39" s="8">
        <f t="shared" si="34"/>
        <v>14883446.882713489</v>
      </c>
      <c r="AC39" s="8">
        <f t="shared" si="34"/>
        <v>14361220.676302489</v>
      </c>
      <c r="AD39" s="8">
        <f t="shared" si="34"/>
        <v>13838994.469891487</v>
      </c>
      <c r="AE39" s="8">
        <f t="shared" si="34"/>
        <v>13316768.263480486</v>
      </c>
      <c r="AF39" s="8">
        <f t="shared" si="34"/>
        <v>12794542.057069484</v>
      </c>
      <c r="AG39" s="8">
        <f t="shared" si="34"/>
        <v>12272315.850658484</v>
      </c>
      <c r="AH39" s="8">
        <f t="shared" si="34"/>
        <v>11750089.644247482</v>
      </c>
      <c r="AI39" s="8">
        <f t="shared" si="34"/>
        <v>11227863.437836481</v>
      </c>
      <c r="AJ39" s="8">
        <f t="shared" si="34"/>
        <v>10705637.231425479</v>
      </c>
      <c r="AK39" s="8">
        <f t="shared" si="34"/>
        <v>10183411.025014479</v>
      </c>
      <c r="AL39" s="8">
        <f t="shared" si="34"/>
        <v>9661184.8186034784</v>
      </c>
      <c r="AM39" s="8">
        <f t="shared" si="34"/>
        <v>9138958.612192478</v>
      </c>
      <c r="AN39" s="8">
        <f t="shared" si="34"/>
        <v>8616732.4057814777</v>
      </c>
      <c r="AO39" s="8">
        <f t="shared" si="34"/>
        <v>8094506.1993704755</v>
      </c>
      <c r="AP39" s="8">
        <f t="shared" si="34"/>
        <v>7572279.9929594751</v>
      </c>
      <c r="AQ39" s="8">
        <f t="shared" si="34"/>
        <v>7050053.7865484739</v>
      </c>
      <c r="AR39" s="8">
        <f t="shared" si="34"/>
        <v>6527827.5801374735</v>
      </c>
      <c r="AS39" s="8">
        <f t="shared" si="34"/>
        <v>6005601.3737264723</v>
      </c>
      <c r="AT39" s="8">
        <f t="shared" si="34"/>
        <v>5483375.1673154719</v>
      </c>
      <c r="AU39" s="8">
        <f t="shared" si="34"/>
        <v>4961148.9609044706</v>
      </c>
      <c r="AV39" s="8">
        <f t="shared" si="34"/>
        <v>4438922.7544934703</v>
      </c>
      <c r="AW39" s="8">
        <f t="shared" si="34"/>
        <v>3916696.548082469</v>
      </c>
      <c r="AX39" s="8">
        <f t="shared" si="34"/>
        <v>3394470.3416714687</v>
      </c>
      <c r="AY39" s="8">
        <f t="shared" si="34"/>
        <v>2872244.1352604674</v>
      </c>
      <c r="AZ39" s="8">
        <f t="shared" si="34"/>
        <v>2350017.9288494666</v>
      </c>
      <c r="BA39" s="8">
        <f t="shared" si="34"/>
        <v>1827791.7224384677</v>
      </c>
      <c r="BB39" s="8">
        <f t="shared" si="34"/>
        <v>1305565.5160274685</v>
      </c>
      <c r="BC39" s="8">
        <f t="shared" si="34"/>
        <v>783339.30961646768</v>
      </c>
      <c r="BD39" s="8">
        <f t="shared" si="34"/>
        <v>261113.10320548166</v>
      </c>
      <c r="BE39" s="8">
        <f t="shared" si="34"/>
        <v>-3.8999132812023163E-9</v>
      </c>
      <c r="BF39" s="8">
        <f t="shared" si="34"/>
        <v>-3.8999132812023163E-9</v>
      </c>
      <c r="BG39" s="8">
        <f t="shared" si="34"/>
        <v>-3.8999132812023163E-9</v>
      </c>
      <c r="BH39" s="8">
        <f t="shared" si="34"/>
        <v>-3.8999132812023163E-9</v>
      </c>
      <c r="BI39" s="8">
        <f t="shared" si="34"/>
        <v>-3.8999132812023163E-9</v>
      </c>
      <c r="BJ39" s="8">
        <f t="shared" si="34"/>
        <v>-3.8999132812023163E-9</v>
      </c>
      <c r="BK39" s="8">
        <f t="shared" si="34"/>
        <v>-3.8999132812023163E-9</v>
      </c>
      <c r="BL39" s="8">
        <f t="shared" si="34"/>
        <v>-3.8999132812023163E-9</v>
      </c>
      <c r="BM39" s="8">
        <f t="shared" si="34"/>
        <v>-3.8999132812023163E-9</v>
      </c>
      <c r="BN39" s="8">
        <f t="shared" si="34"/>
        <v>-3.8999132812023163E-9</v>
      </c>
      <c r="BO39" s="8">
        <f t="shared" si="34"/>
        <v>-3.8999132812023163E-9</v>
      </c>
      <c r="BP39" s="8">
        <f t="shared" si="34"/>
        <v>-3.8999132812023163E-9</v>
      </c>
      <c r="BQ39" s="8">
        <f t="shared" si="34"/>
        <v>-3.8999132812023163E-9</v>
      </c>
    </row>
    <row r="40" spans="1:69" x14ac:dyDescent="0.4">
      <c r="C40" s="216"/>
      <c r="D40" s="216"/>
      <c r="E40" s="216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</row>
    <row r="41" spans="1:69" x14ac:dyDescent="0.4">
      <c r="A41" t="s">
        <v>39</v>
      </c>
      <c r="B41" t="s">
        <v>15</v>
      </c>
      <c r="C41" t="s">
        <v>127</v>
      </c>
      <c r="D41" t="s">
        <v>128</v>
      </c>
      <c r="E41" s="8"/>
      <c r="F41" s="8"/>
      <c r="G41" s="8">
        <f t="shared" ref="G41:AL41" si="35">G39*AVG_PRE_TAX_RATE</f>
        <v>3185678.9046785943</v>
      </c>
      <c r="H41" s="8">
        <f t="shared" si="35"/>
        <v>3090011.6240395764</v>
      </c>
      <c r="I41" s="8">
        <f t="shared" si="35"/>
        <v>2981260.3731070147</v>
      </c>
      <c r="J41" s="8">
        <f t="shared" si="35"/>
        <v>2877166.9619578063</v>
      </c>
      <c r="K41" s="8">
        <f t="shared" si="35"/>
        <v>2777382.7231225618</v>
      </c>
      <c r="L41" s="8">
        <f t="shared" si="35"/>
        <v>2681585.8097064635</v>
      </c>
      <c r="M41" s="8">
        <f t="shared" si="35"/>
        <v>2589476.7252934994</v>
      </c>
      <c r="N41" s="8">
        <f t="shared" si="35"/>
        <v>2500778.3239464634</v>
      </c>
      <c r="O41" s="8">
        <f t="shared" si="35"/>
        <v>2413984.1833937732</v>
      </c>
      <c r="P41" s="8">
        <f t="shared" si="35"/>
        <v>2327462.7186825271</v>
      </c>
      <c r="Q41" s="8">
        <f t="shared" si="35"/>
        <v>2240941.253971281</v>
      </c>
      <c r="R41" s="8">
        <f t="shared" si="35"/>
        <v>2154419.7892600344</v>
      </c>
      <c r="S41" s="8">
        <f t="shared" si="35"/>
        <v>2067898.3245487881</v>
      </c>
      <c r="T41" s="8">
        <f t="shared" si="35"/>
        <v>1981376.8598375421</v>
      </c>
      <c r="U41" s="8">
        <f t="shared" si="35"/>
        <v>1894855.3951262953</v>
      </c>
      <c r="V41" s="8">
        <f t="shared" si="35"/>
        <v>1808333.9304150492</v>
      </c>
      <c r="W41" s="8">
        <f t="shared" si="35"/>
        <v>1721812.4657038026</v>
      </c>
      <c r="X41" s="8">
        <f t="shared" si="35"/>
        <v>1635291.0009925563</v>
      </c>
      <c r="Y41" s="8">
        <f t="shared" si="35"/>
        <v>1548769.5362813098</v>
      </c>
      <c r="Z41" s="8">
        <f t="shared" si="35"/>
        <v>1462248.0715700635</v>
      </c>
      <c r="AA41" s="8">
        <f t="shared" si="35"/>
        <v>1385699.3905024435</v>
      </c>
      <c r="AB41" s="8">
        <f t="shared" si="35"/>
        <v>1329091.8066263148</v>
      </c>
      <c r="AC41" s="8">
        <f t="shared" si="35"/>
        <v>1282457.0063938124</v>
      </c>
      <c r="AD41" s="8">
        <f t="shared" si="35"/>
        <v>1235822.2061613097</v>
      </c>
      <c r="AE41" s="8">
        <f t="shared" si="35"/>
        <v>1189187.4059288076</v>
      </c>
      <c r="AF41" s="8">
        <f t="shared" si="35"/>
        <v>1142552.6056963049</v>
      </c>
      <c r="AG41" s="8">
        <f t="shared" si="35"/>
        <v>1095917.8054638028</v>
      </c>
      <c r="AH41" s="8">
        <f t="shared" si="35"/>
        <v>1049283.0052313001</v>
      </c>
      <c r="AI41" s="8">
        <f t="shared" si="35"/>
        <v>1002648.2049987979</v>
      </c>
      <c r="AJ41" s="8">
        <f t="shared" si="35"/>
        <v>956013.40476629534</v>
      </c>
      <c r="AK41" s="8">
        <f t="shared" si="35"/>
        <v>909378.60453379294</v>
      </c>
      <c r="AL41" s="8">
        <f t="shared" si="35"/>
        <v>862743.80430129066</v>
      </c>
      <c r="AM41" s="8">
        <f t="shared" ref="AM41:BQ41" si="36">AM39*AVG_PRE_TAX_RATE</f>
        <v>816109.00406878837</v>
      </c>
      <c r="AN41" s="8">
        <f t="shared" si="36"/>
        <v>769474.20383628597</v>
      </c>
      <c r="AO41" s="8">
        <f t="shared" si="36"/>
        <v>722839.40360378346</v>
      </c>
      <c r="AP41" s="8">
        <f t="shared" si="36"/>
        <v>676204.60337128118</v>
      </c>
      <c r="AQ41" s="8">
        <f t="shared" si="36"/>
        <v>629569.80313877878</v>
      </c>
      <c r="AR41" s="8">
        <f t="shared" si="36"/>
        <v>582935.00290627638</v>
      </c>
      <c r="AS41" s="8">
        <f t="shared" si="36"/>
        <v>536300.20267377398</v>
      </c>
      <c r="AT41" s="8">
        <f t="shared" si="36"/>
        <v>489665.40244127164</v>
      </c>
      <c r="AU41" s="8">
        <f t="shared" si="36"/>
        <v>443030.60220876924</v>
      </c>
      <c r="AV41" s="8">
        <f t="shared" si="36"/>
        <v>396395.8019762669</v>
      </c>
      <c r="AW41" s="8">
        <f t="shared" si="36"/>
        <v>349761.0017437645</v>
      </c>
      <c r="AX41" s="8">
        <f t="shared" si="36"/>
        <v>303126.20151126216</v>
      </c>
      <c r="AY41" s="8">
        <f t="shared" si="36"/>
        <v>256491.40127875976</v>
      </c>
      <c r="AZ41" s="8">
        <f t="shared" si="36"/>
        <v>209856.60104625739</v>
      </c>
      <c r="BA41" s="8">
        <f t="shared" si="36"/>
        <v>163221.80081375517</v>
      </c>
      <c r="BB41" s="8">
        <f t="shared" si="36"/>
        <v>116587.00058125294</v>
      </c>
      <c r="BC41" s="8">
        <f t="shared" si="36"/>
        <v>69952.200348750572</v>
      </c>
      <c r="BD41" s="8">
        <f t="shared" si="36"/>
        <v>23317.400116249515</v>
      </c>
      <c r="BE41" s="8">
        <f t="shared" si="36"/>
        <v>-3.4826225601136686E-10</v>
      </c>
      <c r="BF41" s="8">
        <f t="shared" si="36"/>
        <v>-3.4826225601136686E-10</v>
      </c>
      <c r="BG41" s="8">
        <f t="shared" si="36"/>
        <v>-3.4826225601136686E-10</v>
      </c>
      <c r="BH41" s="8">
        <f t="shared" si="36"/>
        <v>-3.4826225601136686E-10</v>
      </c>
      <c r="BI41" s="8">
        <f t="shared" si="36"/>
        <v>-3.4826225601136686E-10</v>
      </c>
      <c r="BJ41" s="8">
        <f t="shared" si="36"/>
        <v>-3.4826225601136686E-10</v>
      </c>
      <c r="BK41" s="8">
        <f t="shared" si="36"/>
        <v>-3.4826225601136686E-10</v>
      </c>
      <c r="BL41" s="8">
        <f t="shared" si="36"/>
        <v>-3.4826225601136686E-10</v>
      </c>
      <c r="BM41" s="8">
        <f t="shared" si="36"/>
        <v>-3.4826225601136686E-10</v>
      </c>
      <c r="BN41" s="8">
        <f t="shared" si="36"/>
        <v>-3.4826225601136686E-10</v>
      </c>
      <c r="BO41" s="8">
        <f t="shared" si="36"/>
        <v>-3.4826225601136686E-10</v>
      </c>
      <c r="BP41" s="8">
        <f t="shared" si="36"/>
        <v>-3.4826225601136686E-10</v>
      </c>
      <c r="BQ41" s="8">
        <f t="shared" si="36"/>
        <v>-3.4826225601136686E-10</v>
      </c>
    </row>
    <row r="42" spans="1:69" x14ac:dyDescent="0.4">
      <c r="A42" t="s">
        <v>39</v>
      </c>
      <c r="B42" t="s">
        <v>15</v>
      </c>
      <c r="C42" t="s">
        <v>127</v>
      </c>
      <c r="D42" t="s">
        <v>129</v>
      </c>
      <c r="E42" s="8"/>
      <c r="F42" s="8"/>
      <c r="G42" s="8">
        <f t="shared" ref="G42:AL42" si="37">G32/BOOK_DEP_PERIOD_OH</f>
        <v>722454.46</v>
      </c>
      <c r="H42" s="8">
        <f t="shared" si="37"/>
        <v>722454.46</v>
      </c>
      <c r="I42" s="8">
        <f t="shared" si="37"/>
        <v>722454.46</v>
      </c>
      <c r="J42" s="8">
        <f t="shared" si="37"/>
        <v>722454.46</v>
      </c>
      <c r="K42" s="8">
        <f t="shared" si="37"/>
        <v>722454.46</v>
      </c>
      <c r="L42" s="8">
        <f t="shared" si="37"/>
        <v>722454.46</v>
      </c>
      <c r="M42" s="8">
        <f t="shared" si="37"/>
        <v>722454.46</v>
      </c>
      <c r="N42" s="8">
        <f t="shared" si="37"/>
        <v>722454.46</v>
      </c>
      <c r="O42" s="8">
        <f t="shared" si="37"/>
        <v>722454.46</v>
      </c>
      <c r="P42" s="8">
        <f t="shared" si="37"/>
        <v>722454.46</v>
      </c>
      <c r="Q42" s="8">
        <f t="shared" si="37"/>
        <v>722454.46</v>
      </c>
      <c r="R42" s="8">
        <f t="shared" si="37"/>
        <v>722454.46</v>
      </c>
      <c r="S42" s="8">
        <f t="shared" si="37"/>
        <v>722454.46</v>
      </c>
      <c r="T42" s="8">
        <f t="shared" si="37"/>
        <v>722454.46</v>
      </c>
      <c r="U42" s="8">
        <f t="shared" si="37"/>
        <v>722454.46</v>
      </c>
      <c r="V42" s="8">
        <f t="shared" si="37"/>
        <v>722454.46</v>
      </c>
      <c r="W42" s="8">
        <f t="shared" si="37"/>
        <v>722454.46</v>
      </c>
      <c r="X42" s="8">
        <f t="shared" si="37"/>
        <v>722454.46</v>
      </c>
      <c r="Y42" s="8">
        <f t="shared" si="37"/>
        <v>722454.46</v>
      </c>
      <c r="Z42" s="8">
        <f t="shared" si="37"/>
        <v>722454.46</v>
      </c>
      <c r="AA42" s="8">
        <f t="shared" si="37"/>
        <v>722454.46</v>
      </c>
      <c r="AB42" s="8">
        <f t="shared" si="37"/>
        <v>722454.46</v>
      </c>
      <c r="AC42" s="8">
        <f t="shared" si="37"/>
        <v>722454.46</v>
      </c>
      <c r="AD42" s="8">
        <f t="shared" si="37"/>
        <v>722454.46</v>
      </c>
      <c r="AE42" s="8">
        <f t="shared" si="37"/>
        <v>722454.46</v>
      </c>
      <c r="AF42" s="8">
        <f t="shared" si="37"/>
        <v>722454.46</v>
      </c>
      <c r="AG42" s="8">
        <f t="shared" si="37"/>
        <v>722454.46</v>
      </c>
      <c r="AH42" s="8">
        <f t="shared" si="37"/>
        <v>722454.46</v>
      </c>
      <c r="AI42" s="8">
        <f t="shared" si="37"/>
        <v>722454.46</v>
      </c>
      <c r="AJ42" s="8">
        <f t="shared" si="37"/>
        <v>722454.46</v>
      </c>
      <c r="AK42" s="8">
        <f t="shared" si="37"/>
        <v>722454.46</v>
      </c>
      <c r="AL42" s="8">
        <f t="shared" si="37"/>
        <v>722454.46</v>
      </c>
      <c r="AM42" s="8">
        <f t="shared" ref="AM42:BQ42" si="38">AM32/BOOK_DEP_PERIOD_OH</f>
        <v>722454.46</v>
      </c>
      <c r="AN42" s="8">
        <f t="shared" si="38"/>
        <v>722454.46</v>
      </c>
      <c r="AO42" s="8">
        <f t="shared" si="38"/>
        <v>722454.46</v>
      </c>
      <c r="AP42" s="8">
        <f t="shared" si="38"/>
        <v>722454.46</v>
      </c>
      <c r="AQ42" s="8">
        <f t="shared" si="38"/>
        <v>722454.46</v>
      </c>
      <c r="AR42" s="8">
        <f t="shared" si="38"/>
        <v>722454.46</v>
      </c>
      <c r="AS42" s="8">
        <f t="shared" si="38"/>
        <v>722454.46</v>
      </c>
      <c r="AT42" s="8">
        <f t="shared" si="38"/>
        <v>722454.46</v>
      </c>
      <c r="AU42" s="8">
        <f t="shared" si="38"/>
        <v>722454.46</v>
      </c>
      <c r="AV42" s="8">
        <f t="shared" si="38"/>
        <v>722454.46</v>
      </c>
      <c r="AW42" s="8">
        <f t="shared" si="38"/>
        <v>722454.46</v>
      </c>
      <c r="AX42" s="8">
        <f t="shared" si="38"/>
        <v>722454.46</v>
      </c>
      <c r="AY42" s="8">
        <f t="shared" si="38"/>
        <v>722454.46</v>
      </c>
      <c r="AZ42" s="8">
        <f t="shared" si="38"/>
        <v>722454.46</v>
      </c>
      <c r="BA42" s="8">
        <f t="shared" si="38"/>
        <v>722454.46</v>
      </c>
      <c r="BB42" s="8">
        <f t="shared" si="38"/>
        <v>722454.46</v>
      </c>
      <c r="BC42" s="8">
        <f t="shared" si="38"/>
        <v>722454.46</v>
      </c>
      <c r="BD42" s="8">
        <f t="shared" si="38"/>
        <v>722454.46</v>
      </c>
      <c r="BE42" s="8">
        <f t="shared" si="38"/>
        <v>0</v>
      </c>
      <c r="BF42" s="8">
        <f t="shared" si="38"/>
        <v>0</v>
      </c>
      <c r="BG42" s="8">
        <f t="shared" si="38"/>
        <v>0</v>
      </c>
      <c r="BH42" s="8">
        <f t="shared" si="38"/>
        <v>0</v>
      </c>
      <c r="BI42" s="8">
        <f t="shared" si="38"/>
        <v>0</v>
      </c>
      <c r="BJ42" s="8">
        <f t="shared" si="38"/>
        <v>0</v>
      </c>
      <c r="BK42" s="8">
        <f t="shared" si="38"/>
        <v>0</v>
      </c>
      <c r="BL42" s="8">
        <f t="shared" si="38"/>
        <v>0</v>
      </c>
      <c r="BM42" s="8">
        <f t="shared" si="38"/>
        <v>0</v>
      </c>
      <c r="BN42" s="8">
        <f t="shared" si="38"/>
        <v>0</v>
      </c>
      <c r="BO42" s="8">
        <f t="shared" si="38"/>
        <v>0</v>
      </c>
      <c r="BP42" s="8">
        <f t="shared" si="38"/>
        <v>0</v>
      </c>
      <c r="BQ42" s="8">
        <f t="shared" si="38"/>
        <v>0</v>
      </c>
    </row>
    <row r="43" spans="1:69" x14ac:dyDescent="0.4">
      <c r="A43" t="s">
        <v>39</v>
      </c>
      <c r="B43" t="s">
        <v>15</v>
      </c>
      <c r="C43" t="s">
        <v>136</v>
      </c>
      <c r="D43" t="s">
        <v>148</v>
      </c>
      <c r="F43" s="8"/>
      <c r="G43" s="8">
        <f>IF(G$1&lt;=Lifetime_OH,'Baseline scaling factors'!B17*(1+Inflation)^(G$3-2025),0)</f>
        <v>14685.508277515051</v>
      </c>
      <c r="H43" s="8">
        <f>IF(H$1&lt;=Lifetime_OH,'Baseline scaling factors'!C17*(1+Inflation)^(H$3-2025),0)</f>
        <v>16492.253033029971</v>
      </c>
      <c r="I43" s="8">
        <f>IF(I$1&lt;=Lifetime_OH,'Baseline scaling factors'!D17*(1+Inflation)^(I$3-2025),0)</f>
        <v>18371.386771781235</v>
      </c>
      <c r="J43" s="8">
        <f>IF(J$1&lt;=Lifetime_OH,'Baseline scaling factors'!E17*(1+Inflation)^(J$3-2025),0)</f>
        <v>20325.220144569561</v>
      </c>
      <c r="K43" s="8">
        <f>IF(K$1&lt;=Lifetime_OH,'Baseline scaling factors'!F17*(1+Inflation)^(K$3-2025),0)</f>
        <v>22356.130434563038</v>
      </c>
      <c r="L43" s="8">
        <f>IF(L$1&lt;=Lifetime_OH,'Baseline scaling factors'!G17*(1+Inflation)^(L$3-2025),0)</f>
        <v>24466.563370766253</v>
      </c>
      <c r="M43" s="8">
        <f>IF(M$1&lt;=Lifetime_OH,'Baseline scaling factors'!H17*(1+Inflation)^(M$3-2025),0)</f>
        <v>26659.034989032079</v>
      </c>
      <c r="N43" s="8">
        <f>IF(N$1&lt;=Lifetime_OH,'Baseline scaling factors'!I17*(1+Inflation)^(N$3-2025),0)</f>
        <v>28936.133541830157</v>
      </c>
      <c r="O43" s="8">
        <f>IF(O$1&lt;=Lifetime_OH,'Baseline scaling factors'!J17*(1+Inflation)^(O$3-2025),0)</f>
        <v>31300.521458016654</v>
      </c>
      <c r="P43" s="8">
        <f>IF(P$1&lt;=Lifetime_OH,'Baseline scaling factors'!K17*(1+Inflation)^(P$3-2025),0)</f>
        <v>33754.937353881112</v>
      </c>
      <c r="Q43" s="8">
        <f t="shared" ref="Q43:AV43" si="39">IF(Q$1&lt;=Lifetime_OH,P43*(1+Inflation),0)</f>
        <v>34497.5459756665</v>
      </c>
      <c r="R43" s="8">
        <f t="shared" si="39"/>
        <v>35256.491987131165</v>
      </c>
      <c r="S43" s="8">
        <f t="shared" si="39"/>
        <v>36032.134810848052</v>
      </c>
      <c r="T43" s="8">
        <f t="shared" si="39"/>
        <v>36824.841776686713</v>
      </c>
      <c r="U43" s="8">
        <f t="shared" si="39"/>
        <v>37634.988295773823</v>
      </c>
      <c r="V43" s="8">
        <f t="shared" si="39"/>
        <v>38462.958038280849</v>
      </c>
      <c r="W43" s="8">
        <f t="shared" si="39"/>
        <v>39309.143115123028</v>
      </c>
      <c r="X43" s="8">
        <f t="shared" si="39"/>
        <v>40173.944263655736</v>
      </c>
      <c r="Y43" s="8">
        <f t="shared" si="39"/>
        <v>41057.771037456165</v>
      </c>
      <c r="Z43" s="8">
        <f t="shared" si="39"/>
        <v>41961.042000280198</v>
      </c>
      <c r="AA43" s="8">
        <f t="shared" si="39"/>
        <v>42884.184924286361</v>
      </c>
      <c r="AB43" s="8">
        <f t="shared" si="39"/>
        <v>43827.636992620661</v>
      </c>
      <c r="AC43" s="8">
        <f t="shared" si="39"/>
        <v>44791.845006458316</v>
      </c>
      <c r="AD43" s="8">
        <f t="shared" si="39"/>
        <v>45777.265596600402</v>
      </c>
      <c r="AE43" s="8">
        <f t="shared" si="39"/>
        <v>46784.36543972561</v>
      </c>
      <c r="AF43" s="8">
        <f t="shared" si="39"/>
        <v>47813.621479399575</v>
      </c>
      <c r="AG43" s="8">
        <f t="shared" si="39"/>
        <v>48865.52115194637</v>
      </c>
      <c r="AH43" s="8">
        <f t="shared" si="39"/>
        <v>49940.562617289193</v>
      </c>
      <c r="AI43" s="8">
        <f t="shared" si="39"/>
        <v>51039.25499486956</v>
      </c>
      <c r="AJ43" s="8">
        <f t="shared" si="39"/>
        <v>52162.118604756688</v>
      </c>
      <c r="AK43" s="8">
        <f t="shared" si="39"/>
        <v>53309.685214061334</v>
      </c>
      <c r="AL43" s="8">
        <f t="shared" si="39"/>
        <v>54482.498288770686</v>
      </c>
      <c r="AM43" s="8">
        <f t="shared" si="39"/>
        <v>55681.113251123643</v>
      </c>
      <c r="AN43" s="8">
        <f t="shared" si="39"/>
        <v>56906.097742648366</v>
      </c>
      <c r="AO43" s="8">
        <f t="shared" si="39"/>
        <v>58158.031892986633</v>
      </c>
      <c r="AP43" s="8">
        <f t="shared" si="39"/>
        <v>59437.508594632338</v>
      </c>
      <c r="AQ43" s="8">
        <f t="shared" si="39"/>
        <v>60745.133783714249</v>
      </c>
      <c r="AR43" s="8">
        <f t="shared" si="39"/>
        <v>62081.526726955963</v>
      </c>
      <c r="AS43" s="8">
        <f t="shared" si="39"/>
        <v>63447.320314948993</v>
      </c>
      <c r="AT43" s="8">
        <f t="shared" si="39"/>
        <v>64843.161361877872</v>
      </c>
      <c r="AU43" s="8">
        <f t="shared" si="39"/>
        <v>66269.710911839182</v>
      </c>
      <c r="AV43" s="8">
        <f t="shared" si="39"/>
        <v>67727.644551899648</v>
      </c>
      <c r="AW43" s="8">
        <f t="shared" ref="AW43:BQ43" si="40">IF(AW$1&lt;=Lifetime_OH,AV43*(1+Inflation),0)</f>
        <v>69217.652732041446</v>
      </c>
      <c r="AX43" s="8">
        <f t="shared" si="40"/>
        <v>70740.441092146357</v>
      </c>
      <c r="AY43" s="8">
        <f t="shared" si="40"/>
        <v>72296.730796173579</v>
      </c>
      <c r="AZ43" s="8">
        <f t="shared" si="40"/>
        <v>73887.258873689396</v>
      </c>
      <c r="BA43" s="8">
        <f t="shared" si="40"/>
        <v>75512.778568910566</v>
      </c>
      <c r="BB43" s="8">
        <f t="shared" si="40"/>
        <v>0</v>
      </c>
      <c r="BC43" s="8">
        <f t="shared" si="40"/>
        <v>0</v>
      </c>
      <c r="BD43" s="8">
        <f t="shared" si="40"/>
        <v>0</v>
      </c>
      <c r="BE43" s="8">
        <f t="shared" si="40"/>
        <v>0</v>
      </c>
      <c r="BF43" s="8">
        <f t="shared" si="40"/>
        <v>0</v>
      </c>
      <c r="BG43" s="8">
        <f t="shared" si="40"/>
        <v>0</v>
      </c>
      <c r="BH43" s="8">
        <f t="shared" si="40"/>
        <v>0</v>
      </c>
      <c r="BI43" s="8">
        <f t="shared" si="40"/>
        <v>0</v>
      </c>
      <c r="BJ43" s="8">
        <f t="shared" si="40"/>
        <v>0</v>
      </c>
      <c r="BK43" s="8">
        <f t="shared" si="40"/>
        <v>0</v>
      </c>
      <c r="BL43" s="8">
        <f t="shared" si="40"/>
        <v>0</v>
      </c>
      <c r="BM43" s="8">
        <f t="shared" si="40"/>
        <v>0</v>
      </c>
      <c r="BN43" s="8">
        <f t="shared" si="40"/>
        <v>0</v>
      </c>
      <c r="BO43" s="8">
        <f t="shared" si="40"/>
        <v>0</v>
      </c>
      <c r="BP43" s="8">
        <f t="shared" si="40"/>
        <v>0</v>
      </c>
      <c r="BQ43" s="8">
        <f t="shared" si="40"/>
        <v>0</v>
      </c>
    </row>
    <row r="44" spans="1:69" s="54" customFormat="1" x14ac:dyDescent="0.4">
      <c r="A44" s="101" t="s">
        <v>39</v>
      </c>
      <c r="B44" s="101" t="s">
        <v>15</v>
      </c>
      <c r="C44" t="s">
        <v>136</v>
      </c>
      <c r="D44" t="s">
        <v>160</v>
      </c>
      <c r="E44"/>
      <c r="F44" s="8"/>
      <c r="G44" s="8">
        <f>SUMIFS('Mitigation Projects'!$AF:$AF,'Mitigation Projects'!$G:$G,Costs_Mitigation!$A44,'Mitigation Projects'!$H:$H,Costs_Mitigation!$B44)*(1+Inflation)^(G$3-2025)</f>
        <v>25210.522629790426</v>
      </c>
      <c r="H44" s="8">
        <f t="shared" ref="H44:P44" si="41">IF(H$1&lt;=Lifetime_OH,G44*(1+Inflation),0)</f>
        <v>25765.154127645816</v>
      </c>
      <c r="I44" s="8">
        <f t="shared" si="41"/>
        <v>26331.987518454025</v>
      </c>
      <c r="J44" s="8">
        <f t="shared" si="41"/>
        <v>26911.291243860014</v>
      </c>
      <c r="K44" s="8">
        <f t="shared" si="41"/>
        <v>27503.339651224935</v>
      </c>
      <c r="L44" s="8">
        <f t="shared" si="41"/>
        <v>28108.413123551883</v>
      </c>
      <c r="M44" s="8">
        <f t="shared" si="41"/>
        <v>28726.798212270027</v>
      </c>
      <c r="N44" s="8">
        <f t="shared" si="41"/>
        <v>29358.78777293997</v>
      </c>
      <c r="O44" s="8">
        <f t="shared" si="41"/>
        <v>30004.681103944651</v>
      </c>
      <c r="P44" s="8">
        <f t="shared" si="41"/>
        <v>30664.784088231434</v>
      </c>
      <c r="Q44" s="8">
        <f t="shared" ref="Q44:AV44" si="42">IF(Q$1&lt;=Lifetime_OH,P44*(1+Inflation),0)</f>
        <v>31339.409338172525</v>
      </c>
      <c r="R44" s="8">
        <f t="shared" si="42"/>
        <v>32028.876343612323</v>
      </c>
      <c r="S44" s="8">
        <f t="shared" si="42"/>
        <v>32733.511623171795</v>
      </c>
      <c r="T44" s="8">
        <f t="shared" si="42"/>
        <v>33453.648878881577</v>
      </c>
      <c r="U44" s="8">
        <f t="shared" si="42"/>
        <v>34189.629154216971</v>
      </c>
      <c r="V44" s="8">
        <f t="shared" si="42"/>
        <v>34941.800995609745</v>
      </c>
      <c r="W44" s="8">
        <f t="shared" si="42"/>
        <v>35710.520617513161</v>
      </c>
      <c r="X44" s="8">
        <f t="shared" si="42"/>
        <v>36496.152071098448</v>
      </c>
      <c r="Y44" s="8">
        <f t="shared" si="42"/>
        <v>37299.067416662612</v>
      </c>
      <c r="Z44" s="8">
        <f t="shared" si="42"/>
        <v>38119.646899829189</v>
      </c>
      <c r="AA44" s="8">
        <f t="shared" si="42"/>
        <v>38958.27913162543</v>
      </c>
      <c r="AB44" s="8">
        <f t="shared" si="42"/>
        <v>39815.361272521193</v>
      </c>
      <c r="AC44" s="8">
        <f t="shared" si="42"/>
        <v>40691.299220516659</v>
      </c>
      <c r="AD44" s="8">
        <f t="shared" si="42"/>
        <v>41586.507803368026</v>
      </c>
      <c r="AE44" s="8">
        <f t="shared" si="42"/>
        <v>42501.410975042119</v>
      </c>
      <c r="AF44" s="8">
        <f t="shared" si="42"/>
        <v>43436.442016493049</v>
      </c>
      <c r="AG44" s="8">
        <f t="shared" si="42"/>
        <v>44392.043740855894</v>
      </c>
      <c r="AH44" s="8">
        <f t="shared" si="42"/>
        <v>45368.668703154726</v>
      </c>
      <c r="AI44" s="8">
        <f t="shared" si="42"/>
        <v>46366.779414624129</v>
      </c>
      <c r="AJ44" s="8">
        <f t="shared" si="42"/>
        <v>47386.848561745857</v>
      </c>
      <c r="AK44" s="8">
        <f t="shared" si="42"/>
        <v>48429.359230104266</v>
      </c>
      <c r="AL44" s="8">
        <f t="shared" si="42"/>
        <v>49494.805133166563</v>
      </c>
      <c r="AM44" s="8">
        <f t="shared" si="42"/>
        <v>50583.69084609623</v>
      </c>
      <c r="AN44" s="8">
        <f t="shared" si="42"/>
        <v>51696.532044710344</v>
      </c>
      <c r="AO44" s="8">
        <f t="shared" si="42"/>
        <v>52833.855749693976</v>
      </c>
      <c r="AP44" s="8">
        <f t="shared" si="42"/>
        <v>53996.200576187242</v>
      </c>
      <c r="AQ44" s="8">
        <f t="shared" si="42"/>
        <v>55184.116988863359</v>
      </c>
      <c r="AR44" s="8">
        <f t="shared" si="42"/>
        <v>56398.167562618357</v>
      </c>
      <c r="AS44" s="8">
        <f t="shared" si="42"/>
        <v>57638.927248995962</v>
      </c>
      <c r="AT44" s="8">
        <f t="shared" si="42"/>
        <v>58906.983648473877</v>
      </c>
      <c r="AU44" s="8">
        <f t="shared" si="42"/>
        <v>60202.937288740301</v>
      </c>
      <c r="AV44" s="8">
        <f t="shared" si="42"/>
        <v>61527.401909092587</v>
      </c>
      <c r="AW44" s="8">
        <f t="shared" ref="AW44:BQ44" si="43">IF(AW$1&lt;=Lifetime_OH,AV44*(1+Inflation),0)</f>
        <v>62881.004751092623</v>
      </c>
      <c r="AX44" s="8">
        <f t="shared" si="43"/>
        <v>64264.386855616664</v>
      </c>
      <c r="AY44" s="8">
        <f t="shared" si="43"/>
        <v>65678.203366440226</v>
      </c>
      <c r="AZ44" s="8">
        <f t="shared" si="43"/>
        <v>67123.12384050191</v>
      </c>
      <c r="BA44" s="8">
        <f t="shared" si="43"/>
        <v>68599.832564992947</v>
      </c>
      <c r="BB44" s="8">
        <f t="shared" si="43"/>
        <v>0</v>
      </c>
      <c r="BC44" s="8">
        <f t="shared" si="43"/>
        <v>0</v>
      </c>
      <c r="BD44" s="8">
        <f t="shared" si="43"/>
        <v>0</v>
      </c>
      <c r="BE44" s="8">
        <f t="shared" si="43"/>
        <v>0</v>
      </c>
      <c r="BF44" s="8">
        <f t="shared" si="43"/>
        <v>0</v>
      </c>
      <c r="BG44" s="8">
        <f t="shared" si="43"/>
        <v>0</v>
      </c>
      <c r="BH44" s="8">
        <f t="shared" si="43"/>
        <v>0</v>
      </c>
      <c r="BI44" s="8">
        <f t="shared" si="43"/>
        <v>0</v>
      </c>
      <c r="BJ44" s="8">
        <f t="shared" si="43"/>
        <v>0</v>
      </c>
      <c r="BK44" s="8">
        <f t="shared" si="43"/>
        <v>0</v>
      </c>
      <c r="BL44" s="8">
        <f t="shared" si="43"/>
        <v>0</v>
      </c>
      <c r="BM44" s="8">
        <f t="shared" si="43"/>
        <v>0</v>
      </c>
      <c r="BN44" s="8">
        <f t="shared" si="43"/>
        <v>0</v>
      </c>
      <c r="BO44" s="8">
        <f t="shared" si="43"/>
        <v>0</v>
      </c>
      <c r="BP44" s="8">
        <f t="shared" si="43"/>
        <v>0</v>
      </c>
      <c r="BQ44" s="8">
        <f t="shared" si="43"/>
        <v>0</v>
      </c>
    </row>
    <row r="45" spans="1:69" x14ac:dyDescent="0.4">
      <c r="A45" t="s">
        <v>39</v>
      </c>
      <c r="B45" t="s">
        <v>15</v>
      </c>
      <c r="C45" t="s">
        <v>136</v>
      </c>
      <c r="D45" t="s">
        <v>130</v>
      </c>
      <c r="E45" t="s">
        <v>420</v>
      </c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</row>
    <row r="46" spans="1:69" x14ac:dyDescent="0.4">
      <c r="A46" t="s">
        <v>39</v>
      </c>
      <c r="B46" t="s">
        <v>15</v>
      </c>
      <c r="C46" t="s">
        <v>136</v>
      </c>
      <c r="D46" t="s">
        <v>131</v>
      </c>
      <c r="E46" t="s">
        <v>420</v>
      </c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</row>
    <row r="47" spans="1:69" x14ac:dyDescent="0.4">
      <c r="A47" t="s">
        <v>39</v>
      </c>
      <c r="B47" t="s">
        <v>15</v>
      </c>
      <c r="C47" t="s">
        <v>136</v>
      </c>
      <c r="D47" t="s">
        <v>132</v>
      </c>
      <c r="E47" t="s">
        <v>420</v>
      </c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</row>
    <row r="48" spans="1:69" x14ac:dyDescent="0.4">
      <c r="A48" t="s">
        <v>39</v>
      </c>
      <c r="B48" t="s">
        <v>15</v>
      </c>
      <c r="C48" t="s">
        <v>136</v>
      </c>
      <c r="D48" t="s">
        <v>133</v>
      </c>
      <c r="E48" t="s">
        <v>420</v>
      </c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</row>
    <row r="49" spans="1:69" x14ac:dyDescent="0.4">
      <c r="A49" t="s">
        <v>39</v>
      </c>
      <c r="B49" t="s">
        <v>15</v>
      </c>
      <c r="C49" t="s">
        <v>136</v>
      </c>
      <c r="D49" t="s">
        <v>134</v>
      </c>
      <c r="F49" s="8">
        <v>0</v>
      </c>
      <c r="G49" s="8">
        <f t="shared" ref="G49:AL49" si="44">IF(G$1&lt;=BOOK_DEP_PERIOD_OH,CAPEX_MITIGATION_OH_3PH_AG*Net_Install_Taxable*Property_Tax_Rate_Assumption,0)</f>
        <v>583381.97645000007</v>
      </c>
      <c r="H49" s="8">
        <f t="shared" si="44"/>
        <v>583381.97645000007</v>
      </c>
      <c r="I49" s="8">
        <f t="shared" si="44"/>
        <v>583381.97645000007</v>
      </c>
      <c r="J49" s="8">
        <f t="shared" si="44"/>
        <v>583381.97645000007</v>
      </c>
      <c r="K49" s="8">
        <f t="shared" si="44"/>
        <v>583381.97645000007</v>
      </c>
      <c r="L49" s="8">
        <f t="shared" si="44"/>
        <v>583381.97645000007</v>
      </c>
      <c r="M49" s="8">
        <f t="shared" si="44"/>
        <v>583381.97645000007</v>
      </c>
      <c r="N49" s="8">
        <f t="shared" si="44"/>
        <v>583381.97645000007</v>
      </c>
      <c r="O49" s="8">
        <f t="shared" si="44"/>
        <v>583381.97645000007</v>
      </c>
      <c r="P49" s="8">
        <f t="shared" si="44"/>
        <v>583381.97645000007</v>
      </c>
      <c r="Q49" s="8">
        <f t="shared" si="44"/>
        <v>583381.97645000007</v>
      </c>
      <c r="R49" s="8">
        <f t="shared" si="44"/>
        <v>583381.97645000007</v>
      </c>
      <c r="S49" s="8">
        <f t="shared" si="44"/>
        <v>583381.97645000007</v>
      </c>
      <c r="T49" s="8">
        <f t="shared" si="44"/>
        <v>583381.97645000007</v>
      </c>
      <c r="U49" s="8">
        <f t="shared" si="44"/>
        <v>583381.97645000007</v>
      </c>
      <c r="V49" s="8">
        <f t="shared" si="44"/>
        <v>583381.97645000007</v>
      </c>
      <c r="W49" s="8">
        <f t="shared" si="44"/>
        <v>583381.97645000007</v>
      </c>
      <c r="X49" s="8">
        <f t="shared" si="44"/>
        <v>583381.97645000007</v>
      </c>
      <c r="Y49" s="8">
        <f t="shared" si="44"/>
        <v>583381.97645000007</v>
      </c>
      <c r="Z49" s="8">
        <f t="shared" si="44"/>
        <v>583381.97645000007</v>
      </c>
      <c r="AA49" s="8">
        <f t="shared" si="44"/>
        <v>583381.97645000007</v>
      </c>
      <c r="AB49" s="8">
        <f t="shared" si="44"/>
        <v>583381.97645000007</v>
      </c>
      <c r="AC49" s="8">
        <f t="shared" si="44"/>
        <v>583381.97645000007</v>
      </c>
      <c r="AD49" s="8">
        <f t="shared" si="44"/>
        <v>583381.97645000007</v>
      </c>
      <c r="AE49" s="8">
        <f t="shared" si="44"/>
        <v>583381.97645000007</v>
      </c>
      <c r="AF49" s="8">
        <f t="shared" si="44"/>
        <v>583381.97645000007</v>
      </c>
      <c r="AG49" s="8">
        <f t="shared" si="44"/>
        <v>583381.97645000007</v>
      </c>
      <c r="AH49" s="8">
        <f t="shared" si="44"/>
        <v>583381.97645000007</v>
      </c>
      <c r="AI49" s="8">
        <f t="shared" si="44"/>
        <v>583381.97645000007</v>
      </c>
      <c r="AJ49" s="8">
        <f t="shared" si="44"/>
        <v>583381.97645000007</v>
      </c>
      <c r="AK49" s="8">
        <f t="shared" si="44"/>
        <v>583381.97645000007</v>
      </c>
      <c r="AL49" s="8">
        <f t="shared" si="44"/>
        <v>583381.97645000007</v>
      </c>
      <c r="AM49" s="8">
        <f t="shared" ref="AM49:BQ49" si="45">IF(AM$1&lt;=BOOK_DEP_PERIOD_OH,CAPEX_MITIGATION_OH_3PH_AG*Net_Install_Taxable*Property_Tax_Rate_Assumption,0)</f>
        <v>583381.97645000007</v>
      </c>
      <c r="AN49" s="8">
        <f t="shared" si="45"/>
        <v>583381.97645000007</v>
      </c>
      <c r="AO49" s="8">
        <f t="shared" si="45"/>
        <v>583381.97645000007</v>
      </c>
      <c r="AP49" s="8">
        <f t="shared" si="45"/>
        <v>583381.97645000007</v>
      </c>
      <c r="AQ49" s="8">
        <f t="shared" si="45"/>
        <v>583381.97645000007</v>
      </c>
      <c r="AR49" s="8">
        <f t="shared" si="45"/>
        <v>583381.97645000007</v>
      </c>
      <c r="AS49" s="8">
        <f t="shared" si="45"/>
        <v>583381.97645000007</v>
      </c>
      <c r="AT49" s="8">
        <f t="shared" si="45"/>
        <v>583381.97645000007</v>
      </c>
      <c r="AU49" s="8">
        <f t="shared" si="45"/>
        <v>583381.97645000007</v>
      </c>
      <c r="AV49" s="8">
        <f t="shared" si="45"/>
        <v>583381.97645000007</v>
      </c>
      <c r="AW49" s="8">
        <f t="shared" si="45"/>
        <v>583381.97645000007</v>
      </c>
      <c r="AX49" s="8">
        <f t="shared" si="45"/>
        <v>583381.97645000007</v>
      </c>
      <c r="AY49" s="8">
        <f t="shared" si="45"/>
        <v>583381.97645000007</v>
      </c>
      <c r="AZ49" s="8">
        <f t="shared" si="45"/>
        <v>583381.97645000007</v>
      </c>
      <c r="BA49" s="8">
        <f t="shared" si="45"/>
        <v>583381.97645000007</v>
      </c>
      <c r="BB49" s="8">
        <f t="shared" si="45"/>
        <v>583381.97645000007</v>
      </c>
      <c r="BC49" s="8">
        <f t="shared" si="45"/>
        <v>583381.97645000007</v>
      </c>
      <c r="BD49" s="8">
        <f t="shared" si="45"/>
        <v>583381.97645000007</v>
      </c>
      <c r="BE49" s="8">
        <f t="shared" si="45"/>
        <v>0</v>
      </c>
      <c r="BF49" s="8">
        <f t="shared" si="45"/>
        <v>0</v>
      </c>
      <c r="BG49" s="8">
        <f t="shared" si="45"/>
        <v>0</v>
      </c>
      <c r="BH49" s="8">
        <f t="shared" si="45"/>
        <v>0</v>
      </c>
      <c r="BI49" s="8">
        <f t="shared" si="45"/>
        <v>0</v>
      </c>
      <c r="BJ49" s="8">
        <f t="shared" si="45"/>
        <v>0</v>
      </c>
      <c r="BK49" s="8">
        <f t="shared" si="45"/>
        <v>0</v>
      </c>
      <c r="BL49" s="8">
        <f t="shared" si="45"/>
        <v>0</v>
      </c>
      <c r="BM49" s="8">
        <f t="shared" si="45"/>
        <v>0</v>
      </c>
      <c r="BN49" s="8">
        <f t="shared" si="45"/>
        <v>0</v>
      </c>
      <c r="BO49" s="8">
        <f t="shared" si="45"/>
        <v>0</v>
      </c>
      <c r="BP49" s="8">
        <f t="shared" si="45"/>
        <v>0</v>
      </c>
      <c r="BQ49" s="8">
        <f t="shared" si="45"/>
        <v>0</v>
      </c>
    </row>
    <row r="50" spans="1:69" ht="19.5" thickBot="1" x14ac:dyDescent="0.45">
      <c r="A50" t="s">
        <v>39</v>
      </c>
      <c r="B50" t="s">
        <v>15</v>
      </c>
      <c r="C50" s="16" t="s">
        <v>136</v>
      </c>
      <c r="D50" s="16" t="s">
        <v>135</v>
      </c>
      <c r="E50" s="16" t="s">
        <v>420</v>
      </c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</row>
    <row r="51" spans="1:69" ht="19.5" thickTop="1" x14ac:dyDescent="0.4">
      <c r="C51" s="14" t="s">
        <v>161</v>
      </c>
      <c r="D51" s="14"/>
      <c r="E51" s="14"/>
      <c r="F51" s="15"/>
      <c r="G51" s="15">
        <f t="shared" ref="G51:AL51" si="46">SUM(G41:G50)</f>
        <v>4531411.3720359001</v>
      </c>
      <c r="H51" s="15">
        <f t="shared" si="46"/>
        <v>4438105.4676502524</v>
      </c>
      <c r="I51" s="15">
        <f t="shared" si="46"/>
        <v>4331800.1838472504</v>
      </c>
      <c r="J51" s="15">
        <f t="shared" si="46"/>
        <v>4230239.9097962361</v>
      </c>
      <c r="K51" s="15">
        <f t="shared" si="46"/>
        <v>4133078.6296583498</v>
      </c>
      <c r="L51" s="15">
        <f t="shared" si="46"/>
        <v>4039997.2226507813</v>
      </c>
      <c r="M51" s="15">
        <f t="shared" si="46"/>
        <v>3950698.9949448016</v>
      </c>
      <c r="N51" s="15">
        <f t="shared" si="46"/>
        <v>3864909.6817112337</v>
      </c>
      <c r="O51" s="15">
        <f t="shared" si="46"/>
        <v>3781125.8224057346</v>
      </c>
      <c r="P51" s="15">
        <f t="shared" si="46"/>
        <v>3697718.8765746397</v>
      </c>
      <c r="Q51" s="15">
        <f t="shared" si="46"/>
        <v>3612614.6457351199</v>
      </c>
      <c r="R51" s="15">
        <f t="shared" si="46"/>
        <v>3527541.5940407775</v>
      </c>
      <c r="S51" s="15">
        <f t="shared" si="46"/>
        <v>3442500.4074328081</v>
      </c>
      <c r="T51" s="15">
        <f t="shared" si="46"/>
        <v>3357491.7869431106</v>
      </c>
      <c r="U51" s="15">
        <f t="shared" si="46"/>
        <v>3272516.4490262861</v>
      </c>
      <c r="V51" s="15">
        <f t="shared" si="46"/>
        <v>3187575.1258989396</v>
      </c>
      <c r="W51" s="15">
        <f t="shared" si="46"/>
        <v>3102668.5658864384</v>
      </c>
      <c r="X51" s="15">
        <f t="shared" si="46"/>
        <v>3017797.53377731</v>
      </c>
      <c r="Y51" s="15">
        <f t="shared" si="46"/>
        <v>2932962.8111854289</v>
      </c>
      <c r="Z51" s="15">
        <f t="shared" si="46"/>
        <v>2848165.1969201728</v>
      </c>
      <c r="AA51" s="15">
        <f t="shared" si="46"/>
        <v>2773378.2910083551</v>
      </c>
      <c r="AB51" s="15">
        <f t="shared" si="46"/>
        <v>2718571.2413414568</v>
      </c>
      <c r="AC51" s="15">
        <f t="shared" si="46"/>
        <v>2673776.5870707873</v>
      </c>
      <c r="AD51" s="15">
        <f t="shared" si="46"/>
        <v>2629022.4160112781</v>
      </c>
      <c r="AE51" s="15">
        <f t="shared" si="46"/>
        <v>2584309.6187935751</v>
      </c>
      <c r="AF51" s="15">
        <f t="shared" si="46"/>
        <v>2539639.1056421977</v>
      </c>
      <c r="AG51" s="15">
        <f t="shared" si="46"/>
        <v>2495011.8068066053</v>
      </c>
      <c r="AH51" s="15">
        <f t="shared" si="46"/>
        <v>2450428.6730017439</v>
      </c>
      <c r="AI51" s="15">
        <f t="shared" si="46"/>
        <v>2405890.6758582913</v>
      </c>
      <c r="AJ51" s="15">
        <f t="shared" si="46"/>
        <v>2361398.808382798</v>
      </c>
      <c r="AK51" s="15">
        <f t="shared" si="46"/>
        <v>2316954.0854279585</v>
      </c>
      <c r="AL51" s="15">
        <f t="shared" si="46"/>
        <v>2272557.5441732281</v>
      </c>
      <c r="AM51" s="15">
        <f t="shared" ref="AM51:BQ51" si="47">SUM(AM41:AM50)</f>
        <v>2228210.2446160084</v>
      </c>
      <c r="AN51" s="15">
        <f t="shared" si="47"/>
        <v>2183913.2700736448</v>
      </c>
      <c r="AO51" s="15">
        <f t="shared" si="47"/>
        <v>2139667.7276964639</v>
      </c>
      <c r="AP51" s="15">
        <f t="shared" si="47"/>
        <v>2095474.7489921008</v>
      </c>
      <c r="AQ51" s="15">
        <f t="shared" si="47"/>
        <v>2051335.4903613562</v>
      </c>
      <c r="AR51" s="15">
        <f t="shared" si="47"/>
        <v>2007251.1336458507</v>
      </c>
      <c r="AS51" s="15">
        <f t="shared" si="47"/>
        <v>1963222.8866877188</v>
      </c>
      <c r="AT51" s="15">
        <f t="shared" si="47"/>
        <v>1919251.9839016232</v>
      </c>
      <c r="AU51" s="15">
        <f t="shared" si="47"/>
        <v>1875339.6868593488</v>
      </c>
      <c r="AV51" s="15">
        <f t="shared" si="47"/>
        <v>1831487.2848872594</v>
      </c>
      <c r="AW51" s="15">
        <f t="shared" si="47"/>
        <v>1787696.0956768985</v>
      </c>
      <c r="AX51" s="15">
        <f t="shared" si="47"/>
        <v>1743967.4659090252</v>
      </c>
      <c r="AY51" s="15">
        <f t="shared" si="47"/>
        <v>1700302.7718913737</v>
      </c>
      <c r="AZ51" s="15">
        <f t="shared" si="47"/>
        <v>1656703.420210449</v>
      </c>
      <c r="BA51" s="15">
        <f t="shared" si="47"/>
        <v>1613170.8483976587</v>
      </c>
      <c r="BB51" s="15">
        <f t="shared" si="47"/>
        <v>1422423.437031253</v>
      </c>
      <c r="BC51" s="15">
        <f t="shared" si="47"/>
        <v>1375788.6367987506</v>
      </c>
      <c r="BD51" s="15">
        <f t="shared" si="47"/>
        <v>1329153.8365662496</v>
      </c>
      <c r="BE51" s="15">
        <f t="shared" si="47"/>
        <v>-3.4826225601136686E-10</v>
      </c>
      <c r="BF51" s="15">
        <f t="shared" si="47"/>
        <v>-3.4826225601136686E-10</v>
      </c>
      <c r="BG51" s="15">
        <f t="shared" si="47"/>
        <v>-3.4826225601136686E-10</v>
      </c>
      <c r="BH51" s="15">
        <f t="shared" si="47"/>
        <v>-3.4826225601136686E-10</v>
      </c>
      <c r="BI51" s="15">
        <f t="shared" si="47"/>
        <v>-3.4826225601136686E-10</v>
      </c>
      <c r="BJ51" s="15">
        <f t="shared" si="47"/>
        <v>-3.4826225601136686E-10</v>
      </c>
      <c r="BK51" s="15">
        <f t="shared" si="47"/>
        <v>-3.4826225601136686E-10</v>
      </c>
      <c r="BL51" s="15">
        <f t="shared" si="47"/>
        <v>-3.4826225601136686E-10</v>
      </c>
      <c r="BM51" s="15">
        <f t="shared" si="47"/>
        <v>-3.4826225601136686E-10</v>
      </c>
      <c r="BN51" s="15">
        <f t="shared" si="47"/>
        <v>-3.4826225601136686E-10</v>
      </c>
      <c r="BO51" s="15">
        <f t="shared" si="47"/>
        <v>-3.4826225601136686E-10</v>
      </c>
      <c r="BP51" s="15">
        <f t="shared" si="47"/>
        <v>-3.4826225601136686E-10</v>
      </c>
      <c r="BQ51" s="15">
        <f t="shared" si="47"/>
        <v>-3.4826225601136686E-10</v>
      </c>
    </row>
    <row r="52" spans="1:69" x14ac:dyDescent="0.4">
      <c r="C52" s="11" t="s">
        <v>162</v>
      </c>
      <c r="D52" s="11" t="s">
        <v>127</v>
      </c>
      <c r="G52" s="8">
        <f t="shared" ref="G52:AL52" si="48">SUM(G41:G42)</f>
        <v>3908133.3646785943</v>
      </c>
      <c r="H52" s="8">
        <f t="shared" si="48"/>
        <v>3812466.0840395764</v>
      </c>
      <c r="I52" s="8">
        <f t="shared" si="48"/>
        <v>3703714.8331070147</v>
      </c>
      <c r="J52" s="8">
        <f t="shared" si="48"/>
        <v>3599621.4219578062</v>
      </c>
      <c r="K52" s="8">
        <f t="shared" si="48"/>
        <v>3499837.1831225618</v>
      </c>
      <c r="L52" s="8">
        <f t="shared" si="48"/>
        <v>3404040.2697064634</v>
      </c>
      <c r="M52" s="8">
        <f t="shared" si="48"/>
        <v>3311931.1852934994</v>
      </c>
      <c r="N52" s="8">
        <f t="shared" si="48"/>
        <v>3223232.7839464634</v>
      </c>
      <c r="O52" s="8">
        <f t="shared" si="48"/>
        <v>3136438.6433937731</v>
      </c>
      <c r="P52" s="8">
        <f t="shared" si="48"/>
        <v>3049917.178682527</v>
      </c>
      <c r="Q52" s="8">
        <f t="shared" si="48"/>
        <v>2963395.713971281</v>
      </c>
      <c r="R52" s="8">
        <f t="shared" si="48"/>
        <v>2876874.2492600344</v>
      </c>
      <c r="S52" s="8">
        <f t="shared" si="48"/>
        <v>2790352.7845487883</v>
      </c>
      <c r="T52" s="8">
        <f t="shared" si="48"/>
        <v>2703831.3198375423</v>
      </c>
      <c r="U52" s="8">
        <f t="shared" si="48"/>
        <v>2617309.8551262952</v>
      </c>
      <c r="V52" s="8">
        <f t="shared" si="48"/>
        <v>2530788.3904150492</v>
      </c>
      <c r="W52" s="8">
        <f t="shared" si="48"/>
        <v>2444266.9257038026</v>
      </c>
      <c r="X52" s="8">
        <f t="shared" si="48"/>
        <v>2357745.4609925561</v>
      </c>
      <c r="Y52" s="8">
        <f t="shared" si="48"/>
        <v>2271223.99628131</v>
      </c>
      <c r="Z52" s="8">
        <f t="shared" si="48"/>
        <v>2184702.5315700634</v>
      </c>
      <c r="AA52" s="8">
        <f t="shared" si="48"/>
        <v>2108153.8505024435</v>
      </c>
      <c r="AB52" s="8">
        <f t="shared" si="48"/>
        <v>2051546.2666263147</v>
      </c>
      <c r="AC52" s="8">
        <f t="shared" si="48"/>
        <v>2004911.4663938123</v>
      </c>
      <c r="AD52" s="8">
        <f t="shared" si="48"/>
        <v>1958276.6661613097</v>
      </c>
      <c r="AE52" s="8">
        <f t="shared" si="48"/>
        <v>1911641.8659288075</v>
      </c>
      <c r="AF52" s="8">
        <f t="shared" si="48"/>
        <v>1865007.0656963049</v>
      </c>
      <c r="AG52" s="8">
        <f t="shared" si="48"/>
        <v>1818372.2654638027</v>
      </c>
      <c r="AH52" s="8">
        <f t="shared" si="48"/>
        <v>1771737.4652313001</v>
      </c>
      <c r="AI52" s="8">
        <f t="shared" si="48"/>
        <v>1725102.6649987977</v>
      </c>
      <c r="AJ52" s="8">
        <f t="shared" si="48"/>
        <v>1678467.8647662953</v>
      </c>
      <c r="AK52" s="8">
        <f t="shared" si="48"/>
        <v>1631833.0645337929</v>
      </c>
      <c r="AL52" s="8">
        <f t="shared" si="48"/>
        <v>1585198.2643012907</v>
      </c>
      <c r="AM52" s="8">
        <f t="shared" ref="AM52:BQ52" si="49">SUM(AM41:AM42)</f>
        <v>1538563.4640687883</v>
      </c>
      <c r="AN52" s="8">
        <f t="shared" si="49"/>
        <v>1491928.6638362859</v>
      </c>
      <c r="AO52" s="8">
        <f t="shared" si="49"/>
        <v>1445293.8636037833</v>
      </c>
      <c r="AP52" s="8">
        <f t="shared" si="49"/>
        <v>1398659.0633712811</v>
      </c>
      <c r="AQ52" s="8">
        <f t="shared" si="49"/>
        <v>1352024.2631387787</v>
      </c>
      <c r="AR52" s="8">
        <f t="shared" si="49"/>
        <v>1305389.4629062763</v>
      </c>
      <c r="AS52" s="8">
        <f t="shared" si="49"/>
        <v>1258754.6626737739</v>
      </c>
      <c r="AT52" s="8">
        <f t="shared" si="49"/>
        <v>1212119.8624412715</v>
      </c>
      <c r="AU52" s="8">
        <f t="shared" si="49"/>
        <v>1165485.0622087691</v>
      </c>
      <c r="AV52" s="8">
        <f t="shared" si="49"/>
        <v>1118850.2619762667</v>
      </c>
      <c r="AW52" s="8">
        <f t="shared" si="49"/>
        <v>1072215.4617437646</v>
      </c>
      <c r="AX52" s="8">
        <f t="shared" si="49"/>
        <v>1025580.6615112622</v>
      </c>
      <c r="AY52" s="8">
        <f t="shared" si="49"/>
        <v>978945.86127875978</v>
      </c>
      <c r="AZ52" s="8">
        <f t="shared" si="49"/>
        <v>932311.06104625738</v>
      </c>
      <c r="BA52" s="8">
        <f t="shared" si="49"/>
        <v>885676.2608137551</v>
      </c>
      <c r="BB52" s="8">
        <f t="shared" si="49"/>
        <v>839041.46058125293</v>
      </c>
      <c r="BC52" s="8">
        <f t="shared" si="49"/>
        <v>792406.66034875053</v>
      </c>
      <c r="BD52" s="8">
        <f t="shared" si="49"/>
        <v>745771.86011624953</v>
      </c>
      <c r="BE52" s="8">
        <f t="shared" si="49"/>
        <v>-3.4826225601136686E-10</v>
      </c>
      <c r="BF52" s="8">
        <f t="shared" si="49"/>
        <v>-3.4826225601136686E-10</v>
      </c>
      <c r="BG52" s="8">
        <f t="shared" si="49"/>
        <v>-3.4826225601136686E-10</v>
      </c>
      <c r="BH52" s="8">
        <f t="shared" si="49"/>
        <v>-3.4826225601136686E-10</v>
      </c>
      <c r="BI52" s="8">
        <f t="shared" si="49"/>
        <v>-3.4826225601136686E-10</v>
      </c>
      <c r="BJ52" s="8">
        <f t="shared" si="49"/>
        <v>-3.4826225601136686E-10</v>
      </c>
      <c r="BK52" s="8">
        <f t="shared" si="49"/>
        <v>-3.4826225601136686E-10</v>
      </c>
      <c r="BL52" s="8">
        <f t="shared" si="49"/>
        <v>-3.4826225601136686E-10</v>
      </c>
      <c r="BM52" s="8">
        <f t="shared" si="49"/>
        <v>-3.4826225601136686E-10</v>
      </c>
      <c r="BN52" s="8">
        <f t="shared" si="49"/>
        <v>-3.4826225601136686E-10</v>
      </c>
      <c r="BO52" s="8">
        <f t="shared" si="49"/>
        <v>-3.4826225601136686E-10</v>
      </c>
      <c r="BP52" s="8">
        <f t="shared" si="49"/>
        <v>-3.4826225601136686E-10</v>
      </c>
      <c r="BQ52" s="8">
        <f t="shared" si="49"/>
        <v>-3.4826225601136686E-10</v>
      </c>
    </row>
    <row r="53" spans="1:69" x14ac:dyDescent="0.4">
      <c r="C53" s="11" t="s">
        <v>162</v>
      </c>
      <c r="D53" t="s">
        <v>136</v>
      </c>
      <c r="G53" s="8">
        <f t="shared" ref="G53:AL53" si="50">SUM(G43:G50)</f>
        <v>623278.00735730561</v>
      </c>
      <c r="H53" s="8">
        <f t="shared" si="50"/>
        <v>625639.38361067581</v>
      </c>
      <c r="I53" s="8">
        <f t="shared" si="50"/>
        <v>628085.3507402353</v>
      </c>
      <c r="J53" s="8">
        <f t="shared" si="50"/>
        <v>630618.48783842963</v>
      </c>
      <c r="K53" s="8">
        <f t="shared" si="50"/>
        <v>633241.44653578801</v>
      </c>
      <c r="L53" s="8">
        <f t="shared" si="50"/>
        <v>635956.95294431818</v>
      </c>
      <c r="M53" s="8">
        <f t="shared" si="50"/>
        <v>638767.80965130217</v>
      </c>
      <c r="N53" s="8">
        <f t="shared" si="50"/>
        <v>641676.8977647702</v>
      </c>
      <c r="O53" s="8">
        <f t="shared" si="50"/>
        <v>644687.17901196133</v>
      </c>
      <c r="P53" s="8">
        <f t="shared" si="50"/>
        <v>647801.69789211266</v>
      </c>
      <c r="Q53" s="8">
        <f t="shared" si="50"/>
        <v>649218.93176383909</v>
      </c>
      <c r="R53" s="8">
        <f t="shared" si="50"/>
        <v>650667.34478074359</v>
      </c>
      <c r="S53" s="8">
        <f t="shared" si="50"/>
        <v>652147.62288401998</v>
      </c>
      <c r="T53" s="8">
        <f t="shared" si="50"/>
        <v>653660.46710556839</v>
      </c>
      <c r="U53" s="8">
        <f t="shared" si="50"/>
        <v>655206.5938999909</v>
      </c>
      <c r="V53" s="8">
        <f t="shared" si="50"/>
        <v>656786.73548389063</v>
      </c>
      <c r="W53" s="8">
        <f t="shared" si="50"/>
        <v>658401.64018263621</v>
      </c>
      <c r="X53" s="8">
        <f t="shared" si="50"/>
        <v>660052.07278475421</v>
      </c>
      <c r="Y53" s="8">
        <f t="shared" si="50"/>
        <v>661738.81490411889</v>
      </c>
      <c r="Z53" s="8">
        <f t="shared" si="50"/>
        <v>663462.66535010946</v>
      </c>
      <c r="AA53" s="8">
        <f t="shared" si="50"/>
        <v>665224.44050591183</v>
      </c>
      <c r="AB53" s="8">
        <f t="shared" si="50"/>
        <v>667024.97471514193</v>
      </c>
      <c r="AC53" s="8">
        <f t="shared" si="50"/>
        <v>668865.120676975</v>
      </c>
      <c r="AD53" s="8">
        <f t="shared" si="50"/>
        <v>670745.74984996847</v>
      </c>
      <c r="AE53" s="8">
        <f t="shared" si="50"/>
        <v>672667.7528647678</v>
      </c>
      <c r="AF53" s="8">
        <f t="shared" si="50"/>
        <v>674632.03994589276</v>
      </c>
      <c r="AG53" s="8">
        <f t="shared" si="50"/>
        <v>676639.54134280235</v>
      </c>
      <c r="AH53" s="8">
        <f t="shared" si="50"/>
        <v>678691.20777044399</v>
      </c>
      <c r="AI53" s="8">
        <f t="shared" si="50"/>
        <v>680788.01085949375</v>
      </c>
      <c r="AJ53" s="8">
        <f t="shared" si="50"/>
        <v>682930.94361650269</v>
      </c>
      <c r="AK53" s="8">
        <f t="shared" si="50"/>
        <v>685121.02089416562</v>
      </c>
      <c r="AL53" s="8">
        <f t="shared" si="50"/>
        <v>687359.27987193735</v>
      </c>
      <c r="AM53" s="8">
        <f t="shared" ref="AM53:BQ53" si="51">SUM(AM43:AM50)</f>
        <v>689646.78054721991</v>
      </c>
      <c r="AN53" s="8">
        <f t="shared" si="51"/>
        <v>691984.60623735876</v>
      </c>
      <c r="AO53" s="8">
        <f t="shared" si="51"/>
        <v>694373.86409268063</v>
      </c>
      <c r="AP53" s="8">
        <f t="shared" si="51"/>
        <v>696815.68562081968</v>
      </c>
      <c r="AQ53" s="8">
        <f t="shared" si="51"/>
        <v>699311.22722257767</v>
      </c>
      <c r="AR53" s="8">
        <f t="shared" si="51"/>
        <v>701861.67073957436</v>
      </c>
      <c r="AS53" s="8">
        <f t="shared" si="51"/>
        <v>704468.22401394509</v>
      </c>
      <c r="AT53" s="8">
        <f t="shared" si="51"/>
        <v>707132.12146035186</v>
      </c>
      <c r="AU53" s="8">
        <f t="shared" si="51"/>
        <v>709854.62465057953</v>
      </c>
      <c r="AV53" s="8">
        <f t="shared" si="51"/>
        <v>712637.02291099227</v>
      </c>
      <c r="AW53" s="8">
        <f t="shared" si="51"/>
        <v>715480.63393313414</v>
      </c>
      <c r="AX53" s="8">
        <f t="shared" si="51"/>
        <v>718386.8043977631</v>
      </c>
      <c r="AY53" s="8">
        <f t="shared" si="51"/>
        <v>721356.91061261389</v>
      </c>
      <c r="AZ53" s="8">
        <f t="shared" si="51"/>
        <v>724392.35916419141</v>
      </c>
      <c r="BA53" s="8">
        <f t="shared" si="51"/>
        <v>727494.58758390357</v>
      </c>
      <c r="BB53" s="8">
        <f t="shared" si="51"/>
        <v>583381.97645000007</v>
      </c>
      <c r="BC53" s="8">
        <f t="shared" si="51"/>
        <v>583381.97645000007</v>
      </c>
      <c r="BD53" s="8">
        <f t="shared" si="51"/>
        <v>583381.97645000007</v>
      </c>
      <c r="BE53" s="8">
        <f t="shared" si="51"/>
        <v>0</v>
      </c>
      <c r="BF53" s="8">
        <f t="shared" si="51"/>
        <v>0</v>
      </c>
      <c r="BG53" s="8">
        <f t="shared" si="51"/>
        <v>0</v>
      </c>
      <c r="BH53" s="8">
        <f t="shared" si="51"/>
        <v>0</v>
      </c>
      <c r="BI53" s="8">
        <f t="shared" si="51"/>
        <v>0</v>
      </c>
      <c r="BJ53" s="8">
        <f t="shared" si="51"/>
        <v>0</v>
      </c>
      <c r="BK53" s="8">
        <f t="shared" si="51"/>
        <v>0</v>
      </c>
      <c r="BL53" s="8">
        <f t="shared" si="51"/>
        <v>0</v>
      </c>
      <c r="BM53" s="8">
        <f t="shared" si="51"/>
        <v>0</v>
      </c>
      <c r="BN53" s="8">
        <f t="shared" si="51"/>
        <v>0</v>
      </c>
      <c r="BO53" s="8">
        <f t="shared" si="51"/>
        <v>0</v>
      </c>
      <c r="BP53" s="8">
        <f t="shared" si="51"/>
        <v>0</v>
      </c>
      <c r="BQ53" s="8">
        <f t="shared" si="51"/>
        <v>0</v>
      </c>
    </row>
    <row r="54" spans="1:69" x14ac:dyDescent="0.4">
      <c r="C54" s="11" t="s">
        <v>162</v>
      </c>
      <c r="D54" t="s">
        <v>164</v>
      </c>
      <c r="G54" s="8">
        <f>SUM(G45:G48,G50)</f>
        <v>0</v>
      </c>
      <c r="H54" s="8">
        <f t="shared" ref="H54:BQ54" si="52">SUM(H45:H48,H50)</f>
        <v>0</v>
      </c>
      <c r="I54" s="8">
        <f t="shared" si="52"/>
        <v>0</v>
      </c>
      <c r="J54" s="8">
        <f t="shared" si="52"/>
        <v>0</v>
      </c>
      <c r="K54" s="8">
        <f t="shared" si="52"/>
        <v>0</v>
      </c>
      <c r="L54" s="8">
        <f t="shared" si="52"/>
        <v>0</v>
      </c>
      <c r="M54" s="8">
        <f t="shared" si="52"/>
        <v>0</v>
      </c>
      <c r="N54" s="8">
        <f t="shared" si="52"/>
        <v>0</v>
      </c>
      <c r="O54" s="8">
        <f t="shared" si="52"/>
        <v>0</v>
      </c>
      <c r="P54" s="8">
        <f t="shared" si="52"/>
        <v>0</v>
      </c>
      <c r="Q54" s="8">
        <f t="shared" si="52"/>
        <v>0</v>
      </c>
      <c r="R54" s="8">
        <f t="shared" si="52"/>
        <v>0</v>
      </c>
      <c r="S54" s="8">
        <f t="shared" si="52"/>
        <v>0</v>
      </c>
      <c r="T54" s="8">
        <f t="shared" si="52"/>
        <v>0</v>
      </c>
      <c r="U54" s="8">
        <f t="shared" si="52"/>
        <v>0</v>
      </c>
      <c r="V54" s="8">
        <f t="shared" si="52"/>
        <v>0</v>
      </c>
      <c r="W54" s="8">
        <f t="shared" si="52"/>
        <v>0</v>
      </c>
      <c r="X54" s="8">
        <f t="shared" si="52"/>
        <v>0</v>
      </c>
      <c r="Y54" s="8">
        <f t="shared" si="52"/>
        <v>0</v>
      </c>
      <c r="Z54" s="8">
        <f t="shared" si="52"/>
        <v>0</v>
      </c>
      <c r="AA54" s="8">
        <f t="shared" si="52"/>
        <v>0</v>
      </c>
      <c r="AB54" s="8">
        <f t="shared" si="52"/>
        <v>0</v>
      </c>
      <c r="AC54" s="8">
        <f t="shared" si="52"/>
        <v>0</v>
      </c>
      <c r="AD54" s="8">
        <f t="shared" si="52"/>
        <v>0</v>
      </c>
      <c r="AE54" s="8">
        <f t="shared" si="52"/>
        <v>0</v>
      </c>
      <c r="AF54" s="8">
        <f t="shared" si="52"/>
        <v>0</v>
      </c>
      <c r="AG54" s="8">
        <f t="shared" si="52"/>
        <v>0</v>
      </c>
      <c r="AH54" s="8">
        <f t="shared" si="52"/>
        <v>0</v>
      </c>
      <c r="AI54" s="8">
        <f t="shared" si="52"/>
        <v>0</v>
      </c>
      <c r="AJ54" s="8">
        <f t="shared" si="52"/>
        <v>0</v>
      </c>
      <c r="AK54" s="8">
        <f t="shared" si="52"/>
        <v>0</v>
      </c>
      <c r="AL54" s="8">
        <f t="shared" si="52"/>
        <v>0</v>
      </c>
      <c r="AM54" s="8">
        <f t="shared" si="52"/>
        <v>0</v>
      </c>
      <c r="AN54" s="8">
        <f t="shared" si="52"/>
        <v>0</v>
      </c>
      <c r="AO54" s="8">
        <f t="shared" si="52"/>
        <v>0</v>
      </c>
      <c r="AP54" s="8">
        <f t="shared" si="52"/>
        <v>0</v>
      </c>
      <c r="AQ54" s="8">
        <f t="shared" si="52"/>
        <v>0</v>
      </c>
      <c r="AR54" s="8">
        <f t="shared" si="52"/>
        <v>0</v>
      </c>
      <c r="AS54" s="8">
        <f t="shared" si="52"/>
        <v>0</v>
      </c>
      <c r="AT54" s="8">
        <f t="shared" si="52"/>
        <v>0</v>
      </c>
      <c r="AU54" s="8">
        <f t="shared" si="52"/>
        <v>0</v>
      </c>
      <c r="AV54" s="8">
        <f t="shared" si="52"/>
        <v>0</v>
      </c>
      <c r="AW54" s="8">
        <f t="shared" si="52"/>
        <v>0</v>
      </c>
      <c r="AX54" s="8">
        <f t="shared" si="52"/>
        <v>0</v>
      </c>
      <c r="AY54" s="8">
        <f t="shared" si="52"/>
        <v>0</v>
      </c>
      <c r="AZ54" s="8">
        <f t="shared" si="52"/>
        <v>0</v>
      </c>
      <c r="BA54" s="8">
        <f t="shared" si="52"/>
        <v>0</v>
      </c>
      <c r="BB54" s="8">
        <f t="shared" si="52"/>
        <v>0</v>
      </c>
      <c r="BC54" s="8">
        <f t="shared" si="52"/>
        <v>0</v>
      </c>
      <c r="BD54" s="8">
        <f t="shared" si="52"/>
        <v>0</v>
      </c>
      <c r="BE54" s="8">
        <f t="shared" si="52"/>
        <v>0</v>
      </c>
      <c r="BF54" s="8">
        <f t="shared" si="52"/>
        <v>0</v>
      </c>
      <c r="BG54" s="8">
        <f t="shared" si="52"/>
        <v>0</v>
      </c>
      <c r="BH54" s="8">
        <f t="shared" si="52"/>
        <v>0</v>
      </c>
      <c r="BI54" s="8">
        <f t="shared" si="52"/>
        <v>0</v>
      </c>
      <c r="BJ54" s="8">
        <f t="shared" si="52"/>
        <v>0</v>
      </c>
      <c r="BK54" s="8">
        <f t="shared" si="52"/>
        <v>0</v>
      </c>
      <c r="BL54" s="8">
        <f t="shared" si="52"/>
        <v>0</v>
      </c>
      <c r="BM54" s="8">
        <f t="shared" si="52"/>
        <v>0</v>
      </c>
      <c r="BN54" s="8">
        <f t="shared" si="52"/>
        <v>0</v>
      </c>
      <c r="BO54" s="8">
        <f t="shared" si="52"/>
        <v>0</v>
      </c>
      <c r="BP54" s="8">
        <f t="shared" si="52"/>
        <v>0</v>
      </c>
      <c r="BQ54" s="8">
        <f t="shared" si="52"/>
        <v>0</v>
      </c>
    </row>
    <row r="55" spans="1:69" x14ac:dyDescent="0.4">
      <c r="C55" s="11" t="s">
        <v>162</v>
      </c>
      <c r="D55" t="s">
        <v>165</v>
      </c>
      <c r="G55" s="8">
        <f>G43</f>
        <v>14685.508277515051</v>
      </c>
      <c r="H55" s="8">
        <f t="shared" ref="H55:BQ55" si="53">H43</f>
        <v>16492.253033029971</v>
      </c>
      <c r="I55" s="8">
        <f t="shared" si="53"/>
        <v>18371.386771781235</v>
      </c>
      <c r="J55" s="8">
        <f t="shared" si="53"/>
        <v>20325.220144569561</v>
      </c>
      <c r="K55" s="8">
        <f t="shared" si="53"/>
        <v>22356.130434563038</v>
      </c>
      <c r="L55" s="8">
        <f t="shared" si="53"/>
        <v>24466.563370766253</v>
      </c>
      <c r="M55" s="8">
        <f t="shared" si="53"/>
        <v>26659.034989032079</v>
      </c>
      <c r="N55" s="8">
        <f t="shared" si="53"/>
        <v>28936.133541830157</v>
      </c>
      <c r="O55" s="8">
        <f t="shared" si="53"/>
        <v>31300.521458016654</v>
      </c>
      <c r="P55" s="8">
        <f t="shared" si="53"/>
        <v>33754.937353881112</v>
      </c>
      <c r="Q55" s="8">
        <f t="shared" si="53"/>
        <v>34497.5459756665</v>
      </c>
      <c r="R55" s="8">
        <f t="shared" si="53"/>
        <v>35256.491987131165</v>
      </c>
      <c r="S55" s="8">
        <f t="shared" si="53"/>
        <v>36032.134810848052</v>
      </c>
      <c r="T55" s="8">
        <f t="shared" si="53"/>
        <v>36824.841776686713</v>
      </c>
      <c r="U55" s="8">
        <f t="shared" si="53"/>
        <v>37634.988295773823</v>
      </c>
      <c r="V55" s="8">
        <f t="shared" si="53"/>
        <v>38462.958038280849</v>
      </c>
      <c r="W55" s="8">
        <f t="shared" si="53"/>
        <v>39309.143115123028</v>
      </c>
      <c r="X55" s="8">
        <f t="shared" si="53"/>
        <v>40173.944263655736</v>
      </c>
      <c r="Y55" s="8">
        <f t="shared" si="53"/>
        <v>41057.771037456165</v>
      </c>
      <c r="Z55" s="8">
        <f t="shared" si="53"/>
        <v>41961.042000280198</v>
      </c>
      <c r="AA55" s="8">
        <f t="shared" si="53"/>
        <v>42884.184924286361</v>
      </c>
      <c r="AB55" s="8">
        <f t="shared" si="53"/>
        <v>43827.636992620661</v>
      </c>
      <c r="AC55" s="8">
        <f t="shared" si="53"/>
        <v>44791.845006458316</v>
      </c>
      <c r="AD55" s="8">
        <f t="shared" si="53"/>
        <v>45777.265596600402</v>
      </c>
      <c r="AE55" s="8">
        <f t="shared" si="53"/>
        <v>46784.36543972561</v>
      </c>
      <c r="AF55" s="8">
        <f t="shared" si="53"/>
        <v>47813.621479399575</v>
      </c>
      <c r="AG55" s="8">
        <f t="shared" si="53"/>
        <v>48865.52115194637</v>
      </c>
      <c r="AH55" s="8">
        <f t="shared" si="53"/>
        <v>49940.562617289193</v>
      </c>
      <c r="AI55" s="8">
        <f t="shared" si="53"/>
        <v>51039.25499486956</v>
      </c>
      <c r="AJ55" s="8">
        <f t="shared" si="53"/>
        <v>52162.118604756688</v>
      </c>
      <c r="AK55" s="8">
        <f t="shared" si="53"/>
        <v>53309.685214061334</v>
      </c>
      <c r="AL55" s="8">
        <f t="shared" si="53"/>
        <v>54482.498288770686</v>
      </c>
      <c r="AM55" s="8">
        <f t="shared" si="53"/>
        <v>55681.113251123643</v>
      </c>
      <c r="AN55" s="8">
        <f t="shared" si="53"/>
        <v>56906.097742648366</v>
      </c>
      <c r="AO55" s="8">
        <f t="shared" si="53"/>
        <v>58158.031892986633</v>
      </c>
      <c r="AP55" s="8">
        <f t="shared" si="53"/>
        <v>59437.508594632338</v>
      </c>
      <c r="AQ55" s="8">
        <f t="shared" si="53"/>
        <v>60745.133783714249</v>
      </c>
      <c r="AR55" s="8">
        <f t="shared" si="53"/>
        <v>62081.526726955963</v>
      </c>
      <c r="AS55" s="8">
        <f t="shared" si="53"/>
        <v>63447.320314948993</v>
      </c>
      <c r="AT55" s="8">
        <f t="shared" si="53"/>
        <v>64843.161361877872</v>
      </c>
      <c r="AU55" s="8">
        <f t="shared" si="53"/>
        <v>66269.710911839182</v>
      </c>
      <c r="AV55" s="8">
        <f t="shared" si="53"/>
        <v>67727.644551899648</v>
      </c>
      <c r="AW55" s="8">
        <f t="shared" si="53"/>
        <v>69217.652732041446</v>
      </c>
      <c r="AX55" s="8">
        <f t="shared" si="53"/>
        <v>70740.441092146357</v>
      </c>
      <c r="AY55" s="8">
        <f t="shared" si="53"/>
        <v>72296.730796173579</v>
      </c>
      <c r="AZ55" s="8">
        <f t="shared" si="53"/>
        <v>73887.258873689396</v>
      </c>
      <c r="BA55" s="8">
        <f t="shared" si="53"/>
        <v>75512.778568910566</v>
      </c>
      <c r="BB55" s="8">
        <f t="shared" si="53"/>
        <v>0</v>
      </c>
      <c r="BC55" s="8">
        <f t="shared" si="53"/>
        <v>0</v>
      </c>
      <c r="BD55" s="8">
        <f t="shared" si="53"/>
        <v>0</v>
      </c>
      <c r="BE55" s="8">
        <f t="shared" si="53"/>
        <v>0</v>
      </c>
      <c r="BF55" s="8">
        <f t="shared" si="53"/>
        <v>0</v>
      </c>
      <c r="BG55" s="8">
        <f t="shared" si="53"/>
        <v>0</v>
      </c>
      <c r="BH55" s="8">
        <f t="shared" si="53"/>
        <v>0</v>
      </c>
      <c r="BI55" s="8">
        <f t="shared" si="53"/>
        <v>0</v>
      </c>
      <c r="BJ55" s="8">
        <f t="shared" si="53"/>
        <v>0</v>
      </c>
      <c r="BK55" s="8">
        <f t="shared" si="53"/>
        <v>0</v>
      </c>
      <c r="BL55" s="8">
        <f t="shared" si="53"/>
        <v>0</v>
      </c>
      <c r="BM55" s="8">
        <f t="shared" si="53"/>
        <v>0</v>
      </c>
      <c r="BN55" s="8">
        <f t="shared" si="53"/>
        <v>0</v>
      </c>
      <c r="BO55" s="8">
        <f t="shared" si="53"/>
        <v>0</v>
      </c>
      <c r="BP55" s="8">
        <f t="shared" si="53"/>
        <v>0</v>
      </c>
      <c r="BQ55" s="8">
        <f t="shared" si="53"/>
        <v>0</v>
      </c>
    </row>
    <row r="57" spans="1:69" x14ac:dyDescent="0.4">
      <c r="B57" s="11" t="s">
        <v>429</v>
      </c>
    </row>
    <row r="58" spans="1:69" x14ac:dyDescent="0.4">
      <c r="A58" t="s">
        <v>70</v>
      </c>
      <c r="B58" t="s">
        <v>149</v>
      </c>
      <c r="C58" s="5" t="s">
        <v>150</v>
      </c>
      <c r="D58" s="5" t="s">
        <v>151</v>
      </c>
      <c r="E58" s="5"/>
      <c r="F58" s="5">
        <v>2027</v>
      </c>
      <c r="G58" s="5">
        <v>2028</v>
      </c>
      <c r="H58" s="5">
        <v>2029</v>
      </c>
      <c r="I58" s="5">
        <v>2030</v>
      </c>
      <c r="J58" s="5">
        <v>2031</v>
      </c>
      <c r="K58" s="5">
        <v>2032</v>
      </c>
      <c r="L58" s="5">
        <v>2033</v>
      </c>
      <c r="M58" s="5">
        <v>2034</v>
      </c>
      <c r="N58" s="5">
        <v>2035</v>
      </c>
      <c r="O58" s="5">
        <v>2036</v>
      </c>
      <c r="P58" s="5">
        <v>2037</v>
      </c>
      <c r="Q58" s="5">
        <v>2038</v>
      </c>
      <c r="R58" s="5">
        <v>2039</v>
      </c>
      <c r="S58" s="5">
        <v>2040</v>
      </c>
      <c r="T58" s="5">
        <v>2041</v>
      </c>
      <c r="U58" s="5">
        <v>2042</v>
      </c>
      <c r="V58" s="5">
        <v>2043</v>
      </c>
      <c r="W58" s="5">
        <v>2044</v>
      </c>
      <c r="X58" s="5">
        <v>2045</v>
      </c>
      <c r="Y58" s="5">
        <v>2046</v>
      </c>
      <c r="Z58" s="5">
        <v>2047</v>
      </c>
      <c r="AA58" s="5">
        <v>2048</v>
      </c>
      <c r="AB58" s="5">
        <v>2049</v>
      </c>
      <c r="AC58" s="5">
        <v>2050</v>
      </c>
      <c r="AD58" s="5">
        <v>2051</v>
      </c>
      <c r="AE58" s="5">
        <v>2052</v>
      </c>
      <c r="AF58" s="5">
        <v>2053</v>
      </c>
      <c r="AG58" s="5">
        <v>2054</v>
      </c>
      <c r="AH58" s="5">
        <v>2055</v>
      </c>
      <c r="AI58" s="5">
        <v>2056</v>
      </c>
      <c r="AJ58" s="5">
        <v>2057</v>
      </c>
      <c r="AK58" s="5">
        <v>2058</v>
      </c>
      <c r="AL58" s="5">
        <v>2059</v>
      </c>
      <c r="AM58" s="5">
        <v>2060</v>
      </c>
      <c r="AN58" s="5">
        <v>2061</v>
      </c>
      <c r="AO58" s="5">
        <v>2062</v>
      </c>
      <c r="AP58" s="5">
        <v>2063</v>
      </c>
      <c r="AQ58" s="5">
        <v>2064</v>
      </c>
      <c r="AR58" s="5">
        <v>2065</v>
      </c>
      <c r="AS58" s="5">
        <v>2066</v>
      </c>
      <c r="AT58" s="5">
        <v>2067</v>
      </c>
      <c r="AU58" s="5">
        <v>2068</v>
      </c>
      <c r="AV58" s="5">
        <v>2069</v>
      </c>
      <c r="AW58" s="5">
        <v>2070</v>
      </c>
      <c r="AX58" s="5">
        <v>2071</v>
      </c>
      <c r="AY58" s="5">
        <v>2072</v>
      </c>
      <c r="AZ58" s="5">
        <v>2073</v>
      </c>
      <c r="BA58" s="5">
        <v>2074</v>
      </c>
      <c r="BB58" s="5">
        <v>2075</v>
      </c>
      <c r="BC58" s="5">
        <v>2076</v>
      </c>
      <c r="BD58" s="5">
        <v>2077</v>
      </c>
      <c r="BE58" s="5">
        <v>2078</v>
      </c>
      <c r="BF58" s="5">
        <v>2079</v>
      </c>
      <c r="BG58" s="5">
        <v>2080</v>
      </c>
      <c r="BH58" s="5">
        <v>2081</v>
      </c>
      <c r="BI58" s="5">
        <v>2082</v>
      </c>
      <c r="BJ58" s="5">
        <v>2083</v>
      </c>
      <c r="BK58" s="5">
        <v>2084</v>
      </c>
      <c r="BL58" s="5">
        <v>2085</v>
      </c>
      <c r="BM58" s="5">
        <v>2086</v>
      </c>
      <c r="BN58" s="5">
        <v>2087</v>
      </c>
      <c r="BO58" s="5">
        <v>2088</v>
      </c>
      <c r="BP58" s="5">
        <v>2089</v>
      </c>
      <c r="BQ58" s="5">
        <v>2090</v>
      </c>
    </row>
    <row r="59" spans="1:69" x14ac:dyDescent="0.4">
      <c r="C59" s="216"/>
      <c r="D59" s="216"/>
      <c r="E59" s="216"/>
      <c r="F59" s="216"/>
      <c r="G59" s="216"/>
      <c r="H59" s="216"/>
      <c r="I59" s="216"/>
      <c r="J59" s="216"/>
      <c r="K59" s="216"/>
      <c r="L59" s="216"/>
      <c r="M59" s="216"/>
      <c r="N59" s="216"/>
      <c r="O59" s="216"/>
      <c r="P59" s="216"/>
      <c r="Q59" s="216"/>
      <c r="R59" s="216"/>
      <c r="S59" s="216"/>
      <c r="T59" s="216"/>
      <c r="U59" s="216"/>
      <c r="V59" s="216"/>
      <c r="W59" s="216"/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</row>
    <row r="60" spans="1:69" x14ac:dyDescent="0.4">
      <c r="A60" t="s">
        <v>37</v>
      </c>
      <c r="B60" t="s">
        <v>16</v>
      </c>
      <c r="C60" t="s">
        <v>127</v>
      </c>
      <c r="D60" t="s">
        <v>154</v>
      </c>
      <c r="F60" s="8">
        <f>SUMIFS('Mitigation Projects'!$L:$L,'Mitigation Projects'!$H:$H,Costs_Mitigation!$B60,'Mitigation Projects'!$G:$G,Costs_Mitigation!$A60)</f>
        <v>29842862</v>
      </c>
      <c r="G60" s="8">
        <f t="shared" ref="G60:AL60" si="54">IF(G$1&lt;=BOOK_DEP_PERIOD_UG,F60,0)</f>
        <v>29842862</v>
      </c>
      <c r="H60" s="8">
        <f t="shared" si="54"/>
        <v>29842862</v>
      </c>
      <c r="I60" s="8">
        <f t="shared" si="54"/>
        <v>29842862</v>
      </c>
      <c r="J60" s="8">
        <f t="shared" si="54"/>
        <v>29842862</v>
      </c>
      <c r="K60" s="8">
        <f t="shared" si="54"/>
        <v>29842862</v>
      </c>
      <c r="L60" s="8">
        <f t="shared" si="54"/>
        <v>29842862</v>
      </c>
      <c r="M60" s="8">
        <f t="shared" si="54"/>
        <v>29842862</v>
      </c>
      <c r="N60" s="8">
        <f t="shared" si="54"/>
        <v>29842862</v>
      </c>
      <c r="O60" s="8">
        <f t="shared" si="54"/>
        <v>29842862</v>
      </c>
      <c r="P60" s="8">
        <f t="shared" si="54"/>
        <v>29842862</v>
      </c>
      <c r="Q60" s="8">
        <f t="shared" si="54"/>
        <v>29842862</v>
      </c>
      <c r="R60" s="8">
        <f t="shared" si="54"/>
        <v>29842862</v>
      </c>
      <c r="S60" s="8">
        <f t="shared" si="54"/>
        <v>29842862</v>
      </c>
      <c r="T60" s="8">
        <f t="shared" si="54"/>
        <v>29842862</v>
      </c>
      <c r="U60" s="8">
        <f t="shared" si="54"/>
        <v>29842862</v>
      </c>
      <c r="V60" s="8">
        <f t="shared" si="54"/>
        <v>29842862</v>
      </c>
      <c r="W60" s="8">
        <f t="shared" si="54"/>
        <v>29842862</v>
      </c>
      <c r="X60" s="8">
        <f t="shared" si="54"/>
        <v>29842862</v>
      </c>
      <c r="Y60" s="8">
        <f t="shared" si="54"/>
        <v>29842862</v>
      </c>
      <c r="Z60" s="8">
        <f t="shared" si="54"/>
        <v>29842862</v>
      </c>
      <c r="AA60" s="8">
        <f t="shared" si="54"/>
        <v>29842862</v>
      </c>
      <c r="AB60" s="8">
        <f t="shared" si="54"/>
        <v>29842862</v>
      </c>
      <c r="AC60" s="8">
        <f t="shared" si="54"/>
        <v>29842862</v>
      </c>
      <c r="AD60" s="8">
        <f t="shared" si="54"/>
        <v>29842862</v>
      </c>
      <c r="AE60" s="8">
        <f t="shared" si="54"/>
        <v>29842862</v>
      </c>
      <c r="AF60" s="8">
        <f t="shared" si="54"/>
        <v>29842862</v>
      </c>
      <c r="AG60" s="8">
        <f t="shared" si="54"/>
        <v>29842862</v>
      </c>
      <c r="AH60" s="8">
        <f t="shared" si="54"/>
        <v>29842862</v>
      </c>
      <c r="AI60" s="8">
        <f t="shared" si="54"/>
        <v>29842862</v>
      </c>
      <c r="AJ60" s="8">
        <f t="shared" si="54"/>
        <v>29842862</v>
      </c>
      <c r="AK60" s="8">
        <f t="shared" si="54"/>
        <v>29842862</v>
      </c>
      <c r="AL60" s="8">
        <f t="shared" si="54"/>
        <v>29842862</v>
      </c>
      <c r="AM60" s="8">
        <f t="shared" ref="AM60:BQ60" si="55">IF(AM$1&lt;=BOOK_DEP_PERIOD_UG,AL60,0)</f>
        <v>29842862</v>
      </c>
      <c r="AN60" s="8">
        <f t="shared" si="55"/>
        <v>29842862</v>
      </c>
      <c r="AO60" s="8">
        <f t="shared" si="55"/>
        <v>29842862</v>
      </c>
      <c r="AP60" s="8">
        <f t="shared" si="55"/>
        <v>29842862</v>
      </c>
      <c r="AQ60" s="8">
        <f t="shared" si="55"/>
        <v>29842862</v>
      </c>
      <c r="AR60" s="8">
        <f t="shared" si="55"/>
        <v>29842862</v>
      </c>
      <c r="AS60" s="8">
        <f t="shared" si="55"/>
        <v>29842862</v>
      </c>
      <c r="AT60" s="8">
        <f t="shared" si="55"/>
        <v>29842862</v>
      </c>
      <c r="AU60" s="8">
        <f t="shared" si="55"/>
        <v>29842862</v>
      </c>
      <c r="AV60" s="8">
        <f t="shared" si="55"/>
        <v>29842862</v>
      </c>
      <c r="AW60" s="8">
        <f t="shared" si="55"/>
        <v>29842862</v>
      </c>
      <c r="AX60" s="8">
        <f t="shared" si="55"/>
        <v>29842862</v>
      </c>
      <c r="AY60" s="8">
        <f t="shared" si="55"/>
        <v>29842862</v>
      </c>
      <c r="AZ60" s="8">
        <f t="shared" si="55"/>
        <v>29842862</v>
      </c>
      <c r="BA60" s="8">
        <f t="shared" si="55"/>
        <v>29842862</v>
      </c>
      <c r="BB60" s="8">
        <f t="shared" si="55"/>
        <v>29842862</v>
      </c>
      <c r="BC60" s="8">
        <f t="shared" si="55"/>
        <v>29842862</v>
      </c>
      <c r="BD60" s="8">
        <f t="shared" si="55"/>
        <v>29842862</v>
      </c>
      <c r="BE60" s="8">
        <f t="shared" si="55"/>
        <v>0</v>
      </c>
      <c r="BF60" s="8">
        <f t="shared" si="55"/>
        <v>0</v>
      </c>
      <c r="BG60" s="8">
        <f t="shared" si="55"/>
        <v>0</v>
      </c>
      <c r="BH60" s="8">
        <f t="shared" si="55"/>
        <v>0</v>
      </c>
      <c r="BI60" s="8">
        <f t="shared" si="55"/>
        <v>0</v>
      </c>
      <c r="BJ60" s="8">
        <f t="shared" si="55"/>
        <v>0</v>
      </c>
      <c r="BK60" s="8">
        <f t="shared" si="55"/>
        <v>0</v>
      </c>
      <c r="BL60" s="8">
        <f t="shared" si="55"/>
        <v>0</v>
      </c>
      <c r="BM60" s="8">
        <f t="shared" si="55"/>
        <v>0</v>
      </c>
      <c r="BN60" s="8">
        <f t="shared" si="55"/>
        <v>0</v>
      </c>
      <c r="BO60" s="8">
        <f t="shared" si="55"/>
        <v>0</v>
      </c>
      <c r="BP60" s="8">
        <f t="shared" si="55"/>
        <v>0</v>
      </c>
      <c r="BQ60" s="8">
        <f t="shared" si="55"/>
        <v>0</v>
      </c>
    </row>
    <row r="61" spans="1:69" x14ac:dyDescent="0.4">
      <c r="A61" t="s">
        <v>37</v>
      </c>
      <c r="B61" t="s">
        <v>16</v>
      </c>
      <c r="C61" t="s">
        <v>127</v>
      </c>
      <c r="D61" t="s">
        <v>155</v>
      </c>
      <c r="F61" s="8">
        <v>0</v>
      </c>
      <c r="G61" s="8">
        <f>IF(G$1&lt;=BOOK_DEP_PERIOD_UG,-SUM($F70:G70),0)</f>
        <v>-596857.24</v>
      </c>
      <c r="H61" s="8">
        <f>IF(H$1&lt;=BOOK_DEP_PERIOD_UG,-SUM($F70:H70),0)</f>
        <v>-1193714.48</v>
      </c>
      <c r="I61" s="8">
        <f>IF(I$1&lt;=BOOK_DEP_PERIOD_UG,-SUM($F70:I70),0)</f>
        <v>-1790571.72</v>
      </c>
      <c r="J61" s="8">
        <f>IF(J$1&lt;=BOOK_DEP_PERIOD_UG,-SUM($F70:J70),0)</f>
        <v>-2387428.96</v>
      </c>
      <c r="K61" s="8">
        <f>IF(K$1&lt;=BOOK_DEP_PERIOD_UG,-SUM($F70:K70),0)</f>
        <v>-2984286.2</v>
      </c>
      <c r="L61" s="8">
        <f>IF(L$1&lt;=BOOK_DEP_PERIOD_UG,-SUM($F70:L70),0)</f>
        <v>-3581143.4400000004</v>
      </c>
      <c r="M61" s="8">
        <f>IF(M$1&lt;=BOOK_DEP_PERIOD_UG,-SUM($F70:M70),0)</f>
        <v>-4178000.6800000006</v>
      </c>
      <c r="N61" s="8">
        <f>IF(N$1&lt;=BOOK_DEP_PERIOD_UG,-SUM($F70:N70),0)</f>
        <v>-4774857.9200000009</v>
      </c>
      <c r="O61" s="8">
        <f>IF(O$1&lt;=BOOK_DEP_PERIOD_UG,-SUM($F70:O70),0)</f>
        <v>-5371715.1600000011</v>
      </c>
      <c r="P61" s="8">
        <f>IF(P$1&lt;=BOOK_DEP_PERIOD_UG,-SUM($F70:P70),0)</f>
        <v>-5968572.4000000013</v>
      </c>
      <c r="Q61" s="8">
        <f>IF(Q$1&lt;=BOOK_DEP_PERIOD_UG,-SUM($F70:Q70),0)</f>
        <v>-6565429.6400000015</v>
      </c>
      <c r="R61" s="8">
        <f>IF(R$1&lt;=BOOK_DEP_PERIOD_UG,-SUM($F70:R70),0)</f>
        <v>-7162286.8800000018</v>
      </c>
      <c r="S61" s="8">
        <f>IF(S$1&lt;=BOOK_DEP_PERIOD_UG,-SUM($F70:S70),0)</f>
        <v>-7759144.120000002</v>
      </c>
      <c r="T61" s="8">
        <f>IF(T$1&lt;=BOOK_DEP_PERIOD_UG,-SUM($F70:T70),0)</f>
        <v>-8356001.3600000022</v>
      </c>
      <c r="U61" s="8">
        <f>IF(U$1&lt;=BOOK_DEP_PERIOD_UG,-SUM($F70:U70),0)</f>
        <v>-8952858.6000000015</v>
      </c>
      <c r="V61" s="8">
        <f>IF(V$1&lt;=BOOK_DEP_PERIOD_UG,-SUM($F70:V70),0)</f>
        <v>-9549715.8400000017</v>
      </c>
      <c r="W61" s="8">
        <f>IF(W$1&lt;=BOOK_DEP_PERIOD_UG,-SUM($F70:W70),0)</f>
        <v>-10146573.080000002</v>
      </c>
      <c r="X61" s="8">
        <f>IF(X$1&lt;=BOOK_DEP_PERIOD_UG,-SUM($F70:X70),0)</f>
        <v>-10743430.320000002</v>
      </c>
      <c r="Y61" s="8">
        <f>IF(Y$1&lt;=BOOK_DEP_PERIOD_UG,-SUM($F70:Y70),0)</f>
        <v>-11340287.560000002</v>
      </c>
      <c r="Z61" s="8">
        <f>IF(Z$1&lt;=BOOK_DEP_PERIOD_UG,-SUM($F70:Z70),0)</f>
        <v>-11937144.800000003</v>
      </c>
      <c r="AA61" s="8">
        <f>IF(AA$1&lt;=BOOK_DEP_PERIOD_UG,-SUM($F70:AA70),0)</f>
        <v>-12534002.040000003</v>
      </c>
      <c r="AB61" s="8">
        <f>IF(AB$1&lt;=BOOK_DEP_PERIOD_UG,-SUM($F70:AB70),0)</f>
        <v>-13130859.280000003</v>
      </c>
      <c r="AC61" s="8">
        <f>IF(AC$1&lt;=BOOK_DEP_PERIOD_UG,-SUM($F70:AC70),0)</f>
        <v>-13727716.520000003</v>
      </c>
      <c r="AD61" s="8">
        <f>IF(AD$1&lt;=BOOK_DEP_PERIOD_UG,-SUM($F70:AD70),0)</f>
        <v>-14324573.760000004</v>
      </c>
      <c r="AE61" s="8">
        <f>IF(AE$1&lt;=BOOK_DEP_PERIOD_UG,-SUM($F70:AE70),0)</f>
        <v>-14921431.000000004</v>
      </c>
      <c r="AF61" s="8">
        <f>IF(AF$1&lt;=BOOK_DEP_PERIOD_UG,-SUM($F70:AF70),0)</f>
        <v>-15518288.240000004</v>
      </c>
      <c r="AG61" s="8">
        <f>IF(AG$1&lt;=BOOK_DEP_PERIOD_UG,-SUM($F70:AG70),0)</f>
        <v>-16115145.480000004</v>
      </c>
      <c r="AH61" s="8">
        <f>IF(AH$1&lt;=BOOK_DEP_PERIOD_UG,-SUM($F70:AH70),0)</f>
        <v>-16712002.720000004</v>
      </c>
      <c r="AI61" s="8">
        <f>IF(AI$1&lt;=BOOK_DEP_PERIOD_UG,-SUM($F70:AI70),0)</f>
        <v>-17308859.960000005</v>
      </c>
      <c r="AJ61" s="8">
        <f>IF(AJ$1&lt;=BOOK_DEP_PERIOD_UG,-SUM($F70:AJ70),0)</f>
        <v>-17905717.200000003</v>
      </c>
      <c r="AK61" s="8">
        <f>IF(AK$1&lt;=BOOK_DEP_PERIOD_UG,-SUM($F70:AK70),0)</f>
        <v>-18502574.440000001</v>
      </c>
      <c r="AL61" s="8">
        <f>IF(AL$1&lt;=BOOK_DEP_PERIOD_UG,-SUM($F70:AL70),0)</f>
        <v>-19099431.68</v>
      </c>
      <c r="AM61" s="8">
        <f>IF(AM$1&lt;=BOOK_DEP_PERIOD_UG,-SUM($F70:AM70),0)</f>
        <v>-19696288.919999998</v>
      </c>
      <c r="AN61" s="8">
        <f>IF(AN$1&lt;=BOOK_DEP_PERIOD_UG,-SUM($F70:AN70),0)</f>
        <v>-20293146.159999996</v>
      </c>
      <c r="AO61" s="8">
        <f>IF(AO$1&lt;=BOOK_DEP_PERIOD_UG,-SUM($F70:AO70),0)</f>
        <v>-20890003.399999995</v>
      </c>
      <c r="AP61" s="8">
        <f>IF(AP$1&lt;=BOOK_DEP_PERIOD_UG,-SUM($F70:AP70),0)</f>
        <v>-21486860.639999993</v>
      </c>
      <c r="AQ61" s="8">
        <f>IF(AQ$1&lt;=BOOK_DEP_PERIOD_UG,-SUM($F70:AQ70),0)</f>
        <v>-22083717.879999992</v>
      </c>
      <c r="AR61" s="8">
        <f>IF(AR$1&lt;=BOOK_DEP_PERIOD_UG,-SUM($F70:AR70),0)</f>
        <v>-22680575.11999999</v>
      </c>
      <c r="AS61" s="8">
        <f>IF(AS$1&lt;=BOOK_DEP_PERIOD_UG,-SUM($F70:AS70),0)</f>
        <v>-23277432.359999988</v>
      </c>
      <c r="AT61" s="8">
        <f>IF(AT$1&lt;=BOOK_DEP_PERIOD_UG,-SUM($F70:AT70),0)</f>
        <v>-23874289.599999987</v>
      </c>
      <c r="AU61" s="8">
        <f>IF(AU$1&lt;=BOOK_DEP_PERIOD_UG,-SUM($F70:AU70),0)</f>
        <v>-24471146.839999985</v>
      </c>
      <c r="AV61" s="8">
        <f>IF(AV$1&lt;=BOOK_DEP_PERIOD_UG,-SUM($F70:AV70),0)</f>
        <v>-25068004.079999983</v>
      </c>
      <c r="AW61" s="8">
        <f>IF(AW$1&lt;=BOOK_DEP_PERIOD_UG,-SUM($F70:AW70),0)</f>
        <v>-25664861.319999982</v>
      </c>
      <c r="AX61" s="8">
        <f>IF(AX$1&lt;=BOOK_DEP_PERIOD_UG,-SUM($F70:AX70),0)</f>
        <v>-26261718.55999998</v>
      </c>
      <c r="AY61" s="8">
        <f>IF(AY$1&lt;=BOOK_DEP_PERIOD_UG,-SUM($F70:AY70),0)</f>
        <v>-26858575.799999978</v>
      </c>
      <c r="AZ61" s="8">
        <f>IF(AZ$1&lt;=BOOK_DEP_PERIOD_UG,-SUM($F70:AZ70),0)</f>
        <v>-27455433.039999977</v>
      </c>
      <c r="BA61" s="8">
        <f>IF(BA$1&lt;=BOOK_DEP_PERIOD_UG,-SUM($F70:BA70),0)</f>
        <v>-28052290.279999975</v>
      </c>
      <c r="BB61" s="8">
        <f>IF(BB$1&lt;=BOOK_DEP_PERIOD_UG,-SUM($F70:BB70),0)</f>
        <v>-28649147.519999973</v>
      </c>
      <c r="BC61" s="8">
        <f>IF(BC$1&lt;=BOOK_DEP_PERIOD_UG,-SUM($F70:BC70),0)</f>
        <v>-29246004.759999972</v>
      </c>
      <c r="BD61" s="8">
        <f>IF(BD$1&lt;=BOOK_DEP_PERIOD_UG,-SUM($F70:BD70),0)</f>
        <v>-29842861.99999997</v>
      </c>
      <c r="BE61" s="8">
        <f>IF(BE$1&lt;=BOOK_DEP_PERIOD_UG,-SUM($F70:BE70),0)</f>
        <v>0</v>
      </c>
      <c r="BF61" s="8">
        <f>IF(BF$1&lt;=BOOK_DEP_PERIOD_UG,-SUM($F70:BF70),0)</f>
        <v>0</v>
      </c>
      <c r="BG61" s="8">
        <f>IF(BG$1&lt;=BOOK_DEP_PERIOD_UG,-SUM($F70:BG70),0)</f>
        <v>0</v>
      </c>
      <c r="BH61" s="8">
        <f>IF(BH$1&lt;=BOOK_DEP_PERIOD_UG,-SUM($F70:BH70),0)</f>
        <v>0</v>
      </c>
      <c r="BI61" s="8">
        <f>IF(BI$1&lt;=BOOK_DEP_PERIOD_UG,-SUM($F70:BI70),0)</f>
        <v>0</v>
      </c>
      <c r="BJ61" s="8">
        <f>IF(BJ$1&lt;=BOOK_DEP_PERIOD_UG,-SUM($F70:BJ70),0)</f>
        <v>0</v>
      </c>
      <c r="BK61" s="8">
        <f>IF(BK$1&lt;=BOOK_DEP_PERIOD_UG,-SUM($F70:BK70),0)</f>
        <v>0</v>
      </c>
      <c r="BL61" s="8">
        <f>IF(BL$1&lt;=BOOK_DEP_PERIOD_UG,-SUM($F70:BL70),0)</f>
        <v>0</v>
      </c>
      <c r="BM61" s="8">
        <f>IF(BM$1&lt;=BOOK_DEP_PERIOD_UG,-SUM($F70:BM70),0)</f>
        <v>0</v>
      </c>
      <c r="BN61" s="8">
        <f>IF(BN$1&lt;=BOOK_DEP_PERIOD_UG,-SUM($F70:BN70),0)</f>
        <v>0</v>
      </c>
      <c r="BO61" s="8">
        <f>IF(BO$1&lt;=BOOK_DEP_PERIOD_UG,-SUM($F70:BO70),0)</f>
        <v>0</v>
      </c>
      <c r="BP61" s="8">
        <f>IF(BP$1&lt;=BOOK_DEP_PERIOD_UG,-SUM($F70:BP70),0)</f>
        <v>0</v>
      </c>
      <c r="BQ61" s="8">
        <f>IF(BQ$1&lt;=BOOK_DEP_PERIOD_UG,-SUM($F70:BQ70),0)</f>
        <v>0</v>
      </c>
    </row>
    <row r="62" spans="1:69" x14ac:dyDescent="0.4">
      <c r="A62" t="s">
        <v>37</v>
      </c>
      <c r="B62" t="s">
        <v>16</v>
      </c>
      <c r="C62" t="s">
        <v>127</v>
      </c>
      <c r="D62" t="s">
        <v>167</v>
      </c>
      <c r="F62" s="8">
        <v>0</v>
      </c>
      <c r="G62" s="8">
        <f>F63</f>
        <v>29842862</v>
      </c>
      <c r="H62" s="8">
        <f t="shared" ref="H62:BQ62" si="56">G63</f>
        <v>29246004.760000002</v>
      </c>
      <c r="I62" s="8">
        <f t="shared" si="56"/>
        <v>28649147.52</v>
      </c>
      <c r="J62" s="8">
        <f t="shared" si="56"/>
        <v>28052290.280000001</v>
      </c>
      <c r="K62" s="8">
        <f t="shared" si="56"/>
        <v>27455433.039999999</v>
      </c>
      <c r="L62" s="8">
        <f t="shared" si="56"/>
        <v>26858575.800000001</v>
      </c>
      <c r="M62" s="8">
        <f t="shared" si="56"/>
        <v>26261718.559999999</v>
      </c>
      <c r="N62" s="8">
        <f t="shared" si="56"/>
        <v>25664861.32</v>
      </c>
      <c r="O62" s="8">
        <f t="shared" si="56"/>
        <v>25068004.079999998</v>
      </c>
      <c r="P62" s="8">
        <f t="shared" si="56"/>
        <v>24471146.84</v>
      </c>
      <c r="Q62" s="8">
        <f t="shared" si="56"/>
        <v>23874289.599999998</v>
      </c>
      <c r="R62" s="8">
        <f t="shared" si="56"/>
        <v>23277432.359999999</v>
      </c>
      <c r="S62" s="8">
        <f t="shared" si="56"/>
        <v>22680575.119999997</v>
      </c>
      <c r="T62" s="8">
        <f t="shared" si="56"/>
        <v>22083717.879999999</v>
      </c>
      <c r="U62" s="8">
        <f t="shared" si="56"/>
        <v>21486860.639999997</v>
      </c>
      <c r="V62" s="8">
        <f t="shared" si="56"/>
        <v>20890003.399999999</v>
      </c>
      <c r="W62" s="8">
        <f t="shared" si="56"/>
        <v>20293146.159999996</v>
      </c>
      <c r="X62" s="8">
        <f t="shared" si="56"/>
        <v>19696288.919999998</v>
      </c>
      <c r="Y62" s="8">
        <f t="shared" si="56"/>
        <v>19099431.68</v>
      </c>
      <c r="Z62" s="8">
        <f t="shared" si="56"/>
        <v>18502574.439999998</v>
      </c>
      <c r="AA62" s="8">
        <f t="shared" si="56"/>
        <v>17905717.199999996</v>
      </c>
      <c r="AB62" s="8">
        <f t="shared" si="56"/>
        <v>17308859.959999997</v>
      </c>
      <c r="AC62" s="8">
        <f t="shared" si="56"/>
        <v>16712002.719999997</v>
      </c>
      <c r="AD62" s="8">
        <f t="shared" si="56"/>
        <v>16115145.479999997</v>
      </c>
      <c r="AE62" s="8">
        <f t="shared" si="56"/>
        <v>15518288.239999996</v>
      </c>
      <c r="AF62" s="8">
        <f t="shared" si="56"/>
        <v>14921430.999999996</v>
      </c>
      <c r="AG62" s="8">
        <f t="shared" si="56"/>
        <v>14324573.759999996</v>
      </c>
      <c r="AH62" s="8">
        <f t="shared" si="56"/>
        <v>13727716.519999996</v>
      </c>
      <c r="AI62" s="8">
        <f t="shared" si="56"/>
        <v>13130859.279999996</v>
      </c>
      <c r="AJ62" s="8">
        <f t="shared" si="56"/>
        <v>12534002.039999995</v>
      </c>
      <c r="AK62" s="8">
        <f t="shared" si="56"/>
        <v>11937144.799999997</v>
      </c>
      <c r="AL62" s="8">
        <f t="shared" si="56"/>
        <v>11340287.559999999</v>
      </c>
      <c r="AM62" s="8">
        <f t="shared" si="56"/>
        <v>10743430.32</v>
      </c>
      <c r="AN62" s="8">
        <f t="shared" si="56"/>
        <v>10146573.080000002</v>
      </c>
      <c r="AO62" s="8">
        <f t="shared" si="56"/>
        <v>9549715.8400000036</v>
      </c>
      <c r="AP62" s="8">
        <f t="shared" si="56"/>
        <v>8952858.6000000052</v>
      </c>
      <c r="AQ62" s="8">
        <f t="shared" si="56"/>
        <v>8356001.3600000069</v>
      </c>
      <c r="AR62" s="8">
        <f t="shared" si="56"/>
        <v>7759144.1200000085</v>
      </c>
      <c r="AS62" s="8">
        <f t="shared" si="56"/>
        <v>7162286.8800000101</v>
      </c>
      <c r="AT62" s="8">
        <f t="shared" si="56"/>
        <v>6565429.6400000118</v>
      </c>
      <c r="AU62" s="8">
        <f t="shared" si="56"/>
        <v>5968572.4000000134</v>
      </c>
      <c r="AV62" s="8">
        <f t="shared" si="56"/>
        <v>5371715.1600000151</v>
      </c>
      <c r="AW62" s="8">
        <f t="shared" si="56"/>
        <v>4774857.9200000167</v>
      </c>
      <c r="AX62" s="8">
        <f t="shared" si="56"/>
        <v>4178000.6800000183</v>
      </c>
      <c r="AY62" s="8">
        <f t="shared" si="56"/>
        <v>3581143.44000002</v>
      </c>
      <c r="AZ62" s="8">
        <f t="shared" si="56"/>
        <v>2984286.2000000216</v>
      </c>
      <c r="BA62" s="8">
        <f t="shared" si="56"/>
        <v>2387428.9600000232</v>
      </c>
      <c r="BB62" s="8">
        <f t="shared" si="56"/>
        <v>1790571.7200000249</v>
      </c>
      <c r="BC62" s="8">
        <f t="shared" si="56"/>
        <v>1193714.4800000265</v>
      </c>
      <c r="BD62" s="8">
        <f t="shared" si="56"/>
        <v>596857.24000002816</v>
      </c>
      <c r="BE62" s="8">
        <f t="shared" si="56"/>
        <v>2.9802322387695313E-8</v>
      </c>
      <c r="BF62" s="8">
        <f t="shared" si="56"/>
        <v>0</v>
      </c>
      <c r="BG62" s="8">
        <f t="shared" si="56"/>
        <v>0</v>
      </c>
      <c r="BH62" s="8">
        <f t="shared" si="56"/>
        <v>0</v>
      </c>
      <c r="BI62" s="8">
        <f t="shared" si="56"/>
        <v>0</v>
      </c>
      <c r="BJ62" s="8">
        <f t="shared" si="56"/>
        <v>0</v>
      </c>
      <c r="BK62" s="8">
        <f t="shared" si="56"/>
        <v>0</v>
      </c>
      <c r="BL62" s="8">
        <f t="shared" si="56"/>
        <v>0</v>
      </c>
      <c r="BM62" s="8">
        <f t="shared" si="56"/>
        <v>0</v>
      </c>
      <c r="BN62" s="8">
        <f t="shared" si="56"/>
        <v>0</v>
      </c>
      <c r="BO62" s="8">
        <f t="shared" si="56"/>
        <v>0</v>
      </c>
      <c r="BP62" s="8">
        <f t="shared" si="56"/>
        <v>0</v>
      </c>
      <c r="BQ62" s="8">
        <f t="shared" si="56"/>
        <v>0</v>
      </c>
    </row>
    <row r="63" spans="1:69" x14ac:dyDescent="0.4">
      <c r="A63" t="s">
        <v>37</v>
      </c>
      <c r="B63" t="s">
        <v>16</v>
      </c>
      <c r="C63" t="s">
        <v>127</v>
      </c>
      <c r="D63" t="s">
        <v>168</v>
      </c>
      <c r="F63" s="8">
        <f>SUM(F60:F61)</f>
        <v>29842862</v>
      </c>
      <c r="G63" s="8">
        <f>SUM(G60:G61)</f>
        <v>29246004.760000002</v>
      </c>
      <c r="H63" s="8">
        <f t="shared" ref="H63:BQ63" si="57">SUM(H60:H61)</f>
        <v>28649147.52</v>
      </c>
      <c r="I63" s="8">
        <f t="shared" si="57"/>
        <v>28052290.280000001</v>
      </c>
      <c r="J63" s="8">
        <f t="shared" si="57"/>
        <v>27455433.039999999</v>
      </c>
      <c r="K63" s="8">
        <f t="shared" si="57"/>
        <v>26858575.800000001</v>
      </c>
      <c r="L63" s="8">
        <f t="shared" si="57"/>
        <v>26261718.559999999</v>
      </c>
      <c r="M63" s="8">
        <f t="shared" si="57"/>
        <v>25664861.32</v>
      </c>
      <c r="N63" s="8">
        <f t="shared" si="57"/>
        <v>25068004.079999998</v>
      </c>
      <c r="O63" s="8">
        <f t="shared" si="57"/>
        <v>24471146.84</v>
      </c>
      <c r="P63" s="8">
        <f t="shared" si="57"/>
        <v>23874289.599999998</v>
      </c>
      <c r="Q63" s="8">
        <f t="shared" si="57"/>
        <v>23277432.359999999</v>
      </c>
      <c r="R63" s="8">
        <f t="shared" si="57"/>
        <v>22680575.119999997</v>
      </c>
      <c r="S63" s="8">
        <f t="shared" si="57"/>
        <v>22083717.879999999</v>
      </c>
      <c r="T63" s="8">
        <f t="shared" si="57"/>
        <v>21486860.639999997</v>
      </c>
      <c r="U63" s="8">
        <f t="shared" si="57"/>
        <v>20890003.399999999</v>
      </c>
      <c r="V63" s="8">
        <f t="shared" si="57"/>
        <v>20293146.159999996</v>
      </c>
      <c r="W63" s="8">
        <f t="shared" si="57"/>
        <v>19696288.919999998</v>
      </c>
      <c r="X63" s="8">
        <f t="shared" si="57"/>
        <v>19099431.68</v>
      </c>
      <c r="Y63" s="8">
        <f t="shared" si="57"/>
        <v>18502574.439999998</v>
      </c>
      <c r="Z63" s="8">
        <f t="shared" si="57"/>
        <v>17905717.199999996</v>
      </c>
      <c r="AA63" s="8">
        <f t="shared" si="57"/>
        <v>17308859.959999997</v>
      </c>
      <c r="AB63" s="8">
        <f t="shared" si="57"/>
        <v>16712002.719999997</v>
      </c>
      <c r="AC63" s="8">
        <f t="shared" si="57"/>
        <v>16115145.479999997</v>
      </c>
      <c r="AD63" s="8">
        <f t="shared" si="57"/>
        <v>15518288.239999996</v>
      </c>
      <c r="AE63" s="8">
        <f t="shared" si="57"/>
        <v>14921430.999999996</v>
      </c>
      <c r="AF63" s="8">
        <f t="shared" si="57"/>
        <v>14324573.759999996</v>
      </c>
      <c r="AG63" s="8">
        <f t="shared" si="57"/>
        <v>13727716.519999996</v>
      </c>
      <c r="AH63" s="8">
        <f t="shared" si="57"/>
        <v>13130859.279999996</v>
      </c>
      <c r="AI63" s="8">
        <f t="shared" si="57"/>
        <v>12534002.039999995</v>
      </c>
      <c r="AJ63" s="8">
        <f t="shared" si="57"/>
        <v>11937144.799999997</v>
      </c>
      <c r="AK63" s="8">
        <f t="shared" si="57"/>
        <v>11340287.559999999</v>
      </c>
      <c r="AL63" s="8">
        <f t="shared" si="57"/>
        <v>10743430.32</v>
      </c>
      <c r="AM63" s="8">
        <f t="shared" si="57"/>
        <v>10146573.080000002</v>
      </c>
      <c r="AN63" s="8">
        <f t="shared" si="57"/>
        <v>9549715.8400000036</v>
      </c>
      <c r="AO63" s="8">
        <f t="shared" si="57"/>
        <v>8952858.6000000052</v>
      </c>
      <c r="AP63" s="8">
        <f t="shared" si="57"/>
        <v>8356001.3600000069</v>
      </c>
      <c r="AQ63" s="8">
        <f t="shared" si="57"/>
        <v>7759144.1200000085</v>
      </c>
      <c r="AR63" s="8">
        <f t="shared" si="57"/>
        <v>7162286.8800000101</v>
      </c>
      <c r="AS63" s="8">
        <f t="shared" si="57"/>
        <v>6565429.6400000118</v>
      </c>
      <c r="AT63" s="8">
        <f t="shared" si="57"/>
        <v>5968572.4000000134</v>
      </c>
      <c r="AU63" s="8">
        <f t="shared" si="57"/>
        <v>5371715.1600000151</v>
      </c>
      <c r="AV63" s="8">
        <f t="shared" si="57"/>
        <v>4774857.9200000167</v>
      </c>
      <c r="AW63" s="8">
        <f t="shared" si="57"/>
        <v>4178000.6800000183</v>
      </c>
      <c r="AX63" s="8">
        <f t="shared" si="57"/>
        <v>3581143.44000002</v>
      </c>
      <c r="AY63" s="8">
        <f t="shared" si="57"/>
        <v>2984286.2000000216</v>
      </c>
      <c r="AZ63" s="8">
        <f t="shared" si="57"/>
        <v>2387428.9600000232</v>
      </c>
      <c r="BA63" s="8">
        <f t="shared" si="57"/>
        <v>1790571.7200000249</v>
      </c>
      <c r="BB63" s="8">
        <f t="shared" si="57"/>
        <v>1193714.4800000265</v>
      </c>
      <c r="BC63" s="8">
        <f t="shared" si="57"/>
        <v>596857.24000002816</v>
      </c>
      <c r="BD63" s="8">
        <f t="shared" si="57"/>
        <v>2.9802322387695313E-8</v>
      </c>
      <c r="BE63" s="8">
        <f t="shared" si="57"/>
        <v>0</v>
      </c>
      <c r="BF63" s="8">
        <f t="shared" si="57"/>
        <v>0</v>
      </c>
      <c r="BG63" s="8">
        <f t="shared" si="57"/>
        <v>0</v>
      </c>
      <c r="BH63" s="8">
        <f t="shared" si="57"/>
        <v>0</v>
      </c>
      <c r="BI63" s="8">
        <f t="shared" si="57"/>
        <v>0</v>
      </c>
      <c r="BJ63" s="8">
        <f t="shared" si="57"/>
        <v>0</v>
      </c>
      <c r="BK63" s="8">
        <f t="shared" si="57"/>
        <v>0</v>
      </c>
      <c r="BL63" s="8">
        <f t="shared" si="57"/>
        <v>0</v>
      </c>
      <c r="BM63" s="8">
        <f t="shared" si="57"/>
        <v>0</v>
      </c>
      <c r="BN63" s="8">
        <f t="shared" si="57"/>
        <v>0</v>
      </c>
      <c r="BO63" s="8">
        <f t="shared" si="57"/>
        <v>0</v>
      </c>
      <c r="BP63" s="8">
        <f t="shared" si="57"/>
        <v>0</v>
      </c>
      <c r="BQ63" s="8">
        <f t="shared" si="57"/>
        <v>0</v>
      </c>
    </row>
    <row r="64" spans="1:69" x14ac:dyDescent="0.4">
      <c r="A64" t="s">
        <v>37</v>
      </c>
      <c r="B64" t="s">
        <v>16</v>
      </c>
      <c r="C64" t="s">
        <v>127</v>
      </c>
      <c r="D64" t="s">
        <v>169</v>
      </c>
      <c r="F64" s="8">
        <v>0</v>
      </c>
      <c r="G64" s="8">
        <f>IF(G$1&lt;=MACRS_DEP_PERIOD_UG+1,G60*VLOOKUP(G$1,Assumptions!$A$70:$B$90,2,0),0)</f>
        <v>1119107.325</v>
      </c>
      <c r="H64" s="8">
        <f>IF(H$1&lt;=MACRS_DEP_PERIOD_UG+1,H60*VLOOKUP(H$1,Assumptions!$A$70:$B$90,2,0),0)</f>
        <v>2154356.2077800003</v>
      </c>
      <c r="I64" s="8">
        <f>IF(I$1&lt;=MACRS_DEP_PERIOD_UG+1,I60*VLOOKUP(I$1,Assumptions!$A$70:$B$90,2,0),0)</f>
        <v>1992607.8957399998</v>
      </c>
      <c r="J64" s="8">
        <f>IF(J$1&lt;=MACRS_DEP_PERIOD_UG+1,J60*VLOOKUP(J$1,Assumptions!$A$70:$B$90,2,0),0)</f>
        <v>1843393.58574</v>
      </c>
      <c r="K64" s="8">
        <f>IF(K$1&lt;=MACRS_DEP_PERIOD_UG+1,K60*VLOOKUP(K$1,Assumptions!$A$70:$B$90,2,0),0)</f>
        <v>1704922.70606</v>
      </c>
      <c r="L64" s="8">
        <f>IF(L$1&lt;=MACRS_DEP_PERIOD_UG+1,L60*VLOOKUP(L$1,Assumptions!$A$70:$B$90,2,0),0)</f>
        <v>1577195.2567</v>
      </c>
      <c r="M64" s="8">
        <f>IF(M$1&lt;=MACRS_DEP_PERIOD_UG+1,M60*VLOOKUP(M$1,Assumptions!$A$70:$B$90,2,0),0)</f>
        <v>1458719.0945599999</v>
      </c>
      <c r="N64" s="8">
        <f>IF(N$1&lt;=MACRS_DEP_PERIOD_UG+1,N60*VLOOKUP(N$1,Assumptions!$A$70:$B$90,2,0),0)</f>
        <v>1349494.21964</v>
      </c>
      <c r="O64" s="8">
        <f>IF(O$1&lt;=MACRS_DEP_PERIOD_UG+1,O60*VLOOKUP(O$1,Assumptions!$A$70:$B$90,2,0),0)</f>
        <v>1331588.50244</v>
      </c>
      <c r="P64" s="8">
        <f>IF(P$1&lt;=MACRS_DEP_PERIOD_UG+1,P60*VLOOKUP(P$1,Assumptions!$A$70:$B$90,2,0),0)</f>
        <v>1331290.0738199998</v>
      </c>
      <c r="Q64" s="8">
        <f>IF(Q$1&lt;=MACRS_DEP_PERIOD_UG+1,Q60*VLOOKUP(Q$1,Assumptions!$A$70:$B$90,2,0),0)</f>
        <v>1331588.50244</v>
      </c>
      <c r="R64" s="8">
        <f>IF(R$1&lt;=MACRS_DEP_PERIOD_UG+1,R60*VLOOKUP(R$1,Assumptions!$A$70:$B$90,2,0),0)</f>
        <v>1331290.0738199998</v>
      </c>
      <c r="S64" s="8">
        <f>IF(S$1&lt;=MACRS_DEP_PERIOD_UG+1,S60*VLOOKUP(S$1,Assumptions!$A$70:$B$90,2,0),0)</f>
        <v>1331588.50244</v>
      </c>
      <c r="T64" s="8">
        <f>IF(T$1&lt;=MACRS_DEP_PERIOD_UG+1,T60*VLOOKUP(T$1,Assumptions!$A$70:$B$90,2,0),0)</f>
        <v>1331290.0738199998</v>
      </c>
      <c r="U64" s="8">
        <f>IF(U$1&lt;=MACRS_DEP_PERIOD_UG+1,U60*VLOOKUP(U$1,Assumptions!$A$70:$B$90,2,0),0)</f>
        <v>1331588.50244</v>
      </c>
      <c r="V64" s="8">
        <f>IF(V$1&lt;=MACRS_DEP_PERIOD_UG+1,V60*VLOOKUP(V$1,Assumptions!$A$70:$B$90,2,0),0)</f>
        <v>1331290.0738199998</v>
      </c>
      <c r="W64" s="8">
        <f>IF(W$1&lt;=MACRS_DEP_PERIOD_UG+1,W60*VLOOKUP(W$1,Assumptions!$A$70:$B$90,2,0),0)</f>
        <v>1331588.50244</v>
      </c>
      <c r="X64" s="8">
        <f>IF(X$1&lt;=MACRS_DEP_PERIOD_UG+1,X60*VLOOKUP(X$1,Assumptions!$A$70:$B$90,2,0),0)</f>
        <v>1331290.0738199998</v>
      </c>
      <c r="Y64" s="8">
        <f>IF(Y$1&lt;=MACRS_DEP_PERIOD_UG+1,Y60*VLOOKUP(Y$1,Assumptions!$A$70:$B$90,2,0),0)</f>
        <v>1331588.50244</v>
      </c>
      <c r="Z64" s="8">
        <f>IF(Z$1&lt;=MACRS_DEP_PERIOD_UG+1,Z60*VLOOKUP(Z$1,Assumptions!$A$70:$B$90,2,0),0)</f>
        <v>1331290.0738199998</v>
      </c>
      <c r="AA64" s="8">
        <f>IF(AA$1&lt;=MACRS_DEP_PERIOD_UG+1,AA60*VLOOKUP(AA$1,Assumptions!$A$70:$B$90,2,0),0)</f>
        <v>665794.25121999998</v>
      </c>
      <c r="AB64" s="8">
        <f>IF(AB$1&lt;=MACRS_DEP_PERIOD_UG+1,AB60*VLOOKUP(AB$1,Assumptions!$A$70:$B$90,2,0),0)</f>
        <v>0</v>
      </c>
      <c r="AC64" s="8">
        <f>IF(AC$1&lt;=MACRS_DEP_PERIOD_UG+1,AC60*VLOOKUP(AC$1,Assumptions!$A$70:$B$90,2,0),0)</f>
        <v>0</v>
      </c>
      <c r="AD64" s="8">
        <f>IF(AD$1&lt;=MACRS_DEP_PERIOD_UG+1,AD60*VLOOKUP(AD$1,Assumptions!$A$70:$B$90,2,0),0)</f>
        <v>0</v>
      </c>
      <c r="AE64" s="8">
        <f>IF(AE$1&lt;=MACRS_DEP_PERIOD_UG+1,AE60*VLOOKUP(AE$1,Assumptions!$A$70:$B$90,2,0),0)</f>
        <v>0</v>
      </c>
      <c r="AF64" s="8">
        <f>IF(AF$1&lt;=MACRS_DEP_PERIOD_UG+1,AF60*VLOOKUP(AF$1,Assumptions!$A$70:$B$90,2,0),0)</f>
        <v>0</v>
      </c>
      <c r="AG64" s="8">
        <f>IF(AG$1&lt;=MACRS_DEP_PERIOD_UG+1,AG60*VLOOKUP(AG$1,Assumptions!$A$70:$B$90,2,0),0)</f>
        <v>0</v>
      </c>
      <c r="AH64" s="8">
        <f>IF(AH$1&lt;=MACRS_DEP_PERIOD_UG+1,AH60*VLOOKUP(AH$1,Assumptions!$A$70:$B$90,2,0),0)</f>
        <v>0</v>
      </c>
      <c r="AI64" s="8">
        <f>IF(AI$1&lt;=MACRS_DEP_PERIOD_UG+1,AI60*VLOOKUP(AI$1,Assumptions!$A$70:$B$90,2,0),0)</f>
        <v>0</v>
      </c>
      <c r="AJ64" s="8">
        <f>IF(AJ$1&lt;=MACRS_DEP_PERIOD_UG+1,AJ60*VLOOKUP(AJ$1,Assumptions!$A$70:$B$90,2,0),0)</f>
        <v>0</v>
      </c>
      <c r="AK64" s="8">
        <f>IF(AK$1&lt;=MACRS_DEP_PERIOD_UG+1,AK60*VLOOKUP(AK$1,Assumptions!$A$70:$B$90,2,0),0)</f>
        <v>0</v>
      </c>
      <c r="AL64" s="8">
        <f>IF(AL$1&lt;=MACRS_DEP_PERIOD_UG+1,AL60*VLOOKUP(AL$1,Assumptions!$A$70:$B$90,2,0),0)</f>
        <v>0</v>
      </c>
      <c r="AM64" s="8">
        <f>IF(AM$1&lt;=MACRS_DEP_PERIOD_UG+1,AM60*VLOOKUP(AM$1,Assumptions!$A$70:$B$90,2,0),0)</f>
        <v>0</v>
      </c>
      <c r="AN64" s="8">
        <f>IF(AN$1&lt;=MACRS_DEP_PERIOD_UG+1,AN60*VLOOKUP(AN$1,Assumptions!$A$70:$B$90,2,0),0)</f>
        <v>0</v>
      </c>
      <c r="AO64" s="8">
        <f>IF(AO$1&lt;=MACRS_DEP_PERIOD_UG+1,AO60*VLOOKUP(AO$1,Assumptions!$A$70:$B$90,2,0),0)</f>
        <v>0</v>
      </c>
      <c r="AP64" s="8">
        <f>IF(AP$1&lt;=MACRS_DEP_PERIOD_UG+1,AP60*VLOOKUP(AP$1,Assumptions!$A$70:$B$90,2,0),0)</f>
        <v>0</v>
      </c>
      <c r="AQ64" s="8">
        <f>IF(AQ$1&lt;=MACRS_DEP_PERIOD_UG+1,AQ60*VLOOKUP(AQ$1,Assumptions!$A$70:$B$90,2,0),0)</f>
        <v>0</v>
      </c>
      <c r="AR64" s="8">
        <f>IF(AR$1&lt;=MACRS_DEP_PERIOD_UG+1,AR60*VLOOKUP(AR$1,Assumptions!$A$70:$B$90,2,0),0)</f>
        <v>0</v>
      </c>
      <c r="AS64" s="8">
        <f>IF(AS$1&lt;=MACRS_DEP_PERIOD_UG+1,AS60*VLOOKUP(AS$1,Assumptions!$A$70:$B$90,2,0),0)</f>
        <v>0</v>
      </c>
      <c r="AT64" s="8">
        <f>IF(AT$1&lt;=MACRS_DEP_PERIOD_UG+1,AT60*VLOOKUP(AT$1,Assumptions!$A$70:$B$90,2,0),0)</f>
        <v>0</v>
      </c>
      <c r="AU64" s="8">
        <f>IF(AU$1&lt;=MACRS_DEP_PERIOD_UG+1,AU60*VLOOKUP(AU$1,Assumptions!$A$70:$B$90,2,0),0)</f>
        <v>0</v>
      </c>
      <c r="AV64" s="8">
        <f>IF(AV$1&lt;=MACRS_DEP_PERIOD_UG+1,AV60*VLOOKUP(AV$1,Assumptions!$A$70:$B$90,2,0),0)</f>
        <v>0</v>
      </c>
      <c r="AW64" s="8">
        <f>IF(AW$1&lt;=MACRS_DEP_PERIOD_UG+1,AW60*VLOOKUP(AW$1,Assumptions!$A$70:$B$90,2,0),0)</f>
        <v>0</v>
      </c>
      <c r="AX64" s="8">
        <f>IF(AX$1&lt;=MACRS_DEP_PERIOD_UG+1,AX60*VLOOKUP(AX$1,Assumptions!$A$70:$B$90,2,0),0)</f>
        <v>0</v>
      </c>
      <c r="AY64" s="8">
        <f>IF(AY$1&lt;=MACRS_DEP_PERIOD_UG+1,AY60*VLOOKUP(AY$1,Assumptions!$A$70:$B$90,2,0),0)</f>
        <v>0</v>
      </c>
      <c r="AZ64" s="8">
        <f>IF(AZ$1&lt;=MACRS_DEP_PERIOD_UG+1,AZ60*VLOOKUP(AZ$1,Assumptions!$A$70:$B$90,2,0),0)</f>
        <v>0</v>
      </c>
      <c r="BA64" s="8">
        <f>IF(BA$1&lt;=MACRS_DEP_PERIOD_UG+1,BA60*VLOOKUP(BA$1,Assumptions!$A$70:$B$90,2,0),0)</f>
        <v>0</v>
      </c>
      <c r="BB64" s="8">
        <f>IF(BB$1&lt;=MACRS_DEP_PERIOD_UG+1,BB60*VLOOKUP(BB$1,Assumptions!$A$70:$B$90,2,0),0)</f>
        <v>0</v>
      </c>
      <c r="BC64" s="8">
        <f>IF(BC$1&lt;=MACRS_DEP_PERIOD_UG+1,BC60*VLOOKUP(BC$1,Assumptions!$A$70:$B$90,2,0),0)</f>
        <v>0</v>
      </c>
      <c r="BD64" s="8">
        <f>IF(BD$1&lt;=MACRS_DEP_PERIOD_UG+1,BD60*VLOOKUP(BD$1,Assumptions!$A$70:$B$90,2,0),0)</f>
        <v>0</v>
      </c>
      <c r="BE64" s="8">
        <f>IF(BE$1&lt;=MACRS_DEP_PERIOD_UG+1,BE60*VLOOKUP(BE$1,Assumptions!$A$70:$B$90,2,0),0)</f>
        <v>0</v>
      </c>
      <c r="BF64" s="8">
        <f>IF(BF$1&lt;=MACRS_DEP_PERIOD_UG+1,BF60*VLOOKUP(BF$1,Assumptions!$A$70:$B$90,2,0),0)</f>
        <v>0</v>
      </c>
      <c r="BG64" s="8">
        <f>IF(BG$1&lt;=MACRS_DEP_PERIOD_UG+1,BG60*VLOOKUP(BG$1,Assumptions!$A$70:$B$90,2,0),0)</f>
        <v>0</v>
      </c>
      <c r="BH64" s="8">
        <f>IF(BH$1&lt;=MACRS_DEP_PERIOD_UG+1,BH60*VLOOKUP(BH$1,Assumptions!$A$70:$B$90,2,0),0)</f>
        <v>0</v>
      </c>
      <c r="BI64" s="8">
        <f>IF(BI$1&lt;=MACRS_DEP_PERIOD_UG+1,BI60*VLOOKUP(BI$1,Assumptions!$A$70:$B$90,2,0),0)</f>
        <v>0</v>
      </c>
      <c r="BJ64" s="8">
        <f>IF(BJ$1&lt;=MACRS_DEP_PERIOD_UG+1,BJ60*VLOOKUP(BJ$1,Assumptions!$A$70:$B$90,2,0),0)</f>
        <v>0</v>
      </c>
      <c r="BK64" s="8">
        <f>IF(BK$1&lt;=MACRS_DEP_PERIOD_UG+1,BK60*VLOOKUP(BK$1,Assumptions!$A$70:$B$90,2,0),0)</f>
        <v>0</v>
      </c>
      <c r="BL64" s="8">
        <f>IF(BL$1&lt;=MACRS_DEP_PERIOD_UG+1,BL60*VLOOKUP(BL$1,Assumptions!$A$70:$B$90,2,0),0)</f>
        <v>0</v>
      </c>
      <c r="BM64" s="8">
        <f>IF(BM$1&lt;=MACRS_DEP_PERIOD_UG+1,BM60*VLOOKUP(BM$1,Assumptions!$A$70:$B$90,2,0),0)</f>
        <v>0</v>
      </c>
      <c r="BN64" s="8">
        <f>IF(BN$1&lt;=MACRS_DEP_PERIOD_UG+1,BN60*VLOOKUP(BN$1,Assumptions!$A$70:$B$90,2,0),0)</f>
        <v>0</v>
      </c>
      <c r="BO64" s="8">
        <f>IF(BO$1&lt;=MACRS_DEP_PERIOD_UG+1,BO60*VLOOKUP(BO$1,Assumptions!$A$70:$B$90,2,0),0)</f>
        <v>0</v>
      </c>
      <c r="BP64" s="8">
        <f>IF(BP$1&lt;=MACRS_DEP_PERIOD_UG+1,BP60*VLOOKUP(BP$1,Assumptions!$A$70:$B$90,2,0),0)</f>
        <v>0</v>
      </c>
      <c r="BQ64" s="8">
        <f>IF(BQ$1&lt;=MACRS_DEP_PERIOD_UG+1,BQ60*VLOOKUP(BQ$1,Assumptions!$A$70:$B$90,2,0),0)</f>
        <v>0</v>
      </c>
    </row>
    <row r="65" spans="1:69" x14ac:dyDescent="0.4">
      <c r="A65" t="s">
        <v>37</v>
      </c>
      <c r="B65" t="s">
        <v>16</v>
      </c>
      <c r="C65" t="s">
        <v>127</v>
      </c>
      <c r="D65" t="s">
        <v>170</v>
      </c>
      <c r="F65" s="8">
        <v>0</v>
      </c>
      <c r="G65" s="8">
        <f>F66</f>
        <v>0</v>
      </c>
      <c r="H65" s="8">
        <f t="shared" ref="H65:BQ65" si="58">G66</f>
        <v>-144741.61105775001</v>
      </c>
      <c r="I65" s="8">
        <f t="shared" si="58"/>
        <v>-576402.44997797708</v>
      </c>
      <c r="J65" s="8">
        <f t="shared" si="58"/>
        <v>-963234.74421631801</v>
      </c>
      <c r="K65" s="8">
        <f t="shared" si="58"/>
        <v>-1308712.292438159</v>
      </c>
      <c r="L65" s="8">
        <f t="shared" si="58"/>
        <v>-1615812.6363566881</v>
      </c>
      <c r="M65" s="8">
        <f t="shared" si="58"/>
        <v>-1887513.3176850933</v>
      </c>
      <c r="N65" s="8">
        <f t="shared" si="58"/>
        <v>-2126378.3306763973</v>
      </c>
      <c r="O65" s="8">
        <f t="shared" si="58"/>
        <v>-2334971.6695836233</v>
      </c>
      <c r="P65" s="8">
        <f t="shared" si="58"/>
        <v>-2538602.4389688694</v>
      </c>
      <c r="Q65" s="8">
        <f t="shared" si="58"/>
        <v>-2742150.4988620821</v>
      </c>
      <c r="R65" s="8">
        <f t="shared" si="58"/>
        <v>-2945781.2682473282</v>
      </c>
      <c r="S65" s="8">
        <f t="shared" si="58"/>
        <v>-3149329.328140541</v>
      </c>
      <c r="T65" s="8">
        <f t="shared" si="58"/>
        <v>-3352960.0975257871</v>
      </c>
      <c r="U65" s="8">
        <f t="shared" si="58"/>
        <v>-3556508.1574189998</v>
      </c>
      <c r="V65" s="8">
        <f t="shared" si="58"/>
        <v>-3760138.9268042459</v>
      </c>
      <c r="W65" s="8">
        <f t="shared" si="58"/>
        <v>-3963686.9866974587</v>
      </c>
      <c r="X65" s="8">
        <f t="shared" si="58"/>
        <v>-4167317.7560827048</v>
      </c>
      <c r="Y65" s="8">
        <f t="shared" si="58"/>
        <v>-4370865.8159759175</v>
      </c>
      <c r="Z65" s="8">
        <f t="shared" si="58"/>
        <v>-4574496.5853611631</v>
      </c>
      <c r="AA65" s="8">
        <f t="shared" si="58"/>
        <v>-4778044.6452543763</v>
      </c>
      <c r="AB65" s="8">
        <f t="shared" si="58"/>
        <v>-4797150.5379139995</v>
      </c>
      <c r="AC65" s="8">
        <f t="shared" si="58"/>
        <v>-4631731.5538479993</v>
      </c>
      <c r="AD65" s="8">
        <f t="shared" si="58"/>
        <v>-4466312.5697819991</v>
      </c>
      <c r="AE65" s="8">
        <f t="shared" si="58"/>
        <v>-4300893.5857159989</v>
      </c>
      <c r="AF65" s="8">
        <f t="shared" si="58"/>
        <v>-4135474.6016499987</v>
      </c>
      <c r="AG65" s="8">
        <f t="shared" si="58"/>
        <v>-3970055.6175839985</v>
      </c>
      <c r="AH65" s="8">
        <f t="shared" si="58"/>
        <v>-3804636.6335179983</v>
      </c>
      <c r="AI65" s="8">
        <f t="shared" si="58"/>
        <v>-3639217.6494519981</v>
      </c>
      <c r="AJ65" s="8">
        <f t="shared" si="58"/>
        <v>-3473798.6653859979</v>
      </c>
      <c r="AK65" s="8">
        <f t="shared" si="58"/>
        <v>-3308379.6813199976</v>
      </c>
      <c r="AL65" s="8">
        <f t="shared" si="58"/>
        <v>-3142960.6972539974</v>
      </c>
      <c r="AM65" s="8">
        <f t="shared" si="58"/>
        <v>-2977541.7131879972</v>
      </c>
      <c r="AN65" s="8">
        <f t="shared" si="58"/>
        <v>-2812122.729121997</v>
      </c>
      <c r="AO65" s="8">
        <f t="shared" si="58"/>
        <v>-2646703.7450559968</v>
      </c>
      <c r="AP65" s="8">
        <f t="shared" si="58"/>
        <v>-2481284.7609899966</v>
      </c>
      <c r="AQ65" s="8">
        <f t="shared" si="58"/>
        <v>-2315865.7769239964</v>
      </c>
      <c r="AR65" s="8">
        <f t="shared" si="58"/>
        <v>-2150446.7928579962</v>
      </c>
      <c r="AS65" s="8">
        <f t="shared" si="58"/>
        <v>-1985027.8087919962</v>
      </c>
      <c r="AT65" s="8">
        <f t="shared" si="58"/>
        <v>-1819608.8247259962</v>
      </c>
      <c r="AU65" s="8">
        <f t="shared" si="58"/>
        <v>-1654189.8406599963</v>
      </c>
      <c r="AV65" s="8">
        <f t="shared" si="58"/>
        <v>-1488770.8565939963</v>
      </c>
      <c r="AW65" s="8">
        <f t="shared" si="58"/>
        <v>-1323351.8725279963</v>
      </c>
      <c r="AX65" s="8">
        <f t="shared" si="58"/>
        <v>-1157932.8884619963</v>
      </c>
      <c r="AY65" s="8">
        <f t="shared" si="58"/>
        <v>-992513.90439599636</v>
      </c>
      <c r="AZ65" s="8">
        <f t="shared" si="58"/>
        <v>-827094.92032999638</v>
      </c>
      <c r="BA65" s="8">
        <f t="shared" si="58"/>
        <v>-661675.93626399641</v>
      </c>
      <c r="BB65" s="8">
        <f t="shared" si="58"/>
        <v>-496256.95219799643</v>
      </c>
      <c r="BC65" s="8">
        <f t="shared" si="58"/>
        <v>-330837.96813199646</v>
      </c>
      <c r="BD65" s="8">
        <f t="shared" si="58"/>
        <v>-165418.98406599645</v>
      </c>
      <c r="BE65" s="8">
        <f t="shared" si="58"/>
        <v>3.5506673157215118E-9</v>
      </c>
      <c r="BF65" s="8">
        <f t="shared" si="58"/>
        <v>3.5506673157215118E-9</v>
      </c>
      <c r="BG65" s="8">
        <f t="shared" si="58"/>
        <v>3.5506673157215118E-9</v>
      </c>
      <c r="BH65" s="8">
        <f t="shared" si="58"/>
        <v>3.5506673157215118E-9</v>
      </c>
      <c r="BI65" s="8">
        <f t="shared" si="58"/>
        <v>3.5506673157215118E-9</v>
      </c>
      <c r="BJ65" s="8">
        <f t="shared" si="58"/>
        <v>3.5506673157215118E-9</v>
      </c>
      <c r="BK65" s="8">
        <f t="shared" si="58"/>
        <v>3.5506673157215118E-9</v>
      </c>
      <c r="BL65" s="8">
        <f t="shared" si="58"/>
        <v>3.5506673157215118E-9</v>
      </c>
      <c r="BM65" s="8">
        <f t="shared" si="58"/>
        <v>3.5506673157215118E-9</v>
      </c>
      <c r="BN65" s="8">
        <f t="shared" si="58"/>
        <v>3.5506673157215118E-9</v>
      </c>
      <c r="BO65" s="8">
        <f t="shared" si="58"/>
        <v>3.5506673157215118E-9</v>
      </c>
      <c r="BP65" s="8">
        <f t="shared" si="58"/>
        <v>3.5506673157215118E-9</v>
      </c>
      <c r="BQ65" s="8">
        <f t="shared" si="58"/>
        <v>3.5506673157215118E-9</v>
      </c>
    </row>
    <row r="66" spans="1:69" x14ac:dyDescent="0.4">
      <c r="A66" t="s">
        <v>37</v>
      </c>
      <c r="B66" t="s">
        <v>16</v>
      </c>
      <c r="C66" t="s">
        <v>127</v>
      </c>
      <c r="D66" t="s">
        <v>171</v>
      </c>
      <c r="F66" s="8"/>
      <c r="G66" s="8">
        <f t="shared" ref="G66:AL66" si="59">F66+((G70-G64)*INC_TAX_RATE)</f>
        <v>-144741.61105775001</v>
      </c>
      <c r="H66" s="8">
        <f t="shared" si="59"/>
        <v>-576402.44997797708</v>
      </c>
      <c r="I66" s="8">
        <f t="shared" si="59"/>
        <v>-963234.74421631801</v>
      </c>
      <c r="J66" s="8">
        <f t="shared" si="59"/>
        <v>-1308712.292438159</v>
      </c>
      <c r="K66" s="8">
        <f t="shared" si="59"/>
        <v>-1615812.6363566881</v>
      </c>
      <c r="L66" s="8">
        <f t="shared" si="59"/>
        <v>-1887513.3176850933</v>
      </c>
      <c r="M66" s="8">
        <f t="shared" si="59"/>
        <v>-2126378.3306763973</v>
      </c>
      <c r="N66" s="8">
        <f t="shared" si="59"/>
        <v>-2334971.6695836233</v>
      </c>
      <c r="O66" s="8">
        <f t="shared" si="59"/>
        <v>-2538602.4389688694</v>
      </c>
      <c r="P66" s="8">
        <f t="shared" si="59"/>
        <v>-2742150.4988620821</v>
      </c>
      <c r="Q66" s="8">
        <f t="shared" si="59"/>
        <v>-2945781.2682473282</v>
      </c>
      <c r="R66" s="8">
        <f t="shared" si="59"/>
        <v>-3149329.328140541</v>
      </c>
      <c r="S66" s="8">
        <f t="shared" si="59"/>
        <v>-3352960.0975257871</v>
      </c>
      <c r="T66" s="8">
        <f t="shared" si="59"/>
        <v>-3556508.1574189998</v>
      </c>
      <c r="U66" s="8">
        <f t="shared" si="59"/>
        <v>-3760138.9268042459</v>
      </c>
      <c r="V66" s="8">
        <f t="shared" si="59"/>
        <v>-3963686.9866974587</v>
      </c>
      <c r="W66" s="8">
        <f t="shared" si="59"/>
        <v>-4167317.7560827048</v>
      </c>
      <c r="X66" s="8">
        <f t="shared" si="59"/>
        <v>-4370865.8159759175</v>
      </c>
      <c r="Y66" s="8">
        <f t="shared" si="59"/>
        <v>-4574496.5853611631</v>
      </c>
      <c r="Z66" s="8">
        <f t="shared" si="59"/>
        <v>-4778044.6452543763</v>
      </c>
      <c r="AA66" s="8">
        <f t="shared" si="59"/>
        <v>-4797150.5379139995</v>
      </c>
      <c r="AB66" s="8">
        <f t="shared" si="59"/>
        <v>-4631731.5538479993</v>
      </c>
      <c r="AC66" s="8">
        <f t="shared" si="59"/>
        <v>-4466312.5697819991</v>
      </c>
      <c r="AD66" s="8">
        <f t="shared" si="59"/>
        <v>-4300893.5857159989</v>
      </c>
      <c r="AE66" s="8">
        <f t="shared" si="59"/>
        <v>-4135474.6016499987</v>
      </c>
      <c r="AF66" s="8">
        <f t="shared" si="59"/>
        <v>-3970055.6175839985</v>
      </c>
      <c r="AG66" s="8">
        <f t="shared" si="59"/>
        <v>-3804636.6335179983</v>
      </c>
      <c r="AH66" s="8">
        <f t="shared" si="59"/>
        <v>-3639217.6494519981</v>
      </c>
      <c r="AI66" s="8">
        <f t="shared" si="59"/>
        <v>-3473798.6653859979</v>
      </c>
      <c r="AJ66" s="8">
        <f t="shared" si="59"/>
        <v>-3308379.6813199976</v>
      </c>
      <c r="AK66" s="8">
        <f t="shared" si="59"/>
        <v>-3142960.6972539974</v>
      </c>
      <c r="AL66" s="8">
        <f t="shared" si="59"/>
        <v>-2977541.7131879972</v>
      </c>
      <c r="AM66" s="8">
        <f t="shared" ref="AM66:BQ66" si="60">AL66+((AM70-AM64)*INC_TAX_RATE)</f>
        <v>-2812122.729121997</v>
      </c>
      <c r="AN66" s="8">
        <f t="shared" si="60"/>
        <v>-2646703.7450559968</v>
      </c>
      <c r="AO66" s="8">
        <f t="shared" si="60"/>
        <v>-2481284.7609899966</v>
      </c>
      <c r="AP66" s="8">
        <f t="shared" si="60"/>
        <v>-2315865.7769239964</v>
      </c>
      <c r="AQ66" s="8">
        <f t="shared" si="60"/>
        <v>-2150446.7928579962</v>
      </c>
      <c r="AR66" s="8">
        <f t="shared" si="60"/>
        <v>-1985027.8087919962</v>
      </c>
      <c r="AS66" s="8">
        <f t="shared" si="60"/>
        <v>-1819608.8247259962</v>
      </c>
      <c r="AT66" s="8">
        <f t="shared" si="60"/>
        <v>-1654189.8406599963</v>
      </c>
      <c r="AU66" s="8">
        <f t="shared" si="60"/>
        <v>-1488770.8565939963</v>
      </c>
      <c r="AV66" s="8">
        <f t="shared" si="60"/>
        <v>-1323351.8725279963</v>
      </c>
      <c r="AW66" s="8">
        <f t="shared" si="60"/>
        <v>-1157932.8884619963</v>
      </c>
      <c r="AX66" s="8">
        <f t="shared" si="60"/>
        <v>-992513.90439599636</v>
      </c>
      <c r="AY66" s="8">
        <f t="shared" si="60"/>
        <v>-827094.92032999638</v>
      </c>
      <c r="AZ66" s="8">
        <f t="shared" si="60"/>
        <v>-661675.93626399641</v>
      </c>
      <c r="BA66" s="8">
        <f t="shared" si="60"/>
        <v>-496256.95219799643</v>
      </c>
      <c r="BB66" s="8">
        <f t="shared" si="60"/>
        <v>-330837.96813199646</v>
      </c>
      <c r="BC66" s="8">
        <f t="shared" si="60"/>
        <v>-165418.98406599645</v>
      </c>
      <c r="BD66" s="8">
        <f t="shared" si="60"/>
        <v>3.5506673157215118E-9</v>
      </c>
      <c r="BE66" s="8">
        <f t="shared" si="60"/>
        <v>3.5506673157215118E-9</v>
      </c>
      <c r="BF66" s="8">
        <f t="shared" si="60"/>
        <v>3.5506673157215118E-9</v>
      </c>
      <c r="BG66" s="8">
        <f t="shared" si="60"/>
        <v>3.5506673157215118E-9</v>
      </c>
      <c r="BH66" s="8">
        <f t="shared" si="60"/>
        <v>3.5506673157215118E-9</v>
      </c>
      <c r="BI66" s="8">
        <f t="shared" si="60"/>
        <v>3.5506673157215118E-9</v>
      </c>
      <c r="BJ66" s="8">
        <f t="shared" si="60"/>
        <v>3.5506673157215118E-9</v>
      </c>
      <c r="BK66" s="8">
        <f t="shared" si="60"/>
        <v>3.5506673157215118E-9</v>
      </c>
      <c r="BL66" s="8">
        <f t="shared" si="60"/>
        <v>3.5506673157215118E-9</v>
      </c>
      <c r="BM66" s="8">
        <f t="shared" si="60"/>
        <v>3.5506673157215118E-9</v>
      </c>
      <c r="BN66" s="8">
        <f t="shared" si="60"/>
        <v>3.5506673157215118E-9</v>
      </c>
      <c r="BO66" s="8">
        <f t="shared" si="60"/>
        <v>3.5506673157215118E-9</v>
      </c>
      <c r="BP66" s="8">
        <f t="shared" si="60"/>
        <v>3.5506673157215118E-9</v>
      </c>
      <c r="BQ66" s="8">
        <f t="shared" si="60"/>
        <v>3.5506673157215118E-9</v>
      </c>
    </row>
    <row r="67" spans="1:69" x14ac:dyDescent="0.4">
      <c r="A67" t="s">
        <v>37</v>
      </c>
      <c r="B67" t="s">
        <v>16</v>
      </c>
      <c r="C67" t="s">
        <v>127</v>
      </c>
      <c r="D67" t="s">
        <v>158</v>
      </c>
      <c r="F67" s="8"/>
      <c r="G67" s="8">
        <f>AVERAGE(G62:G63)+AVERAGE(G65:G66)</f>
        <v>29472062.574471127</v>
      </c>
      <c r="H67" s="8">
        <f t="shared" ref="H67:BQ67" si="61">AVERAGE(H62:H63)+AVERAGE(H65:H66)</f>
        <v>28587004.109482136</v>
      </c>
      <c r="I67" s="8">
        <f t="shared" si="61"/>
        <v>27580900.302902851</v>
      </c>
      <c r="J67" s="8">
        <f t="shared" si="61"/>
        <v>26617888.14167276</v>
      </c>
      <c r="K67" s="8">
        <f t="shared" si="61"/>
        <v>25694741.955602579</v>
      </c>
      <c r="L67" s="8">
        <f t="shared" si="61"/>
        <v>24808484.20297911</v>
      </c>
      <c r="M67" s="8">
        <f t="shared" si="61"/>
        <v>23956344.115819253</v>
      </c>
      <c r="N67" s="8">
        <f t="shared" si="61"/>
        <v>23135757.69986999</v>
      </c>
      <c r="O67" s="8">
        <f t="shared" si="61"/>
        <v>22332788.405723754</v>
      </c>
      <c r="P67" s="8">
        <f t="shared" si="61"/>
        <v>21532341.751084521</v>
      </c>
      <c r="Q67" s="8">
        <f t="shared" si="61"/>
        <v>20731895.096445292</v>
      </c>
      <c r="R67" s="8">
        <f t="shared" si="61"/>
        <v>19931448.441806063</v>
      </c>
      <c r="S67" s="8">
        <f t="shared" si="61"/>
        <v>19131001.787166834</v>
      </c>
      <c r="T67" s="8">
        <f t="shared" si="61"/>
        <v>18330555.132527605</v>
      </c>
      <c r="U67" s="8">
        <f t="shared" si="61"/>
        <v>17530108.477888372</v>
      </c>
      <c r="V67" s="8">
        <f t="shared" si="61"/>
        <v>16729661.823249146</v>
      </c>
      <c r="W67" s="8">
        <f t="shared" si="61"/>
        <v>15929215.168609917</v>
      </c>
      <c r="X67" s="8">
        <f t="shared" si="61"/>
        <v>15128768.513970686</v>
      </c>
      <c r="Y67" s="8">
        <f t="shared" si="61"/>
        <v>14328321.859331459</v>
      </c>
      <c r="Z67" s="8">
        <f t="shared" si="61"/>
        <v>13527875.204692226</v>
      </c>
      <c r="AA67" s="8">
        <f t="shared" si="61"/>
        <v>12819690.988415811</v>
      </c>
      <c r="AB67" s="8">
        <f t="shared" si="61"/>
        <v>12295990.294118997</v>
      </c>
      <c r="AC67" s="8">
        <f t="shared" si="61"/>
        <v>11864552.038184999</v>
      </c>
      <c r="AD67" s="8">
        <f t="shared" si="61"/>
        <v>11433113.782250997</v>
      </c>
      <c r="AE67" s="8">
        <f t="shared" si="61"/>
        <v>11001675.526316999</v>
      </c>
      <c r="AF67" s="8">
        <f t="shared" si="61"/>
        <v>10570237.270382997</v>
      </c>
      <c r="AG67" s="8">
        <f t="shared" si="61"/>
        <v>10138799.014448998</v>
      </c>
      <c r="AH67" s="8">
        <f t="shared" si="61"/>
        <v>9707360.7585149966</v>
      </c>
      <c r="AI67" s="8">
        <f t="shared" si="61"/>
        <v>9275922.5025809985</v>
      </c>
      <c r="AJ67" s="8">
        <f t="shared" si="61"/>
        <v>8844484.2466469985</v>
      </c>
      <c r="AK67" s="8">
        <f t="shared" si="61"/>
        <v>8413045.9907130003</v>
      </c>
      <c r="AL67" s="8">
        <f t="shared" si="61"/>
        <v>7981607.7347790021</v>
      </c>
      <c r="AM67" s="8">
        <f t="shared" si="61"/>
        <v>7550169.478845004</v>
      </c>
      <c r="AN67" s="8">
        <f t="shared" si="61"/>
        <v>7118731.2229110058</v>
      </c>
      <c r="AO67" s="8">
        <f t="shared" si="61"/>
        <v>6687292.9669770077</v>
      </c>
      <c r="AP67" s="8">
        <f t="shared" si="61"/>
        <v>6255854.7110430095</v>
      </c>
      <c r="AQ67" s="8">
        <f t="shared" si="61"/>
        <v>5824416.4551090114</v>
      </c>
      <c r="AR67" s="8">
        <f t="shared" si="61"/>
        <v>5392978.1991750132</v>
      </c>
      <c r="AS67" s="8">
        <f t="shared" si="61"/>
        <v>4961539.9432410151</v>
      </c>
      <c r="AT67" s="8">
        <f t="shared" si="61"/>
        <v>4530101.6873070169</v>
      </c>
      <c r="AU67" s="8">
        <f t="shared" si="61"/>
        <v>4098663.4313730178</v>
      </c>
      <c r="AV67" s="8">
        <f t="shared" si="61"/>
        <v>3667225.1754390197</v>
      </c>
      <c r="AW67" s="8">
        <f t="shared" si="61"/>
        <v>3235786.9195050211</v>
      </c>
      <c r="AX67" s="8">
        <f t="shared" si="61"/>
        <v>2804348.6635710229</v>
      </c>
      <c r="AY67" s="8">
        <f t="shared" si="61"/>
        <v>2372910.4076370243</v>
      </c>
      <c r="AZ67" s="8">
        <f t="shared" si="61"/>
        <v>1941472.1517030261</v>
      </c>
      <c r="BA67" s="8">
        <f t="shared" si="61"/>
        <v>1510033.8957690275</v>
      </c>
      <c r="BB67" s="8">
        <f t="shared" si="61"/>
        <v>1078595.6398350294</v>
      </c>
      <c r="BC67" s="8">
        <f t="shared" si="61"/>
        <v>647157.38390103087</v>
      </c>
      <c r="BD67" s="8">
        <f t="shared" si="61"/>
        <v>215719.12796703255</v>
      </c>
      <c r="BE67" s="8">
        <f t="shared" si="61"/>
        <v>1.8451828509569168E-8</v>
      </c>
      <c r="BF67" s="8">
        <f t="shared" si="61"/>
        <v>3.5506673157215118E-9</v>
      </c>
      <c r="BG67" s="8">
        <f t="shared" si="61"/>
        <v>3.5506673157215118E-9</v>
      </c>
      <c r="BH67" s="8">
        <f t="shared" si="61"/>
        <v>3.5506673157215118E-9</v>
      </c>
      <c r="BI67" s="8">
        <f t="shared" si="61"/>
        <v>3.5506673157215118E-9</v>
      </c>
      <c r="BJ67" s="8">
        <f t="shared" si="61"/>
        <v>3.5506673157215118E-9</v>
      </c>
      <c r="BK67" s="8">
        <f t="shared" si="61"/>
        <v>3.5506673157215118E-9</v>
      </c>
      <c r="BL67" s="8">
        <f t="shared" si="61"/>
        <v>3.5506673157215118E-9</v>
      </c>
      <c r="BM67" s="8">
        <f t="shared" si="61"/>
        <v>3.5506673157215118E-9</v>
      </c>
      <c r="BN67" s="8">
        <f t="shared" si="61"/>
        <v>3.5506673157215118E-9</v>
      </c>
      <c r="BO67" s="8">
        <f t="shared" si="61"/>
        <v>3.5506673157215118E-9</v>
      </c>
      <c r="BP67" s="8">
        <f t="shared" si="61"/>
        <v>3.5506673157215118E-9</v>
      </c>
      <c r="BQ67" s="8">
        <f t="shared" si="61"/>
        <v>3.5506673157215118E-9</v>
      </c>
    </row>
    <row r="68" spans="1:69" x14ac:dyDescent="0.4">
      <c r="C68" s="216"/>
      <c r="D68" s="216"/>
      <c r="E68" s="216"/>
      <c r="F68" s="216"/>
      <c r="G68" s="216"/>
      <c r="H68" s="216"/>
      <c r="I68" s="216"/>
      <c r="J68" s="216"/>
      <c r="K68" s="216"/>
      <c r="L68" s="216"/>
      <c r="M68" s="216"/>
      <c r="N68" s="216"/>
      <c r="O68" s="216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  <c r="BC68" s="216"/>
      <c r="BD68" s="216"/>
      <c r="BE68" s="216"/>
      <c r="BF68" s="216"/>
      <c r="BG68" s="216"/>
      <c r="BH68" s="216"/>
      <c r="BI68" s="216"/>
      <c r="BJ68" s="216"/>
      <c r="BK68" s="216"/>
      <c r="BL68" s="216"/>
      <c r="BM68" s="216"/>
      <c r="BN68" s="216"/>
      <c r="BO68" s="216"/>
      <c r="BP68" s="216"/>
      <c r="BQ68" s="216"/>
    </row>
    <row r="69" spans="1:69" x14ac:dyDescent="0.4">
      <c r="A69" t="s">
        <v>37</v>
      </c>
      <c r="B69" t="s">
        <v>16</v>
      </c>
      <c r="C69" t="s">
        <v>136</v>
      </c>
      <c r="D69" t="s">
        <v>128</v>
      </c>
      <c r="F69" s="8"/>
      <c r="G69" s="8">
        <f t="shared" ref="G69:AL69" si="62">G67*AVG_PRE_TAX_RATE</f>
        <v>2631855.1879002717</v>
      </c>
      <c r="H69" s="8">
        <f t="shared" si="62"/>
        <v>2552819.4669767548</v>
      </c>
      <c r="I69" s="8">
        <f t="shared" si="62"/>
        <v>2462974.3970492249</v>
      </c>
      <c r="J69" s="8">
        <f t="shared" si="62"/>
        <v>2376977.4110513777</v>
      </c>
      <c r="K69" s="8">
        <f t="shared" si="62"/>
        <v>2294540.4566353103</v>
      </c>
      <c r="L69" s="8">
        <f t="shared" si="62"/>
        <v>2215397.6393260346</v>
      </c>
      <c r="M69" s="8">
        <f t="shared" si="62"/>
        <v>2139301.5295426594</v>
      </c>
      <c r="N69" s="8">
        <f t="shared" si="62"/>
        <v>2066023.1625983901</v>
      </c>
      <c r="O69" s="8">
        <f t="shared" si="62"/>
        <v>1994318.0046311314</v>
      </c>
      <c r="P69" s="8">
        <f t="shared" si="62"/>
        <v>1922838.1183718478</v>
      </c>
      <c r="Q69" s="8">
        <f t="shared" si="62"/>
        <v>1851358.2321125646</v>
      </c>
      <c r="R69" s="8">
        <f t="shared" si="62"/>
        <v>1779878.3458532814</v>
      </c>
      <c r="S69" s="8">
        <f t="shared" si="62"/>
        <v>1708398.4595939983</v>
      </c>
      <c r="T69" s="8">
        <f t="shared" si="62"/>
        <v>1636918.5733347151</v>
      </c>
      <c r="U69" s="8">
        <f t="shared" si="62"/>
        <v>1565438.6870754317</v>
      </c>
      <c r="V69" s="8">
        <f t="shared" si="62"/>
        <v>1493958.8008161488</v>
      </c>
      <c r="W69" s="8">
        <f t="shared" si="62"/>
        <v>1422478.9145568656</v>
      </c>
      <c r="X69" s="8">
        <f t="shared" si="62"/>
        <v>1350999.0282975824</v>
      </c>
      <c r="Y69" s="8">
        <f t="shared" si="62"/>
        <v>1279519.1420382992</v>
      </c>
      <c r="Z69" s="8">
        <f t="shared" si="62"/>
        <v>1208039.2557790158</v>
      </c>
      <c r="AA69" s="8">
        <f t="shared" si="62"/>
        <v>1144798.405265532</v>
      </c>
      <c r="AB69" s="8">
        <f t="shared" si="62"/>
        <v>1098031.9332648264</v>
      </c>
      <c r="AC69" s="8">
        <f t="shared" si="62"/>
        <v>1059504.4970099204</v>
      </c>
      <c r="AD69" s="8">
        <f t="shared" si="62"/>
        <v>1020977.0607550141</v>
      </c>
      <c r="AE69" s="8">
        <f t="shared" si="62"/>
        <v>982449.62450010807</v>
      </c>
      <c r="AF69" s="8">
        <f t="shared" si="62"/>
        <v>943922.1882452016</v>
      </c>
      <c r="AG69" s="8">
        <f t="shared" si="62"/>
        <v>905394.7519902956</v>
      </c>
      <c r="AH69" s="8">
        <f t="shared" si="62"/>
        <v>866867.31573538925</v>
      </c>
      <c r="AI69" s="8">
        <f t="shared" si="62"/>
        <v>828339.87948048324</v>
      </c>
      <c r="AJ69" s="8">
        <f t="shared" si="62"/>
        <v>789812.44322557701</v>
      </c>
      <c r="AK69" s="8">
        <f t="shared" si="62"/>
        <v>751285.00697067101</v>
      </c>
      <c r="AL69" s="8">
        <f t="shared" si="62"/>
        <v>712757.57071576489</v>
      </c>
      <c r="AM69" s="8">
        <f t="shared" ref="AM69:BQ69" si="63">AM67*AVG_PRE_TAX_RATE</f>
        <v>674230.13446085888</v>
      </c>
      <c r="AN69" s="8">
        <f t="shared" si="63"/>
        <v>635702.69820595288</v>
      </c>
      <c r="AO69" s="8">
        <f t="shared" si="63"/>
        <v>597175.26195104676</v>
      </c>
      <c r="AP69" s="8">
        <f t="shared" si="63"/>
        <v>558647.82569614076</v>
      </c>
      <c r="AQ69" s="8">
        <f t="shared" si="63"/>
        <v>520120.38944123476</v>
      </c>
      <c r="AR69" s="8">
        <f t="shared" si="63"/>
        <v>481592.9531863287</v>
      </c>
      <c r="AS69" s="8">
        <f t="shared" si="63"/>
        <v>443065.5169314227</v>
      </c>
      <c r="AT69" s="8">
        <f t="shared" si="63"/>
        <v>404538.08067651663</v>
      </c>
      <c r="AU69" s="8">
        <f t="shared" si="63"/>
        <v>366010.64442161052</v>
      </c>
      <c r="AV69" s="8">
        <f t="shared" si="63"/>
        <v>327483.20816670445</v>
      </c>
      <c r="AW69" s="8">
        <f t="shared" si="63"/>
        <v>288955.77191179839</v>
      </c>
      <c r="AX69" s="8">
        <f t="shared" si="63"/>
        <v>250428.33565689236</v>
      </c>
      <c r="AY69" s="8">
        <f t="shared" si="63"/>
        <v>211900.89940198627</v>
      </c>
      <c r="AZ69" s="8">
        <f t="shared" si="63"/>
        <v>173373.46314708024</v>
      </c>
      <c r="BA69" s="8">
        <f t="shared" si="63"/>
        <v>134846.02689217415</v>
      </c>
      <c r="BB69" s="8">
        <f t="shared" si="63"/>
        <v>96318.590637268135</v>
      </c>
      <c r="BC69" s="8">
        <f t="shared" si="63"/>
        <v>57791.15438236206</v>
      </c>
      <c r="BD69" s="8">
        <f t="shared" si="63"/>
        <v>19263.718127456006</v>
      </c>
      <c r="BE69" s="8">
        <f t="shared" si="63"/>
        <v>1.6477482859045269E-9</v>
      </c>
      <c r="BF69" s="8">
        <f t="shared" si="63"/>
        <v>3.1707459129393102E-10</v>
      </c>
      <c r="BG69" s="8">
        <f t="shared" si="63"/>
        <v>3.1707459129393102E-10</v>
      </c>
      <c r="BH69" s="8">
        <f t="shared" si="63"/>
        <v>3.1707459129393102E-10</v>
      </c>
      <c r="BI69" s="8">
        <f t="shared" si="63"/>
        <v>3.1707459129393102E-10</v>
      </c>
      <c r="BJ69" s="8">
        <f t="shared" si="63"/>
        <v>3.1707459129393102E-10</v>
      </c>
      <c r="BK69" s="8">
        <f t="shared" si="63"/>
        <v>3.1707459129393102E-10</v>
      </c>
      <c r="BL69" s="8">
        <f t="shared" si="63"/>
        <v>3.1707459129393102E-10</v>
      </c>
      <c r="BM69" s="8">
        <f t="shared" si="63"/>
        <v>3.1707459129393102E-10</v>
      </c>
      <c r="BN69" s="8">
        <f t="shared" si="63"/>
        <v>3.1707459129393102E-10</v>
      </c>
      <c r="BO69" s="8">
        <f t="shared" si="63"/>
        <v>3.1707459129393102E-10</v>
      </c>
      <c r="BP69" s="8">
        <f t="shared" si="63"/>
        <v>3.1707459129393102E-10</v>
      </c>
      <c r="BQ69" s="8">
        <f t="shared" si="63"/>
        <v>3.1707459129393102E-10</v>
      </c>
    </row>
    <row r="70" spans="1:69" x14ac:dyDescent="0.4">
      <c r="A70" t="s">
        <v>37</v>
      </c>
      <c r="B70" t="s">
        <v>16</v>
      </c>
      <c r="C70" t="s">
        <v>136</v>
      </c>
      <c r="D70" t="s">
        <v>129</v>
      </c>
      <c r="F70" s="8"/>
      <c r="G70" s="8">
        <f t="shared" ref="G70:AL70" si="64">G60/BOOK_DEP_PERIOD_UG</f>
        <v>596857.24</v>
      </c>
      <c r="H70" s="8">
        <f t="shared" si="64"/>
        <v>596857.24</v>
      </c>
      <c r="I70" s="8">
        <f t="shared" si="64"/>
        <v>596857.24</v>
      </c>
      <c r="J70" s="8">
        <f t="shared" si="64"/>
        <v>596857.24</v>
      </c>
      <c r="K70" s="8">
        <f t="shared" si="64"/>
        <v>596857.24</v>
      </c>
      <c r="L70" s="8">
        <f t="shared" si="64"/>
        <v>596857.24</v>
      </c>
      <c r="M70" s="8">
        <f t="shared" si="64"/>
        <v>596857.24</v>
      </c>
      <c r="N70" s="8">
        <f t="shared" si="64"/>
        <v>596857.24</v>
      </c>
      <c r="O70" s="8">
        <f t="shared" si="64"/>
        <v>596857.24</v>
      </c>
      <c r="P70" s="8">
        <f t="shared" si="64"/>
        <v>596857.24</v>
      </c>
      <c r="Q70" s="8">
        <f t="shared" si="64"/>
        <v>596857.24</v>
      </c>
      <c r="R70" s="8">
        <f t="shared" si="64"/>
        <v>596857.24</v>
      </c>
      <c r="S70" s="8">
        <f t="shared" si="64"/>
        <v>596857.24</v>
      </c>
      <c r="T70" s="8">
        <f t="shared" si="64"/>
        <v>596857.24</v>
      </c>
      <c r="U70" s="8">
        <f t="shared" si="64"/>
        <v>596857.24</v>
      </c>
      <c r="V70" s="8">
        <f t="shared" si="64"/>
        <v>596857.24</v>
      </c>
      <c r="W70" s="8">
        <f t="shared" si="64"/>
        <v>596857.24</v>
      </c>
      <c r="X70" s="8">
        <f t="shared" si="64"/>
        <v>596857.24</v>
      </c>
      <c r="Y70" s="8">
        <f t="shared" si="64"/>
        <v>596857.24</v>
      </c>
      <c r="Z70" s="8">
        <f t="shared" si="64"/>
        <v>596857.24</v>
      </c>
      <c r="AA70" s="8">
        <f t="shared" si="64"/>
        <v>596857.24</v>
      </c>
      <c r="AB70" s="8">
        <f t="shared" si="64"/>
        <v>596857.24</v>
      </c>
      <c r="AC70" s="8">
        <f t="shared" si="64"/>
        <v>596857.24</v>
      </c>
      <c r="AD70" s="8">
        <f t="shared" si="64"/>
        <v>596857.24</v>
      </c>
      <c r="AE70" s="8">
        <f t="shared" si="64"/>
        <v>596857.24</v>
      </c>
      <c r="AF70" s="8">
        <f t="shared" si="64"/>
        <v>596857.24</v>
      </c>
      <c r="AG70" s="8">
        <f t="shared" si="64"/>
        <v>596857.24</v>
      </c>
      <c r="AH70" s="8">
        <f t="shared" si="64"/>
        <v>596857.24</v>
      </c>
      <c r="AI70" s="8">
        <f t="shared" si="64"/>
        <v>596857.24</v>
      </c>
      <c r="AJ70" s="8">
        <f t="shared" si="64"/>
        <v>596857.24</v>
      </c>
      <c r="AK70" s="8">
        <f t="shared" si="64"/>
        <v>596857.24</v>
      </c>
      <c r="AL70" s="8">
        <f t="shared" si="64"/>
        <v>596857.24</v>
      </c>
      <c r="AM70" s="8">
        <f t="shared" ref="AM70:BQ70" si="65">AM60/BOOK_DEP_PERIOD_UG</f>
        <v>596857.24</v>
      </c>
      <c r="AN70" s="8">
        <f t="shared" si="65"/>
        <v>596857.24</v>
      </c>
      <c r="AO70" s="8">
        <f t="shared" si="65"/>
        <v>596857.24</v>
      </c>
      <c r="AP70" s="8">
        <f t="shared" si="65"/>
        <v>596857.24</v>
      </c>
      <c r="AQ70" s="8">
        <f t="shared" si="65"/>
        <v>596857.24</v>
      </c>
      <c r="AR70" s="8">
        <f t="shared" si="65"/>
        <v>596857.24</v>
      </c>
      <c r="AS70" s="8">
        <f t="shared" si="65"/>
        <v>596857.24</v>
      </c>
      <c r="AT70" s="8">
        <f t="shared" si="65"/>
        <v>596857.24</v>
      </c>
      <c r="AU70" s="8">
        <f t="shared" si="65"/>
        <v>596857.24</v>
      </c>
      <c r="AV70" s="8">
        <f t="shared" si="65"/>
        <v>596857.24</v>
      </c>
      <c r="AW70" s="8">
        <f t="shared" si="65"/>
        <v>596857.24</v>
      </c>
      <c r="AX70" s="8">
        <f t="shared" si="65"/>
        <v>596857.24</v>
      </c>
      <c r="AY70" s="8">
        <f t="shared" si="65"/>
        <v>596857.24</v>
      </c>
      <c r="AZ70" s="8">
        <f t="shared" si="65"/>
        <v>596857.24</v>
      </c>
      <c r="BA70" s="8">
        <f t="shared" si="65"/>
        <v>596857.24</v>
      </c>
      <c r="BB70" s="8">
        <f t="shared" si="65"/>
        <v>596857.24</v>
      </c>
      <c r="BC70" s="8">
        <f t="shared" si="65"/>
        <v>596857.24</v>
      </c>
      <c r="BD70" s="8">
        <f t="shared" si="65"/>
        <v>596857.24</v>
      </c>
      <c r="BE70" s="8">
        <f t="shared" si="65"/>
        <v>0</v>
      </c>
      <c r="BF70" s="8">
        <f t="shared" si="65"/>
        <v>0</v>
      </c>
      <c r="BG70" s="8">
        <f t="shared" si="65"/>
        <v>0</v>
      </c>
      <c r="BH70" s="8">
        <f t="shared" si="65"/>
        <v>0</v>
      </c>
      <c r="BI70" s="8">
        <f t="shared" si="65"/>
        <v>0</v>
      </c>
      <c r="BJ70" s="8">
        <f t="shared" si="65"/>
        <v>0</v>
      </c>
      <c r="BK70" s="8">
        <f t="shared" si="65"/>
        <v>0</v>
      </c>
      <c r="BL70" s="8">
        <f t="shared" si="65"/>
        <v>0</v>
      </c>
      <c r="BM70" s="8">
        <f t="shared" si="65"/>
        <v>0</v>
      </c>
      <c r="BN70" s="8">
        <f t="shared" si="65"/>
        <v>0</v>
      </c>
      <c r="BO70" s="8">
        <f t="shared" si="65"/>
        <v>0</v>
      </c>
      <c r="BP70" s="8">
        <f t="shared" si="65"/>
        <v>0</v>
      </c>
      <c r="BQ70" s="8">
        <f t="shared" si="65"/>
        <v>0</v>
      </c>
    </row>
    <row r="71" spans="1:69" x14ac:dyDescent="0.4">
      <c r="A71" t="s">
        <v>37</v>
      </c>
      <c r="B71" t="s">
        <v>16</v>
      </c>
      <c r="C71" t="s">
        <v>136</v>
      </c>
      <c r="D71" t="s">
        <v>148</v>
      </c>
      <c r="F71" s="8"/>
      <c r="G71" s="8">
        <f>IF(G$1&lt;=Lifetime_UG,'Baseline scaling factors'!B18*(1+Inflation)^(G$3-2025),0)</f>
        <v>2838.6641097612919</v>
      </c>
      <c r="H71" s="8">
        <f>IF(H$1&lt;=Lifetime_UG,'Baseline scaling factors'!C18*(1+Inflation)^(H$3-2025),0)</f>
        <v>3187.9023789489002</v>
      </c>
      <c r="I71" s="8">
        <f>IF(I$1&lt;=Lifetime_UG,'Baseline scaling factors'!D18*(1+Inflation)^(I$3-2025),0)</f>
        <v>3551.1332185516385</v>
      </c>
      <c r="J71" s="8">
        <f>IF(J$1&lt;=Lifetime_UG,'Baseline scaling factors'!E18*(1+Inflation)^(J$3-2025),0)</f>
        <v>3928.8032703454855</v>
      </c>
      <c r="K71" s="8">
        <f>IF(K$1&lt;=Lifetime_UG,'Baseline scaling factors'!F18*(1+Inflation)^(K$3-2025),0)</f>
        <v>4321.3720559404837</v>
      </c>
      <c r="L71" s="8">
        <f>IF(L$1&lt;=Lifetime_UG,'Baseline scaling factors'!G18*(1+Inflation)^(L$3-2025),0)</f>
        <v>4729.3123273188148</v>
      </c>
      <c r="M71" s="8">
        <f>IF(M$1&lt;=Lifetime_UG,'Baseline scaling factors'!H18*(1+Inflation)^(M$3-2025),0)</f>
        <v>5153.1104265627173</v>
      </c>
      <c r="N71" s="8">
        <f>IF(N$1&lt;=Lifetime_UG,'Baseline scaling factors'!I18*(1+Inflation)^(N$3-2025),0)</f>
        <v>5593.2666550069289</v>
      </c>
      <c r="O71" s="8">
        <f>IF(O$1&lt;=Lifetime_UG,'Baseline scaling factors'!J18*(1+Inflation)^(O$3-2025),0)</f>
        <v>6050.2956520562293</v>
      </c>
      <c r="P71" s="8">
        <f>IF(P$1&lt;=Lifetime_UG,'Baseline scaling factors'!K18*(1+Inflation)^(P$3-2025),0)</f>
        <v>6524.7267839146743</v>
      </c>
      <c r="Q71" s="8">
        <f t="shared" ref="Q71:AV71" si="66">IF(Q$1&lt;=Lifetime_UG,P71*(1+Inflation),0)</f>
        <v>6668.270773160797</v>
      </c>
      <c r="R71" s="8">
        <f t="shared" si="66"/>
        <v>6814.9727301703351</v>
      </c>
      <c r="S71" s="8">
        <f t="shared" si="66"/>
        <v>6964.9021302340825</v>
      </c>
      <c r="T71" s="8">
        <f t="shared" si="66"/>
        <v>7118.1299770992327</v>
      </c>
      <c r="U71" s="8">
        <f t="shared" si="66"/>
        <v>7274.7288365954164</v>
      </c>
      <c r="V71" s="8">
        <f t="shared" si="66"/>
        <v>7434.7728710005158</v>
      </c>
      <c r="W71" s="8">
        <f t="shared" si="66"/>
        <v>7598.3378741625274</v>
      </c>
      <c r="X71" s="8">
        <f t="shared" si="66"/>
        <v>7765.5013073941036</v>
      </c>
      <c r="Y71" s="8">
        <f t="shared" si="66"/>
        <v>7936.3423361567739</v>
      </c>
      <c r="Z71" s="8">
        <f t="shared" si="66"/>
        <v>8110.9418675522229</v>
      </c>
      <c r="AA71" s="8">
        <f t="shared" si="66"/>
        <v>8289.3825886383711</v>
      </c>
      <c r="AB71" s="8">
        <f t="shared" si="66"/>
        <v>8471.7490055884155</v>
      </c>
      <c r="AC71" s="8">
        <f t="shared" si="66"/>
        <v>8658.1274837113615</v>
      </c>
      <c r="AD71" s="8">
        <f t="shared" si="66"/>
        <v>8848.6062883530121</v>
      </c>
      <c r="AE71" s="8">
        <f t="shared" si="66"/>
        <v>9043.275626696779</v>
      </c>
      <c r="AF71" s="8">
        <f t="shared" si="66"/>
        <v>9242.2276904841092</v>
      </c>
      <c r="AG71" s="8">
        <f t="shared" si="66"/>
        <v>9445.5566996747602</v>
      </c>
      <c r="AH71" s="8">
        <f t="shared" si="66"/>
        <v>9653.3589470676052</v>
      </c>
      <c r="AI71" s="8">
        <f t="shared" si="66"/>
        <v>9865.7328439030935</v>
      </c>
      <c r="AJ71" s="8">
        <f t="shared" si="66"/>
        <v>10082.778966468963</v>
      </c>
      <c r="AK71" s="8">
        <f t="shared" si="66"/>
        <v>10304.60010373128</v>
      </c>
      <c r="AL71" s="8">
        <f t="shared" si="66"/>
        <v>10531.301306013369</v>
      </c>
      <c r="AM71" s="8">
        <f t="shared" si="66"/>
        <v>10762.989934745663</v>
      </c>
      <c r="AN71" s="8">
        <f t="shared" si="66"/>
        <v>10999.775713310068</v>
      </c>
      <c r="AO71" s="8">
        <f t="shared" si="66"/>
        <v>11241.770779002889</v>
      </c>
      <c r="AP71" s="8">
        <f t="shared" si="66"/>
        <v>11489.089736140953</v>
      </c>
      <c r="AQ71" s="8">
        <f t="shared" si="66"/>
        <v>11741.849710336055</v>
      </c>
      <c r="AR71" s="8">
        <f t="shared" si="66"/>
        <v>12000.170403963448</v>
      </c>
      <c r="AS71" s="8">
        <f t="shared" si="66"/>
        <v>12264.174152850645</v>
      </c>
      <c r="AT71" s="8">
        <f t="shared" si="66"/>
        <v>12533.985984213359</v>
      </c>
      <c r="AU71" s="8">
        <f t="shared" si="66"/>
        <v>12809.733675866053</v>
      </c>
      <c r="AV71" s="8">
        <f t="shared" si="66"/>
        <v>13091.547816735107</v>
      </c>
      <c r="AW71" s="8">
        <f t="shared" ref="AW71:BQ71" si="67">IF(AW$1&lt;=Lifetime_UG,AV71*(1+Inflation),0)</f>
        <v>13379.561868703278</v>
      </c>
      <c r="AX71" s="8">
        <f t="shared" si="67"/>
        <v>13673.91222981475</v>
      </c>
      <c r="AY71" s="8">
        <f t="shared" si="67"/>
        <v>13974.738298870676</v>
      </c>
      <c r="AZ71" s="8">
        <f t="shared" si="67"/>
        <v>14282.182541445831</v>
      </c>
      <c r="BA71" s="8">
        <f t="shared" si="67"/>
        <v>14596.390557357639</v>
      </c>
      <c r="BB71" s="8">
        <f t="shared" si="67"/>
        <v>14917.511149619508</v>
      </c>
      <c r="BC71" s="8">
        <f t="shared" si="67"/>
        <v>15245.696394911138</v>
      </c>
      <c r="BD71" s="8">
        <f t="shared" si="67"/>
        <v>15581.101715599183</v>
      </c>
      <c r="BE71" s="8">
        <f t="shared" si="67"/>
        <v>15923.885953342366</v>
      </c>
      <c r="BF71" s="8">
        <f t="shared" si="67"/>
        <v>16274.211444315897</v>
      </c>
      <c r="BG71" s="8">
        <f t="shared" si="67"/>
        <v>16632.244096090846</v>
      </c>
      <c r="BH71" s="8">
        <f t="shared" si="67"/>
        <v>16998.153466204843</v>
      </c>
      <c r="BI71" s="8">
        <f t="shared" si="67"/>
        <v>17372.112842461349</v>
      </c>
      <c r="BJ71" s="8">
        <f t="shared" si="67"/>
        <v>17754.2993249955</v>
      </c>
      <c r="BK71" s="8">
        <f t="shared" si="67"/>
        <v>0</v>
      </c>
      <c r="BL71" s="8">
        <f t="shared" si="67"/>
        <v>0</v>
      </c>
      <c r="BM71" s="8">
        <f t="shared" si="67"/>
        <v>0</v>
      </c>
      <c r="BN71" s="8">
        <f t="shared" si="67"/>
        <v>0</v>
      </c>
      <c r="BO71" s="8">
        <f t="shared" si="67"/>
        <v>0</v>
      </c>
      <c r="BP71" s="8">
        <f t="shared" si="67"/>
        <v>0</v>
      </c>
      <c r="BQ71" s="8">
        <f t="shared" si="67"/>
        <v>0</v>
      </c>
    </row>
    <row r="72" spans="1:69" s="54" customFormat="1" x14ac:dyDescent="0.4">
      <c r="A72" s="101" t="s">
        <v>37</v>
      </c>
      <c r="B72" s="101" t="s">
        <v>16</v>
      </c>
      <c r="C72" s="101" t="s">
        <v>136</v>
      </c>
      <c r="D72" s="101" t="s">
        <v>160</v>
      </c>
      <c r="F72" s="45"/>
      <c r="G72" s="8">
        <f>SUMIFS('Mitigation Projects'!$AF:$AF,'Mitigation Projects'!$G:$G,Costs_Mitigation!$A72,'Mitigation Projects'!$H:$H,Costs_Mitigation!$B72)*(1+Inflation)^(G$3-2025)</f>
        <v>5670.0684623157531</v>
      </c>
      <c r="H72" s="8">
        <f t="shared" ref="H72:P72" si="68">IF(H$1&lt;=Lifetime_UG,G72*(1+Inflation),0)</f>
        <v>5794.8099684867002</v>
      </c>
      <c r="I72" s="8">
        <f t="shared" si="68"/>
        <v>5922.2957877934077</v>
      </c>
      <c r="J72" s="8">
        <f t="shared" si="68"/>
        <v>6052.5862951248628</v>
      </c>
      <c r="K72" s="8">
        <f t="shared" si="68"/>
        <v>6185.7431936176099</v>
      </c>
      <c r="L72" s="8">
        <f t="shared" si="68"/>
        <v>6321.8295438771975</v>
      </c>
      <c r="M72" s="8">
        <f t="shared" si="68"/>
        <v>6460.9097938424957</v>
      </c>
      <c r="N72" s="8">
        <f t="shared" si="68"/>
        <v>6603.049809307031</v>
      </c>
      <c r="O72" s="8">
        <f t="shared" si="68"/>
        <v>6748.3169051117857</v>
      </c>
      <c r="P72" s="8">
        <f t="shared" si="68"/>
        <v>6896.7798770242453</v>
      </c>
      <c r="Q72" s="8">
        <f t="shared" ref="Q72:AV72" si="69">IF(Q$1&lt;=Lifetime_UG,P72*(1+Inflation),0)</f>
        <v>7048.5090343187785</v>
      </c>
      <c r="R72" s="8">
        <f t="shared" si="69"/>
        <v>7203.5762330737916</v>
      </c>
      <c r="S72" s="8">
        <f t="shared" si="69"/>
        <v>7362.0549102014156</v>
      </c>
      <c r="T72" s="8">
        <f t="shared" si="69"/>
        <v>7524.020118225847</v>
      </c>
      <c r="U72" s="8">
        <f t="shared" si="69"/>
        <v>7689.5485608268154</v>
      </c>
      <c r="V72" s="8">
        <f t="shared" si="69"/>
        <v>7858.718629165006</v>
      </c>
      <c r="W72" s="8">
        <f t="shared" si="69"/>
        <v>8031.6104390066366</v>
      </c>
      <c r="X72" s="8">
        <f t="shared" si="69"/>
        <v>8208.3058686647819</v>
      </c>
      <c r="Y72" s="8">
        <f t="shared" si="69"/>
        <v>8388.8885977754071</v>
      </c>
      <c r="Z72" s="8">
        <f t="shared" si="69"/>
        <v>8573.4441469264657</v>
      </c>
      <c r="AA72" s="8">
        <f t="shared" si="69"/>
        <v>8762.0599181588477</v>
      </c>
      <c r="AB72" s="8">
        <f t="shared" si="69"/>
        <v>8954.8252363583433</v>
      </c>
      <c r="AC72" s="8">
        <f t="shared" si="69"/>
        <v>9151.8313915582276</v>
      </c>
      <c r="AD72" s="8">
        <f t="shared" si="69"/>
        <v>9353.1716821725095</v>
      </c>
      <c r="AE72" s="8">
        <f t="shared" si="69"/>
        <v>9558.9414591803052</v>
      </c>
      <c r="AF72" s="8">
        <f t="shared" si="69"/>
        <v>9769.2381712822717</v>
      </c>
      <c r="AG72" s="8">
        <f t="shared" si="69"/>
        <v>9984.1614110504815</v>
      </c>
      <c r="AH72" s="8">
        <f t="shared" si="69"/>
        <v>10203.812962093592</v>
      </c>
      <c r="AI72" s="8">
        <f t="shared" si="69"/>
        <v>10428.296847259651</v>
      </c>
      <c r="AJ72" s="8">
        <f t="shared" si="69"/>
        <v>10657.719377899364</v>
      </c>
      <c r="AK72" s="8">
        <f t="shared" si="69"/>
        <v>10892.189204213151</v>
      </c>
      <c r="AL72" s="8">
        <f t="shared" si="69"/>
        <v>11131.81736670584</v>
      </c>
      <c r="AM72" s="8">
        <f t="shared" si="69"/>
        <v>11376.717348773369</v>
      </c>
      <c r="AN72" s="8">
        <f t="shared" si="69"/>
        <v>11627.005130446383</v>
      </c>
      <c r="AO72" s="8">
        <f t="shared" si="69"/>
        <v>11882.799243316204</v>
      </c>
      <c r="AP72" s="8">
        <f t="shared" si="69"/>
        <v>12144.22082666916</v>
      </c>
      <c r="AQ72" s="8">
        <f t="shared" si="69"/>
        <v>12411.393684855881</v>
      </c>
      <c r="AR72" s="8">
        <f t="shared" si="69"/>
        <v>12684.44434592271</v>
      </c>
      <c r="AS72" s="8">
        <f t="shared" si="69"/>
        <v>12963.502121533009</v>
      </c>
      <c r="AT72" s="8">
        <f t="shared" si="69"/>
        <v>13248.699168206735</v>
      </c>
      <c r="AU72" s="8">
        <f t="shared" si="69"/>
        <v>13540.170549907283</v>
      </c>
      <c r="AV72" s="8">
        <f t="shared" si="69"/>
        <v>13838.054302005243</v>
      </c>
      <c r="AW72" s="8">
        <f t="shared" ref="AW72:BQ72" si="70">IF(AW$1&lt;=Lifetime_UG,AV72*(1+Inflation),0)</f>
        <v>14142.491496649358</v>
      </c>
      <c r="AX72" s="8">
        <f t="shared" si="70"/>
        <v>14453.626309575644</v>
      </c>
      <c r="AY72" s="8">
        <f t="shared" si="70"/>
        <v>14771.606088386308</v>
      </c>
      <c r="AZ72" s="8">
        <f t="shared" si="70"/>
        <v>15096.581422330808</v>
      </c>
      <c r="BA72" s="8">
        <f t="shared" si="70"/>
        <v>15428.706213622087</v>
      </c>
      <c r="BB72" s="8">
        <f t="shared" si="70"/>
        <v>15768.137750321774</v>
      </c>
      <c r="BC72" s="8">
        <f t="shared" si="70"/>
        <v>16115.036780828854</v>
      </c>
      <c r="BD72" s="8">
        <f t="shared" si="70"/>
        <v>16469.567590007089</v>
      </c>
      <c r="BE72" s="8">
        <f t="shared" si="70"/>
        <v>16831.898076987247</v>
      </c>
      <c r="BF72" s="8">
        <f t="shared" si="70"/>
        <v>17202.199834680967</v>
      </c>
      <c r="BG72" s="8">
        <f t="shared" si="70"/>
        <v>17580.64823104395</v>
      </c>
      <c r="BH72" s="8">
        <f t="shared" si="70"/>
        <v>17967.422492126916</v>
      </c>
      <c r="BI72" s="8">
        <f t="shared" si="70"/>
        <v>18362.705786953709</v>
      </c>
      <c r="BJ72" s="8">
        <f t="shared" si="70"/>
        <v>18766.685314266691</v>
      </c>
      <c r="BK72" s="8">
        <f t="shared" si="70"/>
        <v>0</v>
      </c>
      <c r="BL72" s="8">
        <f t="shared" si="70"/>
        <v>0</v>
      </c>
      <c r="BM72" s="8">
        <f t="shared" si="70"/>
        <v>0</v>
      </c>
      <c r="BN72" s="8">
        <f t="shared" si="70"/>
        <v>0</v>
      </c>
      <c r="BO72" s="8">
        <f t="shared" si="70"/>
        <v>0</v>
      </c>
      <c r="BP72" s="8">
        <f t="shared" si="70"/>
        <v>0</v>
      </c>
      <c r="BQ72" s="8">
        <f t="shared" si="70"/>
        <v>0</v>
      </c>
    </row>
    <row r="73" spans="1:69" x14ac:dyDescent="0.4">
      <c r="A73" t="s">
        <v>37</v>
      </c>
      <c r="B73" t="s">
        <v>16</v>
      </c>
      <c r="C73" t="s">
        <v>136</v>
      </c>
      <c r="D73" t="s">
        <v>130</v>
      </c>
      <c r="F73" s="8"/>
      <c r="G73" s="8">
        <f>IF(G$1&lt;=Lifetime_UG,OM_Inspections_UG/10*Distance_UG_1PH*(1+Inflation)^(G$58-2026),0)</f>
        <v>1675.0565381312001</v>
      </c>
      <c r="H73" s="8">
        <f t="shared" ref="H73:AM73" si="71">IF(H1&lt;=Lifetime_UG,OM_Inspections_UG/10*Distance_UG_1PH*(1+Inflation)^(H$58-2026),0)</f>
        <v>1711.9077819700865</v>
      </c>
      <c r="I73" s="8">
        <f t="shared" si="71"/>
        <v>1749.5697531734286</v>
      </c>
      <c r="J73" s="8">
        <f t="shared" si="71"/>
        <v>1788.0602877432439</v>
      </c>
      <c r="K73" s="8">
        <f t="shared" si="71"/>
        <v>1827.3976140735952</v>
      </c>
      <c r="L73" s="8">
        <f t="shared" si="71"/>
        <v>1867.6003615832144</v>
      </c>
      <c r="M73" s="8">
        <f t="shared" si="71"/>
        <v>1908.6875695380454</v>
      </c>
      <c r="N73" s="8">
        <f t="shared" si="71"/>
        <v>1950.6786960678821</v>
      </c>
      <c r="O73" s="8">
        <f t="shared" si="71"/>
        <v>1993.5936273813757</v>
      </c>
      <c r="P73" s="8">
        <f t="shared" si="71"/>
        <v>2037.4526871837661</v>
      </c>
      <c r="Q73" s="8">
        <f t="shared" si="71"/>
        <v>2082.2766463018088</v>
      </c>
      <c r="R73" s="8">
        <f t="shared" si="71"/>
        <v>2128.0867325204485</v>
      </c>
      <c r="S73" s="8">
        <f t="shared" si="71"/>
        <v>2174.9046406358984</v>
      </c>
      <c r="T73" s="8">
        <f t="shared" si="71"/>
        <v>2222.7525427298883</v>
      </c>
      <c r="U73" s="8">
        <f t="shared" si="71"/>
        <v>2271.6530986699458</v>
      </c>
      <c r="V73" s="8">
        <f t="shared" si="71"/>
        <v>2321.6294668406849</v>
      </c>
      <c r="W73" s="8">
        <f t="shared" si="71"/>
        <v>2372.7053151111795</v>
      </c>
      <c r="X73" s="8">
        <f t="shared" si="71"/>
        <v>2424.9048320436259</v>
      </c>
      <c r="Y73" s="8">
        <f t="shared" si="71"/>
        <v>2478.2527383485858</v>
      </c>
      <c r="Z73" s="8">
        <f t="shared" si="71"/>
        <v>2532.7742985922546</v>
      </c>
      <c r="AA73" s="8">
        <f t="shared" si="71"/>
        <v>2588.4953331612837</v>
      </c>
      <c r="AB73" s="8">
        <f t="shared" si="71"/>
        <v>2645.4422304908321</v>
      </c>
      <c r="AC73" s="8">
        <f t="shared" si="71"/>
        <v>2703.6419595616308</v>
      </c>
      <c r="AD73" s="8">
        <f t="shared" si="71"/>
        <v>2763.1220826719864</v>
      </c>
      <c r="AE73" s="8">
        <f t="shared" si="71"/>
        <v>2823.9107684907704</v>
      </c>
      <c r="AF73" s="8">
        <f t="shared" si="71"/>
        <v>2886.0368053975676</v>
      </c>
      <c r="AG73" s="8">
        <f t="shared" si="71"/>
        <v>2949.5296151163138</v>
      </c>
      <c r="AH73" s="8">
        <f t="shared" si="71"/>
        <v>3014.419266648873</v>
      </c>
      <c r="AI73" s="8">
        <f t="shared" si="71"/>
        <v>3080.736490515148</v>
      </c>
      <c r="AJ73" s="8">
        <f t="shared" si="71"/>
        <v>3148.5126933064812</v>
      </c>
      <c r="AK73" s="8">
        <f t="shared" si="71"/>
        <v>3217.7799725592236</v>
      </c>
      <c r="AL73" s="8">
        <f t="shared" si="71"/>
        <v>3288.5711319555271</v>
      </c>
      <c r="AM73" s="8">
        <f t="shared" si="71"/>
        <v>3360.9196968585479</v>
      </c>
      <c r="AN73" s="8">
        <f t="shared" ref="AN73:BQ73" si="72">IF(AN1&lt;=Lifetime_UG,OM_Inspections_UG/10*Distance_UG_1PH*(1+Inflation)^(AN$58-2026),0)</f>
        <v>3434.8599301894365</v>
      </c>
      <c r="AO73" s="8">
        <f t="shared" si="72"/>
        <v>3510.4268486536039</v>
      </c>
      <c r="AP73" s="8">
        <f t="shared" si="72"/>
        <v>3587.6562393239833</v>
      </c>
      <c r="AQ73" s="8">
        <f t="shared" si="72"/>
        <v>3666.584676589111</v>
      </c>
      <c r="AR73" s="8">
        <f t="shared" si="72"/>
        <v>3747.2495394740708</v>
      </c>
      <c r="AS73" s="8">
        <f t="shared" si="72"/>
        <v>3829.6890293425013</v>
      </c>
      <c r="AT73" s="8">
        <f t="shared" si="72"/>
        <v>3913.9421879880365</v>
      </c>
      <c r="AU73" s="8">
        <f t="shared" si="72"/>
        <v>4000.0489161237733</v>
      </c>
      <c r="AV73" s="8">
        <f t="shared" si="72"/>
        <v>4088.0499922784961</v>
      </c>
      <c r="AW73" s="8">
        <f t="shared" si="72"/>
        <v>4177.9870921086231</v>
      </c>
      <c r="AX73" s="8">
        <f t="shared" si="72"/>
        <v>4269.9028081350134</v>
      </c>
      <c r="AY73" s="8">
        <f t="shared" si="72"/>
        <v>4363.8406699139832</v>
      </c>
      <c r="AZ73" s="8">
        <f t="shared" si="72"/>
        <v>4459.8451646520907</v>
      </c>
      <c r="BA73" s="8">
        <f t="shared" si="72"/>
        <v>4557.9617582744368</v>
      </c>
      <c r="BB73" s="8">
        <f t="shared" si="72"/>
        <v>4658.2369169564754</v>
      </c>
      <c r="BC73" s="8">
        <f t="shared" si="72"/>
        <v>4760.7181291295165</v>
      </c>
      <c r="BD73" s="8">
        <f t="shared" si="72"/>
        <v>4865.4539279703667</v>
      </c>
      <c r="BE73" s="8">
        <f t="shared" si="72"/>
        <v>4972.4939143857146</v>
      </c>
      <c r="BF73" s="8">
        <f t="shared" si="72"/>
        <v>5081.8887805022005</v>
      </c>
      <c r="BG73" s="8">
        <f t="shared" si="72"/>
        <v>5193.6903336732485</v>
      </c>
      <c r="BH73" s="8">
        <f t="shared" si="72"/>
        <v>5307.9515210140598</v>
      </c>
      <c r="BI73" s="8">
        <f t="shared" si="72"/>
        <v>5424.7264544763702</v>
      </c>
      <c r="BJ73" s="8">
        <f t="shared" si="72"/>
        <v>5544.070436474849</v>
      </c>
      <c r="BK73" s="8">
        <f t="shared" si="72"/>
        <v>0</v>
      </c>
      <c r="BL73" s="8">
        <f t="shared" si="72"/>
        <v>0</v>
      </c>
      <c r="BM73" s="8">
        <f t="shared" si="72"/>
        <v>0</v>
      </c>
      <c r="BN73" s="8">
        <f t="shared" si="72"/>
        <v>0</v>
      </c>
      <c r="BO73" s="8">
        <f t="shared" si="72"/>
        <v>0</v>
      </c>
      <c r="BP73" s="8">
        <f t="shared" si="72"/>
        <v>0</v>
      </c>
      <c r="BQ73" s="8">
        <f t="shared" si="72"/>
        <v>0</v>
      </c>
    </row>
    <row r="74" spans="1:69" x14ac:dyDescent="0.4">
      <c r="A74" t="s">
        <v>37</v>
      </c>
      <c r="B74" t="s">
        <v>16</v>
      </c>
      <c r="C74" t="s">
        <v>136</v>
      </c>
      <c r="D74" t="s">
        <v>131</v>
      </c>
      <c r="F74" s="8"/>
      <c r="G74" s="8">
        <f>IF(G$1&gt;Lifetime_UG,0,OM_MITIGATION_TRIMMING_CYCLE_PER_MILE*Distance_UG_1PH*(1+Inflation)^(Costs_Mitigation!G$3-2026))</f>
        <v>6690.7521600556984</v>
      </c>
      <c r="H74" s="8">
        <f>IF(H$1&gt;Lifetime_UG,0,OM_MITIGATION_TRIMMING_CYCLE_PER_MILE*Distance_UG_1PH*(1+Inflation)^(Costs_Mitigation!H$3-2026))</f>
        <v>6837.9487075769239</v>
      </c>
      <c r="I74" s="8">
        <f>IF(I$1&gt;Lifetime_UG,0,OM_MITIGATION_TRIMMING_CYCLE_PER_MILE*Distance_UG_1PH*(1+Inflation)^(Costs_Mitigation!I$3-2026))</f>
        <v>6988.3835791436168</v>
      </c>
      <c r="J74" s="8">
        <f>IF(J$1&gt;Lifetime_UG,0,OM_MITIGATION_TRIMMING_CYCLE_PER_MILE*Distance_UG_1PH*(1+Inflation)^(Costs_Mitigation!J$3-2026))</f>
        <v>7142.1280178847755</v>
      </c>
      <c r="K74" s="8">
        <f>IF(K$1&gt;Lifetime_UG,0,OM_MITIGATION_TRIMMING_CYCLE_PER_MILE*Distance_UG_1PH*(1+Inflation)^(Costs_Mitigation!K$3-2026))</f>
        <v>7299.2548342782402</v>
      </c>
      <c r="L74" s="8">
        <f>IF(L$1&gt;Lifetime_UG,0,OM_MITIGATION_TRIMMING_CYCLE_PER_MILE*Distance_UG_1PH*(1+Inflation)^(Costs_Mitigation!L$3-2026))</f>
        <v>7459.8384406323621</v>
      </c>
      <c r="M74" s="8">
        <f>IF(M$1&gt;Lifetime_UG,0,OM_MITIGATION_TRIMMING_CYCLE_PER_MILE*Distance_UG_1PH*(1+Inflation)^(Costs_Mitigation!M$3-2026))</f>
        <v>7623.9548863262753</v>
      </c>
      <c r="N74" s="8">
        <f>IF(N$1&gt;Lifetime_UG,0,OM_MITIGATION_TRIMMING_CYCLE_PER_MILE*Distance_UG_1PH*(1+Inflation)^(Costs_Mitigation!N$3-2026))</f>
        <v>7791.6818938254528</v>
      </c>
      <c r="O74" s="8">
        <f>IF(O$1&gt;Lifetime_UG,0,OM_MITIGATION_TRIMMING_CYCLE_PER_MILE*Distance_UG_1PH*(1+Inflation)^(Costs_Mitigation!O$3-2026))</f>
        <v>7963.0988954896129</v>
      </c>
      <c r="P74" s="8">
        <f>IF(P$1&gt;Lifetime_UG,0,OM_MITIGATION_TRIMMING_CYCLE_PER_MILE*Distance_UG_1PH*(1+Inflation)^(Costs_Mitigation!P$3-2026))</f>
        <v>8138.2870711903852</v>
      </c>
      <c r="Q74" s="8">
        <f>IF(Q$1&gt;Lifetime_UG,0,OM_MITIGATION_TRIMMING_CYCLE_PER_MILE*Distance_UG_1PH*(1+Inflation)^(Costs_Mitigation!Q$3-2026))</f>
        <v>8317.3293867565735</v>
      </c>
      <c r="R74" s="8">
        <f>IF(R$1&gt;Lifetime_UG,0,OM_MITIGATION_TRIMMING_CYCLE_PER_MILE*Distance_UG_1PH*(1+Inflation)^(Costs_Mitigation!R$3-2026))</f>
        <v>8500.3106332652187</v>
      </c>
      <c r="S74" s="8">
        <f>IF(S$1&gt;Lifetime_UG,0,OM_MITIGATION_TRIMMING_CYCLE_PER_MILE*Distance_UG_1PH*(1+Inflation)^(Costs_Mitigation!S$3-2026))</f>
        <v>8687.3174671970519</v>
      </c>
      <c r="T74" s="8">
        <f>IF(T$1&gt;Lifetime_UG,0,OM_MITIGATION_TRIMMING_CYCLE_PER_MILE*Distance_UG_1PH*(1+Inflation)^(Costs_Mitigation!T$3-2026))</f>
        <v>8878.4384514753874</v>
      </c>
      <c r="U74" s="8">
        <f>IF(U$1&gt;Lifetime_UG,0,OM_MITIGATION_TRIMMING_CYCLE_PER_MILE*Distance_UG_1PH*(1+Inflation)^(Costs_Mitigation!U$3-2026))</f>
        <v>9073.7640974078458</v>
      </c>
      <c r="V74" s="8">
        <f>IF(V$1&gt;Lifetime_UG,0,OM_MITIGATION_TRIMMING_CYCLE_PER_MILE*Distance_UG_1PH*(1+Inflation)^(Costs_Mitigation!V$3-2026))</f>
        <v>9273.3869075508192</v>
      </c>
      <c r="W74" s="8">
        <f>IF(W$1&gt;Lifetime_UG,0,OM_MITIGATION_TRIMMING_CYCLE_PER_MILE*Distance_UG_1PH*(1+Inflation)^(Costs_Mitigation!W$3-2026))</f>
        <v>9477.4014195169366</v>
      </c>
      <c r="X74" s="8">
        <f>IF(X$1&gt;Lifetime_UG,0,OM_MITIGATION_TRIMMING_CYCLE_PER_MILE*Distance_UG_1PH*(1+Inflation)^(Costs_Mitigation!X$3-2026))</f>
        <v>9685.9042507463109</v>
      </c>
      <c r="Y74" s="8">
        <f>IF(Y$1&gt;Lifetime_UG,0,OM_MITIGATION_TRIMMING_CYCLE_PER_MILE*Distance_UG_1PH*(1+Inflation)^(Costs_Mitigation!Y$3-2026))</f>
        <v>9898.9941442627296</v>
      </c>
      <c r="Z74" s="8">
        <f>IF(Z$1&gt;Lifetime_UG,0,OM_MITIGATION_TRIMMING_CYCLE_PER_MILE*Distance_UG_1PH*(1+Inflation)^(Costs_Mitigation!Z$3-2026))</f>
        <v>10116.772015436509</v>
      </c>
      <c r="AA74" s="8">
        <f>IF(AA$1&gt;Lifetime_UG,0,OM_MITIGATION_TRIMMING_CYCLE_PER_MILE*Distance_UG_1PH*(1+Inflation)^(Costs_Mitigation!AA$3-2026))</f>
        <v>10339.340999776112</v>
      </c>
      <c r="AB74" s="8">
        <f>IF(AB$1&gt;Lifetime_UG,0,OM_MITIGATION_TRIMMING_CYCLE_PER_MILE*Distance_UG_1PH*(1+Inflation)^(Costs_Mitigation!AB$3-2026))</f>
        <v>10566.806501771185</v>
      </c>
      <c r="AC74" s="8">
        <f>IF(AC$1&gt;Lifetime_UG,0,OM_MITIGATION_TRIMMING_CYCLE_PER_MILE*Distance_UG_1PH*(1+Inflation)^(Costs_Mitigation!AC$3-2026))</f>
        <v>10799.276244810153</v>
      </c>
      <c r="AD74" s="8">
        <f>IF(AD$1&gt;Lifetime_UG,0,OM_MITIGATION_TRIMMING_CYCLE_PER_MILE*Distance_UG_1PH*(1+Inflation)^(Costs_Mitigation!AD$3-2026))</f>
        <v>11036.860322195977</v>
      </c>
      <c r="AE74" s="8">
        <f>IF(AE$1&gt;Lifetime_UG,0,OM_MITIGATION_TRIMMING_CYCLE_PER_MILE*Distance_UG_1PH*(1+Inflation)^(Costs_Mitigation!AE$3-2026))</f>
        <v>11279.671249284289</v>
      </c>
      <c r="AF74" s="8">
        <f>IF(AF$1&gt;Lifetime_UG,0,OM_MITIGATION_TRIMMING_CYCLE_PER_MILE*Distance_UG_1PH*(1+Inflation)^(Costs_Mitigation!AF$3-2026))</f>
        <v>11527.824016768544</v>
      </c>
      <c r="AG74" s="8">
        <f>IF(AG$1&gt;Lifetime_UG,0,OM_MITIGATION_TRIMMING_CYCLE_PER_MILE*Distance_UG_1PH*(1+Inflation)^(Costs_Mitigation!AG$3-2026))</f>
        <v>11781.436145137452</v>
      </c>
      <c r="AH74" s="8">
        <f>IF(AH$1&gt;Lifetime_UG,0,OM_MITIGATION_TRIMMING_CYCLE_PER_MILE*Distance_UG_1PH*(1+Inflation)^(Costs_Mitigation!AH$3-2026))</f>
        <v>12040.627740330476</v>
      </c>
      <c r="AI74" s="8">
        <f>IF(AI$1&gt;Lifetime_UG,0,OM_MITIGATION_TRIMMING_CYCLE_PER_MILE*Distance_UG_1PH*(1+Inflation)^(Costs_Mitigation!AI$3-2026))</f>
        <v>12305.521550617745</v>
      </c>
      <c r="AJ74" s="8">
        <f>IF(AJ$1&gt;Lifetime_UG,0,OM_MITIGATION_TRIMMING_CYCLE_PER_MILE*Distance_UG_1PH*(1+Inflation)^(Costs_Mitigation!AJ$3-2026))</f>
        <v>12576.243024731337</v>
      </c>
      <c r="AK74" s="8">
        <f>IF(AK$1&gt;Lifetime_UG,0,OM_MITIGATION_TRIMMING_CYCLE_PER_MILE*Distance_UG_1PH*(1+Inflation)^(Costs_Mitigation!AK$3-2026))</f>
        <v>12852.920371275424</v>
      </c>
      <c r="AL74" s="8">
        <f>IF(AL$1&gt;Lifetime_UG,0,OM_MITIGATION_TRIMMING_CYCLE_PER_MILE*Distance_UG_1PH*(1+Inflation)^(Costs_Mitigation!AL$3-2026))</f>
        <v>13135.684619443486</v>
      </c>
      <c r="AM74" s="8">
        <f>IF(AM$1&gt;Lifetime_UG,0,OM_MITIGATION_TRIMMING_CYCLE_PER_MILE*Distance_UG_1PH*(1+Inflation)^(Costs_Mitigation!AM$3-2026))</f>
        <v>13424.669681071238</v>
      </c>
      <c r="AN74" s="8">
        <f>IF(AN$1&gt;Lifetime_UG,0,OM_MITIGATION_TRIMMING_CYCLE_PER_MILE*Distance_UG_1PH*(1+Inflation)^(Costs_Mitigation!AN$3-2026))</f>
        <v>13720.012414054809</v>
      </c>
      <c r="AO74" s="8">
        <f>IF(AO$1&gt;Lifetime_UG,0,OM_MITIGATION_TRIMMING_CYCLE_PER_MILE*Distance_UG_1PH*(1+Inflation)^(Costs_Mitigation!AO$3-2026))</f>
        <v>14021.852687164013</v>
      </c>
      <c r="AP74" s="8">
        <f>IF(AP$1&gt;Lifetime_UG,0,OM_MITIGATION_TRIMMING_CYCLE_PER_MILE*Distance_UG_1PH*(1+Inflation)^(Costs_Mitigation!AP$3-2026))</f>
        <v>14330.333446281624</v>
      </c>
      <c r="AQ74" s="8">
        <f>IF(AQ$1&gt;Lifetime_UG,0,OM_MITIGATION_TRIMMING_CYCLE_PER_MILE*Distance_UG_1PH*(1+Inflation)^(Costs_Mitigation!AQ$3-2026))</f>
        <v>14645.600782099818</v>
      </c>
      <c r="AR74" s="8">
        <f>IF(AR$1&gt;Lifetime_UG,0,OM_MITIGATION_TRIMMING_CYCLE_PER_MILE*Distance_UG_1PH*(1+Inflation)^(Costs_Mitigation!AR$3-2026))</f>
        <v>14967.803999306012</v>
      </c>
      <c r="AS74" s="8">
        <f>IF(AS$1&gt;Lifetime_UG,0,OM_MITIGATION_TRIMMING_CYCLE_PER_MILE*Distance_UG_1PH*(1+Inflation)^(Costs_Mitigation!AS$3-2026))</f>
        <v>15297.095687290748</v>
      </c>
      <c r="AT74" s="8">
        <f>IF(AT$1&gt;Lifetime_UG,0,OM_MITIGATION_TRIMMING_CYCLE_PER_MILE*Distance_UG_1PH*(1+Inflation)^(Costs_Mitigation!AT$3-2026))</f>
        <v>15633.631792411144</v>
      </c>
      <c r="AU74" s="8">
        <f>IF(AU$1&gt;Lifetime_UG,0,OM_MITIGATION_TRIMMING_CYCLE_PER_MILE*Distance_UG_1PH*(1+Inflation)^(Costs_Mitigation!AU$3-2026))</f>
        <v>15977.57169184419</v>
      </c>
      <c r="AV74" s="8">
        <f>IF(AV$1&gt;Lifetime_UG,0,OM_MITIGATION_TRIMMING_CYCLE_PER_MILE*Distance_UG_1PH*(1+Inflation)^(Costs_Mitigation!AV$3-2026))</f>
        <v>16329.078269064761</v>
      </c>
      <c r="AW74" s="8">
        <f>IF(AW$1&gt;Lifetime_UG,0,OM_MITIGATION_TRIMMING_CYCLE_PER_MILE*Distance_UG_1PH*(1+Inflation)^(Costs_Mitigation!AW$3-2026))</f>
        <v>16688.317990984186</v>
      </c>
      <c r="AX74" s="8">
        <f>IF(AX$1&gt;Lifetime_UG,0,OM_MITIGATION_TRIMMING_CYCLE_PER_MILE*Distance_UG_1PH*(1+Inflation)^(Costs_Mitigation!AX$3-2026))</f>
        <v>17055.460986785838</v>
      </c>
      <c r="AY74" s="8">
        <f>IF(AY$1&gt;Lifetime_UG,0,OM_MITIGATION_TRIMMING_CYCLE_PER_MILE*Distance_UG_1PH*(1+Inflation)^(Costs_Mitigation!AY$3-2026))</f>
        <v>17430.681128495125</v>
      </c>
      <c r="AZ74" s="8">
        <f>IF(AZ$1&gt;Lifetime_UG,0,OM_MITIGATION_TRIMMING_CYCLE_PER_MILE*Distance_UG_1PH*(1+Inflation)^(Costs_Mitigation!AZ$3-2026))</f>
        <v>17814.15611332202</v>
      </c>
      <c r="BA74" s="8">
        <f>IF(BA$1&gt;Lifetime_UG,0,OM_MITIGATION_TRIMMING_CYCLE_PER_MILE*Distance_UG_1PH*(1+Inflation)^(Costs_Mitigation!BA$3-2026))</f>
        <v>18206.067547815106</v>
      </c>
      <c r="BB74" s="8">
        <f>IF(BB$1&gt;Lifetime_UG,0,OM_MITIGATION_TRIMMING_CYCLE_PER_MILE*Distance_UG_1PH*(1+Inflation)^(Costs_Mitigation!BB$3-2026))</f>
        <v>18606.601033867038</v>
      </c>
      <c r="BC74" s="8">
        <f>IF(BC$1&gt;Lifetime_UG,0,OM_MITIGATION_TRIMMING_CYCLE_PER_MILE*Distance_UG_1PH*(1+Inflation)^(Costs_Mitigation!BC$3-2026))</f>
        <v>19015.946256612111</v>
      </c>
      <c r="BD74" s="8">
        <f>IF(BD$1&gt;Lifetime_UG,0,OM_MITIGATION_TRIMMING_CYCLE_PER_MILE*Distance_UG_1PH*(1+Inflation)^(Costs_Mitigation!BD$3-2026))</f>
        <v>19434.297074257578</v>
      </c>
      <c r="BE74" s="8">
        <f>IF(BE$1&gt;Lifetime_UG,0,OM_MITIGATION_TRIMMING_CYCLE_PER_MILE*Distance_UG_1PH*(1+Inflation)^(Costs_Mitigation!BE$3-2026))</f>
        <v>19861.851609891248</v>
      </c>
      <c r="BF74" s="8">
        <f>IF(BF$1&gt;Lifetime_UG,0,OM_MITIGATION_TRIMMING_CYCLE_PER_MILE*Distance_UG_1PH*(1+Inflation)^(Costs_Mitigation!BF$3-2026))</f>
        <v>20298.812345308856</v>
      </c>
      <c r="BG74" s="8">
        <f>IF(BG$1&gt;Lifetime_UG,0,OM_MITIGATION_TRIMMING_CYCLE_PER_MILE*Distance_UG_1PH*(1+Inflation)^(Costs_Mitigation!BG$3-2026))</f>
        <v>20745.386216905648</v>
      </c>
      <c r="BH74" s="8">
        <f>IF(BH$1&gt;Lifetime_UG,0,OM_MITIGATION_TRIMMING_CYCLE_PER_MILE*Distance_UG_1PH*(1+Inflation)^(Costs_Mitigation!BH$3-2026))</f>
        <v>21201.784713677571</v>
      </c>
      <c r="BI74" s="8">
        <f>IF(BI$1&gt;Lifetime_UG,0,OM_MITIGATION_TRIMMING_CYCLE_PER_MILE*Distance_UG_1PH*(1+Inflation)^(Costs_Mitigation!BI$3-2026))</f>
        <v>21668.223977378482</v>
      </c>
      <c r="BJ74" s="8">
        <f>IF(BJ$1&gt;Lifetime_UG,0,OM_MITIGATION_TRIMMING_CYCLE_PER_MILE*Distance_UG_1PH*(1+Inflation)^(Costs_Mitigation!BJ$3-2026))</f>
        <v>22144.924904880805</v>
      </c>
      <c r="BK74" s="8">
        <f>IF(BK$1&gt;Lifetime_UG,0,OM_MITIGATION_TRIMMING_CYCLE_PER_MILE*Distance_UG_1PH*(1+Inflation)^(Costs_Mitigation!BK$3-2026))</f>
        <v>0</v>
      </c>
      <c r="BL74" s="8">
        <f>IF(BL$1&gt;Lifetime_UG,0,OM_MITIGATION_TRIMMING_CYCLE_PER_MILE*Distance_UG_1PH*(1+Inflation)^(Costs_Mitigation!BL$3-2026))</f>
        <v>0</v>
      </c>
      <c r="BM74" s="8">
        <f>IF(BM$1&gt;Lifetime_UG,0,OM_MITIGATION_TRIMMING_CYCLE_PER_MILE*Distance_UG_1PH*(1+Inflation)^(Costs_Mitigation!BM$3-2026))</f>
        <v>0</v>
      </c>
      <c r="BN74" s="8">
        <f>IF(BN$1&gt;Lifetime_UG,0,OM_MITIGATION_TRIMMING_CYCLE_PER_MILE*Distance_UG_1PH*(1+Inflation)^(Costs_Mitigation!BN$3-2026))</f>
        <v>0</v>
      </c>
      <c r="BO74" s="8">
        <f>IF(BO$1&gt;Lifetime_UG,0,OM_MITIGATION_TRIMMING_CYCLE_PER_MILE*Distance_UG_1PH*(1+Inflation)^(Costs_Mitigation!BO$3-2026))</f>
        <v>0</v>
      </c>
      <c r="BP74" s="8">
        <f>IF(BP$1&gt;Lifetime_UG,0,OM_MITIGATION_TRIMMING_CYCLE_PER_MILE*Distance_UG_1PH*(1+Inflation)^(Costs_Mitigation!BP$3-2026))</f>
        <v>0</v>
      </c>
      <c r="BQ74" s="8">
        <f>IF(BQ$1&gt;Lifetime_UG,0,OM_MITIGATION_TRIMMING_CYCLE_PER_MILE*Distance_UG_1PH*(1+Inflation)^(Costs_Mitigation!BQ$3-2026))</f>
        <v>0</v>
      </c>
    </row>
    <row r="75" spans="1:69" x14ac:dyDescent="0.4">
      <c r="A75" t="s">
        <v>37</v>
      </c>
      <c r="B75" t="s">
        <v>16</v>
      </c>
      <c r="C75" t="s">
        <v>136</v>
      </c>
      <c r="D75" t="s">
        <v>132</v>
      </c>
      <c r="F75" s="8"/>
      <c r="G75" s="8">
        <f t="shared" ref="G75:AL75" si="73">IF(G$1&gt;Lifetime_UG,0,OM_Tickets_Mitigation_Per_mile*Distance_UG_1PH*(1+Inflation)^(G$3-2025))</f>
        <v>3472.816206766794</v>
      </c>
      <c r="H75" s="8">
        <f t="shared" si="73"/>
        <v>3549.2181633156633</v>
      </c>
      <c r="I75" s="8">
        <f t="shared" si="73"/>
        <v>3627.3009629086082</v>
      </c>
      <c r="J75" s="8">
        <f t="shared" si="73"/>
        <v>3707.101584092597</v>
      </c>
      <c r="K75" s="8">
        <f t="shared" si="73"/>
        <v>3788.6578189426345</v>
      </c>
      <c r="L75" s="8">
        <f t="shared" si="73"/>
        <v>3872.008290959373</v>
      </c>
      <c r="M75" s="8">
        <f t="shared" si="73"/>
        <v>3957.1924733604787</v>
      </c>
      <c r="N75" s="8">
        <f t="shared" si="73"/>
        <v>4044.2507077744094</v>
      </c>
      <c r="O75" s="8">
        <f t="shared" si="73"/>
        <v>4133.2242233454472</v>
      </c>
      <c r="P75" s="8">
        <f t="shared" si="73"/>
        <v>4224.1551562590466</v>
      </c>
      <c r="Q75" s="8">
        <f t="shared" si="73"/>
        <v>4317.0865696967458</v>
      </c>
      <c r="R75" s="8">
        <f t="shared" si="73"/>
        <v>4412.0624742300733</v>
      </c>
      <c r="S75" s="8">
        <f t="shared" si="73"/>
        <v>4509.1278486631354</v>
      </c>
      <c r="T75" s="8">
        <f t="shared" si="73"/>
        <v>4608.328661333725</v>
      </c>
      <c r="U75" s="8">
        <f t="shared" si="73"/>
        <v>4709.7118918830665</v>
      </c>
      <c r="V75" s="8">
        <f t="shared" si="73"/>
        <v>4813.3255535044937</v>
      </c>
      <c r="W75" s="8">
        <f t="shared" si="73"/>
        <v>4919.2187156815935</v>
      </c>
      <c r="X75" s="8">
        <f t="shared" si="73"/>
        <v>5027.4415274265884</v>
      </c>
      <c r="Y75" s="8">
        <f t="shared" si="73"/>
        <v>5138.0452410299731</v>
      </c>
      <c r="Z75" s="8">
        <f t="shared" si="73"/>
        <v>5251.0822363326324</v>
      </c>
      <c r="AA75" s="8">
        <f t="shared" si="73"/>
        <v>5366.6060455319503</v>
      </c>
      <c r="AB75" s="8">
        <f t="shared" si="73"/>
        <v>5484.6713785336533</v>
      </c>
      <c r="AC75" s="8">
        <f t="shared" si="73"/>
        <v>5605.3341488613942</v>
      </c>
      <c r="AD75" s="8">
        <f t="shared" si="73"/>
        <v>5728.651500136345</v>
      </c>
      <c r="AE75" s="8">
        <f t="shared" si="73"/>
        <v>5854.6818331393442</v>
      </c>
      <c r="AF75" s="8">
        <f t="shared" si="73"/>
        <v>5983.4848334684102</v>
      </c>
      <c r="AG75" s="8">
        <f t="shared" si="73"/>
        <v>6115.1214998047153</v>
      </c>
      <c r="AH75" s="8">
        <f t="shared" si="73"/>
        <v>6249.6541728004186</v>
      </c>
      <c r="AI75" s="8">
        <f t="shared" si="73"/>
        <v>6387.1465646020279</v>
      </c>
      <c r="AJ75" s="8">
        <f t="shared" si="73"/>
        <v>6527.6637890232723</v>
      </c>
      <c r="AK75" s="8">
        <f t="shared" si="73"/>
        <v>6671.2723923817848</v>
      </c>
      <c r="AL75" s="8">
        <f t="shared" si="73"/>
        <v>6818.0403850141829</v>
      </c>
      <c r="AM75" s="8">
        <f t="shared" ref="AM75:BQ75" si="74">IF(AM$1&gt;Lifetime_UG,0,OM_Tickets_Mitigation_Per_mile*Distance_UG_1PH*(1+Inflation)^(AM$3-2025))</f>
        <v>6968.0372734844959</v>
      </c>
      <c r="AN75" s="8">
        <f t="shared" si="74"/>
        <v>7121.3340935011547</v>
      </c>
      <c r="AO75" s="8">
        <f t="shared" si="74"/>
        <v>7278.0034435581811</v>
      </c>
      <c r="AP75" s="8">
        <f t="shared" si="74"/>
        <v>7438.1195193164604</v>
      </c>
      <c r="AQ75" s="8">
        <f t="shared" si="74"/>
        <v>7601.7581487414218</v>
      </c>
      <c r="AR75" s="8">
        <f t="shared" si="74"/>
        <v>7768.9968280137346</v>
      </c>
      <c r="AS75" s="8">
        <f t="shared" si="74"/>
        <v>7939.9147582300366</v>
      </c>
      <c r="AT75" s="8">
        <f t="shared" si="74"/>
        <v>8114.5928829110971</v>
      </c>
      <c r="AU75" s="8">
        <f t="shared" si="74"/>
        <v>8293.1139263351415</v>
      </c>
      <c r="AV75" s="8">
        <f t="shared" si="74"/>
        <v>8475.5624327145142</v>
      </c>
      <c r="AW75" s="8">
        <f t="shared" si="74"/>
        <v>8662.0248062342343</v>
      </c>
      <c r="AX75" s="8">
        <f t="shared" si="74"/>
        <v>8852.5893519713863</v>
      </c>
      <c r="AY75" s="8">
        <f t="shared" si="74"/>
        <v>9047.3463177147569</v>
      </c>
      <c r="AZ75" s="8">
        <f t="shared" si="74"/>
        <v>9246.3879367044829</v>
      </c>
      <c r="BA75" s="8">
        <f t="shared" si="74"/>
        <v>9449.8084713119824</v>
      </c>
      <c r="BB75" s="8">
        <f t="shared" si="74"/>
        <v>9657.7042576808435</v>
      </c>
      <c r="BC75" s="8">
        <f t="shared" si="74"/>
        <v>9870.1737513498229</v>
      </c>
      <c r="BD75" s="8">
        <f t="shared" si="74"/>
        <v>10087.31757387952</v>
      </c>
      <c r="BE75" s="8">
        <f t="shared" si="74"/>
        <v>10309.238560504869</v>
      </c>
      <c r="BF75" s="8">
        <f t="shared" si="74"/>
        <v>10536.041808835977</v>
      </c>
      <c r="BG75" s="8">
        <f t="shared" si="74"/>
        <v>10767.834728630367</v>
      </c>
      <c r="BH75" s="8">
        <f t="shared" si="74"/>
        <v>11004.727092660238</v>
      </c>
      <c r="BI75" s="8">
        <f t="shared" si="74"/>
        <v>11246.83108869876</v>
      </c>
      <c r="BJ75" s="8">
        <f t="shared" si="74"/>
        <v>11494.261372650135</v>
      </c>
      <c r="BK75" s="8">
        <f t="shared" si="74"/>
        <v>0</v>
      </c>
      <c r="BL75" s="8">
        <f t="shared" si="74"/>
        <v>0</v>
      </c>
      <c r="BM75" s="8">
        <f t="shared" si="74"/>
        <v>0</v>
      </c>
      <c r="BN75" s="8">
        <f t="shared" si="74"/>
        <v>0</v>
      </c>
      <c r="BO75" s="8">
        <f t="shared" si="74"/>
        <v>0</v>
      </c>
      <c r="BP75" s="8">
        <f t="shared" si="74"/>
        <v>0</v>
      </c>
      <c r="BQ75" s="8">
        <f t="shared" si="74"/>
        <v>0</v>
      </c>
    </row>
    <row r="76" spans="1:69" x14ac:dyDescent="0.4">
      <c r="A76" t="s">
        <v>37</v>
      </c>
      <c r="B76" t="s">
        <v>16</v>
      </c>
      <c r="C76" t="s">
        <v>136</v>
      </c>
      <c r="D76" t="s">
        <v>133</v>
      </c>
      <c r="F76" s="8"/>
      <c r="G76" s="8">
        <f t="shared" ref="G76:AL76" si="75">IF(G$1&gt;Lifetime_UG,0,OM_Danger_Tree_Mitigation_Per_Mile*Distance_UG_1PH*(1+Inflation)^(G$3-2025))</f>
        <v>300.34737821612799</v>
      </c>
      <c r="H76" s="8">
        <f t="shared" si="75"/>
        <v>306.95502053688278</v>
      </c>
      <c r="I76" s="8">
        <f t="shared" si="75"/>
        <v>313.70803098869425</v>
      </c>
      <c r="J76" s="8">
        <f t="shared" si="75"/>
        <v>320.60960767044548</v>
      </c>
      <c r="K76" s="8">
        <f t="shared" si="75"/>
        <v>327.66301903919526</v>
      </c>
      <c r="L76" s="8">
        <f t="shared" si="75"/>
        <v>334.87160545805762</v>
      </c>
      <c r="M76" s="8">
        <f t="shared" si="75"/>
        <v>342.23878077813487</v>
      </c>
      <c r="N76" s="8">
        <f t="shared" si="75"/>
        <v>349.76803395525383</v>
      </c>
      <c r="O76" s="8">
        <f t="shared" si="75"/>
        <v>357.46293070226949</v>
      </c>
      <c r="P76" s="8">
        <f t="shared" si="75"/>
        <v>365.32711517771941</v>
      </c>
      <c r="Q76" s="8">
        <f t="shared" si="75"/>
        <v>373.36431171162923</v>
      </c>
      <c r="R76" s="8">
        <f t="shared" si="75"/>
        <v>381.57832656928503</v>
      </c>
      <c r="S76" s="8">
        <f t="shared" si="75"/>
        <v>389.97304975380933</v>
      </c>
      <c r="T76" s="8">
        <f t="shared" si="75"/>
        <v>398.55245684839315</v>
      </c>
      <c r="U76" s="8">
        <f t="shared" si="75"/>
        <v>407.32061089905778</v>
      </c>
      <c r="V76" s="8">
        <f t="shared" si="75"/>
        <v>416.28166433883706</v>
      </c>
      <c r="W76" s="8">
        <f t="shared" si="75"/>
        <v>425.43986095429148</v>
      </c>
      <c r="X76" s="8">
        <f t="shared" si="75"/>
        <v>434.79953789528594</v>
      </c>
      <c r="Y76" s="8">
        <f t="shared" si="75"/>
        <v>444.3651277289822</v>
      </c>
      <c r="Z76" s="8">
        <f t="shared" si="75"/>
        <v>454.14116053901978</v>
      </c>
      <c r="AA76" s="8">
        <f t="shared" si="75"/>
        <v>464.13226607087819</v>
      </c>
      <c r="AB76" s="8">
        <f t="shared" si="75"/>
        <v>474.34317592443756</v>
      </c>
      <c r="AC76" s="8">
        <f t="shared" si="75"/>
        <v>484.7787257947752</v>
      </c>
      <c r="AD76" s="8">
        <f t="shared" si="75"/>
        <v>495.44385776226028</v>
      </c>
      <c r="AE76" s="8">
        <f t="shared" si="75"/>
        <v>506.34362263303001</v>
      </c>
      <c r="AF76" s="8">
        <f t="shared" si="75"/>
        <v>517.48318233095665</v>
      </c>
      <c r="AG76" s="8">
        <f t="shared" si="75"/>
        <v>528.8678123422377</v>
      </c>
      <c r="AH76" s="8">
        <f t="shared" si="75"/>
        <v>540.5029042137669</v>
      </c>
      <c r="AI76" s="8">
        <f t="shared" si="75"/>
        <v>552.39396810646986</v>
      </c>
      <c r="AJ76" s="8">
        <f t="shared" si="75"/>
        <v>564.54663540481215</v>
      </c>
      <c r="AK76" s="8">
        <f t="shared" si="75"/>
        <v>576.96666138371802</v>
      </c>
      <c r="AL76" s="8">
        <f t="shared" si="75"/>
        <v>589.65992793415967</v>
      </c>
      <c r="AM76" s="8">
        <f t="shared" ref="AM76:BQ76" si="76">IF(AM$1&gt;Lifetime_UG,0,OM_Danger_Tree_Mitigation_Per_Mile*Distance_UG_1PH*(1+Inflation)^(AM$3-2025))</f>
        <v>602.63244634871137</v>
      </c>
      <c r="AN76" s="8">
        <f t="shared" si="76"/>
        <v>615.89036016838293</v>
      </c>
      <c r="AO76" s="8">
        <f t="shared" si="76"/>
        <v>629.43994809208743</v>
      </c>
      <c r="AP76" s="8">
        <f t="shared" si="76"/>
        <v>643.28762695011335</v>
      </c>
      <c r="AQ76" s="8">
        <f t="shared" si="76"/>
        <v>657.43995474301573</v>
      </c>
      <c r="AR76" s="8">
        <f t="shared" si="76"/>
        <v>671.90363374736228</v>
      </c>
      <c r="AS76" s="8">
        <f t="shared" si="76"/>
        <v>686.68551368980422</v>
      </c>
      <c r="AT76" s="8">
        <f t="shared" si="76"/>
        <v>701.79259499097986</v>
      </c>
      <c r="AU76" s="8">
        <f t="shared" si="76"/>
        <v>717.23203208078144</v>
      </c>
      <c r="AV76" s="8">
        <f t="shared" si="76"/>
        <v>733.01113678655872</v>
      </c>
      <c r="AW76" s="8">
        <f t="shared" si="76"/>
        <v>749.13738179586301</v>
      </c>
      <c r="AX76" s="8">
        <f t="shared" si="76"/>
        <v>765.61840419537191</v>
      </c>
      <c r="AY76" s="8">
        <f t="shared" si="76"/>
        <v>782.46200908767014</v>
      </c>
      <c r="AZ76" s="8">
        <f t="shared" si="76"/>
        <v>799.67617328759889</v>
      </c>
      <c r="BA76" s="8">
        <f t="shared" si="76"/>
        <v>817.26904909992618</v>
      </c>
      <c r="BB76" s="8">
        <f t="shared" si="76"/>
        <v>835.24896818012439</v>
      </c>
      <c r="BC76" s="8">
        <f t="shared" si="76"/>
        <v>853.62444548008716</v>
      </c>
      <c r="BD76" s="8">
        <f t="shared" si="76"/>
        <v>872.40418328064914</v>
      </c>
      <c r="BE76" s="8">
        <f t="shared" si="76"/>
        <v>891.59707531282345</v>
      </c>
      <c r="BF76" s="8">
        <f t="shared" si="76"/>
        <v>911.21221096970544</v>
      </c>
      <c r="BG76" s="8">
        <f t="shared" si="76"/>
        <v>931.25887961103888</v>
      </c>
      <c r="BH76" s="8">
        <f t="shared" si="76"/>
        <v>951.74657496248199</v>
      </c>
      <c r="BI76" s="8">
        <f t="shared" si="76"/>
        <v>972.68499961165651</v>
      </c>
      <c r="BJ76" s="8">
        <f t="shared" si="76"/>
        <v>994.08406960311311</v>
      </c>
      <c r="BK76" s="8">
        <f t="shared" si="76"/>
        <v>0</v>
      </c>
      <c r="BL76" s="8">
        <f t="shared" si="76"/>
        <v>0</v>
      </c>
      <c r="BM76" s="8">
        <f t="shared" si="76"/>
        <v>0</v>
      </c>
      <c r="BN76" s="8">
        <f t="shared" si="76"/>
        <v>0</v>
      </c>
      <c r="BO76" s="8">
        <f t="shared" si="76"/>
        <v>0</v>
      </c>
      <c r="BP76" s="8">
        <f t="shared" si="76"/>
        <v>0</v>
      </c>
      <c r="BQ76" s="8">
        <f t="shared" si="76"/>
        <v>0</v>
      </c>
    </row>
    <row r="77" spans="1:69" x14ac:dyDescent="0.4">
      <c r="A77" t="s">
        <v>37</v>
      </c>
      <c r="B77" t="s">
        <v>16</v>
      </c>
      <c r="C77" t="s">
        <v>136</v>
      </c>
      <c r="D77" t="s">
        <v>134</v>
      </c>
      <c r="F77" s="8"/>
      <c r="G77" s="8">
        <f t="shared" ref="G77:AL77" si="77">IF(G$1&lt;=BOOK_DEP_PERIOD_UG,CAPEX_MITIGATION_UG_1PH_AG*Net_Install_Taxable*Property_Tax_Rate_Assumption,0)</f>
        <v>481962.22130000003</v>
      </c>
      <c r="H77" s="8">
        <f t="shared" si="77"/>
        <v>481962.22130000003</v>
      </c>
      <c r="I77" s="8">
        <f t="shared" si="77"/>
        <v>481962.22130000003</v>
      </c>
      <c r="J77" s="8">
        <f t="shared" si="77"/>
        <v>481962.22130000003</v>
      </c>
      <c r="K77" s="8">
        <f t="shared" si="77"/>
        <v>481962.22130000003</v>
      </c>
      <c r="L77" s="8">
        <f t="shared" si="77"/>
        <v>481962.22130000003</v>
      </c>
      <c r="M77" s="8">
        <f t="shared" si="77"/>
        <v>481962.22130000003</v>
      </c>
      <c r="N77" s="8">
        <f t="shared" si="77"/>
        <v>481962.22130000003</v>
      </c>
      <c r="O77" s="8">
        <f t="shared" si="77"/>
        <v>481962.22130000003</v>
      </c>
      <c r="P77" s="8">
        <f t="shared" si="77"/>
        <v>481962.22130000003</v>
      </c>
      <c r="Q77" s="8">
        <f t="shared" si="77"/>
        <v>481962.22130000003</v>
      </c>
      <c r="R77" s="8">
        <f t="shared" si="77"/>
        <v>481962.22130000003</v>
      </c>
      <c r="S77" s="8">
        <f t="shared" si="77"/>
        <v>481962.22130000003</v>
      </c>
      <c r="T77" s="8">
        <f t="shared" si="77"/>
        <v>481962.22130000003</v>
      </c>
      <c r="U77" s="8">
        <f t="shared" si="77"/>
        <v>481962.22130000003</v>
      </c>
      <c r="V77" s="8">
        <f t="shared" si="77"/>
        <v>481962.22130000003</v>
      </c>
      <c r="W77" s="8">
        <f t="shared" si="77"/>
        <v>481962.22130000003</v>
      </c>
      <c r="X77" s="8">
        <f t="shared" si="77"/>
        <v>481962.22130000003</v>
      </c>
      <c r="Y77" s="8">
        <f t="shared" si="77"/>
        <v>481962.22130000003</v>
      </c>
      <c r="Z77" s="8">
        <f t="shared" si="77"/>
        <v>481962.22130000003</v>
      </c>
      <c r="AA77" s="8">
        <f t="shared" si="77"/>
        <v>481962.22130000003</v>
      </c>
      <c r="AB77" s="8">
        <f t="shared" si="77"/>
        <v>481962.22130000003</v>
      </c>
      <c r="AC77" s="8">
        <f t="shared" si="77"/>
        <v>481962.22130000003</v>
      </c>
      <c r="AD77" s="8">
        <f t="shared" si="77"/>
        <v>481962.22130000003</v>
      </c>
      <c r="AE77" s="8">
        <f t="shared" si="77"/>
        <v>481962.22130000003</v>
      </c>
      <c r="AF77" s="8">
        <f t="shared" si="77"/>
        <v>481962.22130000003</v>
      </c>
      <c r="AG77" s="8">
        <f t="shared" si="77"/>
        <v>481962.22130000003</v>
      </c>
      <c r="AH77" s="8">
        <f t="shared" si="77"/>
        <v>481962.22130000003</v>
      </c>
      <c r="AI77" s="8">
        <f t="shared" si="77"/>
        <v>481962.22130000003</v>
      </c>
      <c r="AJ77" s="8">
        <f t="shared" si="77"/>
        <v>481962.22130000003</v>
      </c>
      <c r="AK77" s="8">
        <f t="shared" si="77"/>
        <v>481962.22130000003</v>
      </c>
      <c r="AL77" s="8">
        <f t="shared" si="77"/>
        <v>481962.22130000003</v>
      </c>
      <c r="AM77" s="8">
        <f t="shared" ref="AM77:BQ77" si="78">IF(AM$1&lt;=BOOK_DEP_PERIOD_UG,CAPEX_MITIGATION_UG_1PH_AG*Net_Install_Taxable*Property_Tax_Rate_Assumption,0)</f>
        <v>481962.22130000003</v>
      </c>
      <c r="AN77" s="8">
        <f t="shared" si="78"/>
        <v>481962.22130000003</v>
      </c>
      <c r="AO77" s="8">
        <f t="shared" si="78"/>
        <v>481962.22130000003</v>
      </c>
      <c r="AP77" s="8">
        <f t="shared" si="78"/>
        <v>481962.22130000003</v>
      </c>
      <c r="AQ77" s="8">
        <f t="shared" si="78"/>
        <v>481962.22130000003</v>
      </c>
      <c r="AR77" s="8">
        <f t="shared" si="78"/>
        <v>481962.22130000003</v>
      </c>
      <c r="AS77" s="8">
        <f t="shared" si="78"/>
        <v>481962.22130000003</v>
      </c>
      <c r="AT77" s="8">
        <f t="shared" si="78"/>
        <v>481962.22130000003</v>
      </c>
      <c r="AU77" s="8">
        <f t="shared" si="78"/>
        <v>481962.22130000003</v>
      </c>
      <c r="AV77" s="8">
        <f t="shared" si="78"/>
        <v>481962.22130000003</v>
      </c>
      <c r="AW77" s="8">
        <f t="shared" si="78"/>
        <v>481962.22130000003</v>
      </c>
      <c r="AX77" s="8">
        <f t="shared" si="78"/>
        <v>481962.22130000003</v>
      </c>
      <c r="AY77" s="8">
        <f t="shared" si="78"/>
        <v>481962.22130000003</v>
      </c>
      <c r="AZ77" s="8">
        <f t="shared" si="78"/>
        <v>481962.22130000003</v>
      </c>
      <c r="BA77" s="8">
        <f t="shared" si="78"/>
        <v>481962.22130000003</v>
      </c>
      <c r="BB77" s="8">
        <f t="shared" si="78"/>
        <v>481962.22130000003</v>
      </c>
      <c r="BC77" s="8">
        <f t="shared" si="78"/>
        <v>481962.22130000003</v>
      </c>
      <c r="BD77" s="8">
        <f t="shared" si="78"/>
        <v>481962.22130000003</v>
      </c>
      <c r="BE77" s="8">
        <f t="shared" si="78"/>
        <v>0</v>
      </c>
      <c r="BF77" s="8">
        <f t="shared" si="78"/>
        <v>0</v>
      </c>
      <c r="BG77" s="8">
        <f t="shared" si="78"/>
        <v>0</v>
      </c>
      <c r="BH77" s="8">
        <f t="shared" si="78"/>
        <v>0</v>
      </c>
      <c r="BI77" s="8">
        <f t="shared" si="78"/>
        <v>0</v>
      </c>
      <c r="BJ77" s="8">
        <f t="shared" si="78"/>
        <v>0</v>
      </c>
      <c r="BK77" s="8">
        <f t="shared" si="78"/>
        <v>0</v>
      </c>
      <c r="BL77" s="8">
        <f t="shared" si="78"/>
        <v>0</v>
      </c>
      <c r="BM77" s="8">
        <f t="shared" si="78"/>
        <v>0</v>
      </c>
      <c r="BN77" s="8">
        <f t="shared" si="78"/>
        <v>0</v>
      </c>
      <c r="BO77" s="8">
        <f t="shared" si="78"/>
        <v>0</v>
      </c>
      <c r="BP77" s="8">
        <f t="shared" si="78"/>
        <v>0</v>
      </c>
      <c r="BQ77" s="8">
        <f t="shared" si="78"/>
        <v>0</v>
      </c>
    </row>
    <row r="78" spans="1:69" ht="19.5" thickBot="1" x14ac:dyDescent="0.45">
      <c r="A78" t="s">
        <v>37</v>
      </c>
      <c r="B78" t="s">
        <v>16</v>
      </c>
      <c r="C78" s="16" t="s">
        <v>136</v>
      </c>
      <c r="D78" s="16" t="s">
        <v>135</v>
      </c>
      <c r="E78" s="16"/>
      <c r="F78" s="17"/>
      <c r="G78" s="17">
        <f t="shared" ref="G78:P78" si="79">IF(G$1&gt;Lifetime_UG,0,OM_REDUCED_POLE_REVENUE*Distance_UG_1PH*(1+Inflation)^(G$58-2021))</f>
        <v>8933.7680571409128</v>
      </c>
      <c r="H78" s="17">
        <f t="shared" si="79"/>
        <v>9130.3109543980136</v>
      </c>
      <c r="I78" s="17">
        <f t="shared" si="79"/>
        <v>9331.1777953947694</v>
      </c>
      <c r="J78" s="17">
        <f t="shared" si="79"/>
        <v>9536.4637068934553</v>
      </c>
      <c r="K78" s="17">
        <f t="shared" si="79"/>
        <v>9746.2659084451116</v>
      </c>
      <c r="L78" s="17">
        <f t="shared" si="79"/>
        <v>9960.6837584309051</v>
      </c>
      <c r="M78" s="17">
        <f t="shared" si="79"/>
        <v>10179.818801116384</v>
      </c>
      <c r="N78" s="17">
        <f t="shared" si="79"/>
        <v>10403.774814740944</v>
      </c>
      <c r="O78" s="17">
        <f t="shared" si="79"/>
        <v>10632.657860665246</v>
      </c>
      <c r="P78" s="17">
        <f t="shared" si="79"/>
        <v>10866.576333599882</v>
      </c>
      <c r="Q78" s="42">
        <v>0</v>
      </c>
      <c r="R78" s="42">
        <v>0</v>
      </c>
      <c r="S78" s="42">
        <v>0</v>
      </c>
      <c r="T78" s="42">
        <v>0</v>
      </c>
      <c r="U78" s="42">
        <v>0</v>
      </c>
      <c r="V78" s="42">
        <v>0</v>
      </c>
      <c r="W78" s="42">
        <v>0</v>
      </c>
      <c r="X78" s="42">
        <v>0</v>
      </c>
      <c r="Y78" s="42">
        <v>0</v>
      </c>
      <c r="Z78" s="42">
        <v>0</v>
      </c>
      <c r="AA78" s="42">
        <v>0</v>
      </c>
      <c r="AB78" s="42">
        <v>0</v>
      </c>
      <c r="AC78" s="42">
        <v>0</v>
      </c>
      <c r="AD78" s="42">
        <v>0</v>
      </c>
      <c r="AE78" s="42">
        <v>0</v>
      </c>
      <c r="AF78" s="42">
        <v>0</v>
      </c>
      <c r="AG78" s="42">
        <v>0</v>
      </c>
      <c r="AH78" s="42">
        <v>0</v>
      </c>
      <c r="AI78" s="42">
        <v>0</v>
      </c>
      <c r="AJ78" s="42">
        <v>0</v>
      </c>
      <c r="AK78" s="42">
        <v>0</v>
      </c>
      <c r="AL78" s="42">
        <v>0</v>
      </c>
      <c r="AM78" s="42">
        <v>0</v>
      </c>
      <c r="AN78" s="42">
        <v>0</v>
      </c>
      <c r="AO78" s="42">
        <v>0</v>
      </c>
      <c r="AP78" s="42">
        <v>0</v>
      </c>
      <c r="AQ78" s="42">
        <v>0</v>
      </c>
      <c r="AR78" s="42">
        <v>0</v>
      </c>
      <c r="AS78" s="42">
        <v>0</v>
      </c>
      <c r="AT78" s="42">
        <v>0</v>
      </c>
      <c r="AU78" s="42">
        <v>0</v>
      </c>
      <c r="AV78" s="42">
        <v>0</v>
      </c>
      <c r="AW78" s="42">
        <v>0</v>
      </c>
      <c r="AX78" s="42">
        <v>0</v>
      </c>
      <c r="AY78" s="42">
        <v>0</v>
      </c>
      <c r="AZ78" s="42">
        <v>0</v>
      </c>
      <c r="BA78" s="42">
        <v>0</v>
      </c>
      <c r="BB78" s="42">
        <v>0</v>
      </c>
      <c r="BC78" s="42">
        <v>0</v>
      </c>
      <c r="BD78" s="42">
        <v>0</v>
      </c>
      <c r="BE78" s="42">
        <v>0</v>
      </c>
      <c r="BF78" s="42">
        <v>0</v>
      </c>
      <c r="BG78" s="42">
        <v>0</v>
      </c>
      <c r="BH78" s="42">
        <v>0</v>
      </c>
      <c r="BI78" s="42">
        <v>0</v>
      </c>
      <c r="BJ78" s="42">
        <v>0</v>
      </c>
      <c r="BK78" s="42">
        <v>0</v>
      </c>
      <c r="BL78" s="42">
        <v>0</v>
      </c>
      <c r="BM78" s="42">
        <v>0</v>
      </c>
      <c r="BN78" s="42">
        <v>0</v>
      </c>
      <c r="BO78" s="42">
        <v>0</v>
      </c>
      <c r="BP78" s="42">
        <v>0</v>
      </c>
      <c r="BQ78" s="42">
        <v>0</v>
      </c>
    </row>
    <row r="79" spans="1:69" ht="19.5" thickTop="1" x14ac:dyDescent="0.4">
      <c r="C79" s="14" t="s">
        <v>161</v>
      </c>
      <c r="D79" s="14"/>
      <c r="E79" s="14"/>
      <c r="F79" s="15"/>
      <c r="G79" s="15">
        <f t="shared" ref="G79:AL79" si="80">SUM(G69:G78)</f>
        <v>3740256.1221126593</v>
      </c>
      <c r="H79" s="15">
        <f t="shared" si="80"/>
        <v>3662157.9812519876</v>
      </c>
      <c r="I79" s="15">
        <f t="shared" si="80"/>
        <v>3573277.4274771791</v>
      </c>
      <c r="J79" s="15">
        <f t="shared" si="80"/>
        <v>3488272.6251211329</v>
      </c>
      <c r="K79" s="15">
        <f t="shared" si="80"/>
        <v>3406856.272379647</v>
      </c>
      <c r="L79" s="15">
        <f t="shared" si="80"/>
        <v>3328763.244954295</v>
      </c>
      <c r="M79" s="15">
        <f t="shared" si="80"/>
        <v>3253746.903574184</v>
      </c>
      <c r="N79" s="15">
        <f t="shared" si="80"/>
        <v>3181579.0945090679</v>
      </c>
      <c r="O79" s="15">
        <f t="shared" si="80"/>
        <v>3111016.1160258832</v>
      </c>
      <c r="P79" s="15">
        <f t="shared" si="80"/>
        <v>3040710.8846961972</v>
      </c>
      <c r="Q79" s="15">
        <f t="shared" si="80"/>
        <v>2958984.5301345102</v>
      </c>
      <c r="R79" s="15">
        <f t="shared" si="80"/>
        <v>2888138.3942831107</v>
      </c>
      <c r="S79" s="15">
        <f t="shared" si="80"/>
        <v>2817306.2009406839</v>
      </c>
      <c r="T79" s="15">
        <f t="shared" si="80"/>
        <v>2746488.2568424274</v>
      </c>
      <c r="U79" s="15">
        <f t="shared" si="80"/>
        <v>2675684.875471714</v>
      </c>
      <c r="V79" s="15">
        <f t="shared" si="80"/>
        <v>2604896.3772085491</v>
      </c>
      <c r="W79" s="15">
        <f t="shared" si="80"/>
        <v>2534123.0894812988</v>
      </c>
      <c r="X79" s="15">
        <f t="shared" si="80"/>
        <v>2463365.3469217531</v>
      </c>
      <c r="Y79" s="15">
        <f t="shared" si="80"/>
        <v>2392623.491523602</v>
      </c>
      <c r="Z79" s="15">
        <f t="shared" si="80"/>
        <v>2321897.8728043949</v>
      </c>
      <c r="AA79" s="15">
        <f t="shared" si="80"/>
        <v>2259427.8837168696</v>
      </c>
      <c r="AB79" s="15">
        <f t="shared" si="80"/>
        <v>2213449.232093493</v>
      </c>
      <c r="AC79" s="15">
        <f t="shared" si="80"/>
        <v>2175726.9482642179</v>
      </c>
      <c r="AD79" s="15">
        <f t="shared" si="80"/>
        <v>2138022.3777883062</v>
      </c>
      <c r="AE79" s="15">
        <f t="shared" si="80"/>
        <v>2100335.9103595326</v>
      </c>
      <c r="AF79" s="15">
        <f t="shared" si="80"/>
        <v>2062667.9442449335</v>
      </c>
      <c r="AG79" s="15">
        <f t="shared" si="80"/>
        <v>2025018.8864734219</v>
      </c>
      <c r="AH79" s="15">
        <f t="shared" si="80"/>
        <v>1987389.153028544</v>
      </c>
      <c r="AI79" s="15">
        <f t="shared" si="80"/>
        <v>1949779.1690454872</v>
      </c>
      <c r="AJ79" s="15">
        <f t="shared" si="80"/>
        <v>1912189.3690124112</v>
      </c>
      <c r="AK79" s="15">
        <f t="shared" si="80"/>
        <v>1874620.1969762156</v>
      </c>
      <c r="AL79" s="15">
        <f t="shared" si="80"/>
        <v>1837072.1067528315</v>
      </c>
      <c r="AM79" s="15">
        <f t="shared" ref="AM79:BQ79" si="81">SUM(AM69:AM78)</f>
        <v>1799545.5621421409</v>
      </c>
      <c r="AN79" s="15">
        <f t="shared" si="81"/>
        <v>1762041.0371476228</v>
      </c>
      <c r="AO79" s="15">
        <f t="shared" si="81"/>
        <v>1724559.016200834</v>
      </c>
      <c r="AP79" s="15">
        <f t="shared" si="81"/>
        <v>1687099.9943908232</v>
      </c>
      <c r="AQ79" s="15">
        <f t="shared" si="81"/>
        <v>1649664.4776986002</v>
      </c>
      <c r="AR79" s="15">
        <f t="shared" si="81"/>
        <v>1612252.9832367559</v>
      </c>
      <c r="AS79" s="15">
        <f t="shared" si="81"/>
        <v>1574866.0394943596</v>
      </c>
      <c r="AT79" s="15">
        <f t="shared" si="81"/>
        <v>1537504.186587238</v>
      </c>
      <c r="AU79" s="15">
        <f t="shared" si="81"/>
        <v>1500167.9765137676</v>
      </c>
      <c r="AV79" s="15">
        <f t="shared" si="81"/>
        <v>1462857.9734162891</v>
      </c>
      <c r="AW79" s="15">
        <f t="shared" si="81"/>
        <v>1425574.753848274</v>
      </c>
      <c r="AX79" s="15">
        <f t="shared" si="81"/>
        <v>1388318.9070473704</v>
      </c>
      <c r="AY79" s="15">
        <f t="shared" si="81"/>
        <v>1351091.0352144549</v>
      </c>
      <c r="AZ79" s="15">
        <f t="shared" si="81"/>
        <v>1313891.7537988231</v>
      </c>
      <c r="BA79" s="15">
        <f t="shared" si="81"/>
        <v>1276721.6917896555</v>
      </c>
      <c r="BB79" s="15">
        <f t="shared" si="81"/>
        <v>1239581.4920138938</v>
      </c>
      <c r="BC79" s="15">
        <f t="shared" si="81"/>
        <v>1202471.8114406734</v>
      </c>
      <c r="BD79" s="15">
        <f t="shared" si="81"/>
        <v>1165393.3214924505</v>
      </c>
      <c r="BE79" s="15">
        <f t="shared" si="81"/>
        <v>68790.965190425908</v>
      </c>
      <c r="BF79" s="15">
        <f t="shared" si="81"/>
        <v>70304.366424613923</v>
      </c>
      <c r="BG79" s="15">
        <f t="shared" si="81"/>
        <v>71851.062485955408</v>
      </c>
      <c r="BH79" s="15">
        <f t="shared" si="81"/>
        <v>73431.785860646429</v>
      </c>
      <c r="BI79" s="15">
        <f t="shared" si="81"/>
        <v>75047.285149580639</v>
      </c>
      <c r="BJ79" s="15">
        <f t="shared" si="81"/>
        <v>76698.325422871407</v>
      </c>
      <c r="BK79" s="15">
        <f t="shared" si="81"/>
        <v>3.1707459129393102E-10</v>
      </c>
      <c r="BL79" s="15">
        <f t="shared" si="81"/>
        <v>3.1707459129393102E-10</v>
      </c>
      <c r="BM79" s="15">
        <f t="shared" si="81"/>
        <v>3.1707459129393102E-10</v>
      </c>
      <c r="BN79" s="15">
        <f t="shared" si="81"/>
        <v>3.1707459129393102E-10</v>
      </c>
      <c r="BO79" s="15">
        <f t="shared" si="81"/>
        <v>3.1707459129393102E-10</v>
      </c>
      <c r="BP79" s="15">
        <f t="shared" si="81"/>
        <v>3.1707459129393102E-10</v>
      </c>
      <c r="BQ79" s="15">
        <f t="shared" si="81"/>
        <v>3.1707459129393102E-10</v>
      </c>
    </row>
    <row r="80" spans="1:69" x14ac:dyDescent="0.4">
      <c r="C80" s="11" t="s">
        <v>162</v>
      </c>
      <c r="D80" s="11" t="s">
        <v>127</v>
      </c>
      <c r="G80" s="8">
        <f t="shared" ref="G80:AL80" si="82">SUM(G69:G70)</f>
        <v>3228712.4279002715</v>
      </c>
      <c r="H80" s="8">
        <f t="shared" si="82"/>
        <v>3149676.7069767546</v>
      </c>
      <c r="I80" s="8">
        <f t="shared" si="82"/>
        <v>3059831.6370492252</v>
      </c>
      <c r="J80" s="8">
        <f t="shared" si="82"/>
        <v>2973834.6510513779</v>
      </c>
      <c r="K80" s="8">
        <f t="shared" si="82"/>
        <v>2891397.6966353105</v>
      </c>
      <c r="L80" s="8">
        <f t="shared" si="82"/>
        <v>2812254.8793260343</v>
      </c>
      <c r="M80" s="8">
        <f t="shared" si="82"/>
        <v>2736158.7695426596</v>
      </c>
      <c r="N80" s="8">
        <f t="shared" si="82"/>
        <v>2662880.4025983904</v>
      </c>
      <c r="O80" s="8">
        <f t="shared" si="82"/>
        <v>2591175.2446311312</v>
      </c>
      <c r="P80" s="8">
        <f t="shared" si="82"/>
        <v>2519695.3583718478</v>
      </c>
      <c r="Q80" s="8">
        <f t="shared" si="82"/>
        <v>2448215.4721125644</v>
      </c>
      <c r="R80" s="8">
        <f t="shared" si="82"/>
        <v>2376735.5858532814</v>
      </c>
      <c r="S80" s="8">
        <f t="shared" si="82"/>
        <v>2305255.6995939985</v>
      </c>
      <c r="T80" s="8">
        <f t="shared" si="82"/>
        <v>2233775.8133347151</v>
      </c>
      <c r="U80" s="8">
        <f t="shared" si="82"/>
        <v>2162295.9270754317</v>
      </c>
      <c r="V80" s="8">
        <f t="shared" si="82"/>
        <v>2090816.0408161487</v>
      </c>
      <c r="W80" s="8">
        <f t="shared" si="82"/>
        <v>2019336.1545568656</v>
      </c>
      <c r="X80" s="8">
        <f t="shared" si="82"/>
        <v>1947856.2682975824</v>
      </c>
      <c r="Y80" s="8">
        <f t="shared" si="82"/>
        <v>1876376.3820382992</v>
      </c>
      <c r="Z80" s="8">
        <f t="shared" si="82"/>
        <v>1804896.4957790158</v>
      </c>
      <c r="AA80" s="8">
        <f t="shared" si="82"/>
        <v>1741655.645265532</v>
      </c>
      <c r="AB80" s="8">
        <f t="shared" si="82"/>
        <v>1694889.1732648264</v>
      </c>
      <c r="AC80" s="8">
        <f t="shared" si="82"/>
        <v>1656361.7370099204</v>
      </c>
      <c r="AD80" s="8">
        <f t="shared" si="82"/>
        <v>1617834.3007550142</v>
      </c>
      <c r="AE80" s="8">
        <f t="shared" si="82"/>
        <v>1579306.8645001082</v>
      </c>
      <c r="AF80" s="8">
        <f t="shared" si="82"/>
        <v>1540779.4282452017</v>
      </c>
      <c r="AG80" s="8">
        <f t="shared" si="82"/>
        <v>1502251.9919902957</v>
      </c>
      <c r="AH80" s="8">
        <f t="shared" si="82"/>
        <v>1463724.5557353892</v>
      </c>
      <c r="AI80" s="8">
        <f t="shared" si="82"/>
        <v>1425197.1194804832</v>
      </c>
      <c r="AJ80" s="8">
        <f t="shared" si="82"/>
        <v>1386669.683225577</v>
      </c>
      <c r="AK80" s="8">
        <f t="shared" si="82"/>
        <v>1348142.246970671</v>
      </c>
      <c r="AL80" s="8">
        <f t="shared" si="82"/>
        <v>1309614.8107157648</v>
      </c>
      <c r="AM80" s="8">
        <f t="shared" ref="AM80:BQ80" si="83">SUM(AM69:AM70)</f>
        <v>1271087.3744608588</v>
      </c>
      <c r="AN80" s="8">
        <f t="shared" si="83"/>
        <v>1232559.9382059528</v>
      </c>
      <c r="AO80" s="8">
        <f t="shared" si="83"/>
        <v>1194032.5019510468</v>
      </c>
      <c r="AP80" s="8">
        <f t="shared" si="83"/>
        <v>1155505.0656961408</v>
      </c>
      <c r="AQ80" s="8">
        <f t="shared" si="83"/>
        <v>1116977.6294412347</v>
      </c>
      <c r="AR80" s="8">
        <f t="shared" si="83"/>
        <v>1078450.1931863287</v>
      </c>
      <c r="AS80" s="8">
        <f t="shared" si="83"/>
        <v>1039922.7569314227</v>
      </c>
      <c r="AT80" s="8">
        <f t="shared" si="83"/>
        <v>1001395.3206765166</v>
      </c>
      <c r="AU80" s="8">
        <f t="shared" si="83"/>
        <v>962867.88442161051</v>
      </c>
      <c r="AV80" s="8">
        <f t="shared" si="83"/>
        <v>924340.4481667045</v>
      </c>
      <c r="AW80" s="8">
        <f t="shared" si="83"/>
        <v>885813.01191179838</v>
      </c>
      <c r="AX80" s="8">
        <f t="shared" si="83"/>
        <v>847285.57565689238</v>
      </c>
      <c r="AY80" s="8">
        <f t="shared" si="83"/>
        <v>808758.13940198626</v>
      </c>
      <c r="AZ80" s="8">
        <f t="shared" si="83"/>
        <v>770230.70314708026</v>
      </c>
      <c r="BA80" s="8">
        <f t="shared" si="83"/>
        <v>731703.26689217414</v>
      </c>
      <c r="BB80" s="8">
        <f t="shared" si="83"/>
        <v>693175.83063726814</v>
      </c>
      <c r="BC80" s="8">
        <f t="shared" si="83"/>
        <v>654648.39438236202</v>
      </c>
      <c r="BD80" s="8">
        <f t="shared" si="83"/>
        <v>616120.95812745602</v>
      </c>
      <c r="BE80" s="8">
        <f t="shared" si="83"/>
        <v>1.6477482859045269E-9</v>
      </c>
      <c r="BF80" s="8">
        <f t="shared" si="83"/>
        <v>3.1707459129393102E-10</v>
      </c>
      <c r="BG80" s="8">
        <f t="shared" si="83"/>
        <v>3.1707459129393102E-10</v>
      </c>
      <c r="BH80" s="8">
        <f t="shared" si="83"/>
        <v>3.1707459129393102E-10</v>
      </c>
      <c r="BI80" s="8">
        <f t="shared" si="83"/>
        <v>3.1707459129393102E-10</v>
      </c>
      <c r="BJ80" s="8">
        <f t="shared" si="83"/>
        <v>3.1707459129393102E-10</v>
      </c>
      <c r="BK80" s="8">
        <f t="shared" si="83"/>
        <v>3.1707459129393102E-10</v>
      </c>
      <c r="BL80" s="8">
        <f t="shared" si="83"/>
        <v>3.1707459129393102E-10</v>
      </c>
      <c r="BM80" s="8">
        <f t="shared" si="83"/>
        <v>3.1707459129393102E-10</v>
      </c>
      <c r="BN80" s="8">
        <f t="shared" si="83"/>
        <v>3.1707459129393102E-10</v>
      </c>
      <c r="BO80" s="8">
        <f t="shared" si="83"/>
        <v>3.1707459129393102E-10</v>
      </c>
      <c r="BP80" s="8">
        <f t="shared" si="83"/>
        <v>3.1707459129393102E-10</v>
      </c>
      <c r="BQ80" s="8">
        <f t="shared" si="83"/>
        <v>3.1707459129393102E-10</v>
      </c>
    </row>
    <row r="81" spans="3:69" x14ac:dyDescent="0.4">
      <c r="C81" s="11" t="s">
        <v>162</v>
      </c>
      <c r="D81" t="s">
        <v>136</v>
      </c>
      <c r="G81" s="8">
        <f t="shared" ref="G81:AL81" si="84">SUM(G71:G78)</f>
        <v>511543.69421238784</v>
      </c>
      <c r="H81" s="8">
        <f t="shared" si="84"/>
        <v>512481.27427523321</v>
      </c>
      <c r="I81" s="8">
        <f t="shared" si="84"/>
        <v>513445.79042795423</v>
      </c>
      <c r="J81" s="8">
        <f t="shared" si="84"/>
        <v>514437.97406975488</v>
      </c>
      <c r="K81" s="8">
        <f t="shared" si="84"/>
        <v>515458.57574433694</v>
      </c>
      <c r="L81" s="8">
        <f t="shared" si="84"/>
        <v>516508.36562825995</v>
      </c>
      <c r="M81" s="8">
        <f t="shared" si="84"/>
        <v>517588.13403152453</v>
      </c>
      <c r="N81" s="8">
        <f t="shared" si="84"/>
        <v>518698.69191067794</v>
      </c>
      <c r="O81" s="8">
        <f t="shared" si="84"/>
        <v>519840.871394752</v>
      </c>
      <c r="P81" s="8">
        <f t="shared" si="84"/>
        <v>521015.52632434975</v>
      </c>
      <c r="Q81" s="8">
        <f t="shared" si="84"/>
        <v>510769.05802194634</v>
      </c>
      <c r="R81" s="8">
        <f t="shared" si="84"/>
        <v>511402.80842982919</v>
      </c>
      <c r="S81" s="8">
        <f t="shared" si="84"/>
        <v>512050.5013466854</v>
      </c>
      <c r="T81" s="8">
        <f t="shared" si="84"/>
        <v>512712.44350771251</v>
      </c>
      <c r="U81" s="8">
        <f t="shared" si="84"/>
        <v>513388.94839628215</v>
      </c>
      <c r="V81" s="8">
        <f t="shared" si="84"/>
        <v>514080.33639240038</v>
      </c>
      <c r="W81" s="8">
        <f t="shared" si="84"/>
        <v>514786.93492443318</v>
      </c>
      <c r="X81" s="8">
        <f t="shared" si="84"/>
        <v>515509.07862417074</v>
      </c>
      <c r="Y81" s="8">
        <f t="shared" si="84"/>
        <v>516247.10948530247</v>
      </c>
      <c r="Z81" s="8">
        <f t="shared" si="84"/>
        <v>517001.37702537916</v>
      </c>
      <c r="AA81" s="8">
        <f t="shared" si="84"/>
        <v>517772.2384513375</v>
      </c>
      <c r="AB81" s="8">
        <f t="shared" si="84"/>
        <v>518560.05882866692</v>
      </c>
      <c r="AC81" s="8">
        <f t="shared" si="84"/>
        <v>519365.21125429758</v>
      </c>
      <c r="AD81" s="8">
        <f t="shared" si="84"/>
        <v>520188.07703329215</v>
      </c>
      <c r="AE81" s="8">
        <f t="shared" si="84"/>
        <v>521029.04585942457</v>
      </c>
      <c r="AF81" s="8">
        <f t="shared" si="84"/>
        <v>521888.5159997319</v>
      </c>
      <c r="AG81" s="8">
        <f t="shared" si="84"/>
        <v>522766.894483126</v>
      </c>
      <c r="AH81" s="8">
        <f t="shared" si="84"/>
        <v>523664.59729315474</v>
      </c>
      <c r="AI81" s="8">
        <f t="shared" si="84"/>
        <v>524582.04956500418</v>
      </c>
      <c r="AJ81" s="8">
        <f t="shared" si="84"/>
        <v>525519.68578683422</v>
      </c>
      <c r="AK81" s="8">
        <f t="shared" si="84"/>
        <v>526477.95000554458</v>
      </c>
      <c r="AL81" s="8">
        <f t="shared" si="84"/>
        <v>527457.29603706661</v>
      </c>
      <c r="AM81" s="8">
        <f t="shared" ref="AM81:BQ81" si="85">SUM(AM71:AM78)</f>
        <v>528458.18768128206</v>
      </c>
      <c r="AN81" s="8">
        <f t="shared" si="85"/>
        <v>529481.09894167027</v>
      </c>
      <c r="AO81" s="8">
        <f t="shared" si="85"/>
        <v>530526.51424978697</v>
      </c>
      <c r="AP81" s="8">
        <f t="shared" si="85"/>
        <v>531594.92869468231</v>
      </c>
      <c r="AQ81" s="8">
        <f t="shared" si="85"/>
        <v>532686.84825736529</v>
      </c>
      <c r="AR81" s="8">
        <f t="shared" si="85"/>
        <v>533802.79005042743</v>
      </c>
      <c r="AS81" s="8">
        <f t="shared" si="85"/>
        <v>534943.28256293677</v>
      </c>
      <c r="AT81" s="8">
        <f t="shared" si="85"/>
        <v>536108.86591072136</v>
      </c>
      <c r="AU81" s="8">
        <f t="shared" si="85"/>
        <v>537300.09209215723</v>
      </c>
      <c r="AV81" s="8">
        <f t="shared" si="85"/>
        <v>538517.52524958469</v>
      </c>
      <c r="AW81" s="8">
        <f t="shared" si="85"/>
        <v>539761.74193647562</v>
      </c>
      <c r="AX81" s="8">
        <f t="shared" si="85"/>
        <v>541033.33139047807</v>
      </c>
      <c r="AY81" s="8">
        <f t="shared" si="85"/>
        <v>542332.8958124686</v>
      </c>
      <c r="AZ81" s="8">
        <f t="shared" si="85"/>
        <v>543661.05065174284</v>
      </c>
      <c r="BA81" s="8">
        <f t="shared" si="85"/>
        <v>545018.42489748122</v>
      </c>
      <c r="BB81" s="8">
        <f t="shared" si="85"/>
        <v>546405.66137662577</v>
      </c>
      <c r="BC81" s="8">
        <f t="shared" si="85"/>
        <v>547823.41705831152</v>
      </c>
      <c r="BD81" s="8">
        <f t="shared" si="85"/>
        <v>549272.36336499441</v>
      </c>
      <c r="BE81" s="8">
        <f t="shared" si="85"/>
        <v>68790.965190424249</v>
      </c>
      <c r="BF81" s="8">
        <f t="shared" si="85"/>
        <v>70304.366424613603</v>
      </c>
      <c r="BG81" s="8">
        <f t="shared" si="85"/>
        <v>71851.062485955088</v>
      </c>
      <c r="BH81" s="8">
        <f t="shared" si="85"/>
        <v>73431.785860646109</v>
      </c>
      <c r="BI81" s="8">
        <f t="shared" si="85"/>
        <v>75047.285149580319</v>
      </c>
      <c r="BJ81" s="8">
        <f t="shared" si="85"/>
        <v>76698.325422871087</v>
      </c>
      <c r="BK81" s="8">
        <f t="shared" si="85"/>
        <v>0</v>
      </c>
      <c r="BL81" s="8">
        <f t="shared" si="85"/>
        <v>0</v>
      </c>
      <c r="BM81" s="8">
        <f t="shared" si="85"/>
        <v>0</v>
      </c>
      <c r="BN81" s="8">
        <f t="shared" si="85"/>
        <v>0</v>
      </c>
      <c r="BO81" s="8">
        <f t="shared" si="85"/>
        <v>0</v>
      </c>
      <c r="BP81" s="8">
        <f t="shared" si="85"/>
        <v>0</v>
      </c>
      <c r="BQ81" s="8">
        <f t="shared" si="85"/>
        <v>0</v>
      </c>
    </row>
    <row r="82" spans="3:69" x14ac:dyDescent="0.4">
      <c r="C82" s="11" t="s">
        <v>162</v>
      </c>
      <c r="D82" t="s">
        <v>164</v>
      </c>
      <c r="G82" s="8">
        <f>SUM(G73:G76,G78)</f>
        <v>21072.740340310731</v>
      </c>
      <c r="H82" s="8">
        <f t="shared" ref="H82:BQ82" si="86">SUM(H73:H76,H78)</f>
        <v>21536.34062779757</v>
      </c>
      <c r="I82" s="8">
        <f t="shared" si="86"/>
        <v>22010.140121609118</v>
      </c>
      <c r="J82" s="8">
        <f t="shared" si="86"/>
        <v>22494.36320428452</v>
      </c>
      <c r="K82" s="8">
        <f t="shared" si="86"/>
        <v>22989.239194778776</v>
      </c>
      <c r="L82" s="8">
        <f t="shared" si="86"/>
        <v>23495.002457063914</v>
      </c>
      <c r="M82" s="8">
        <f t="shared" si="86"/>
        <v>24011.892511119317</v>
      </c>
      <c r="N82" s="8">
        <f t="shared" si="86"/>
        <v>24540.154146363941</v>
      </c>
      <c r="O82" s="8">
        <f t="shared" si="86"/>
        <v>25080.03753758395</v>
      </c>
      <c r="P82" s="8">
        <f t="shared" si="86"/>
        <v>25631.798363410799</v>
      </c>
      <c r="Q82" s="8">
        <f t="shared" si="86"/>
        <v>15090.056914466757</v>
      </c>
      <c r="R82" s="8">
        <f t="shared" si="86"/>
        <v>15422.038166585025</v>
      </c>
      <c r="S82" s="8">
        <f t="shared" si="86"/>
        <v>15761.323006249893</v>
      </c>
      <c r="T82" s="8">
        <f t="shared" si="86"/>
        <v>16108.072112387392</v>
      </c>
      <c r="U82" s="8">
        <f t="shared" si="86"/>
        <v>16462.449698859913</v>
      </c>
      <c r="V82" s="8">
        <f t="shared" si="86"/>
        <v>16824.623592234835</v>
      </c>
      <c r="W82" s="8">
        <f t="shared" si="86"/>
        <v>17194.765311264</v>
      </c>
      <c r="X82" s="8">
        <f t="shared" si="86"/>
        <v>17573.050148111812</v>
      </c>
      <c r="Y82" s="8">
        <f t="shared" si="86"/>
        <v>17959.65725137027</v>
      </c>
      <c r="Z82" s="8">
        <f t="shared" si="86"/>
        <v>18354.769710900415</v>
      </c>
      <c r="AA82" s="8">
        <f t="shared" si="86"/>
        <v>18758.574644540226</v>
      </c>
      <c r="AB82" s="8">
        <f t="shared" si="86"/>
        <v>19171.26328672011</v>
      </c>
      <c r="AC82" s="8">
        <f t="shared" si="86"/>
        <v>19593.031079027955</v>
      </c>
      <c r="AD82" s="8">
        <f t="shared" si="86"/>
        <v>20024.077762766567</v>
      </c>
      <c r="AE82" s="8">
        <f t="shared" si="86"/>
        <v>20464.607473547432</v>
      </c>
      <c r="AF82" s="8">
        <f t="shared" si="86"/>
        <v>20914.828837965477</v>
      </c>
      <c r="AG82" s="8">
        <f t="shared" si="86"/>
        <v>21374.955072400717</v>
      </c>
      <c r="AH82" s="8">
        <f t="shared" si="86"/>
        <v>21845.204083993536</v>
      </c>
      <c r="AI82" s="8">
        <f t="shared" si="86"/>
        <v>22325.798573841388</v>
      </c>
      <c r="AJ82" s="8">
        <f t="shared" si="86"/>
        <v>22816.966142465899</v>
      </c>
      <c r="AK82" s="8">
        <f t="shared" si="86"/>
        <v>23318.939397600152</v>
      </c>
      <c r="AL82" s="8">
        <f t="shared" si="86"/>
        <v>23831.95606434736</v>
      </c>
      <c r="AM82" s="8">
        <f t="shared" si="86"/>
        <v>24356.259097762995</v>
      </c>
      <c r="AN82" s="8">
        <f t="shared" si="86"/>
        <v>24892.096797913782</v>
      </c>
      <c r="AO82" s="8">
        <f t="shared" si="86"/>
        <v>25439.722927467883</v>
      </c>
      <c r="AP82" s="8">
        <f t="shared" si="86"/>
        <v>25999.396831872182</v>
      </c>
      <c r="AQ82" s="8">
        <f t="shared" si="86"/>
        <v>26571.383562173367</v>
      </c>
      <c r="AR82" s="8">
        <f t="shared" si="86"/>
        <v>27155.95400054118</v>
      </c>
      <c r="AS82" s="8">
        <f t="shared" si="86"/>
        <v>27753.384988553091</v>
      </c>
      <c r="AT82" s="8">
        <f t="shared" si="86"/>
        <v>28363.959458301259</v>
      </c>
      <c r="AU82" s="8">
        <f t="shared" si="86"/>
        <v>28987.966566383886</v>
      </c>
      <c r="AV82" s="8">
        <f t="shared" si="86"/>
        <v>29625.701830844326</v>
      </c>
      <c r="AW82" s="8">
        <f t="shared" si="86"/>
        <v>30277.467271122903</v>
      </c>
      <c r="AX82" s="8">
        <f t="shared" si="86"/>
        <v>30943.571551087607</v>
      </c>
      <c r="AY82" s="8">
        <f t="shared" si="86"/>
        <v>31624.330125211534</v>
      </c>
      <c r="AZ82" s="8">
        <f t="shared" si="86"/>
        <v>32320.065387966195</v>
      </c>
      <c r="BA82" s="8">
        <f t="shared" si="86"/>
        <v>33031.106826501447</v>
      </c>
      <c r="BB82" s="8">
        <f t="shared" si="86"/>
        <v>33757.791176684485</v>
      </c>
      <c r="BC82" s="8">
        <f t="shared" si="86"/>
        <v>34500.462582571534</v>
      </c>
      <c r="BD82" s="8">
        <f t="shared" si="86"/>
        <v>35259.472759388111</v>
      </c>
      <c r="BE82" s="8">
        <f t="shared" si="86"/>
        <v>36035.181160094653</v>
      </c>
      <c r="BF82" s="8">
        <f t="shared" si="86"/>
        <v>36827.955145616739</v>
      </c>
      <c r="BG82" s="8">
        <f t="shared" si="86"/>
        <v>37638.1701588203</v>
      </c>
      <c r="BH82" s="8">
        <f t="shared" si="86"/>
        <v>38466.209902314353</v>
      </c>
      <c r="BI82" s="8">
        <f t="shared" si="86"/>
        <v>39312.466520165275</v>
      </c>
      <c r="BJ82" s="8">
        <f t="shared" si="86"/>
        <v>40177.340783608903</v>
      </c>
      <c r="BK82" s="8">
        <f t="shared" si="86"/>
        <v>0</v>
      </c>
      <c r="BL82" s="8">
        <f t="shared" si="86"/>
        <v>0</v>
      </c>
      <c r="BM82" s="8">
        <f t="shared" si="86"/>
        <v>0</v>
      </c>
      <c r="BN82" s="8">
        <f t="shared" si="86"/>
        <v>0</v>
      </c>
      <c r="BO82" s="8">
        <f t="shared" si="86"/>
        <v>0</v>
      </c>
      <c r="BP82" s="8">
        <f t="shared" si="86"/>
        <v>0</v>
      </c>
      <c r="BQ82" s="8">
        <f t="shared" si="86"/>
        <v>0</v>
      </c>
    </row>
    <row r="83" spans="3:69" x14ac:dyDescent="0.4">
      <c r="C83" s="11" t="s">
        <v>162</v>
      </c>
      <c r="D83" t="s">
        <v>165</v>
      </c>
      <c r="G83" s="8">
        <f>G71</f>
        <v>2838.6641097612919</v>
      </c>
      <c r="H83" s="8">
        <f t="shared" ref="H83:BQ83" si="87">H71</f>
        <v>3187.9023789489002</v>
      </c>
      <c r="I83" s="8">
        <f t="shared" si="87"/>
        <v>3551.1332185516385</v>
      </c>
      <c r="J83" s="8">
        <f t="shared" si="87"/>
        <v>3928.8032703454855</v>
      </c>
      <c r="K83" s="8">
        <f t="shared" si="87"/>
        <v>4321.3720559404837</v>
      </c>
      <c r="L83" s="8">
        <f t="shared" si="87"/>
        <v>4729.3123273188148</v>
      </c>
      <c r="M83" s="8">
        <f t="shared" si="87"/>
        <v>5153.1104265627173</v>
      </c>
      <c r="N83" s="8">
        <f t="shared" si="87"/>
        <v>5593.2666550069289</v>
      </c>
      <c r="O83" s="8">
        <f t="shared" si="87"/>
        <v>6050.2956520562293</v>
      </c>
      <c r="P83" s="8">
        <f t="shared" si="87"/>
        <v>6524.7267839146743</v>
      </c>
      <c r="Q83" s="8">
        <f t="shared" si="87"/>
        <v>6668.270773160797</v>
      </c>
      <c r="R83" s="8">
        <f t="shared" si="87"/>
        <v>6814.9727301703351</v>
      </c>
      <c r="S83" s="8">
        <f t="shared" si="87"/>
        <v>6964.9021302340825</v>
      </c>
      <c r="T83" s="8">
        <f t="shared" si="87"/>
        <v>7118.1299770992327</v>
      </c>
      <c r="U83" s="8">
        <f t="shared" si="87"/>
        <v>7274.7288365954164</v>
      </c>
      <c r="V83" s="8">
        <f t="shared" si="87"/>
        <v>7434.7728710005158</v>
      </c>
      <c r="W83" s="8">
        <f t="shared" si="87"/>
        <v>7598.3378741625274</v>
      </c>
      <c r="X83" s="8">
        <f t="shared" si="87"/>
        <v>7765.5013073941036</v>
      </c>
      <c r="Y83" s="8">
        <f t="shared" si="87"/>
        <v>7936.3423361567739</v>
      </c>
      <c r="Z83" s="8">
        <f t="shared" si="87"/>
        <v>8110.9418675522229</v>
      </c>
      <c r="AA83" s="8">
        <f t="shared" si="87"/>
        <v>8289.3825886383711</v>
      </c>
      <c r="AB83" s="8">
        <f t="shared" si="87"/>
        <v>8471.7490055884155</v>
      </c>
      <c r="AC83" s="8">
        <f t="shared" si="87"/>
        <v>8658.1274837113615</v>
      </c>
      <c r="AD83" s="8">
        <f t="shared" si="87"/>
        <v>8848.6062883530121</v>
      </c>
      <c r="AE83" s="8">
        <f t="shared" si="87"/>
        <v>9043.275626696779</v>
      </c>
      <c r="AF83" s="8">
        <f t="shared" si="87"/>
        <v>9242.2276904841092</v>
      </c>
      <c r="AG83" s="8">
        <f t="shared" si="87"/>
        <v>9445.5566996747602</v>
      </c>
      <c r="AH83" s="8">
        <f t="shared" si="87"/>
        <v>9653.3589470676052</v>
      </c>
      <c r="AI83" s="8">
        <f t="shared" si="87"/>
        <v>9865.7328439030935</v>
      </c>
      <c r="AJ83" s="8">
        <f t="shared" si="87"/>
        <v>10082.778966468963</v>
      </c>
      <c r="AK83" s="8">
        <f t="shared" si="87"/>
        <v>10304.60010373128</v>
      </c>
      <c r="AL83" s="8">
        <f t="shared" si="87"/>
        <v>10531.301306013369</v>
      </c>
      <c r="AM83" s="8">
        <f t="shared" si="87"/>
        <v>10762.989934745663</v>
      </c>
      <c r="AN83" s="8">
        <f t="shared" si="87"/>
        <v>10999.775713310068</v>
      </c>
      <c r="AO83" s="8">
        <f t="shared" si="87"/>
        <v>11241.770779002889</v>
      </c>
      <c r="AP83" s="8">
        <f t="shared" si="87"/>
        <v>11489.089736140953</v>
      </c>
      <c r="AQ83" s="8">
        <f t="shared" si="87"/>
        <v>11741.849710336055</v>
      </c>
      <c r="AR83" s="8">
        <f t="shared" si="87"/>
        <v>12000.170403963448</v>
      </c>
      <c r="AS83" s="8">
        <f t="shared" si="87"/>
        <v>12264.174152850645</v>
      </c>
      <c r="AT83" s="8">
        <f t="shared" si="87"/>
        <v>12533.985984213359</v>
      </c>
      <c r="AU83" s="8">
        <f t="shared" si="87"/>
        <v>12809.733675866053</v>
      </c>
      <c r="AV83" s="8">
        <f t="shared" si="87"/>
        <v>13091.547816735107</v>
      </c>
      <c r="AW83" s="8">
        <f t="shared" si="87"/>
        <v>13379.561868703278</v>
      </c>
      <c r="AX83" s="8">
        <f t="shared" si="87"/>
        <v>13673.91222981475</v>
      </c>
      <c r="AY83" s="8">
        <f t="shared" si="87"/>
        <v>13974.738298870676</v>
      </c>
      <c r="AZ83" s="8">
        <f t="shared" si="87"/>
        <v>14282.182541445831</v>
      </c>
      <c r="BA83" s="8">
        <f t="shared" si="87"/>
        <v>14596.390557357639</v>
      </c>
      <c r="BB83" s="8">
        <f t="shared" si="87"/>
        <v>14917.511149619508</v>
      </c>
      <c r="BC83" s="8">
        <f t="shared" si="87"/>
        <v>15245.696394911138</v>
      </c>
      <c r="BD83" s="8">
        <f t="shared" si="87"/>
        <v>15581.101715599183</v>
      </c>
      <c r="BE83" s="8">
        <f t="shared" si="87"/>
        <v>15923.885953342366</v>
      </c>
      <c r="BF83" s="8">
        <f t="shared" si="87"/>
        <v>16274.211444315897</v>
      </c>
      <c r="BG83" s="8">
        <f t="shared" si="87"/>
        <v>16632.244096090846</v>
      </c>
      <c r="BH83" s="8">
        <f t="shared" si="87"/>
        <v>16998.153466204843</v>
      </c>
      <c r="BI83" s="8">
        <f t="shared" si="87"/>
        <v>17372.112842461349</v>
      </c>
      <c r="BJ83" s="8">
        <f t="shared" si="87"/>
        <v>17754.2993249955</v>
      </c>
      <c r="BK83" s="8">
        <f t="shared" si="87"/>
        <v>0</v>
      </c>
      <c r="BL83" s="8">
        <f t="shared" si="87"/>
        <v>0</v>
      </c>
      <c r="BM83" s="8">
        <f t="shared" si="87"/>
        <v>0</v>
      </c>
      <c r="BN83" s="8">
        <f t="shared" si="87"/>
        <v>0</v>
      </c>
      <c r="BO83" s="8">
        <f t="shared" si="87"/>
        <v>0</v>
      </c>
      <c r="BP83" s="8">
        <f t="shared" si="87"/>
        <v>0</v>
      </c>
      <c r="BQ83" s="8">
        <f t="shared" si="87"/>
        <v>0</v>
      </c>
    </row>
    <row r="85" spans="3:69" x14ac:dyDescent="0.4">
      <c r="D85" t="s">
        <v>427</v>
      </c>
    </row>
    <row r="86" spans="3:69" x14ac:dyDescent="0.4">
      <c r="G86">
        <v>2028</v>
      </c>
      <c r="H86">
        <v>2029</v>
      </c>
      <c r="I86">
        <v>2030</v>
      </c>
      <c r="J86">
        <v>2031</v>
      </c>
      <c r="K86">
        <v>2032</v>
      </c>
      <c r="L86">
        <v>2033</v>
      </c>
      <c r="M86">
        <v>2034</v>
      </c>
      <c r="N86">
        <v>2035</v>
      </c>
      <c r="O86">
        <v>2036</v>
      </c>
      <c r="P86">
        <v>2037</v>
      </c>
      <c r="Q86">
        <v>2038</v>
      </c>
      <c r="R86">
        <v>2039</v>
      </c>
      <c r="S86">
        <v>2040</v>
      </c>
      <c r="T86">
        <v>2041</v>
      </c>
      <c r="U86">
        <v>2042</v>
      </c>
      <c r="V86">
        <v>2043</v>
      </c>
      <c r="W86">
        <v>2044</v>
      </c>
      <c r="X86">
        <v>2045</v>
      </c>
      <c r="Y86">
        <v>2046</v>
      </c>
      <c r="Z86">
        <v>2047</v>
      </c>
      <c r="AA86">
        <v>2048</v>
      </c>
      <c r="AB86">
        <v>2049</v>
      </c>
      <c r="AC86">
        <v>2050</v>
      </c>
      <c r="AD86">
        <v>2051</v>
      </c>
      <c r="AE86">
        <v>2052</v>
      </c>
      <c r="AF86">
        <v>2053</v>
      </c>
      <c r="AG86">
        <v>2054</v>
      </c>
      <c r="AH86">
        <v>2055</v>
      </c>
      <c r="AI86">
        <v>2056</v>
      </c>
      <c r="AJ86">
        <v>2057</v>
      </c>
      <c r="AK86">
        <v>2058</v>
      </c>
      <c r="AL86">
        <v>2059</v>
      </c>
      <c r="AM86">
        <v>2060</v>
      </c>
      <c r="AN86">
        <v>2061</v>
      </c>
      <c r="AO86">
        <v>2062</v>
      </c>
      <c r="AP86">
        <v>2063</v>
      </c>
      <c r="AQ86">
        <v>2064</v>
      </c>
      <c r="AR86">
        <v>2065</v>
      </c>
      <c r="AS86">
        <v>2066</v>
      </c>
      <c r="AT86">
        <v>2067</v>
      </c>
      <c r="AU86">
        <v>2068</v>
      </c>
      <c r="AV86">
        <v>2069</v>
      </c>
      <c r="AW86">
        <v>2070</v>
      </c>
      <c r="AX86">
        <v>2071</v>
      </c>
      <c r="AY86">
        <v>2072</v>
      </c>
      <c r="AZ86">
        <v>2073</v>
      </c>
      <c r="BA86">
        <v>2074</v>
      </c>
      <c r="BB86">
        <v>2075</v>
      </c>
      <c r="BC86">
        <v>2076</v>
      </c>
      <c r="BD86">
        <v>2077</v>
      </c>
      <c r="BE86">
        <v>2078</v>
      </c>
      <c r="BF86">
        <v>2079</v>
      </c>
      <c r="BG86">
        <v>2080</v>
      </c>
      <c r="BH86">
        <v>2081</v>
      </c>
      <c r="BI86">
        <v>2082</v>
      </c>
      <c r="BJ86">
        <v>2083</v>
      </c>
      <c r="BK86">
        <v>2084</v>
      </c>
      <c r="BL86">
        <v>2085</v>
      </c>
      <c r="BM86">
        <v>2086</v>
      </c>
      <c r="BN86">
        <v>2087</v>
      </c>
      <c r="BO86">
        <v>2088</v>
      </c>
      <c r="BP86">
        <v>2089</v>
      </c>
      <c r="BQ86">
        <v>2090</v>
      </c>
    </row>
    <row r="87" spans="3:69" x14ac:dyDescent="0.4">
      <c r="D87" t="s">
        <v>128</v>
      </c>
      <c r="G87" s="8">
        <f t="shared" ref="G87:AL87" si="88">G14+G41+G69</f>
        <v>6702198.0788844451</v>
      </c>
      <c r="H87" s="8">
        <f t="shared" si="88"/>
        <v>6500928.2448251285</v>
      </c>
      <c r="I87" s="8">
        <f t="shared" si="88"/>
        <v>6272131.6689975876</v>
      </c>
      <c r="J87" s="8">
        <f t="shared" si="88"/>
        <v>6053134.5003864765</v>
      </c>
      <c r="K87" s="8">
        <f t="shared" si="88"/>
        <v>5843203.1941137901</v>
      </c>
      <c r="L87" s="8">
        <f t="shared" si="88"/>
        <v>5641660.6318305992</v>
      </c>
      <c r="M87" s="8">
        <f t="shared" si="88"/>
        <v>5447876.7172955405</v>
      </c>
      <c r="N87" s="8">
        <f t="shared" si="88"/>
        <v>5261268.3763748156</v>
      </c>
      <c r="O87" s="8">
        <f t="shared" si="88"/>
        <v>5078666.3190185819</v>
      </c>
      <c r="P87" s="8">
        <f t="shared" si="88"/>
        <v>4896637.9313746328</v>
      </c>
      <c r="Q87" s="8">
        <f t="shared" si="88"/>
        <v>4714609.5437306855</v>
      </c>
      <c r="R87" s="8">
        <f t="shared" si="88"/>
        <v>4532581.1560867373</v>
      </c>
      <c r="S87" s="8">
        <f t="shared" si="88"/>
        <v>4350552.7684427891</v>
      </c>
      <c r="T87" s="8">
        <f t="shared" si="88"/>
        <v>4168524.3807988409</v>
      </c>
      <c r="U87" s="8">
        <f t="shared" si="88"/>
        <v>3986495.9931548918</v>
      </c>
      <c r="V87" s="8">
        <f t="shared" si="88"/>
        <v>3804467.6055109445</v>
      </c>
      <c r="W87" s="8">
        <f t="shared" si="88"/>
        <v>3622439.2178669963</v>
      </c>
      <c r="X87" s="8">
        <f t="shared" si="88"/>
        <v>3440410.8302230481</v>
      </c>
      <c r="Y87" s="8">
        <f t="shared" si="88"/>
        <v>3258382.4425790999</v>
      </c>
      <c r="Z87" s="8">
        <f t="shared" si="88"/>
        <v>3076354.0549351517</v>
      </c>
      <c r="AA87" s="8">
        <f t="shared" si="88"/>
        <v>2915306.9316864572</v>
      </c>
      <c r="AB87" s="8">
        <f t="shared" si="88"/>
        <v>2796212.9328067554</v>
      </c>
      <c r="AC87" s="8">
        <f t="shared" si="88"/>
        <v>2698100.1983223082</v>
      </c>
      <c r="AD87" s="8">
        <f t="shared" si="88"/>
        <v>2599987.4638378602</v>
      </c>
      <c r="AE87" s="8">
        <f t="shared" si="88"/>
        <v>2501874.7293534125</v>
      </c>
      <c r="AF87" s="8">
        <f t="shared" si="88"/>
        <v>2403761.9948689644</v>
      </c>
      <c r="AG87" s="8">
        <f t="shared" si="88"/>
        <v>2305649.2603845173</v>
      </c>
      <c r="AH87" s="8">
        <f t="shared" si="88"/>
        <v>2207536.5259000692</v>
      </c>
      <c r="AI87" s="8">
        <f t="shared" si="88"/>
        <v>2109423.7914156215</v>
      </c>
      <c r="AJ87" s="8">
        <f t="shared" si="88"/>
        <v>2011311.0569311739</v>
      </c>
      <c r="AK87" s="8">
        <f t="shared" si="88"/>
        <v>1913198.3224467263</v>
      </c>
      <c r="AL87" s="8">
        <f t="shared" si="88"/>
        <v>1815085.5879622786</v>
      </c>
      <c r="AM87" s="8">
        <f t="shared" ref="AM87:BN87" si="89">AM14+AM41+AM69</f>
        <v>1716972.8534778315</v>
      </c>
      <c r="AN87" s="8">
        <f t="shared" si="89"/>
        <v>1618860.1189933838</v>
      </c>
      <c r="AO87" s="8">
        <f t="shared" si="89"/>
        <v>1520747.3845089362</v>
      </c>
      <c r="AP87" s="8">
        <f t="shared" si="89"/>
        <v>1422634.6500244886</v>
      </c>
      <c r="AQ87" s="8">
        <f t="shared" si="89"/>
        <v>1324521.9155400412</v>
      </c>
      <c r="AR87" s="8">
        <f t="shared" si="89"/>
        <v>1226409.1810555935</v>
      </c>
      <c r="AS87" s="8">
        <f t="shared" si="89"/>
        <v>1128296.4465711461</v>
      </c>
      <c r="AT87" s="8">
        <f t="shared" si="89"/>
        <v>1030183.7120866985</v>
      </c>
      <c r="AU87" s="8">
        <f t="shared" si="89"/>
        <v>932070.97760225087</v>
      </c>
      <c r="AV87" s="8">
        <f t="shared" si="89"/>
        <v>833958.24311780336</v>
      </c>
      <c r="AW87" s="8">
        <f t="shared" si="89"/>
        <v>735845.50863335584</v>
      </c>
      <c r="AX87" s="8">
        <f t="shared" si="89"/>
        <v>637732.77414890833</v>
      </c>
      <c r="AY87" s="8">
        <f t="shared" si="89"/>
        <v>539620.03966446058</v>
      </c>
      <c r="AZ87" s="8">
        <f t="shared" si="89"/>
        <v>441507.30518001306</v>
      </c>
      <c r="BA87" s="8">
        <f t="shared" si="89"/>
        <v>343394.57069556566</v>
      </c>
      <c r="BB87" s="8">
        <f t="shared" si="89"/>
        <v>245281.83621111832</v>
      </c>
      <c r="BC87" s="8">
        <f t="shared" si="89"/>
        <v>147169.10172667075</v>
      </c>
      <c r="BD87" s="8">
        <f t="shared" si="89"/>
        <v>49056.367242224835</v>
      </c>
      <c r="BE87" s="8">
        <f t="shared" si="89"/>
        <v>1.3839526218362155E-9</v>
      </c>
      <c r="BF87" s="8">
        <f t="shared" si="89"/>
        <v>5.3278927225619564E-11</v>
      </c>
      <c r="BG87" s="8">
        <f t="shared" si="89"/>
        <v>5.3278927225619564E-11</v>
      </c>
      <c r="BH87" s="8">
        <f t="shared" si="89"/>
        <v>5.3278927225619564E-11</v>
      </c>
      <c r="BI87" s="8">
        <f t="shared" si="89"/>
        <v>5.3278927225619564E-11</v>
      </c>
      <c r="BJ87" s="8">
        <f t="shared" si="89"/>
        <v>5.3278927225619564E-11</v>
      </c>
      <c r="BK87" s="8">
        <f t="shared" si="89"/>
        <v>5.3278927225619564E-11</v>
      </c>
      <c r="BL87" s="8">
        <f t="shared" si="89"/>
        <v>5.3278927225619564E-11</v>
      </c>
      <c r="BM87" s="8">
        <f t="shared" si="89"/>
        <v>5.3278927225619564E-11</v>
      </c>
      <c r="BN87" s="8">
        <f t="shared" si="89"/>
        <v>5.3278927225619564E-11</v>
      </c>
    </row>
    <row r="88" spans="3:69" x14ac:dyDescent="0.4">
      <c r="D88" t="s">
        <v>129</v>
      </c>
      <c r="G88" s="8">
        <f t="shared" ref="G88:AL88" si="90">G15+G42+G70</f>
        <v>1519937.52</v>
      </c>
      <c r="H88" s="8">
        <f t="shared" si="90"/>
        <v>1519937.52</v>
      </c>
      <c r="I88" s="8">
        <f t="shared" si="90"/>
        <v>1519937.52</v>
      </c>
      <c r="J88" s="8">
        <f t="shared" si="90"/>
        <v>1519937.52</v>
      </c>
      <c r="K88" s="8">
        <f t="shared" si="90"/>
        <v>1519937.52</v>
      </c>
      <c r="L88" s="8">
        <f t="shared" si="90"/>
        <v>1519937.52</v>
      </c>
      <c r="M88" s="8">
        <f t="shared" si="90"/>
        <v>1519937.52</v>
      </c>
      <c r="N88" s="8">
        <f t="shared" si="90"/>
        <v>1519937.52</v>
      </c>
      <c r="O88" s="8">
        <f t="shared" si="90"/>
        <v>1519937.52</v>
      </c>
      <c r="P88" s="8">
        <f t="shared" si="90"/>
        <v>1519937.52</v>
      </c>
      <c r="Q88" s="8">
        <f t="shared" si="90"/>
        <v>1519937.52</v>
      </c>
      <c r="R88" s="8">
        <f t="shared" si="90"/>
        <v>1519937.52</v>
      </c>
      <c r="S88" s="8">
        <f t="shared" si="90"/>
        <v>1519937.52</v>
      </c>
      <c r="T88" s="8">
        <f t="shared" si="90"/>
        <v>1519937.52</v>
      </c>
      <c r="U88" s="8">
        <f t="shared" si="90"/>
        <v>1519937.52</v>
      </c>
      <c r="V88" s="8">
        <f t="shared" si="90"/>
        <v>1519937.52</v>
      </c>
      <c r="W88" s="8">
        <f t="shared" si="90"/>
        <v>1519937.52</v>
      </c>
      <c r="X88" s="8">
        <f t="shared" si="90"/>
        <v>1519937.52</v>
      </c>
      <c r="Y88" s="8">
        <f t="shared" si="90"/>
        <v>1519937.52</v>
      </c>
      <c r="Z88" s="8">
        <f t="shared" si="90"/>
        <v>1519937.52</v>
      </c>
      <c r="AA88" s="8">
        <f t="shared" si="90"/>
        <v>1519937.52</v>
      </c>
      <c r="AB88" s="8">
        <f t="shared" si="90"/>
        <v>1519937.52</v>
      </c>
      <c r="AC88" s="8">
        <f t="shared" si="90"/>
        <v>1519937.52</v>
      </c>
      <c r="AD88" s="8">
        <f t="shared" si="90"/>
        <v>1519937.52</v>
      </c>
      <c r="AE88" s="8">
        <f t="shared" si="90"/>
        <v>1519937.52</v>
      </c>
      <c r="AF88" s="8">
        <f t="shared" si="90"/>
        <v>1519937.52</v>
      </c>
      <c r="AG88" s="8">
        <f t="shared" si="90"/>
        <v>1519937.52</v>
      </c>
      <c r="AH88" s="8">
        <f t="shared" si="90"/>
        <v>1519937.52</v>
      </c>
      <c r="AI88" s="8">
        <f t="shared" si="90"/>
        <v>1519937.52</v>
      </c>
      <c r="AJ88" s="8">
        <f t="shared" si="90"/>
        <v>1519937.52</v>
      </c>
      <c r="AK88" s="8">
        <f t="shared" si="90"/>
        <v>1519937.52</v>
      </c>
      <c r="AL88" s="8">
        <f t="shared" si="90"/>
        <v>1519937.52</v>
      </c>
      <c r="AM88" s="8">
        <f t="shared" ref="AM88:BN88" si="91">AM15+AM42+AM70</f>
        <v>1519937.52</v>
      </c>
      <c r="AN88" s="8">
        <f t="shared" si="91"/>
        <v>1519937.52</v>
      </c>
      <c r="AO88" s="8">
        <f t="shared" si="91"/>
        <v>1519937.52</v>
      </c>
      <c r="AP88" s="8">
        <f t="shared" si="91"/>
        <v>1519937.52</v>
      </c>
      <c r="AQ88" s="8">
        <f t="shared" si="91"/>
        <v>1519937.52</v>
      </c>
      <c r="AR88" s="8">
        <f t="shared" si="91"/>
        <v>1519937.52</v>
      </c>
      <c r="AS88" s="8">
        <f t="shared" si="91"/>
        <v>1519937.52</v>
      </c>
      <c r="AT88" s="8">
        <f t="shared" si="91"/>
        <v>1519937.52</v>
      </c>
      <c r="AU88" s="8">
        <f t="shared" si="91"/>
        <v>1519937.52</v>
      </c>
      <c r="AV88" s="8">
        <f t="shared" si="91"/>
        <v>1519937.52</v>
      </c>
      <c r="AW88" s="8">
        <f t="shared" si="91"/>
        <v>1519937.52</v>
      </c>
      <c r="AX88" s="8">
        <f t="shared" si="91"/>
        <v>1519937.52</v>
      </c>
      <c r="AY88" s="8">
        <f t="shared" si="91"/>
        <v>1519937.52</v>
      </c>
      <c r="AZ88" s="8">
        <f t="shared" si="91"/>
        <v>1519937.52</v>
      </c>
      <c r="BA88" s="8">
        <f t="shared" si="91"/>
        <v>1519937.52</v>
      </c>
      <c r="BB88" s="8">
        <f t="shared" si="91"/>
        <v>1519937.52</v>
      </c>
      <c r="BC88" s="8">
        <f t="shared" si="91"/>
        <v>1519937.52</v>
      </c>
      <c r="BD88" s="8">
        <f t="shared" si="91"/>
        <v>1519937.52</v>
      </c>
      <c r="BE88" s="8">
        <f t="shared" si="91"/>
        <v>0</v>
      </c>
      <c r="BF88" s="8">
        <f t="shared" si="91"/>
        <v>0</v>
      </c>
      <c r="BG88" s="8">
        <f t="shared" si="91"/>
        <v>0</v>
      </c>
      <c r="BH88" s="8">
        <f t="shared" si="91"/>
        <v>0</v>
      </c>
      <c r="BI88" s="8">
        <f t="shared" si="91"/>
        <v>0</v>
      </c>
      <c r="BJ88" s="8">
        <f t="shared" si="91"/>
        <v>0</v>
      </c>
      <c r="BK88" s="8">
        <f t="shared" si="91"/>
        <v>0</v>
      </c>
      <c r="BL88" s="8">
        <f t="shared" si="91"/>
        <v>0</v>
      </c>
      <c r="BM88" s="8">
        <f t="shared" si="91"/>
        <v>0</v>
      </c>
      <c r="BN88" s="8">
        <f t="shared" si="91"/>
        <v>0</v>
      </c>
    </row>
    <row r="89" spans="3:69" x14ac:dyDescent="0.4">
      <c r="D89" t="s">
        <v>148</v>
      </c>
      <c r="G89" s="8">
        <f t="shared" ref="G89:AL89" si="92">G16+G43+G71</f>
        <v>23232.977728983773</v>
      </c>
      <c r="H89" s="8">
        <f t="shared" si="92"/>
        <v>26091.30989383678</v>
      </c>
      <c r="I89" s="8">
        <f t="shared" si="92"/>
        <v>29064.163912722499</v>
      </c>
      <c r="J89" s="8">
        <f t="shared" si="92"/>
        <v>32155.195314450564</v>
      </c>
      <c r="K89" s="8">
        <f t="shared" si="92"/>
        <v>35368.165042520915</v>
      </c>
      <c r="L89" s="8">
        <f t="shared" si="92"/>
        <v>38706.942324094169</v>
      </c>
      <c r="M89" s="8">
        <f t="shared" si="92"/>
        <v>42175.507614176051</v>
      </c>
      <c r="N89" s="8">
        <f t="shared" si="92"/>
        <v>45777.955616936684</v>
      </c>
      <c r="O89" s="8">
        <f t="shared" si="92"/>
        <v>49518.498386133528</v>
      </c>
      <c r="P89" s="8">
        <f t="shared" si="92"/>
        <v>53401.468506656434</v>
      </c>
      <c r="Q89" s="8">
        <f t="shared" si="92"/>
        <v>54576.300813802874</v>
      </c>
      <c r="R89" s="8">
        <f t="shared" si="92"/>
        <v>55776.979431706539</v>
      </c>
      <c r="S89" s="8">
        <f t="shared" si="92"/>
        <v>57004.072979204095</v>
      </c>
      <c r="T89" s="8">
        <f t="shared" si="92"/>
        <v>58258.162584746584</v>
      </c>
      <c r="U89" s="8">
        <f t="shared" si="92"/>
        <v>59539.842161611014</v>
      </c>
      <c r="V89" s="8">
        <f t="shared" si="92"/>
        <v>60849.718689166461</v>
      </c>
      <c r="W89" s="8">
        <f t="shared" si="92"/>
        <v>62188.412500328115</v>
      </c>
      <c r="X89" s="8">
        <f t="shared" si="92"/>
        <v>63556.557575335341</v>
      </c>
      <c r="Y89" s="8">
        <f t="shared" si="92"/>
        <v>64954.801841992725</v>
      </c>
      <c r="Z89" s="8">
        <f t="shared" si="92"/>
        <v>66383.807482516553</v>
      </c>
      <c r="AA89" s="8">
        <f t="shared" si="92"/>
        <v>67844.251247131921</v>
      </c>
      <c r="AB89" s="8">
        <f t="shared" si="92"/>
        <v>69336.824774568828</v>
      </c>
      <c r="AC89" s="8">
        <f t="shared" si="92"/>
        <v>70862.234919609342</v>
      </c>
      <c r="AD89" s="8">
        <f t="shared" si="92"/>
        <v>72421.204087840757</v>
      </c>
      <c r="AE89" s="8">
        <f t="shared" si="92"/>
        <v>74014.470577773245</v>
      </c>
      <c r="AF89" s="8">
        <f t="shared" si="92"/>
        <v>75642.788930484268</v>
      </c>
      <c r="AG89" s="8">
        <f t="shared" si="92"/>
        <v>77306.930286954928</v>
      </c>
      <c r="AH89" s="8">
        <f t="shared" si="92"/>
        <v>79007.682753267931</v>
      </c>
      <c r="AI89" s="8">
        <f t="shared" si="92"/>
        <v>80745.851773839837</v>
      </c>
      <c r="AJ89" s="8">
        <f t="shared" si="92"/>
        <v>82522.260512864304</v>
      </c>
      <c r="AK89" s="8">
        <f t="shared" si="92"/>
        <v>84337.750244147319</v>
      </c>
      <c r="AL89" s="8">
        <f t="shared" si="92"/>
        <v>86193.180749518564</v>
      </c>
      <c r="AM89" s="8">
        <f t="shared" ref="AM89:BN89" si="93">AM16+AM43+AM71</f>
        <v>88089.43072600798</v>
      </c>
      <c r="AN89" s="8">
        <f t="shared" si="93"/>
        <v>90027.398201980148</v>
      </c>
      <c r="AO89" s="8">
        <f t="shared" si="93"/>
        <v>92008.000962423728</v>
      </c>
      <c r="AP89" s="8">
        <f t="shared" si="93"/>
        <v>94032.176983597048</v>
      </c>
      <c r="AQ89" s="8">
        <f t="shared" si="93"/>
        <v>96100.884877236182</v>
      </c>
      <c r="AR89" s="8">
        <f t="shared" si="93"/>
        <v>98215.104344535372</v>
      </c>
      <c r="AS89" s="8">
        <f t="shared" si="93"/>
        <v>100375.83664011514</v>
      </c>
      <c r="AT89" s="8">
        <f t="shared" si="93"/>
        <v>102584.10504619768</v>
      </c>
      <c r="AU89" s="8">
        <f t="shared" si="93"/>
        <v>104840.95535721404</v>
      </c>
      <c r="AV89" s="8">
        <f t="shared" si="93"/>
        <v>107147.45637507275</v>
      </c>
      <c r="AW89" s="8">
        <f t="shared" si="93"/>
        <v>109504.70041532436</v>
      </c>
      <c r="AX89" s="8">
        <f t="shared" si="93"/>
        <v>111913.8038244615</v>
      </c>
      <c r="AY89" s="8">
        <f t="shared" si="93"/>
        <v>114375.90750859966</v>
      </c>
      <c r="AZ89" s="8">
        <f t="shared" si="93"/>
        <v>116892.17747378885</v>
      </c>
      <c r="BA89" s="8">
        <f t="shared" si="93"/>
        <v>119463.8053782122</v>
      </c>
      <c r="BB89" s="8">
        <f t="shared" si="93"/>
        <v>14917.511149619508</v>
      </c>
      <c r="BC89" s="8">
        <f t="shared" si="93"/>
        <v>15245.696394911138</v>
      </c>
      <c r="BD89" s="8">
        <f t="shared" si="93"/>
        <v>15581.101715599183</v>
      </c>
      <c r="BE89" s="8">
        <f t="shared" si="93"/>
        <v>15923.885953342366</v>
      </c>
      <c r="BF89" s="8">
        <f t="shared" si="93"/>
        <v>16274.211444315897</v>
      </c>
      <c r="BG89" s="8">
        <f t="shared" si="93"/>
        <v>16632.244096090846</v>
      </c>
      <c r="BH89" s="8">
        <f t="shared" si="93"/>
        <v>16998.153466204843</v>
      </c>
      <c r="BI89" s="8">
        <f t="shared" si="93"/>
        <v>17372.112842461349</v>
      </c>
      <c r="BJ89" s="8">
        <f t="shared" si="93"/>
        <v>17754.2993249955</v>
      </c>
      <c r="BK89" s="8">
        <f t="shared" si="93"/>
        <v>0</v>
      </c>
      <c r="BL89" s="8">
        <f t="shared" si="93"/>
        <v>0</v>
      </c>
      <c r="BM89" s="8">
        <f t="shared" si="93"/>
        <v>0</v>
      </c>
      <c r="BN89" s="8">
        <f t="shared" si="93"/>
        <v>0</v>
      </c>
    </row>
    <row r="90" spans="3:69" x14ac:dyDescent="0.4">
      <c r="D90" t="s">
        <v>160</v>
      </c>
      <c r="G90" s="8">
        <f t="shared" ref="G90:AL90" si="94">G17+G44+G72</f>
        <v>34229.356782369076</v>
      </c>
      <c r="H90" s="8">
        <f t="shared" si="94"/>
        <v>34982.402631581193</v>
      </c>
      <c r="I90" s="8">
        <f t="shared" si="94"/>
        <v>35752.015489475983</v>
      </c>
      <c r="J90" s="8">
        <f t="shared" si="94"/>
        <v>36538.559830244456</v>
      </c>
      <c r="K90" s="8">
        <f t="shared" si="94"/>
        <v>37342.408146509835</v>
      </c>
      <c r="L90" s="8">
        <f t="shared" si="94"/>
        <v>38163.94112573305</v>
      </c>
      <c r="M90" s="8">
        <f t="shared" si="94"/>
        <v>39003.547830499178</v>
      </c>
      <c r="N90" s="8">
        <f t="shared" si="94"/>
        <v>39861.625882770168</v>
      </c>
      <c r="O90" s="8">
        <f t="shared" si="94"/>
        <v>40738.581652191111</v>
      </c>
      <c r="P90" s="8">
        <f t="shared" si="94"/>
        <v>41634.830448539316</v>
      </c>
      <c r="Q90" s="8">
        <f t="shared" si="94"/>
        <v>42550.796718407175</v>
      </c>
      <c r="R90" s="8">
        <f t="shared" si="94"/>
        <v>43486.914246212138</v>
      </c>
      <c r="S90" s="8">
        <f t="shared" si="94"/>
        <v>44443.626359628804</v>
      </c>
      <c r="T90" s="8">
        <f t="shared" si="94"/>
        <v>45421.386139540642</v>
      </c>
      <c r="U90" s="8">
        <f t="shared" si="94"/>
        <v>46420.656634610539</v>
      </c>
      <c r="V90" s="8">
        <f t="shared" si="94"/>
        <v>47441.911080571976</v>
      </c>
      <c r="W90" s="8">
        <f t="shared" si="94"/>
        <v>48485.63312434456</v>
      </c>
      <c r="X90" s="8">
        <f t="shared" si="94"/>
        <v>49552.317053080129</v>
      </c>
      <c r="Y90" s="8">
        <f t="shared" si="94"/>
        <v>50642.468028247895</v>
      </c>
      <c r="Z90" s="8">
        <f t="shared" si="94"/>
        <v>51756.602324869345</v>
      </c>
      <c r="AA90" s="8">
        <f t="shared" si="94"/>
        <v>52895.247576016474</v>
      </c>
      <c r="AB90" s="8">
        <f t="shared" si="94"/>
        <v>54058.943022688843</v>
      </c>
      <c r="AC90" s="8">
        <f t="shared" si="94"/>
        <v>55248.239769187996</v>
      </c>
      <c r="AD90" s="8">
        <f t="shared" si="94"/>
        <v>56463.70104411013</v>
      </c>
      <c r="AE90" s="8">
        <f t="shared" si="94"/>
        <v>57705.902467080552</v>
      </c>
      <c r="AF90" s="8">
        <f t="shared" si="94"/>
        <v>58975.432321356333</v>
      </c>
      <c r="AG90" s="8">
        <f t="shared" si="94"/>
        <v>60272.891832426169</v>
      </c>
      <c r="AH90" s="8">
        <f t="shared" si="94"/>
        <v>61598.895452739547</v>
      </c>
      <c r="AI90" s="8">
        <f t="shared" si="94"/>
        <v>62954.07115269982</v>
      </c>
      <c r="AJ90" s="8">
        <f t="shared" si="94"/>
        <v>64339.060718059205</v>
      </c>
      <c r="AK90" s="8">
        <f t="shared" si="94"/>
        <v>65754.520053856511</v>
      </c>
      <c r="AL90" s="8">
        <f t="shared" si="94"/>
        <v>67201.119495041363</v>
      </c>
      <c r="AM90" s="8">
        <f t="shared" ref="AM90:BN90" si="95">AM17+AM44+AM72</f>
        <v>68679.544123932268</v>
      </c>
      <c r="AN90" s="8">
        <f t="shared" si="95"/>
        <v>70190.494094658774</v>
      </c>
      <c r="AO90" s="8">
        <f t="shared" si="95"/>
        <v>71734.684964741275</v>
      </c>
      <c r="AP90" s="8">
        <f t="shared" si="95"/>
        <v>73312.84803396558</v>
      </c>
      <c r="AQ90" s="8">
        <f t="shared" si="95"/>
        <v>74925.730690712822</v>
      </c>
      <c r="AR90" s="8">
        <f t="shared" si="95"/>
        <v>76574.0967659085</v>
      </c>
      <c r="AS90" s="8">
        <f t="shared" si="95"/>
        <v>78258.726894758496</v>
      </c>
      <c r="AT90" s="8">
        <f t="shared" si="95"/>
        <v>79980.418886443178</v>
      </c>
      <c r="AU90" s="8">
        <f t="shared" si="95"/>
        <v>81739.988101944939</v>
      </c>
      <c r="AV90" s="8">
        <f t="shared" si="95"/>
        <v>83538.26784018772</v>
      </c>
      <c r="AW90" s="8">
        <f t="shared" si="95"/>
        <v>85376.109732671845</v>
      </c>
      <c r="AX90" s="8">
        <f t="shared" si="95"/>
        <v>87254.384146790631</v>
      </c>
      <c r="AY90" s="8">
        <f t="shared" si="95"/>
        <v>89173.980598020033</v>
      </c>
      <c r="AZ90" s="8">
        <f t="shared" si="95"/>
        <v>91135.808171176468</v>
      </c>
      <c r="BA90" s="8">
        <f t="shared" si="95"/>
        <v>93140.795950942353</v>
      </c>
      <c r="BB90" s="8">
        <f t="shared" si="95"/>
        <v>15768.137750321774</v>
      </c>
      <c r="BC90" s="8">
        <f t="shared" si="95"/>
        <v>16115.036780828854</v>
      </c>
      <c r="BD90" s="8">
        <f t="shared" si="95"/>
        <v>16469.567590007089</v>
      </c>
      <c r="BE90" s="8">
        <f t="shared" si="95"/>
        <v>16831.898076987247</v>
      </c>
      <c r="BF90" s="8">
        <f t="shared" si="95"/>
        <v>17202.199834680967</v>
      </c>
      <c r="BG90" s="8">
        <f t="shared" si="95"/>
        <v>17580.64823104395</v>
      </c>
      <c r="BH90" s="8">
        <f t="shared" si="95"/>
        <v>17967.422492126916</v>
      </c>
      <c r="BI90" s="8">
        <f t="shared" si="95"/>
        <v>18362.705786953709</v>
      </c>
      <c r="BJ90" s="8">
        <f t="shared" si="95"/>
        <v>18766.685314266691</v>
      </c>
      <c r="BK90" s="8">
        <f t="shared" si="95"/>
        <v>0</v>
      </c>
      <c r="BL90" s="8">
        <f t="shared" si="95"/>
        <v>0</v>
      </c>
      <c r="BM90" s="8">
        <f t="shared" si="95"/>
        <v>0</v>
      </c>
      <c r="BN90" s="8">
        <f t="shared" si="95"/>
        <v>0</v>
      </c>
    </row>
    <row r="91" spans="3:69" x14ac:dyDescent="0.4">
      <c r="D91" t="s">
        <v>130</v>
      </c>
      <c r="G91" s="8">
        <f t="shared" ref="G91:AL91" si="96">G18+G45+G73</f>
        <v>1675.0565381312001</v>
      </c>
      <c r="H91" s="8">
        <f t="shared" si="96"/>
        <v>1711.9077819700865</v>
      </c>
      <c r="I91" s="8">
        <f t="shared" si="96"/>
        <v>1749.5697531734286</v>
      </c>
      <c r="J91" s="8">
        <f t="shared" si="96"/>
        <v>1788.0602877432439</v>
      </c>
      <c r="K91" s="8">
        <f t="shared" si="96"/>
        <v>1827.3976140735952</v>
      </c>
      <c r="L91" s="8">
        <f t="shared" si="96"/>
        <v>1867.6003615832144</v>
      </c>
      <c r="M91" s="8">
        <f t="shared" si="96"/>
        <v>1908.6875695380454</v>
      </c>
      <c r="N91" s="8">
        <f t="shared" si="96"/>
        <v>1950.6786960678821</v>
      </c>
      <c r="O91" s="8">
        <f t="shared" si="96"/>
        <v>1993.5936273813757</v>
      </c>
      <c r="P91" s="8">
        <f t="shared" si="96"/>
        <v>2037.4526871837661</v>
      </c>
      <c r="Q91" s="8">
        <f t="shared" si="96"/>
        <v>2082.2766463018088</v>
      </c>
      <c r="R91" s="8">
        <f t="shared" si="96"/>
        <v>2128.0867325204485</v>
      </c>
      <c r="S91" s="8">
        <f t="shared" si="96"/>
        <v>2174.9046406358984</v>
      </c>
      <c r="T91" s="8">
        <f t="shared" si="96"/>
        <v>2222.7525427298883</v>
      </c>
      <c r="U91" s="8">
        <f t="shared" si="96"/>
        <v>2271.6530986699458</v>
      </c>
      <c r="V91" s="8">
        <f t="shared" si="96"/>
        <v>2321.6294668406849</v>
      </c>
      <c r="W91" s="8">
        <f t="shared" si="96"/>
        <v>2372.7053151111795</v>
      </c>
      <c r="X91" s="8">
        <f t="shared" si="96"/>
        <v>2424.9048320436259</v>
      </c>
      <c r="Y91" s="8">
        <f t="shared" si="96"/>
        <v>2478.2527383485858</v>
      </c>
      <c r="Z91" s="8">
        <f t="shared" si="96"/>
        <v>2532.7742985922546</v>
      </c>
      <c r="AA91" s="8">
        <f t="shared" si="96"/>
        <v>2588.4953331612837</v>
      </c>
      <c r="AB91" s="8">
        <f t="shared" si="96"/>
        <v>2645.4422304908321</v>
      </c>
      <c r="AC91" s="8">
        <f t="shared" si="96"/>
        <v>2703.6419595616308</v>
      </c>
      <c r="AD91" s="8">
        <f t="shared" si="96"/>
        <v>2763.1220826719864</v>
      </c>
      <c r="AE91" s="8">
        <f t="shared" si="96"/>
        <v>2823.9107684907704</v>
      </c>
      <c r="AF91" s="8">
        <f t="shared" si="96"/>
        <v>2886.0368053975676</v>
      </c>
      <c r="AG91" s="8">
        <f t="shared" si="96"/>
        <v>2949.5296151163138</v>
      </c>
      <c r="AH91" s="8">
        <f t="shared" si="96"/>
        <v>3014.419266648873</v>
      </c>
      <c r="AI91" s="8">
        <f t="shared" si="96"/>
        <v>3080.736490515148</v>
      </c>
      <c r="AJ91" s="8">
        <f t="shared" si="96"/>
        <v>3148.5126933064812</v>
      </c>
      <c r="AK91" s="8">
        <f t="shared" si="96"/>
        <v>3217.7799725592236</v>
      </c>
      <c r="AL91" s="8">
        <f t="shared" si="96"/>
        <v>3288.5711319555271</v>
      </c>
      <c r="AM91" s="8">
        <f t="shared" ref="AM91:BN91" si="97">AM18+AM45+AM73</f>
        <v>3360.9196968585479</v>
      </c>
      <c r="AN91" s="8">
        <f t="shared" si="97"/>
        <v>3434.8599301894365</v>
      </c>
      <c r="AO91" s="8">
        <f t="shared" si="97"/>
        <v>3510.4268486536039</v>
      </c>
      <c r="AP91" s="8">
        <f t="shared" si="97"/>
        <v>3587.6562393239833</v>
      </c>
      <c r="AQ91" s="8">
        <f t="shared" si="97"/>
        <v>3666.584676589111</v>
      </c>
      <c r="AR91" s="8">
        <f t="shared" si="97"/>
        <v>3747.2495394740708</v>
      </c>
      <c r="AS91" s="8">
        <f t="shared" si="97"/>
        <v>3829.6890293425013</v>
      </c>
      <c r="AT91" s="8">
        <f t="shared" si="97"/>
        <v>3913.9421879880365</v>
      </c>
      <c r="AU91" s="8">
        <f t="shared" si="97"/>
        <v>4000.0489161237733</v>
      </c>
      <c r="AV91" s="8">
        <f t="shared" si="97"/>
        <v>4088.0499922784961</v>
      </c>
      <c r="AW91" s="8">
        <f t="shared" si="97"/>
        <v>4177.9870921086231</v>
      </c>
      <c r="AX91" s="8">
        <f t="shared" si="97"/>
        <v>4269.9028081350134</v>
      </c>
      <c r="AY91" s="8">
        <f t="shared" si="97"/>
        <v>4363.8406699139832</v>
      </c>
      <c r="AZ91" s="8">
        <f t="shared" si="97"/>
        <v>4459.8451646520907</v>
      </c>
      <c r="BA91" s="8">
        <f t="shared" si="97"/>
        <v>4557.9617582744368</v>
      </c>
      <c r="BB91" s="8">
        <f t="shared" si="97"/>
        <v>4658.2369169564754</v>
      </c>
      <c r="BC91" s="8">
        <f t="shared" si="97"/>
        <v>4760.7181291295165</v>
      </c>
      <c r="BD91" s="8">
        <f t="shared" si="97"/>
        <v>4865.4539279703667</v>
      </c>
      <c r="BE91" s="8">
        <f t="shared" si="97"/>
        <v>4972.4939143857146</v>
      </c>
      <c r="BF91" s="8">
        <f t="shared" si="97"/>
        <v>5081.8887805022005</v>
      </c>
      <c r="BG91" s="8">
        <f t="shared" si="97"/>
        <v>5193.6903336732485</v>
      </c>
      <c r="BH91" s="8">
        <f t="shared" si="97"/>
        <v>5307.9515210140598</v>
      </c>
      <c r="BI91" s="8">
        <f t="shared" si="97"/>
        <v>5424.7264544763702</v>
      </c>
      <c r="BJ91" s="8">
        <f t="shared" si="97"/>
        <v>5544.070436474849</v>
      </c>
      <c r="BK91" s="8">
        <f t="shared" si="97"/>
        <v>0</v>
      </c>
      <c r="BL91" s="8">
        <f t="shared" si="97"/>
        <v>0</v>
      </c>
      <c r="BM91" s="8">
        <f t="shared" si="97"/>
        <v>0</v>
      </c>
      <c r="BN91" s="8">
        <f t="shared" si="97"/>
        <v>0</v>
      </c>
    </row>
    <row r="92" spans="3:69" x14ac:dyDescent="0.4">
      <c r="D92" t="s">
        <v>131</v>
      </c>
      <c r="G92" s="8">
        <f t="shared" ref="G92:AL92" si="98">G19+G46+G74</f>
        <v>6690.7521600556984</v>
      </c>
      <c r="H92" s="8">
        <f t="shared" si="98"/>
        <v>6837.9487075769239</v>
      </c>
      <c r="I92" s="8">
        <f t="shared" si="98"/>
        <v>6988.3835791436168</v>
      </c>
      <c r="J92" s="8">
        <f t="shared" si="98"/>
        <v>7142.1280178847755</v>
      </c>
      <c r="K92" s="8">
        <f t="shared" si="98"/>
        <v>7299.2548342782402</v>
      </c>
      <c r="L92" s="8">
        <f t="shared" si="98"/>
        <v>7459.8384406323621</v>
      </c>
      <c r="M92" s="8">
        <f t="shared" si="98"/>
        <v>7623.9548863262753</v>
      </c>
      <c r="N92" s="8">
        <f t="shared" si="98"/>
        <v>7791.6818938254528</v>
      </c>
      <c r="O92" s="8">
        <f t="shared" si="98"/>
        <v>7963.0988954896129</v>
      </c>
      <c r="P92" s="8">
        <f t="shared" si="98"/>
        <v>8138.2870711903852</v>
      </c>
      <c r="Q92" s="8">
        <f t="shared" si="98"/>
        <v>8317.3293867565735</v>
      </c>
      <c r="R92" s="8">
        <f t="shared" si="98"/>
        <v>8500.3106332652187</v>
      </c>
      <c r="S92" s="8">
        <f t="shared" si="98"/>
        <v>8687.3174671970519</v>
      </c>
      <c r="T92" s="8">
        <f t="shared" si="98"/>
        <v>8878.4384514753874</v>
      </c>
      <c r="U92" s="8">
        <f t="shared" si="98"/>
        <v>9073.7640974078458</v>
      </c>
      <c r="V92" s="8">
        <f t="shared" si="98"/>
        <v>9273.3869075508192</v>
      </c>
      <c r="W92" s="8">
        <f t="shared" si="98"/>
        <v>9477.4014195169366</v>
      </c>
      <c r="X92" s="8">
        <f t="shared" si="98"/>
        <v>9685.9042507463109</v>
      </c>
      <c r="Y92" s="8">
        <f t="shared" si="98"/>
        <v>9898.9941442627296</v>
      </c>
      <c r="Z92" s="8">
        <f t="shared" si="98"/>
        <v>10116.772015436509</v>
      </c>
      <c r="AA92" s="8">
        <f t="shared" si="98"/>
        <v>10339.340999776112</v>
      </c>
      <c r="AB92" s="8">
        <f t="shared" si="98"/>
        <v>10566.806501771185</v>
      </c>
      <c r="AC92" s="8">
        <f t="shared" si="98"/>
        <v>10799.276244810153</v>
      </c>
      <c r="AD92" s="8">
        <f t="shared" si="98"/>
        <v>11036.860322195977</v>
      </c>
      <c r="AE92" s="8">
        <f t="shared" si="98"/>
        <v>11279.671249284289</v>
      </c>
      <c r="AF92" s="8">
        <f t="shared" si="98"/>
        <v>11527.824016768544</v>
      </c>
      <c r="AG92" s="8">
        <f t="shared" si="98"/>
        <v>11781.436145137452</v>
      </c>
      <c r="AH92" s="8">
        <f t="shared" si="98"/>
        <v>12040.627740330476</v>
      </c>
      <c r="AI92" s="8">
        <f t="shared" si="98"/>
        <v>12305.521550617745</v>
      </c>
      <c r="AJ92" s="8">
        <f t="shared" si="98"/>
        <v>12576.243024731337</v>
      </c>
      <c r="AK92" s="8">
        <f t="shared" si="98"/>
        <v>12852.920371275424</v>
      </c>
      <c r="AL92" s="8">
        <f t="shared" si="98"/>
        <v>13135.684619443486</v>
      </c>
      <c r="AM92" s="8">
        <f t="shared" ref="AM92:BF92" si="99">AM19+AM46+AM74</f>
        <v>13424.669681071238</v>
      </c>
      <c r="AN92" s="8">
        <f t="shared" si="99"/>
        <v>13720.012414054809</v>
      </c>
      <c r="AO92" s="8">
        <f t="shared" si="99"/>
        <v>14021.852687164013</v>
      </c>
      <c r="AP92" s="8">
        <f t="shared" si="99"/>
        <v>14330.333446281624</v>
      </c>
      <c r="AQ92" s="8">
        <f t="shared" si="99"/>
        <v>14645.600782099818</v>
      </c>
      <c r="AR92" s="8">
        <f t="shared" si="99"/>
        <v>14967.803999306012</v>
      </c>
      <c r="AS92" s="8">
        <f t="shared" si="99"/>
        <v>15297.095687290748</v>
      </c>
      <c r="AT92" s="8">
        <f t="shared" si="99"/>
        <v>15633.631792411144</v>
      </c>
      <c r="AU92" s="8">
        <f t="shared" si="99"/>
        <v>15977.57169184419</v>
      </c>
      <c r="AV92" s="8">
        <f t="shared" si="99"/>
        <v>16329.078269064761</v>
      </c>
      <c r="AW92" s="8">
        <f t="shared" si="99"/>
        <v>16688.317990984186</v>
      </c>
      <c r="AX92" s="8">
        <f t="shared" si="99"/>
        <v>17055.460986785838</v>
      </c>
      <c r="AY92" s="8">
        <f t="shared" si="99"/>
        <v>17430.681128495125</v>
      </c>
      <c r="AZ92" s="8">
        <f t="shared" si="99"/>
        <v>17814.15611332202</v>
      </c>
      <c r="BA92" s="8">
        <f t="shared" si="99"/>
        <v>18206.067547815106</v>
      </c>
      <c r="BB92" s="8">
        <f t="shared" si="99"/>
        <v>18606.601033867038</v>
      </c>
      <c r="BC92" s="8">
        <f t="shared" si="99"/>
        <v>19015.946256612111</v>
      </c>
      <c r="BD92" s="8">
        <f t="shared" si="99"/>
        <v>19434.297074257578</v>
      </c>
      <c r="BE92" s="8">
        <f t="shared" si="99"/>
        <v>19861.851609891248</v>
      </c>
      <c r="BF92" s="8">
        <f t="shared" si="99"/>
        <v>20298.812345308856</v>
      </c>
      <c r="BG92" s="8">
        <f t="shared" ref="BG92:BN92" si="100">BG19+BG46+BG74</f>
        <v>20745.386216905648</v>
      </c>
      <c r="BH92" s="8">
        <f t="shared" si="100"/>
        <v>21201.784713677571</v>
      </c>
      <c r="BI92" s="8">
        <f t="shared" si="100"/>
        <v>21668.223977378482</v>
      </c>
      <c r="BJ92" s="8">
        <f t="shared" si="100"/>
        <v>22144.924904880805</v>
      </c>
      <c r="BK92" s="8">
        <f t="shared" si="100"/>
        <v>0</v>
      </c>
      <c r="BL92" s="8">
        <f t="shared" si="100"/>
        <v>0</v>
      </c>
      <c r="BM92" s="8">
        <f t="shared" si="100"/>
        <v>0</v>
      </c>
      <c r="BN92" s="8">
        <f t="shared" si="100"/>
        <v>0</v>
      </c>
    </row>
    <row r="93" spans="3:69" x14ac:dyDescent="0.4">
      <c r="D93" t="s">
        <v>132</v>
      </c>
      <c r="G93" s="8">
        <f t="shared" ref="G93:AL93" si="101">G20+G47+G75</f>
        <v>3472.816206766794</v>
      </c>
      <c r="H93" s="8">
        <f t="shared" si="101"/>
        <v>3549.2181633156633</v>
      </c>
      <c r="I93" s="8">
        <f t="shared" si="101"/>
        <v>3627.3009629086082</v>
      </c>
      <c r="J93" s="8">
        <f t="shared" si="101"/>
        <v>3707.101584092597</v>
      </c>
      <c r="K93" s="8">
        <f t="shared" si="101"/>
        <v>3788.6578189426345</v>
      </c>
      <c r="L93" s="8">
        <f t="shared" si="101"/>
        <v>3872.008290959373</v>
      </c>
      <c r="M93" s="8">
        <f t="shared" si="101"/>
        <v>3957.1924733604787</v>
      </c>
      <c r="N93" s="8">
        <f t="shared" si="101"/>
        <v>4044.2507077744094</v>
      </c>
      <c r="O93" s="8">
        <f t="shared" si="101"/>
        <v>4133.2242233454472</v>
      </c>
      <c r="P93" s="8">
        <f t="shared" si="101"/>
        <v>4224.1551562590466</v>
      </c>
      <c r="Q93" s="8">
        <f t="shared" si="101"/>
        <v>4317.0865696967458</v>
      </c>
      <c r="R93" s="8">
        <f t="shared" si="101"/>
        <v>4412.0624742300733</v>
      </c>
      <c r="S93" s="8">
        <f t="shared" si="101"/>
        <v>4509.1278486631354</v>
      </c>
      <c r="T93" s="8">
        <f t="shared" si="101"/>
        <v>4608.328661333725</v>
      </c>
      <c r="U93" s="8">
        <f t="shared" si="101"/>
        <v>4709.7118918830665</v>
      </c>
      <c r="V93" s="8">
        <f t="shared" si="101"/>
        <v>4813.3255535044937</v>
      </c>
      <c r="W93" s="8">
        <f t="shared" si="101"/>
        <v>4919.2187156815935</v>
      </c>
      <c r="X93" s="8">
        <f t="shared" si="101"/>
        <v>5027.4415274265884</v>
      </c>
      <c r="Y93" s="8">
        <f t="shared" si="101"/>
        <v>5138.0452410299731</v>
      </c>
      <c r="Z93" s="8">
        <f t="shared" si="101"/>
        <v>5251.0822363326324</v>
      </c>
      <c r="AA93" s="8">
        <f t="shared" si="101"/>
        <v>5366.6060455319503</v>
      </c>
      <c r="AB93" s="8">
        <f t="shared" si="101"/>
        <v>5484.6713785336533</v>
      </c>
      <c r="AC93" s="8">
        <f t="shared" si="101"/>
        <v>5605.3341488613942</v>
      </c>
      <c r="AD93" s="8">
        <f t="shared" si="101"/>
        <v>5728.651500136345</v>
      </c>
      <c r="AE93" s="8">
        <f t="shared" si="101"/>
        <v>5854.6818331393442</v>
      </c>
      <c r="AF93" s="8">
        <f t="shared" si="101"/>
        <v>5983.4848334684102</v>
      </c>
      <c r="AG93" s="8">
        <f t="shared" si="101"/>
        <v>6115.1214998047153</v>
      </c>
      <c r="AH93" s="8">
        <f t="shared" si="101"/>
        <v>6249.6541728004186</v>
      </c>
      <c r="AI93" s="8">
        <f t="shared" si="101"/>
        <v>6387.1465646020279</v>
      </c>
      <c r="AJ93" s="8">
        <f t="shared" si="101"/>
        <v>6527.6637890232723</v>
      </c>
      <c r="AK93" s="8">
        <f t="shared" si="101"/>
        <v>6671.2723923817848</v>
      </c>
      <c r="AL93" s="8">
        <f t="shared" si="101"/>
        <v>6818.0403850141829</v>
      </c>
      <c r="AM93" s="8">
        <f t="shared" ref="AM93:BF93" si="102">AM20+AM47+AM75</f>
        <v>6968.0372734844959</v>
      </c>
      <c r="AN93" s="8">
        <f t="shared" si="102"/>
        <v>7121.3340935011547</v>
      </c>
      <c r="AO93" s="8">
        <f t="shared" si="102"/>
        <v>7278.0034435581811</v>
      </c>
      <c r="AP93" s="8">
        <f t="shared" si="102"/>
        <v>7438.1195193164604</v>
      </c>
      <c r="AQ93" s="8">
        <f t="shared" si="102"/>
        <v>7601.7581487414218</v>
      </c>
      <c r="AR93" s="8">
        <f t="shared" si="102"/>
        <v>7768.9968280137346</v>
      </c>
      <c r="AS93" s="8">
        <f t="shared" si="102"/>
        <v>7939.9147582300366</v>
      </c>
      <c r="AT93" s="8">
        <f t="shared" si="102"/>
        <v>8114.5928829110971</v>
      </c>
      <c r="AU93" s="8">
        <f t="shared" si="102"/>
        <v>8293.1139263351415</v>
      </c>
      <c r="AV93" s="8">
        <f t="shared" si="102"/>
        <v>8475.5624327145142</v>
      </c>
      <c r="AW93" s="8">
        <f t="shared" si="102"/>
        <v>8662.0248062342343</v>
      </c>
      <c r="AX93" s="8">
        <f t="shared" si="102"/>
        <v>8852.5893519713863</v>
      </c>
      <c r="AY93" s="8">
        <f t="shared" si="102"/>
        <v>9047.3463177147569</v>
      </c>
      <c r="AZ93" s="8">
        <f t="shared" si="102"/>
        <v>9246.3879367044829</v>
      </c>
      <c r="BA93" s="8">
        <f t="shared" si="102"/>
        <v>9449.8084713119824</v>
      </c>
      <c r="BB93" s="8">
        <f t="shared" si="102"/>
        <v>9657.7042576808435</v>
      </c>
      <c r="BC93" s="8">
        <f t="shared" si="102"/>
        <v>9870.1737513498229</v>
      </c>
      <c r="BD93" s="8">
        <f t="shared" si="102"/>
        <v>10087.31757387952</v>
      </c>
      <c r="BE93" s="8">
        <f t="shared" si="102"/>
        <v>10309.238560504869</v>
      </c>
      <c r="BF93" s="8">
        <f t="shared" si="102"/>
        <v>10536.041808835977</v>
      </c>
      <c r="BG93" s="8">
        <f t="shared" ref="BG93:BN93" si="103">BG20+BG47+BG75</f>
        <v>10767.834728630367</v>
      </c>
      <c r="BH93" s="8">
        <f t="shared" si="103"/>
        <v>11004.727092660238</v>
      </c>
      <c r="BI93" s="8">
        <f t="shared" si="103"/>
        <v>11246.83108869876</v>
      </c>
      <c r="BJ93" s="8">
        <f t="shared" si="103"/>
        <v>11494.261372650135</v>
      </c>
      <c r="BK93" s="8">
        <f t="shared" si="103"/>
        <v>0</v>
      </c>
      <c r="BL93" s="8">
        <f t="shared" si="103"/>
        <v>0</v>
      </c>
      <c r="BM93" s="8">
        <f t="shared" si="103"/>
        <v>0</v>
      </c>
      <c r="BN93" s="8">
        <f t="shared" si="103"/>
        <v>0</v>
      </c>
    </row>
    <row r="94" spans="3:69" x14ac:dyDescent="0.4">
      <c r="D94" t="s">
        <v>133</v>
      </c>
      <c r="G94" s="8">
        <f t="shared" ref="G94:AL94" si="104">G21+G48+G76</f>
        <v>300.34737821612799</v>
      </c>
      <c r="H94" s="8">
        <f t="shared" si="104"/>
        <v>306.95502053688278</v>
      </c>
      <c r="I94" s="8">
        <f t="shared" si="104"/>
        <v>313.70803098869425</v>
      </c>
      <c r="J94" s="8">
        <f t="shared" si="104"/>
        <v>320.60960767044548</v>
      </c>
      <c r="K94" s="8">
        <f t="shared" si="104"/>
        <v>327.66301903919526</v>
      </c>
      <c r="L94" s="8">
        <f t="shared" si="104"/>
        <v>334.87160545805762</v>
      </c>
      <c r="M94" s="8">
        <f t="shared" si="104"/>
        <v>342.23878077813487</v>
      </c>
      <c r="N94" s="8">
        <f t="shared" si="104"/>
        <v>349.76803395525383</v>
      </c>
      <c r="O94" s="8">
        <f t="shared" si="104"/>
        <v>357.46293070226949</v>
      </c>
      <c r="P94" s="8">
        <f t="shared" si="104"/>
        <v>365.32711517771941</v>
      </c>
      <c r="Q94" s="8">
        <f t="shared" si="104"/>
        <v>373.36431171162923</v>
      </c>
      <c r="R94" s="8">
        <f t="shared" si="104"/>
        <v>381.57832656928503</v>
      </c>
      <c r="S94" s="8">
        <f t="shared" si="104"/>
        <v>389.97304975380933</v>
      </c>
      <c r="T94" s="8">
        <f t="shared" si="104"/>
        <v>398.55245684839315</v>
      </c>
      <c r="U94" s="8">
        <f t="shared" si="104"/>
        <v>407.32061089905778</v>
      </c>
      <c r="V94" s="8">
        <f t="shared" si="104"/>
        <v>416.28166433883706</v>
      </c>
      <c r="W94" s="8">
        <f t="shared" si="104"/>
        <v>425.43986095429148</v>
      </c>
      <c r="X94" s="8">
        <f t="shared" si="104"/>
        <v>434.79953789528594</v>
      </c>
      <c r="Y94" s="8">
        <f t="shared" si="104"/>
        <v>444.3651277289822</v>
      </c>
      <c r="Z94" s="8">
        <f t="shared" si="104"/>
        <v>454.14116053901978</v>
      </c>
      <c r="AA94" s="8">
        <f t="shared" si="104"/>
        <v>464.13226607087819</v>
      </c>
      <c r="AB94" s="8">
        <f t="shared" si="104"/>
        <v>474.34317592443756</v>
      </c>
      <c r="AC94" s="8">
        <f t="shared" si="104"/>
        <v>484.7787257947752</v>
      </c>
      <c r="AD94" s="8">
        <f t="shared" si="104"/>
        <v>495.44385776226028</v>
      </c>
      <c r="AE94" s="8">
        <f t="shared" si="104"/>
        <v>506.34362263303001</v>
      </c>
      <c r="AF94" s="8">
        <f t="shared" si="104"/>
        <v>517.48318233095665</v>
      </c>
      <c r="AG94" s="8">
        <f t="shared" si="104"/>
        <v>528.8678123422377</v>
      </c>
      <c r="AH94" s="8">
        <f t="shared" si="104"/>
        <v>540.5029042137669</v>
      </c>
      <c r="AI94" s="8">
        <f t="shared" si="104"/>
        <v>552.39396810646986</v>
      </c>
      <c r="AJ94" s="8">
        <f t="shared" si="104"/>
        <v>564.54663540481215</v>
      </c>
      <c r="AK94" s="8">
        <f t="shared" si="104"/>
        <v>576.96666138371802</v>
      </c>
      <c r="AL94" s="8">
        <f t="shared" si="104"/>
        <v>589.65992793415967</v>
      </c>
      <c r="AM94" s="8">
        <f t="shared" ref="AM94:BF94" si="105">AM21+AM48+AM76</f>
        <v>602.63244634871137</v>
      </c>
      <c r="AN94" s="8">
        <f t="shared" si="105"/>
        <v>615.89036016838293</v>
      </c>
      <c r="AO94" s="8">
        <f t="shared" si="105"/>
        <v>629.43994809208743</v>
      </c>
      <c r="AP94" s="8">
        <f t="shared" si="105"/>
        <v>643.28762695011335</v>
      </c>
      <c r="AQ94" s="8">
        <f t="shared" si="105"/>
        <v>657.43995474301573</v>
      </c>
      <c r="AR94" s="8">
        <f t="shared" si="105"/>
        <v>671.90363374736228</v>
      </c>
      <c r="AS94" s="8">
        <f t="shared" si="105"/>
        <v>686.68551368980422</v>
      </c>
      <c r="AT94" s="8">
        <f t="shared" si="105"/>
        <v>701.79259499097986</v>
      </c>
      <c r="AU94" s="8">
        <f t="shared" si="105"/>
        <v>717.23203208078144</v>
      </c>
      <c r="AV94" s="8">
        <f t="shared" si="105"/>
        <v>733.01113678655872</v>
      </c>
      <c r="AW94" s="8">
        <f t="shared" si="105"/>
        <v>749.13738179586301</v>
      </c>
      <c r="AX94" s="8">
        <f t="shared" si="105"/>
        <v>765.61840419537191</v>
      </c>
      <c r="AY94" s="8">
        <f t="shared" si="105"/>
        <v>782.46200908767014</v>
      </c>
      <c r="AZ94" s="8">
        <f t="shared" si="105"/>
        <v>799.67617328759889</v>
      </c>
      <c r="BA94" s="8">
        <f t="shared" si="105"/>
        <v>817.26904909992618</v>
      </c>
      <c r="BB94" s="8">
        <f t="shared" si="105"/>
        <v>835.24896818012439</v>
      </c>
      <c r="BC94" s="8">
        <f t="shared" si="105"/>
        <v>853.62444548008716</v>
      </c>
      <c r="BD94" s="8">
        <f t="shared" si="105"/>
        <v>872.40418328064914</v>
      </c>
      <c r="BE94" s="8">
        <f t="shared" si="105"/>
        <v>891.59707531282345</v>
      </c>
      <c r="BF94" s="8">
        <f t="shared" si="105"/>
        <v>911.21221096970544</v>
      </c>
      <c r="BG94" s="8">
        <f t="shared" ref="BG94:BN94" si="106">BG21+BG48+BG76</f>
        <v>931.25887961103888</v>
      </c>
      <c r="BH94" s="8">
        <f t="shared" si="106"/>
        <v>951.74657496248199</v>
      </c>
      <c r="BI94" s="8">
        <f t="shared" si="106"/>
        <v>972.68499961165651</v>
      </c>
      <c r="BJ94" s="8">
        <f t="shared" si="106"/>
        <v>994.08406960311311</v>
      </c>
      <c r="BK94" s="8">
        <f t="shared" si="106"/>
        <v>0</v>
      </c>
      <c r="BL94" s="8">
        <f t="shared" si="106"/>
        <v>0</v>
      </c>
      <c r="BM94" s="8">
        <f t="shared" si="106"/>
        <v>0</v>
      </c>
      <c r="BN94" s="8">
        <f t="shared" si="106"/>
        <v>0</v>
      </c>
    </row>
    <row r="95" spans="3:69" x14ac:dyDescent="0.4">
      <c r="D95" t="s">
        <v>134</v>
      </c>
      <c r="F95" s="13"/>
      <c r="G95" s="8">
        <f t="shared" ref="G95:AL95" si="107">G22+G49+G77</f>
        <v>1227349.5474</v>
      </c>
      <c r="H95" s="8">
        <f t="shared" si="107"/>
        <v>1227349.5474</v>
      </c>
      <c r="I95" s="8">
        <f t="shared" si="107"/>
        <v>1227349.5474</v>
      </c>
      <c r="J95" s="8">
        <f t="shared" si="107"/>
        <v>1227349.5474</v>
      </c>
      <c r="K95" s="8">
        <f t="shared" si="107"/>
        <v>1227349.5474</v>
      </c>
      <c r="L95" s="8">
        <f t="shared" si="107"/>
        <v>1227349.5474</v>
      </c>
      <c r="M95" s="8">
        <f t="shared" si="107"/>
        <v>1227349.5474</v>
      </c>
      <c r="N95" s="8">
        <f t="shared" si="107"/>
        <v>1227349.5474</v>
      </c>
      <c r="O95" s="8">
        <f t="shared" si="107"/>
        <v>1227349.5474</v>
      </c>
      <c r="P95" s="8">
        <f t="shared" si="107"/>
        <v>1227349.5474</v>
      </c>
      <c r="Q95" s="8">
        <f t="shared" si="107"/>
        <v>1227349.5474</v>
      </c>
      <c r="R95" s="8">
        <f t="shared" si="107"/>
        <v>1227349.5474</v>
      </c>
      <c r="S95" s="8">
        <f t="shared" si="107"/>
        <v>1227349.5474</v>
      </c>
      <c r="T95" s="8">
        <f t="shared" si="107"/>
        <v>1227349.5474</v>
      </c>
      <c r="U95" s="8">
        <f t="shared" si="107"/>
        <v>1227349.5474</v>
      </c>
      <c r="V95" s="8">
        <f t="shared" si="107"/>
        <v>1227349.5474</v>
      </c>
      <c r="W95" s="8">
        <f t="shared" si="107"/>
        <v>1227349.5474</v>
      </c>
      <c r="X95" s="8">
        <f t="shared" si="107"/>
        <v>1227349.5474</v>
      </c>
      <c r="Y95" s="8">
        <f t="shared" si="107"/>
        <v>1227349.5474</v>
      </c>
      <c r="Z95" s="8">
        <f t="shared" si="107"/>
        <v>1227349.5474</v>
      </c>
      <c r="AA95" s="8">
        <f t="shared" si="107"/>
        <v>1227349.5474</v>
      </c>
      <c r="AB95" s="8">
        <f t="shared" si="107"/>
        <v>1227349.5474</v>
      </c>
      <c r="AC95" s="8">
        <f t="shared" si="107"/>
        <v>1227349.5474</v>
      </c>
      <c r="AD95" s="8">
        <f t="shared" si="107"/>
        <v>1227349.5474</v>
      </c>
      <c r="AE95" s="8">
        <f t="shared" si="107"/>
        <v>1227349.5474</v>
      </c>
      <c r="AF95" s="8">
        <f t="shared" si="107"/>
        <v>1227349.5474</v>
      </c>
      <c r="AG95" s="8">
        <f t="shared" si="107"/>
        <v>1227349.5474</v>
      </c>
      <c r="AH95" s="8">
        <f t="shared" si="107"/>
        <v>1227349.5474</v>
      </c>
      <c r="AI95" s="8">
        <f t="shared" si="107"/>
        <v>1227349.5474</v>
      </c>
      <c r="AJ95" s="8">
        <f t="shared" si="107"/>
        <v>1227349.5474</v>
      </c>
      <c r="AK95" s="8">
        <f t="shared" si="107"/>
        <v>1227349.5474</v>
      </c>
      <c r="AL95" s="8">
        <f t="shared" si="107"/>
        <v>1227349.5474</v>
      </c>
      <c r="AM95" s="8">
        <f t="shared" ref="AM95:BF95" si="108">AM22+AM49+AM77</f>
        <v>1227349.5474</v>
      </c>
      <c r="AN95" s="8">
        <f t="shared" si="108"/>
        <v>1227349.5474</v>
      </c>
      <c r="AO95" s="8">
        <f t="shared" si="108"/>
        <v>1227349.5474</v>
      </c>
      <c r="AP95" s="8">
        <f t="shared" si="108"/>
        <v>1227349.5474</v>
      </c>
      <c r="AQ95" s="8">
        <f t="shared" si="108"/>
        <v>1227349.5474</v>
      </c>
      <c r="AR95" s="8">
        <f t="shared" si="108"/>
        <v>1227349.5474</v>
      </c>
      <c r="AS95" s="8">
        <f t="shared" si="108"/>
        <v>1227349.5474</v>
      </c>
      <c r="AT95" s="8">
        <f t="shared" si="108"/>
        <v>1227349.5474</v>
      </c>
      <c r="AU95" s="8">
        <f t="shared" si="108"/>
        <v>1227349.5474</v>
      </c>
      <c r="AV95" s="8">
        <f t="shared" si="108"/>
        <v>1227349.5474</v>
      </c>
      <c r="AW95" s="8">
        <f t="shared" si="108"/>
        <v>1227349.5474</v>
      </c>
      <c r="AX95" s="8">
        <f t="shared" si="108"/>
        <v>1227349.5474</v>
      </c>
      <c r="AY95" s="8">
        <f t="shared" si="108"/>
        <v>1227349.5474</v>
      </c>
      <c r="AZ95" s="8">
        <f t="shared" si="108"/>
        <v>1227349.5474</v>
      </c>
      <c r="BA95" s="8">
        <f t="shared" si="108"/>
        <v>1227349.5474</v>
      </c>
      <c r="BB95" s="8">
        <f t="shared" si="108"/>
        <v>1227349.5474</v>
      </c>
      <c r="BC95" s="8">
        <f t="shared" si="108"/>
        <v>1227349.5474</v>
      </c>
      <c r="BD95" s="8">
        <f t="shared" si="108"/>
        <v>1227349.5474</v>
      </c>
      <c r="BE95" s="8">
        <f t="shared" si="108"/>
        <v>0</v>
      </c>
      <c r="BF95" s="8">
        <f t="shared" si="108"/>
        <v>0</v>
      </c>
      <c r="BG95" s="8">
        <f t="shared" ref="BG95:BN95" si="109">BG22+BG49+BG77</f>
        <v>0</v>
      </c>
      <c r="BH95" s="8">
        <f t="shared" si="109"/>
        <v>0</v>
      </c>
      <c r="BI95" s="8">
        <f t="shared" si="109"/>
        <v>0</v>
      </c>
      <c r="BJ95" s="8">
        <f t="shared" si="109"/>
        <v>0</v>
      </c>
      <c r="BK95" s="8">
        <f t="shared" si="109"/>
        <v>0</v>
      </c>
      <c r="BL95" s="8">
        <f t="shared" si="109"/>
        <v>0</v>
      </c>
      <c r="BM95" s="8">
        <f t="shared" si="109"/>
        <v>0</v>
      </c>
      <c r="BN95" s="8">
        <f t="shared" si="109"/>
        <v>0</v>
      </c>
    </row>
    <row r="96" spans="3:69" x14ac:dyDescent="0.4">
      <c r="D96" t="s">
        <v>135</v>
      </c>
      <c r="G96" s="8">
        <f t="shared" ref="G96:AL96" si="110">G23+G50+G78</f>
        <v>8933.7680571409128</v>
      </c>
      <c r="H96" s="8">
        <f t="shared" si="110"/>
        <v>9130.3109543980136</v>
      </c>
      <c r="I96" s="8">
        <f t="shared" si="110"/>
        <v>9331.1777953947694</v>
      </c>
      <c r="J96" s="8">
        <f t="shared" si="110"/>
        <v>9536.4637068934553</v>
      </c>
      <c r="K96" s="8">
        <f t="shared" si="110"/>
        <v>9746.2659084451116</v>
      </c>
      <c r="L96" s="8">
        <f t="shared" si="110"/>
        <v>9960.6837584309051</v>
      </c>
      <c r="M96" s="8">
        <f t="shared" si="110"/>
        <v>10179.818801116384</v>
      </c>
      <c r="N96" s="8">
        <f t="shared" si="110"/>
        <v>10403.774814740944</v>
      </c>
      <c r="O96" s="8">
        <f t="shared" si="110"/>
        <v>10632.657860665246</v>
      </c>
      <c r="P96" s="8">
        <f t="shared" si="110"/>
        <v>10866.576333599882</v>
      </c>
      <c r="Q96" s="8">
        <f t="shared" si="110"/>
        <v>0</v>
      </c>
      <c r="R96" s="8">
        <f t="shared" si="110"/>
        <v>0</v>
      </c>
      <c r="S96" s="8">
        <f t="shared" si="110"/>
        <v>0</v>
      </c>
      <c r="T96" s="8">
        <f t="shared" si="110"/>
        <v>0</v>
      </c>
      <c r="U96" s="8">
        <f t="shared" si="110"/>
        <v>0</v>
      </c>
      <c r="V96" s="8">
        <f t="shared" si="110"/>
        <v>0</v>
      </c>
      <c r="W96" s="8">
        <f t="shared" si="110"/>
        <v>0</v>
      </c>
      <c r="X96" s="8">
        <f t="shared" si="110"/>
        <v>0</v>
      </c>
      <c r="Y96" s="8">
        <f t="shared" si="110"/>
        <v>0</v>
      </c>
      <c r="Z96" s="8">
        <f t="shared" si="110"/>
        <v>0</v>
      </c>
      <c r="AA96" s="8">
        <f t="shared" si="110"/>
        <v>0</v>
      </c>
      <c r="AB96" s="8">
        <f t="shared" si="110"/>
        <v>0</v>
      </c>
      <c r="AC96" s="8">
        <f t="shared" si="110"/>
        <v>0</v>
      </c>
      <c r="AD96" s="8">
        <f t="shared" si="110"/>
        <v>0</v>
      </c>
      <c r="AE96" s="8">
        <f t="shared" si="110"/>
        <v>0</v>
      </c>
      <c r="AF96" s="8">
        <f t="shared" si="110"/>
        <v>0</v>
      </c>
      <c r="AG96" s="8">
        <f t="shared" si="110"/>
        <v>0</v>
      </c>
      <c r="AH96" s="8">
        <f t="shared" si="110"/>
        <v>0</v>
      </c>
      <c r="AI96" s="8">
        <f t="shared" si="110"/>
        <v>0</v>
      </c>
      <c r="AJ96" s="8">
        <f t="shared" si="110"/>
        <v>0</v>
      </c>
      <c r="AK96" s="8">
        <f t="shared" si="110"/>
        <v>0</v>
      </c>
      <c r="AL96" s="8">
        <f t="shared" si="110"/>
        <v>0</v>
      </c>
      <c r="AM96" s="8">
        <f t="shared" ref="AM96:BF96" si="111">AM23+AM50+AM78</f>
        <v>0</v>
      </c>
      <c r="AN96" s="8">
        <f t="shared" si="111"/>
        <v>0</v>
      </c>
      <c r="AO96" s="8">
        <f t="shared" si="111"/>
        <v>0</v>
      </c>
      <c r="AP96" s="8">
        <f t="shared" si="111"/>
        <v>0</v>
      </c>
      <c r="AQ96" s="8">
        <f t="shared" si="111"/>
        <v>0</v>
      </c>
      <c r="AR96" s="8">
        <f t="shared" si="111"/>
        <v>0</v>
      </c>
      <c r="AS96" s="8">
        <f t="shared" si="111"/>
        <v>0</v>
      </c>
      <c r="AT96" s="8">
        <f t="shared" si="111"/>
        <v>0</v>
      </c>
      <c r="AU96" s="8">
        <f t="shared" si="111"/>
        <v>0</v>
      </c>
      <c r="AV96" s="8">
        <f t="shared" si="111"/>
        <v>0</v>
      </c>
      <c r="AW96" s="8">
        <f t="shared" si="111"/>
        <v>0</v>
      </c>
      <c r="AX96" s="8">
        <f t="shared" si="111"/>
        <v>0</v>
      </c>
      <c r="AY96" s="8">
        <f t="shared" si="111"/>
        <v>0</v>
      </c>
      <c r="AZ96" s="8">
        <f t="shared" si="111"/>
        <v>0</v>
      </c>
      <c r="BA96" s="8">
        <f t="shared" si="111"/>
        <v>0</v>
      </c>
      <c r="BB96" s="8">
        <f t="shared" si="111"/>
        <v>0</v>
      </c>
      <c r="BC96" s="8">
        <f t="shared" si="111"/>
        <v>0</v>
      </c>
      <c r="BD96" s="8">
        <f t="shared" si="111"/>
        <v>0</v>
      </c>
      <c r="BE96" s="8">
        <f t="shared" si="111"/>
        <v>0</v>
      </c>
      <c r="BF96" s="8">
        <f t="shared" si="111"/>
        <v>0</v>
      </c>
      <c r="BG96" s="8">
        <f t="shared" ref="BG96:BN96" si="112">BG23+BG50+BG78</f>
        <v>0</v>
      </c>
      <c r="BH96" s="8">
        <f t="shared" si="112"/>
        <v>0</v>
      </c>
      <c r="BI96" s="8">
        <f t="shared" si="112"/>
        <v>0</v>
      </c>
      <c r="BJ96" s="8">
        <f t="shared" si="112"/>
        <v>0</v>
      </c>
      <c r="BK96" s="8">
        <f t="shared" si="112"/>
        <v>0</v>
      </c>
      <c r="BL96" s="8">
        <f t="shared" si="112"/>
        <v>0</v>
      </c>
      <c r="BM96" s="8">
        <f t="shared" si="112"/>
        <v>0</v>
      </c>
      <c r="BN96" s="8">
        <f t="shared" si="112"/>
        <v>0</v>
      </c>
    </row>
  </sheetData>
  <mergeCells count="6">
    <mergeCell ref="C68:BQ68"/>
    <mergeCell ref="C4:BQ4"/>
    <mergeCell ref="C13:BQ13"/>
    <mergeCell ref="C31:BQ31"/>
    <mergeCell ref="C40:BQ40"/>
    <mergeCell ref="C59:BQ59"/>
  </mergeCells>
  <pageMargins left="0.7" right="0.7" top="0.75" bottom="0.75" header="0.3" footer="0.3"/>
  <pageSetup scale="10" orientation="portrait" r:id="rId1"/>
  <colBreaks count="1" manualBreakCount="1">
    <brk id="3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6F641-C0E7-42A9-AC3C-DEE5F7D1C844}">
  <sheetPr>
    <tabColor theme="4" tint="0.79998168889431442"/>
  </sheetPr>
  <dimension ref="A1:BO41"/>
  <sheetViews>
    <sheetView view="pageBreakPreview" zoomScale="10" zoomScaleNormal="55" zoomScaleSheetLayoutView="10" workbookViewId="0">
      <selection activeCell="AN76" sqref="AN76"/>
    </sheetView>
  </sheetViews>
  <sheetFormatPr defaultRowHeight="18.75" x14ac:dyDescent="0.4"/>
  <cols>
    <col min="3" max="3" width="43.21875" customWidth="1"/>
    <col min="4" max="66" width="15.77734375" customWidth="1"/>
    <col min="67" max="67" width="14.21875" bestFit="1" customWidth="1"/>
  </cols>
  <sheetData>
    <row r="1" spans="1:67" x14ac:dyDescent="0.4">
      <c r="D1">
        <v>0</v>
      </c>
      <c r="E1">
        <v>1</v>
      </c>
      <c r="F1">
        <v>2</v>
      </c>
      <c r="G1">
        <v>3</v>
      </c>
      <c r="H1">
        <v>4</v>
      </c>
      <c r="I1">
        <v>5</v>
      </c>
      <c r="J1">
        <v>6</v>
      </c>
      <c r="K1">
        <v>7</v>
      </c>
      <c r="L1">
        <v>8</v>
      </c>
      <c r="M1">
        <v>9</v>
      </c>
      <c r="N1">
        <v>10</v>
      </c>
      <c r="O1">
        <v>11</v>
      </c>
      <c r="P1">
        <v>12</v>
      </c>
      <c r="Q1">
        <v>13</v>
      </c>
      <c r="R1">
        <v>14</v>
      </c>
      <c r="S1">
        <v>15</v>
      </c>
      <c r="T1">
        <v>16</v>
      </c>
      <c r="U1">
        <v>17</v>
      </c>
      <c r="V1">
        <v>18</v>
      </c>
      <c r="W1">
        <v>19</v>
      </c>
      <c r="X1">
        <v>20</v>
      </c>
      <c r="Y1">
        <v>21</v>
      </c>
      <c r="Z1">
        <v>22</v>
      </c>
      <c r="AA1">
        <v>23</v>
      </c>
      <c r="AB1">
        <v>24</v>
      </c>
      <c r="AC1">
        <v>25</v>
      </c>
      <c r="AD1">
        <v>26</v>
      </c>
      <c r="AE1">
        <v>27</v>
      </c>
      <c r="AF1">
        <v>28</v>
      </c>
      <c r="AG1">
        <v>29</v>
      </c>
      <c r="AH1">
        <v>30</v>
      </c>
      <c r="AI1">
        <v>31</v>
      </c>
      <c r="AJ1">
        <v>32</v>
      </c>
      <c r="AK1">
        <v>33</v>
      </c>
      <c r="AL1">
        <v>34</v>
      </c>
      <c r="AM1">
        <v>35</v>
      </c>
      <c r="AN1">
        <v>36</v>
      </c>
      <c r="AO1">
        <v>37</v>
      </c>
      <c r="AP1">
        <v>38</v>
      </c>
      <c r="AQ1">
        <v>39</v>
      </c>
      <c r="AR1">
        <v>40</v>
      </c>
      <c r="AS1">
        <v>41</v>
      </c>
      <c r="AT1">
        <v>42</v>
      </c>
      <c r="AU1">
        <v>43</v>
      </c>
      <c r="AV1">
        <v>44</v>
      </c>
      <c r="AW1">
        <v>45</v>
      </c>
      <c r="AX1">
        <v>46</v>
      </c>
      <c r="AY1">
        <v>47</v>
      </c>
      <c r="AZ1">
        <v>48</v>
      </c>
      <c r="BA1">
        <v>49</v>
      </c>
      <c r="BB1">
        <v>50</v>
      </c>
      <c r="BC1">
        <v>51</v>
      </c>
      <c r="BD1">
        <v>52</v>
      </c>
      <c r="BE1">
        <v>53</v>
      </c>
      <c r="BF1">
        <v>54</v>
      </c>
      <c r="BG1">
        <v>55</v>
      </c>
      <c r="BH1">
        <v>56</v>
      </c>
      <c r="BI1">
        <v>57</v>
      </c>
      <c r="BJ1">
        <v>58</v>
      </c>
      <c r="BK1">
        <v>59</v>
      </c>
      <c r="BL1">
        <v>60</v>
      </c>
      <c r="BM1">
        <v>61</v>
      </c>
      <c r="BN1">
        <v>62</v>
      </c>
      <c r="BO1">
        <v>63</v>
      </c>
    </row>
    <row r="2" spans="1:67" x14ac:dyDescent="0.4">
      <c r="B2" s="11" t="s">
        <v>432</v>
      </c>
    </row>
    <row r="3" spans="1:67" x14ac:dyDescent="0.4">
      <c r="A3" t="s">
        <v>70</v>
      </c>
      <c r="B3" t="s">
        <v>149</v>
      </c>
      <c r="C3" s="5" t="s">
        <v>172</v>
      </c>
      <c r="D3" s="5">
        <v>2027</v>
      </c>
      <c r="E3" s="5">
        <v>2028</v>
      </c>
      <c r="F3" s="5">
        <v>2029</v>
      </c>
      <c r="G3" s="5">
        <v>2030</v>
      </c>
      <c r="H3" s="5">
        <v>2031</v>
      </c>
      <c r="I3" s="5">
        <v>2032</v>
      </c>
      <c r="J3" s="5">
        <v>2033</v>
      </c>
      <c r="K3" s="5">
        <v>2034</v>
      </c>
      <c r="L3" s="5">
        <v>2035</v>
      </c>
      <c r="M3" s="5">
        <v>2036</v>
      </c>
      <c r="N3" s="5">
        <v>2037</v>
      </c>
      <c r="O3" s="5">
        <v>2038</v>
      </c>
      <c r="P3" s="5">
        <v>2039</v>
      </c>
      <c r="Q3" s="5">
        <v>2040</v>
      </c>
      <c r="R3" s="5">
        <v>2041</v>
      </c>
      <c r="S3" s="5">
        <v>2042</v>
      </c>
      <c r="T3" s="5">
        <v>2043</v>
      </c>
      <c r="U3" s="5">
        <v>2044</v>
      </c>
      <c r="V3" s="5">
        <v>2045</v>
      </c>
      <c r="W3" s="5">
        <v>2046</v>
      </c>
      <c r="X3" s="5">
        <v>2047</v>
      </c>
      <c r="Y3" s="5">
        <v>2048</v>
      </c>
      <c r="Z3" s="5">
        <v>2049</v>
      </c>
      <c r="AA3" s="5">
        <v>2050</v>
      </c>
      <c r="AB3" s="5">
        <v>2051</v>
      </c>
      <c r="AC3" s="5">
        <v>2052</v>
      </c>
      <c r="AD3" s="5">
        <v>2053</v>
      </c>
      <c r="AE3" s="5">
        <v>2054</v>
      </c>
      <c r="AF3" s="5">
        <v>2055</v>
      </c>
      <c r="AG3" s="5">
        <v>2056</v>
      </c>
      <c r="AH3" s="5">
        <v>2057</v>
      </c>
      <c r="AI3" s="5">
        <v>2058</v>
      </c>
      <c r="AJ3" s="5">
        <v>2059</v>
      </c>
      <c r="AK3" s="5">
        <v>2060</v>
      </c>
      <c r="AL3" s="5">
        <v>2061</v>
      </c>
      <c r="AM3" s="5">
        <v>2062</v>
      </c>
      <c r="AN3" s="5">
        <v>2063</v>
      </c>
      <c r="AO3" s="5">
        <v>2064</v>
      </c>
      <c r="AP3" s="5">
        <v>2065</v>
      </c>
      <c r="AQ3" s="5">
        <v>2066</v>
      </c>
      <c r="AR3" s="5">
        <v>2067</v>
      </c>
      <c r="AS3" s="5">
        <v>2068</v>
      </c>
      <c r="AT3" s="5">
        <v>2069</v>
      </c>
      <c r="AU3" s="5">
        <v>2070</v>
      </c>
      <c r="AV3" s="5">
        <v>2071</v>
      </c>
      <c r="AW3" s="5">
        <v>2072</v>
      </c>
      <c r="AX3" s="5">
        <v>2073</v>
      </c>
      <c r="AY3" s="5">
        <v>2074</v>
      </c>
      <c r="AZ3" s="5">
        <v>2075</v>
      </c>
      <c r="BA3" s="5">
        <v>2076</v>
      </c>
      <c r="BB3" s="5">
        <v>2077</v>
      </c>
      <c r="BC3" s="5">
        <v>2078</v>
      </c>
      <c r="BD3" s="5">
        <v>2079</v>
      </c>
      <c r="BE3" s="5">
        <v>2080</v>
      </c>
      <c r="BF3" s="5">
        <v>2081</v>
      </c>
      <c r="BG3" s="5">
        <v>2082</v>
      </c>
      <c r="BH3" s="5">
        <v>2083</v>
      </c>
      <c r="BI3" s="5">
        <v>2084</v>
      </c>
      <c r="BJ3" s="5">
        <v>2085</v>
      </c>
      <c r="BK3" s="5">
        <v>2086</v>
      </c>
      <c r="BL3" s="5">
        <v>2087</v>
      </c>
      <c r="BM3" s="5">
        <v>2088</v>
      </c>
      <c r="BN3" s="5">
        <v>2089</v>
      </c>
      <c r="BO3" s="5">
        <v>2090</v>
      </c>
    </row>
    <row r="4" spans="1:67" x14ac:dyDescent="0.4"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  <c r="AN4" s="216"/>
      <c r="AO4" s="216"/>
      <c r="AP4" s="216"/>
      <c r="AQ4" s="216"/>
      <c r="AR4" s="216"/>
      <c r="AS4" s="216"/>
      <c r="AT4" s="216"/>
      <c r="AU4" s="216"/>
      <c r="AV4" s="216"/>
      <c r="AW4" s="216"/>
      <c r="AX4" s="216"/>
      <c r="AY4" s="216"/>
      <c r="AZ4" s="216"/>
      <c r="BA4" s="216"/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  <c r="BM4" s="216"/>
      <c r="BN4" s="216"/>
      <c r="BO4" s="216"/>
    </row>
    <row r="5" spans="1:67" x14ac:dyDescent="0.4">
      <c r="A5" t="s">
        <v>37</v>
      </c>
      <c r="B5" t="s">
        <v>15</v>
      </c>
      <c r="C5" t="s">
        <v>173</v>
      </c>
      <c r="D5" s="8"/>
      <c r="E5" s="8">
        <f>IF(E$1&gt;Lifetime_OH,0,SUMIFS('Baseline Projects'!AK:AK,'Baseline Projects'!$H:$H,Benefits_Baseline!$B5,'Baseline Projects'!$G:$G,Benefits_Baseline!$A5)*(1+Inflation)^(E$1-$D$1))</f>
        <v>32161.428645291195</v>
      </c>
      <c r="F5" s="8">
        <f>IF(F$1&gt;Lifetime_OH,0,SUMIFS('Baseline Projects'!AL:AL,'Baseline Projects'!$H:$H,Benefits_Baseline!$B5,'Baseline Projects'!$G:$G,Benefits_Baseline!$A5)*(1+Inflation)^(F$1-$D$1))</f>
        <v>30420.312988908303</v>
      </c>
      <c r="G5" s="8">
        <f>IF(G$1&gt;Lifetime_OH,0,SUMIFS('Baseline Projects'!AM:AM,'Baseline Projects'!$H:$H,Benefits_Baseline!$B5,'Baseline Projects'!$G:$G,Benefits_Baseline!$A5)*(1+Inflation)^(G$1-$D$1))</f>
        <v>28697.2895094536</v>
      </c>
      <c r="H5" s="8">
        <f>IF(H$1&gt;Lifetime_OH,0,SUMIFS('Baseline Projects'!AN:AN,'Baseline Projects'!$H:$H,Benefits_Baseline!$B5,'Baseline Projects'!$G:$G,Benefits_Baseline!$A5)*(1+Inflation)^(H$1-$D$1))</f>
        <v>26991.457328080163</v>
      </c>
      <c r="I5" s="8">
        <f>IF(I$1&gt;Lifetime_OH,0,SUMIFS('Baseline Projects'!AO:AO,'Baseline Projects'!$H:$H,Benefits_Baseline!$B5,'Baseline Projects'!$G:$G,Benefits_Baseline!$A5)*(1+Inflation)^(I$1-$D$1))</f>
        <v>25301.925662507187</v>
      </c>
      <c r="J5" s="8">
        <f>IF(J$1&gt;Lifetime_OH,0,SUMIFS('Baseline Projects'!AP:AP,'Baseline Projects'!$H:$H,Benefits_Baseline!$B5,'Baseline Projects'!$G:$G,Benefits_Baseline!$A5)*(1+Inflation)^(J$1-$D$1))</f>
        <v>23627.813360133328</v>
      </c>
      <c r="K5" s="8">
        <f>IF(K$1&gt;Lifetime_OH,0,SUMIFS('Baseline Projects'!AQ:AQ,'Baseline Projects'!$H:$H,Benefits_Baseline!$B5,'Baseline Projects'!$G:$G,Benefits_Baseline!$A5)*(1+Inflation)^(K$1-$D$1))</f>
        <v>21968.248436747632</v>
      </c>
      <c r="L5" s="8">
        <f>IF(L$1&gt;Lifetime_OH,0,SUMIFS('Baseline Projects'!AR:AR,'Baseline Projects'!$H:$H,Benefits_Baseline!$B5,'Baseline Projects'!$G:$G,Benefits_Baseline!$A5)*(1+Inflation)^(L$1-$D$1))</f>
        <v>20322.367620595629</v>
      </c>
      <c r="M5" s="8">
        <f>IF(M$1&gt;Lifetime_OH,0,SUMIFS('Baseline Projects'!AS:AS,'Baseline Projects'!$H:$H,Benefits_Baseline!$B5,'Baseline Projects'!$G:$G,Benefits_Baseline!$A5)*(1+Inflation)^(M$1-$D$1))</f>
        <v>18689.315901561331</v>
      </c>
      <c r="N5" s="8">
        <f>IF(N$1&gt;Lifetime_OH,0,SUMIFS('Baseline Projects'!AT:AT,'Baseline Projects'!$H:$H,Benefits_Baseline!$B5,'Baseline Projects'!$G:$G,Benefits_Baseline!$A5)*(1+Inflation)^(N$1-$D$1))</f>
        <v>17068.246085228871</v>
      </c>
      <c r="O5" s="8">
        <f t="shared" ref="O5:AT6" si="0">IF(O$1&gt;Lifetime_OH,0,N5*(1+Inflation))</f>
        <v>17443.747499103905</v>
      </c>
      <c r="P5" s="8">
        <f t="shared" si="0"/>
        <v>17827.509944084191</v>
      </c>
      <c r="Q5" s="8">
        <f t="shared" si="0"/>
        <v>18219.715162854045</v>
      </c>
      <c r="R5" s="8">
        <f t="shared" si="0"/>
        <v>18620.548896436834</v>
      </c>
      <c r="S5" s="8">
        <f t="shared" si="0"/>
        <v>19030.200972158444</v>
      </c>
      <c r="T5" s="8">
        <f t="shared" si="0"/>
        <v>19448.86539354593</v>
      </c>
      <c r="U5" s="8">
        <f t="shared" si="0"/>
        <v>19876.74043220394</v>
      </c>
      <c r="V5" s="8">
        <f t="shared" si="0"/>
        <v>20314.028721712428</v>
      </c>
      <c r="W5" s="8">
        <f t="shared" si="0"/>
        <v>20760.937353590103</v>
      </c>
      <c r="X5" s="8">
        <f t="shared" si="0"/>
        <v>21217.677975369086</v>
      </c>
      <c r="Y5" s="8">
        <f t="shared" si="0"/>
        <v>21684.466890827207</v>
      </c>
      <c r="Z5" s="8">
        <f t="shared" si="0"/>
        <v>22161.525162425405</v>
      </c>
      <c r="AA5" s="8">
        <f t="shared" si="0"/>
        <v>22649.078715998763</v>
      </c>
      <c r="AB5" s="8">
        <f t="shared" si="0"/>
        <v>23147.358447750736</v>
      </c>
      <c r="AC5" s="8">
        <f t="shared" si="0"/>
        <v>23656.600333601251</v>
      </c>
      <c r="AD5" s="8">
        <f t="shared" si="0"/>
        <v>24177.045540940479</v>
      </c>
      <c r="AE5" s="8">
        <f t="shared" si="0"/>
        <v>24708.94054284117</v>
      </c>
      <c r="AF5" s="8">
        <f t="shared" si="0"/>
        <v>25252.537234783675</v>
      </c>
      <c r="AG5" s="8">
        <f t="shared" si="0"/>
        <v>25808.093053948916</v>
      </c>
      <c r="AH5" s="8">
        <f t="shared" si="0"/>
        <v>26375.871101135792</v>
      </c>
      <c r="AI5" s="8">
        <f t="shared" si="0"/>
        <v>26956.14026536078</v>
      </c>
      <c r="AJ5" s="8">
        <f t="shared" si="0"/>
        <v>27549.175351198719</v>
      </c>
      <c r="AK5" s="8">
        <f t="shared" si="0"/>
        <v>28155.25720892509</v>
      </c>
      <c r="AL5" s="8">
        <f t="shared" si="0"/>
        <v>28774.672867521444</v>
      </c>
      <c r="AM5" s="8">
        <f t="shared" si="0"/>
        <v>29407.715670606915</v>
      </c>
      <c r="AN5" s="8">
        <f t="shared" si="0"/>
        <v>30054.685415360269</v>
      </c>
      <c r="AO5" s="8">
        <f t="shared" si="0"/>
        <v>30715.888494498195</v>
      </c>
      <c r="AP5" s="8">
        <f t="shared" si="0"/>
        <v>31391.638041377155</v>
      </c>
      <c r="AQ5" s="8">
        <f t="shared" si="0"/>
        <v>32082.254078287453</v>
      </c>
      <c r="AR5" s="8">
        <f t="shared" si="0"/>
        <v>32788.063668009774</v>
      </c>
      <c r="AS5" s="8">
        <f t="shared" si="0"/>
        <v>33509.401068705993</v>
      </c>
      <c r="AT5" s="8">
        <f t="shared" si="0"/>
        <v>34246.607892217522</v>
      </c>
      <c r="AU5" s="8">
        <f t="shared" ref="AU5:BO6" si="1">IF(AU$1&gt;Lifetime_OH,0,AT5*(1+Inflation))</f>
        <v>35000.033265846308</v>
      </c>
      <c r="AV5" s="8">
        <f t="shared" si="1"/>
        <v>35770.033997694925</v>
      </c>
      <c r="AW5" s="8">
        <f t="shared" si="1"/>
        <v>36556.974745644213</v>
      </c>
      <c r="AX5" s="8">
        <f t="shared" si="1"/>
        <v>37361.228190048387</v>
      </c>
      <c r="AY5" s="8">
        <f t="shared" si="1"/>
        <v>38183.175210229449</v>
      </c>
      <c r="AZ5" s="8">
        <f t="shared" si="1"/>
        <v>0</v>
      </c>
      <c r="BA5" s="8">
        <f t="shared" si="1"/>
        <v>0</v>
      </c>
      <c r="BB5" s="8">
        <f t="shared" si="1"/>
        <v>0</v>
      </c>
      <c r="BC5" s="8">
        <f t="shared" si="1"/>
        <v>0</v>
      </c>
      <c r="BD5" s="8">
        <f t="shared" si="1"/>
        <v>0</v>
      </c>
      <c r="BE5" s="8">
        <f t="shared" si="1"/>
        <v>0</v>
      </c>
      <c r="BF5" s="8">
        <f t="shared" si="1"/>
        <v>0</v>
      </c>
      <c r="BG5" s="8">
        <f t="shared" si="1"/>
        <v>0</v>
      </c>
      <c r="BH5" s="8">
        <f t="shared" si="1"/>
        <v>0</v>
      </c>
      <c r="BI5" s="8">
        <f t="shared" si="1"/>
        <v>0</v>
      </c>
      <c r="BJ5" s="8">
        <f t="shared" si="1"/>
        <v>0</v>
      </c>
      <c r="BK5" s="8">
        <f t="shared" si="1"/>
        <v>0</v>
      </c>
      <c r="BL5" s="8">
        <f t="shared" si="1"/>
        <v>0</v>
      </c>
      <c r="BM5" s="8">
        <f t="shared" si="1"/>
        <v>0</v>
      </c>
      <c r="BN5" s="8">
        <f t="shared" si="1"/>
        <v>0</v>
      </c>
      <c r="BO5" s="8">
        <f t="shared" si="1"/>
        <v>0</v>
      </c>
    </row>
    <row r="6" spans="1:67" x14ac:dyDescent="0.4">
      <c r="A6" t="s">
        <v>37</v>
      </c>
      <c r="B6" t="s">
        <v>15</v>
      </c>
      <c r="C6" t="s">
        <v>174</v>
      </c>
      <c r="D6" s="8"/>
      <c r="E6" s="8">
        <f>IF(E$1&gt;Lifetime_OH,0,SUMIFS('Baseline Projects'!AU:AU,'Baseline Projects'!$H:$H,Benefits_Baseline!$B6,'Baseline Projects'!$G:$G,Benefits_Baseline!$A6)*(1+Inflation)^(E$1-$D$1))</f>
        <v>982625.35462678771</v>
      </c>
      <c r="F6" s="8">
        <f>IF(F$1&gt;Lifetime_OH,0,SUMIFS('Baseline Projects'!AV:AV,'Baseline Projects'!$H:$H,Benefits_Baseline!$B6,'Baseline Projects'!$G:$G,Benefits_Baseline!$A6)*(1+Inflation)^(F$1-$D$1))</f>
        <v>929429.19819453964</v>
      </c>
      <c r="G6" s="8">
        <f>IF(G$1&gt;Lifetime_OH,0,SUMIFS('Baseline Projects'!AW:AW,'Baseline Projects'!$H:$H,Benefits_Baseline!$B6,'Baseline Projects'!$G:$G,Benefits_Baseline!$A6)*(1+Inflation)^(G$1-$D$1))</f>
        <v>876785.81048305042</v>
      </c>
      <c r="H6" s="8">
        <f>IF(H$1&gt;Lifetime_OH,0,SUMIFS('Baseline Projects'!AX:AX,'Baseline Projects'!$H:$H,Benefits_Baseline!$B6,'Baseline Projects'!$G:$G,Benefits_Baseline!$A6)*(1+Inflation)^(H$1-$D$1))</f>
        <v>824667.66701863485</v>
      </c>
      <c r="I6" s="8">
        <f>IF(I$1&gt;Lifetime_OH,0,SUMIFS('Baseline Projects'!AY:AY,'Baseline Projects'!$H:$H,Benefits_Baseline!$B6,'Baseline Projects'!$G:$G,Benefits_Baseline!$A6)*(1+Inflation)^(I$1-$D$1))</f>
        <v>773047.55180712021</v>
      </c>
      <c r="J6" s="8">
        <f>IF(J$1&gt;Lifetime_OH,0,SUMIFS('Baseline Projects'!AZ:AZ,'Baseline Projects'!$H:$H,Benefits_Baseline!$B6,'Baseline Projects'!$G:$G,Benefits_Baseline!$A6)*(1+Inflation)^(J$1-$D$1))</f>
        <v>721898.54306910106</v>
      </c>
      <c r="K6" s="8">
        <f>IF(K$1&gt;Lifetime_OH,0,SUMIFS('Baseline Projects'!BA:BA,'Baseline Projects'!$H:$H,Benefits_Baseline!$B6,'Baseline Projects'!$G:$G,Benefits_Baseline!$A6)*(1+Inflation)^(K$1-$D$1))</f>
        <v>671193.99914621131</v>
      </c>
      <c r="L6" s="8">
        <f>IF(L$1&gt;Lifetime_OH,0,SUMIFS('Baseline Projects'!BB:BB,'Baseline Projects'!$H:$H,Benefits_Baseline!$B6,'Baseline Projects'!$G:$G,Benefits_Baseline!$A6)*(1+Inflation)^(L$1-$D$1))</f>
        <v>620907.54457101715</v>
      </c>
      <c r="M6" s="8">
        <f>IF(M$1&gt;Lifetime_OH,0,SUMIFS('Baseline Projects'!BC:BC,'Baseline Projects'!$H:$H,Benefits_Baseline!$B6,'Baseline Projects'!$G:$G,Benefits_Baseline!$A6)*(1+Inflation)^(M$1-$D$1))</f>
        <v>571013.0562932113</v>
      </c>
      <c r="N6" s="8">
        <f>IF(N$1&gt;Lifetime_OH,0,SUMIFS('Baseline Projects'!BD:BD,'Baseline Projects'!$H:$H,Benefits_Baseline!$B6,'Baseline Projects'!$G:$G,Benefits_Baseline!$A6)*(1+Inflation)^(N$1-$D$1))</f>
        <v>521484.65005489963</v>
      </c>
      <c r="O6" s="8">
        <f t="shared" si="0"/>
        <v>532957.3123561074</v>
      </c>
      <c r="P6" s="8">
        <f t="shared" ref="P6" si="2">IF(P$1&gt;Lifetime_OH,0,O6*(1+Inflation))</f>
        <v>544682.3732279418</v>
      </c>
      <c r="Q6" s="8">
        <f t="shared" ref="Q6" si="3">IF(Q$1&gt;Lifetime_OH,0,P6*(1+Inflation))</f>
        <v>556665.38543895655</v>
      </c>
      <c r="R6" s="8">
        <f t="shared" ref="R6" si="4">IF(R$1&gt;Lifetime_OH,0,Q6*(1+Inflation))</f>
        <v>568912.02391861356</v>
      </c>
      <c r="S6" s="8">
        <f t="shared" ref="S6" si="5">IF(S$1&gt;Lifetime_OH,0,R6*(1+Inflation))</f>
        <v>581428.08844482305</v>
      </c>
      <c r="T6" s="8">
        <f t="shared" ref="T6" si="6">IF(T$1&gt;Lifetime_OH,0,S6*(1+Inflation))</f>
        <v>594219.5063906092</v>
      </c>
      <c r="U6" s="8">
        <f t="shared" ref="U6" si="7">IF(U$1&gt;Lifetime_OH,0,T6*(1+Inflation))</f>
        <v>607292.33553120261</v>
      </c>
      <c r="V6" s="8">
        <f t="shared" ref="V6" si="8">IF(V$1&gt;Lifetime_OH,0,U6*(1+Inflation))</f>
        <v>620652.76691288908</v>
      </c>
      <c r="W6" s="8">
        <f t="shared" ref="W6" si="9">IF(W$1&gt;Lifetime_OH,0,V6*(1+Inflation))</f>
        <v>634307.12778497266</v>
      </c>
      <c r="X6" s="8">
        <f t="shared" ref="X6" si="10">IF(X$1&gt;Lifetime_OH,0,W6*(1+Inflation))</f>
        <v>648261.8845962421</v>
      </c>
      <c r="Y6" s="8">
        <f t="shared" ref="Y6" si="11">IF(Y$1&gt;Lifetime_OH,0,X6*(1+Inflation))</f>
        <v>662523.64605735941</v>
      </c>
      <c r="Z6" s="8">
        <f t="shared" ref="Z6" si="12">IF(Z$1&gt;Lifetime_OH,0,Y6*(1+Inflation))</f>
        <v>677099.16627062135</v>
      </c>
      <c r="AA6" s="8">
        <f t="shared" ref="AA6" si="13">IF(AA$1&gt;Lifetime_OH,0,Z6*(1+Inflation))</f>
        <v>691995.34792857501</v>
      </c>
      <c r="AB6" s="8">
        <f t="shared" ref="AB6" si="14">IF(AB$1&gt;Lifetime_OH,0,AA6*(1+Inflation))</f>
        <v>707219.24558300362</v>
      </c>
      <c r="AC6" s="8">
        <f t="shared" ref="AC6" si="15">IF(AC$1&gt;Lifetime_OH,0,AB6*(1+Inflation))</f>
        <v>722778.06898582971</v>
      </c>
      <c r="AD6" s="8">
        <f t="shared" ref="AD6" si="16">IF(AD$1&gt;Lifetime_OH,0,AC6*(1+Inflation))</f>
        <v>738679.18650351802</v>
      </c>
      <c r="AE6" s="8">
        <f t="shared" ref="AE6" si="17">IF(AE$1&gt;Lifetime_OH,0,AD6*(1+Inflation))</f>
        <v>754930.12860659545</v>
      </c>
      <c r="AF6" s="8">
        <f t="shared" ref="AF6" si="18">IF(AF$1&gt;Lifetime_OH,0,AE6*(1+Inflation))</f>
        <v>771538.59143594059</v>
      </c>
      <c r="AG6" s="8">
        <f t="shared" ref="AG6" si="19">IF(AG$1&gt;Lifetime_OH,0,AF6*(1+Inflation))</f>
        <v>788512.44044753129</v>
      </c>
      <c r="AH6" s="8">
        <f t="shared" ref="AH6" si="20">IF(AH$1&gt;Lifetime_OH,0,AG6*(1+Inflation))</f>
        <v>805859.71413737698</v>
      </c>
      <c r="AI6" s="8">
        <f t="shared" ref="AI6" si="21">IF(AI$1&gt;Lifetime_OH,0,AH6*(1+Inflation))</f>
        <v>823588.62784839934</v>
      </c>
      <c r="AJ6" s="8">
        <f t="shared" ref="AJ6" si="22">IF(AJ$1&gt;Lifetime_OH,0,AI6*(1+Inflation))</f>
        <v>841707.5776610641</v>
      </c>
      <c r="AK6" s="8">
        <f t="shared" ref="AK6" si="23">IF(AK$1&gt;Lifetime_OH,0,AJ6*(1+Inflation))</f>
        <v>860225.14436960756</v>
      </c>
      <c r="AL6" s="8">
        <f t="shared" ref="AL6" si="24">IF(AL$1&gt;Lifetime_OH,0,AK6*(1+Inflation))</f>
        <v>879150.09754573891</v>
      </c>
      <c r="AM6" s="8">
        <f t="shared" ref="AM6" si="25">IF(AM$1&gt;Lifetime_OH,0,AL6*(1+Inflation))</f>
        <v>898491.39969174517</v>
      </c>
      <c r="AN6" s="8">
        <f t="shared" ref="AN6" si="26">IF(AN$1&gt;Lifetime_OH,0,AM6*(1+Inflation))</f>
        <v>918258.21048496361</v>
      </c>
      <c r="AO6" s="8">
        <f t="shared" ref="AO6" si="27">IF(AO$1&gt;Lifetime_OH,0,AN6*(1+Inflation))</f>
        <v>938459.89111563284</v>
      </c>
      <c r="AP6" s="8">
        <f t="shared" ref="AP6" si="28">IF(AP$1&gt;Lifetime_OH,0,AO6*(1+Inflation))</f>
        <v>959106.00872017676</v>
      </c>
      <c r="AQ6" s="8">
        <f t="shared" ref="AQ6" si="29">IF(AQ$1&gt;Lifetime_OH,0,AP6*(1+Inflation))</f>
        <v>980206.34091202065</v>
      </c>
      <c r="AR6" s="8">
        <f t="shared" ref="AR6" si="30">IF(AR$1&gt;Lifetime_OH,0,AQ6*(1+Inflation))</f>
        <v>1001770.8804120851</v>
      </c>
      <c r="AS6" s="8">
        <f t="shared" ref="AS6" si="31">IF(AS$1&gt;Lifetime_OH,0,AR6*(1+Inflation))</f>
        <v>1023809.839781151</v>
      </c>
      <c r="AT6" s="8">
        <f t="shared" ref="AT6" si="32">IF(AT$1&gt;Lifetime_OH,0,AS6*(1+Inflation))</f>
        <v>1046333.6562563364</v>
      </c>
      <c r="AU6" s="8">
        <f t="shared" si="1"/>
        <v>1069352.9966939758</v>
      </c>
      <c r="AV6" s="8">
        <f t="shared" si="1"/>
        <v>1092878.7626212433</v>
      </c>
      <c r="AW6" s="8">
        <f t="shared" si="1"/>
        <v>1116922.0953989106</v>
      </c>
      <c r="AX6" s="8">
        <f t="shared" si="1"/>
        <v>1141494.3814976867</v>
      </c>
      <c r="AY6" s="8">
        <f t="shared" si="1"/>
        <v>1166607.2578906359</v>
      </c>
      <c r="AZ6" s="8">
        <f t="shared" si="1"/>
        <v>0</v>
      </c>
      <c r="BA6" s="8">
        <f t="shared" si="1"/>
        <v>0</v>
      </c>
      <c r="BB6" s="8">
        <f t="shared" si="1"/>
        <v>0</v>
      </c>
      <c r="BC6" s="8">
        <f t="shared" si="1"/>
        <v>0</v>
      </c>
      <c r="BD6" s="8">
        <f t="shared" si="1"/>
        <v>0</v>
      </c>
      <c r="BE6" s="8">
        <f t="shared" si="1"/>
        <v>0</v>
      </c>
      <c r="BF6" s="8">
        <f t="shared" si="1"/>
        <v>0</v>
      </c>
      <c r="BG6" s="8">
        <f t="shared" si="1"/>
        <v>0</v>
      </c>
      <c r="BH6" s="8">
        <f t="shared" si="1"/>
        <v>0</v>
      </c>
      <c r="BI6" s="8">
        <f t="shared" si="1"/>
        <v>0</v>
      </c>
      <c r="BJ6" s="8">
        <f t="shared" si="1"/>
        <v>0</v>
      </c>
      <c r="BK6" s="8">
        <f t="shared" si="1"/>
        <v>0</v>
      </c>
      <c r="BL6" s="8">
        <f t="shared" si="1"/>
        <v>0</v>
      </c>
      <c r="BM6" s="8">
        <f t="shared" si="1"/>
        <v>0</v>
      </c>
      <c r="BN6" s="8">
        <f t="shared" si="1"/>
        <v>0</v>
      </c>
      <c r="BO6" s="8">
        <f t="shared" si="1"/>
        <v>0</v>
      </c>
    </row>
    <row r="7" spans="1:67" x14ac:dyDescent="0.4">
      <c r="A7" t="s">
        <v>37</v>
      </c>
      <c r="B7" t="s">
        <v>15</v>
      </c>
      <c r="C7" t="s">
        <v>320</v>
      </c>
      <c r="D7" s="8"/>
      <c r="E7" s="8">
        <f>IF(E$1&gt;Lifetime_OH,0,SUMIFS('Baseline Projects'!CJ:CJ,'Baseline Projects'!$H:$H,Benefits_Baseline!$B7,'Baseline Projects'!$G:$G,Benefits_Baseline!$A7)*(1+Inflation)^(E$1-$D$1))</f>
        <v>0</v>
      </c>
      <c r="F7" s="8">
        <f>IF(F$1&gt;Lifetime_OH,0,SUMIFS('Baseline Projects'!CK:CK,'Baseline Projects'!$H:$H,Benefits_Baseline!$B7,'Baseline Projects'!$G:$G,Benefits_Baseline!$A7)*(1+Inflation)^(F$1-$D$1))</f>
        <v>0</v>
      </c>
      <c r="G7" s="8">
        <f>IF(G$1&gt;Lifetime_OH,0,SUMIFS('Baseline Projects'!CL:CL,'Baseline Projects'!$H:$H,Benefits_Baseline!$B7,'Baseline Projects'!$G:$G,Benefits_Baseline!$A7)*(1+Inflation)^(G$1-$D$1))</f>
        <v>0</v>
      </c>
      <c r="H7" s="8">
        <f>IF(H$1&gt;Lifetime_OH,0,SUMIFS('Baseline Projects'!CM:CM,'Baseline Projects'!$H:$H,Benefits_Baseline!$B7,'Baseline Projects'!$G:$G,Benefits_Baseline!$A7)*(1+Inflation)^(H$1-$D$1))</f>
        <v>0</v>
      </c>
      <c r="I7" s="8">
        <f>IF(I$1&gt;Lifetime_OH,0,SUMIFS('Baseline Projects'!CN:CN,'Baseline Projects'!$H:$H,Benefits_Baseline!$B7,'Baseline Projects'!$G:$G,Benefits_Baseline!$A7)*(1+Inflation)^(I$1-$D$1))</f>
        <v>0</v>
      </c>
      <c r="J7" s="8">
        <f>IF(J$1&gt;Lifetime_OH,0,SUMIFS('Baseline Projects'!CO:CO,'Baseline Projects'!$H:$H,Benefits_Baseline!$B7,'Baseline Projects'!$G:$G,Benefits_Baseline!$A7)*(1+Inflation)^(J$1-$D$1))</f>
        <v>0</v>
      </c>
      <c r="K7" s="8">
        <f>IF(K$1&gt;Lifetime_OH,0,SUMIFS('Baseline Projects'!CP:CP,'Baseline Projects'!$H:$H,Benefits_Baseline!$B7,'Baseline Projects'!$G:$G,Benefits_Baseline!$A7)*(1+Inflation)^(K$1-$D$1))</f>
        <v>0</v>
      </c>
      <c r="L7" s="8">
        <f>IF(L$1&gt;Lifetime_OH,0,SUMIFS('Baseline Projects'!CQ:CQ,'Baseline Projects'!$H:$H,Benefits_Baseline!$B7,'Baseline Projects'!$G:$G,Benefits_Baseline!$A7)*(1+Inflation)^(L$1-$D$1))</f>
        <v>0</v>
      </c>
      <c r="M7" s="8">
        <f>IF(M$1&gt;Lifetime_OH,0,SUMIFS('Baseline Projects'!CR:CR,'Baseline Projects'!$H:$H,Benefits_Baseline!$B7,'Baseline Projects'!$G:$G,Benefits_Baseline!$A7)*(1+Inflation)^(M$1-$D$1))</f>
        <v>0</v>
      </c>
      <c r="N7" s="8">
        <f>IF(N$1&gt;Lifetime_OH,0,SUMIFS('Baseline Projects'!CS:CS,'Baseline Projects'!$H:$H,Benefits_Baseline!$B7,'Baseline Projects'!$G:$G,Benefits_Baseline!$A7)*(1+Inflation)^(N$1-$D$1))</f>
        <v>0</v>
      </c>
      <c r="O7" s="8">
        <f t="shared" ref="O7:AT7" si="33">IF(O$1&lt;=Lifetime_OH,N7*(1+Inflation),0)</f>
        <v>0</v>
      </c>
      <c r="P7" s="8">
        <f t="shared" si="33"/>
        <v>0</v>
      </c>
      <c r="Q7" s="8">
        <f t="shared" si="33"/>
        <v>0</v>
      </c>
      <c r="R7" s="8">
        <f t="shared" si="33"/>
        <v>0</v>
      </c>
      <c r="S7" s="8">
        <f t="shared" si="33"/>
        <v>0</v>
      </c>
      <c r="T7" s="8">
        <f t="shared" si="33"/>
        <v>0</v>
      </c>
      <c r="U7" s="8">
        <f t="shared" si="33"/>
        <v>0</v>
      </c>
      <c r="V7" s="8">
        <f t="shared" si="33"/>
        <v>0</v>
      </c>
      <c r="W7" s="8">
        <f t="shared" si="33"/>
        <v>0</v>
      </c>
      <c r="X7" s="8">
        <f t="shared" si="33"/>
        <v>0</v>
      </c>
      <c r="Y7" s="8">
        <f t="shared" si="33"/>
        <v>0</v>
      </c>
      <c r="Z7" s="8">
        <f t="shared" si="33"/>
        <v>0</v>
      </c>
      <c r="AA7" s="8">
        <f t="shared" si="33"/>
        <v>0</v>
      </c>
      <c r="AB7" s="8">
        <f t="shared" si="33"/>
        <v>0</v>
      </c>
      <c r="AC7" s="8">
        <f t="shared" si="33"/>
        <v>0</v>
      </c>
      <c r="AD7" s="8">
        <f t="shared" si="33"/>
        <v>0</v>
      </c>
      <c r="AE7" s="8">
        <f t="shared" si="33"/>
        <v>0</v>
      </c>
      <c r="AF7" s="8">
        <f t="shared" si="33"/>
        <v>0</v>
      </c>
      <c r="AG7" s="8">
        <f t="shared" si="33"/>
        <v>0</v>
      </c>
      <c r="AH7" s="8">
        <f t="shared" si="33"/>
        <v>0</v>
      </c>
      <c r="AI7" s="8">
        <f t="shared" si="33"/>
        <v>0</v>
      </c>
      <c r="AJ7" s="8">
        <f t="shared" si="33"/>
        <v>0</v>
      </c>
      <c r="AK7" s="8">
        <f t="shared" si="33"/>
        <v>0</v>
      </c>
      <c r="AL7" s="8">
        <f t="shared" si="33"/>
        <v>0</v>
      </c>
      <c r="AM7" s="8">
        <f t="shared" si="33"/>
        <v>0</v>
      </c>
      <c r="AN7" s="8">
        <f t="shared" si="33"/>
        <v>0</v>
      </c>
      <c r="AO7" s="8">
        <f t="shared" si="33"/>
        <v>0</v>
      </c>
      <c r="AP7" s="8">
        <f t="shared" si="33"/>
        <v>0</v>
      </c>
      <c r="AQ7" s="8">
        <f t="shared" si="33"/>
        <v>0</v>
      </c>
      <c r="AR7" s="8">
        <f t="shared" si="33"/>
        <v>0</v>
      </c>
      <c r="AS7" s="8">
        <f t="shared" si="33"/>
        <v>0</v>
      </c>
      <c r="AT7" s="8">
        <f t="shared" si="33"/>
        <v>0</v>
      </c>
      <c r="AU7" s="8">
        <f t="shared" ref="AU7:BO7" si="34">IF(AU$1&lt;=Lifetime_OH,AT7*(1+Inflation),0)</f>
        <v>0</v>
      </c>
      <c r="AV7" s="8">
        <f t="shared" si="34"/>
        <v>0</v>
      </c>
      <c r="AW7" s="8">
        <f t="shared" si="34"/>
        <v>0</v>
      </c>
      <c r="AX7" s="8">
        <f t="shared" si="34"/>
        <v>0</v>
      </c>
      <c r="AY7" s="8">
        <f t="shared" si="34"/>
        <v>0</v>
      </c>
      <c r="AZ7" s="8">
        <f t="shared" si="34"/>
        <v>0</v>
      </c>
      <c r="BA7" s="8">
        <f t="shared" si="34"/>
        <v>0</v>
      </c>
      <c r="BB7" s="8">
        <f t="shared" si="34"/>
        <v>0</v>
      </c>
      <c r="BC7" s="8">
        <f t="shared" si="34"/>
        <v>0</v>
      </c>
      <c r="BD7" s="8">
        <f t="shared" si="34"/>
        <v>0</v>
      </c>
      <c r="BE7" s="8">
        <f t="shared" si="34"/>
        <v>0</v>
      </c>
      <c r="BF7" s="8">
        <f t="shared" si="34"/>
        <v>0</v>
      </c>
      <c r="BG7" s="8">
        <f t="shared" si="34"/>
        <v>0</v>
      </c>
      <c r="BH7" s="8">
        <f t="shared" si="34"/>
        <v>0</v>
      </c>
      <c r="BI7" s="8">
        <f t="shared" si="34"/>
        <v>0</v>
      </c>
      <c r="BJ7" s="8">
        <f t="shared" si="34"/>
        <v>0</v>
      </c>
      <c r="BK7" s="8">
        <f t="shared" si="34"/>
        <v>0</v>
      </c>
      <c r="BL7" s="8">
        <f t="shared" si="34"/>
        <v>0</v>
      </c>
      <c r="BM7" s="8">
        <f t="shared" si="34"/>
        <v>0</v>
      </c>
      <c r="BN7" s="8">
        <f t="shared" si="34"/>
        <v>0</v>
      </c>
      <c r="BO7" s="8">
        <f t="shared" si="34"/>
        <v>0</v>
      </c>
    </row>
    <row r="8" spans="1:67" x14ac:dyDescent="0.4">
      <c r="A8" t="s">
        <v>37</v>
      </c>
      <c r="B8" t="s">
        <v>15</v>
      </c>
      <c r="C8" t="s">
        <v>321</v>
      </c>
      <c r="D8" s="8"/>
      <c r="E8" s="8">
        <f>IF(E$1&gt;Lifetime_OH,0,SUMIFS('Baseline Projects'!CP:CP,'Baseline Projects'!$H:$H,Benefits_Baseline!$B8,'Baseline Projects'!$G:$G,Benefits_Baseline!$A8)*(1+Inflation)^(E$1-$D$1))</f>
        <v>0</v>
      </c>
      <c r="F8" s="8">
        <f>IF(F$1&gt;Lifetime_OH,0,SUMIFS('Baseline Projects'!CQ:CQ,'Baseline Projects'!$H:$H,Benefits_Baseline!$B8,'Baseline Projects'!$G:$G,Benefits_Baseline!$A8)*(1+Inflation)^(F$1-$D$1))</f>
        <v>0</v>
      </c>
      <c r="G8" s="8">
        <f>IF(G$1&gt;Lifetime_OH,0,SUMIFS('Baseline Projects'!CR:CR,'Baseline Projects'!$H:$H,Benefits_Baseline!$B8,'Baseline Projects'!$G:$G,Benefits_Baseline!$A8)*(1+Inflation)^(G$1-$D$1))</f>
        <v>0</v>
      </c>
      <c r="H8" s="8">
        <f>IF(H$1&gt;Lifetime_OH,0,SUMIFS('Baseline Projects'!CS:CS,'Baseline Projects'!$H:$H,Benefits_Baseline!$B8,'Baseline Projects'!$G:$G,Benefits_Baseline!$A8)*(1+Inflation)^(H$1-$D$1))</f>
        <v>0</v>
      </c>
      <c r="I8" s="8">
        <f>IF(I$1&gt;Lifetime_OH,0,SUMIFS('Baseline Projects'!CT:CT,'Baseline Projects'!$H:$H,Benefits_Baseline!$B8,'Baseline Projects'!$G:$G,Benefits_Baseline!$A8)*(1+Inflation)^(I$1-$D$1))</f>
        <v>0</v>
      </c>
      <c r="J8" s="8">
        <f>IF(J$1&gt;Lifetime_OH,0,SUMIFS('Baseline Projects'!CU:CU,'Baseline Projects'!$H:$H,Benefits_Baseline!$B8,'Baseline Projects'!$G:$G,Benefits_Baseline!$A8)*(1+Inflation)^(J$1-$D$1))</f>
        <v>0</v>
      </c>
      <c r="K8" s="8">
        <f>IF(K$1&gt;Lifetime_OH,0,SUMIFS('Baseline Projects'!CV:CV,'Baseline Projects'!$H:$H,Benefits_Baseline!$B8,'Baseline Projects'!$G:$G,Benefits_Baseline!$A8)*(1+Inflation)^(K$1-$D$1))</f>
        <v>0</v>
      </c>
      <c r="L8" s="8">
        <f>IF(L$1&gt;Lifetime_OH,0,SUMIFS('Baseline Projects'!CW:CW,'Baseline Projects'!$H:$H,Benefits_Baseline!$B8,'Baseline Projects'!$G:$G,Benefits_Baseline!$A8)*(1+Inflation)^(L$1-$D$1))</f>
        <v>0</v>
      </c>
      <c r="M8" s="8">
        <f>IF(M$1&gt;Lifetime_OH,0,SUMIFS('Baseline Projects'!CX:CX,'Baseline Projects'!$H:$H,Benefits_Baseline!$B8,'Baseline Projects'!$G:$G,Benefits_Baseline!$A8)*(1+Inflation)^(M$1-$D$1))</f>
        <v>0</v>
      </c>
      <c r="N8" s="8">
        <f>IF(N$1&gt;Lifetime_OH,0,SUMIFS('Baseline Projects'!CY:CY,'Baseline Projects'!$H:$H,Benefits_Baseline!$B8,'Baseline Projects'!$G:$G,Benefits_Baseline!$A8)*(1+Inflation)^(N$1-$D$1))</f>
        <v>0</v>
      </c>
      <c r="O8" s="8">
        <f t="shared" ref="O8:AT8" si="35">IF(O$1&lt;=Lifetime_OH,N8*(1+Inflation),0)</f>
        <v>0</v>
      </c>
      <c r="P8" s="8">
        <f t="shared" si="35"/>
        <v>0</v>
      </c>
      <c r="Q8" s="8">
        <f t="shared" si="35"/>
        <v>0</v>
      </c>
      <c r="R8" s="8">
        <f t="shared" si="35"/>
        <v>0</v>
      </c>
      <c r="S8" s="8">
        <f t="shared" si="35"/>
        <v>0</v>
      </c>
      <c r="T8" s="8">
        <f t="shared" si="35"/>
        <v>0</v>
      </c>
      <c r="U8" s="8">
        <f t="shared" si="35"/>
        <v>0</v>
      </c>
      <c r="V8" s="8">
        <f t="shared" si="35"/>
        <v>0</v>
      </c>
      <c r="W8" s="8">
        <f t="shared" si="35"/>
        <v>0</v>
      </c>
      <c r="X8" s="8">
        <f t="shared" si="35"/>
        <v>0</v>
      </c>
      <c r="Y8" s="8">
        <f t="shared" si="35"/>
        <v>0</v>
      </c>
      <c r="Z8" s="8">
        <f t="shared" si="35"/>
        <v>0</v>
      </c>
      <c r="AA8" s="8">
        <f t="shared" si="35"/>
        <v>0</v>
      </c>
      <c r="AB8" s="8">
        <f t="shared" si="35"/>
        <v>0</v>
      </c>
      <c r="AC8" s="8">
        <f t="shared" si="35"/>
        <v>0</v>
      </c>
      <c r="AD8" s="8">
        <f t="shared" si="35"/>
        <v>0</v>
      </c>
      <c r="AE8" s="8">
        <f t="shared" si="35"/>
        <v>0</v>
      </c>
      <c r="AF8" s="8">
        <f t="shared" si="35"/>
        <v>0</v>
      </c>
      <c r="AG8" s="8">
        <f t="shared" si="35"/>
        <v>0</v>
      </c>
      <c r="AH8" s="8">
        <f t="shared" si="35"/>
        <v>0</v>
      </c>
      <c r="AI8" s="8">
        <f t="shared" si="35"/>
        <v>0</v>
      </c>
      <c r="AJ8" s="8">
        <f t="shared" si="35"/>
        <v>0</v>
      </c>
      <c r="AK8" s="8">
        <f t="shared" si="35"/>
        <v>0</v>
      </c>
      <c r="AL8" s="8">
        <f t="shared" si="35"/>
        <v>0</v>
      </c>
      <c r="AM8" s="8">
        <f t="shared" si="35"/>
        <v>0</v>
      </c>
      <c r="AN8" s="8">
        <f t="shared" si="35"/>
        <v>0</v>
      </c>
      <c r="AO8" s="8">
        <f t="shared" si="35"/>
        <v>0</v>
      </c>
      <c r="AP8" s="8">
        <f t="shared" si="35"/>
        <v>0</v>
      </c>
      <c r="AQ8" s="8">
        <f t="shared" si="35"/>
        <v>0</v>
      </c>
      <c r="AR8" s="8">
        <f t="shared" si="35"/>
        <v>0</v>
      </c>
      <c r="AS8" s="8">
        <f t="shared" si="35"/>
        <v>0</v>
      </c>
      <c r="AT8" s="8">
        <f t="shared" si="35"/>
        <v>0</v>
      </c>
      <c r="AU8" s="8">
        <f t="shared" ref="AU8:BO8" si="36">IF(AU$1&lt;=Lifetime_OH,AT8*(1+Inflation),0)</f>
        <v>0</v>
      </c>
      <c r="AV8" s="8">
        <f t="shared" si="36"/>
        <v>0</v>
      </c>
      <c r="AW8" s="8">
        <f t="shared" si="36"/>
        <v>0</v>
      </c>
      <c r="AX8" s="8">
        <f t="shared" si="36"/>
        <v>0</v>
      </c>
      <c r="AY8" s="8">
        <f t="shared" si="36"/>
        <v>0</v>
      </c>
      <c r="AZ8" s="8">
        <f t="shared" si="36"/>
        <v>0</v>
      </c>
      <c r="BA8" s="8">
        <f t="shared" si="36"/>
        <v>0</v>
      </c>
      <c r="BB8" s="8">
        <f t="shared" si="36"/>
        <v>0</v>
      </c>
      <c r="BC8" s="8">
        <f t="shared" si="36"/>
        <v>0</v>
      </c>
      <c r="BD8" s="8">
        <f t="shared" si="36"/>
        <v>0</v>
      </c>
      <c r="BE8" s="8">
        <f t="shared" si="36"/>
        <v>0</v>
      </c>
      <c r="BF8" s="8">
        <f t="shared" si="36"/>
        <v>0</v>
      </c>
      <c r="BG8" s="8">
        <f t="shared" si="36"/>
        <v>0</v>
      </c>
      <c r="BH8" s="8">
        <f t="shared" si="36"/>
        <v>0</v>
      </c>
      <c r="BI8" s="8">
        <f t="shared" si="36"/>
        <v>0</v>
      </c>
      <c r="BJ8" s="8">
        <f t="shared" si="36"/>
        <v>0</v>
      </c>
      <c r="BK8" s="8">
        <f t="shared" si="36"/>
        <v>0</v>
      </c>
      <c r="BL8" s="8">
        <f t="shared" si="36"/>
        <v>0</v>
      </c>
      <c r="BM8" s="8">
        <f t="shared" si="36"/>
        <v>0</v>
      </c>
      <c r="BN8" s="8">
        <f t="shared" si="36"/>
        <v>0</v>
      </c>
      <c r="BO8" s="8">
        <f t="shared" si="36"/>
        <v>0</v>
      </c>
    </row>
    <row r="9" spans="1:67" ht="19.5" thickBot="1" x14ac:dyDescent="0.45">
      <c r="A9" t="s">
        <v>37</v>
      </c>
      <c r="B9" t="s">
        <v>15</v>
      </c>
      <c r="C9" s="16" t="s">
        <v>175</v>
      </c>
      <c r="D9" s="17"/>
      <c r="E9" s="17">
        <f>Line_Loss_Reduction_Per_Mile_1PH_OH*INDEX('Baseline scaling factors'!$B$34:$K$36,MATCH(Benefits_Baseline!$B9&amp;"-"&amp;Benefits_Baseline!$A9,'Baseline scaling factors'!$A$34:$A$36,0),MATCH(Benefits_Baseline!E$1,'Baseline scaling factors'!$B$33:$K$33,0))*VLOOKUP(E3,'Loss Reduction Calculation'!$A$10:$D$41,4,0)</f>
        <v>34.202738487517415</v>
      </c>
      <c r="F9" s="17">
        <f>Line_Loss_Reduction_Per_Mile_1PH_OH*INDEX('Baseline scaling factors'!$B$34:$K$36,MATCH(Benefits_Baseline!$B9&amp;"-"&amp;Benefits_Baseline!$A9,'Baseline scaling factors'!$A$34:$A$36,0),MATCH(Benefits_Baseline!F$1,'Baseline scaling factors'!$B$33:$K$33,0))*VLOOKUP(F3,'Loss Reduction Calculation'!$A$10:$D$41,4,0)</f>
        <v>68.000581544230698</v>
      </c>
      <c r="G9" s="17">
        <f>Line_Loss_Reduction_Per_Mile_1PH_OH*INDEX('Baseline scaling factors'!$B$34:$K$36,MATCH(Benefits_Baseline!$B9&amp;"-"&amp;Benefits_Baseline!$A9,'Baseline scaling factors'!$A$34:$A$36,0),MATCH(Benefits_Baseline!G$1,'Baseline scaling factors'!$B$33:$K$33,0))*VLOOKUP(G3,'Loss Reduction Calculation'!$A$10:$D$41,4,0)</f>
        <v>98.042605058422254</v>
      </c>
      <c r="H9" s="17">
        <f>Line_Loss_Reduction_Per_Mile_1PH_OH*INDEX('Baseline scaling factors'!$B$34:$K$36,MATCH(Benefits_Baseline!$B9&amp;"-"&amp;Benefits_Baseline!$A9,'Baseline scaling factors'!$A$34:$A$36,0),MATCH(Benefits_Baseline!H$1,'Baseline scaling factors'!$B$33:$K$33,0))*VLOOKUP(H3,'Loss Reduction Calculation'!$A$10:$D$41,4,0)</f>
        <v>129.61433040524258</v>
      </c>
      <c r="I9" s="17">
        <f>Line_Loss_Reduction_Per_Mile_1PH_OH*INDEX('Baseline scaling factors'!$B$34:$K$36,MATCH(Benefits_Baseline!$B9&amp;"-"&amp;Benefits_Baseline!$A9,'Baseline scaling factors'!$A$34:$A$36,0),MATCH(Benefits_Baseline!I$1,'Baseline scaling factors'!$B$33:$K$33,0))*VLOOKUP(I3,'Loss Reduction Calculation'!$A$10:$D$41,4,0)</f>
        <v>162.84521806947595</v>
      </c>
      <c r="J9" s="17">
        <f>Line_Loss_Reduction_Per_Mile_1PH_OH*INDEX('Baseline scaling factors'!$B$34:$K$36,MATCH(Benefits_Baseline!$B9&amp;"-"&amp;Benefits_Baseline!$A9,'Baseline scaling factors'!$A$34:$A$36,0),MATCH(Benefits_Baseline!J$1,'Baseline scaling factors'!$B$33:$K$33,0))*VLOOKUP(J3,'Loss Reduction Calculation'!$A$10:$D$41,4,0)</f>
        <v>195.29049586598916</v>
      </c>
      <c r="K9" s="17">
        <f>Line_Loss_Reduction_Per_Mile_1PH_OH*INDEX('Baseline scaling factors'!$B$34:$K$36,MATCH(Benefits_Baseline!$B9&amp;"-"&amp;Benefits_Baseline!$A9,'Baseline scaling factors'!$A$34:$A$36,0),MATCH(Benefits_Baseline!K$1,'Baseline scaling factors'!$B$33:$K$33,0))*VLOOKUP(K3,'Loss Reduction Calculation'!$A$10:$D$41,4,0)</f>
        <v>227.4677775570953</v>
      </c>
      <c r="L9" s="17">
        <f>Line_Loss_Reduction_Per_Mile_1PH_OH*INDEX('Baseline scaling factors'!$B$34:$K$36,MATCH(Benefits_Baseline!$B9&amp;"-"&amp;Benefits_Baseline!$A9,'Baseline scaling factors'!$A$34:$A$36,0),MATCH(Benefits_Baseline!L$1,'Baseline scaling factors'!$B$33:$K$33,0))*VLOOKUP(L3,'Loss Reduction Calculation'!$A$10:$D$41,4,0)</f>
        <v>259.58341611167543</v>
      </c>
      <c r="M9" s="17">
        <f>Line_Loss_Reduction_Per_Mile_1PH_OH*INDEX('Baseline scaling factors'!$B$34:$K$36,MATCH(Benefits_Baseline!$B9&amp;"-"&amp;Benefits_Baseline!$A9,'Baseline scaling factors'!$A$34:$A$36,0),MATCH(Benefits_Baseline!M$1,'Baseline scaling factors'!$B$33:$K$33,0))*VLOOKUP(M3,'Loss Reduction Calculation'!$A$10:$D$41,4,0)</f>
        <v>291.65376852598479</v>
      </c>
      <c r="N9" s="17">
        <f>Line_Loss_Reduction_Per_Mile_1PH_OH*INDEX('Baseline scaling factors'!$B$34:$K$36,MATCH(Benefits_Baseline!$B9&amp;"-"&amp;Benefits_Baseline!$A9,'Baseline scaling factors'!$A$34:$A$36,0),MATCH(Benefits_Baseline!N$1,'Baseline scaling factors'!$B$33:$K$33,0))*VLOOKUP(N3,'Loss Reduction Calculation'!$A$10:$D$41,4,0)</f>
        <v>323.69508018398307</v>
      </c>
      <c r="O9" s="17">
        <f t="shared" ref="O9:AT9" si="37">IF(O$1&lt;=Lifetime_OH,N9*(1+Inflation),0)</f>
        <v>330.81637194803068</v>
      </c>
      <c r="P9" s="17">
        <f t="shared" si="37"/>
        <v>338.09433213088738</v>
      </c>
      <c r="Q9" s="17">
        <f t="shared" si="37"/>
        <v>345.53240743776689</v>
      </c>
      <c r="R9" s="17">
        <f t="shared" si="37"/>
        <v>353.13412040139775</v>
      </c>
      <c r="S9" s="17">
        <f t="shared" si="37"/>
        <v>360.9030710502285</v>
      </c>
      <c r="T9" s="17">
        <f t="shared" si="37"/>
        <v>368.84293861333356</v>
      </c>
      <c r="U9" s="17">
        <f t="shared" si="37"/>
        <v>376.95748326282688</v>
      </c>
      <c r="V9" s="17">
        <f t="shared" si="37"/>
        <v>385.2505478946091</v>
      </c>
      <c r="W9" s="17">
        <f t="shared" si="37"/>
        <v>393.72605994829053</v>
      </c>
      <c r="X9" s="17">
        <f t="shared" si="37"/>
        <v>402.38803326715293</v>
      </c>
      <c r="Y9" s="17">
        <f t="shared" si="37"/>
        <v>411.2405699990303</v>
      </c>
      <c r="Z9" s="17">
        <f t="shared" si="37"/>
        <v>420.28786253900898</v>
      </c>
      <c r="AA9" s="17">
        <f t="shared" si="37"/>
        <v>429.53419551486718</v>
      </c>
      <c r="AB9" s="17">
        <f t="shared" si="37"/>
        <v>438.98394781619425</v>
      </c>
      <c r="AC9" s="17">
        <f t="shared" si="37"/>
        <v>448.6415946681505</v>
      </c>
      <c r="AD9" s="17">
        <f t="shared" si="37"/>
        <v>458.51170975084983</v>
      </c>
      <c r="AE9" s="17">
        <f t="shared" si="37"/>
        <v>468.59896736536854</v>
      </c>
      <c r="AF9" s="17">
        <f t="shared" si="37"/>
        <v>478.90814464740663</v>
      </c>
      <c r="AG9" s="17">
        <f t="shared" si="37"/>
        <v>489.44412382964958</v>
      </c>
      <c r="AH9" s="17">
        <f t="shared" si="37"/>
        <v>500.21189455390186</v>
      </c>
      <c r="AI9" s="17">
        <f t="shared" si="37"/>
        <v>511.2165562340877</v>
      </c>
      <c r="AJ9" s="17">
        <f t="shared" si="37"/>
        <v>522.46332047123769</v>
      </c>
      <c r="AK9" s="17">
        <f t="shared" si="37"/>
        <v>533.95751352160494</v>
      </c>
      <c r="AL9" s="17">
        <f t="shared" si="37"/>
        <v>545.70457881908021</v>
      </c>
      <c r="AM9" s="17">
        <f t="shared" si="37"/>
        <v>557.71007955309994</v>
      </c>
      <c r="AN9" s="17">
        <f t="shared" si="37"/>
        <v>569.97970130326814</v>
      </c>
      <c r="AO9" s="17">
        <f t="shared" si="37"/>
        <v>582.51925473194001</v>
      </c>
      <c r="AP9" s="17">
        <f t="shared" si="37"/>
        <v>595.33467833604266</v>
      </c>
      <c r="AQ9" s="17">
        <f t="shared" si="37"/>
        <v>608.43204125943566</v>
      </c>
      <c r="AR9" s="17">
        <f t="shared" si="37"/>
        <v>621.81754616714329</v>
      </c>
      <c r="AS9" s="17">
        <f t="shared" si="37"/>
        <v>635.49753218282046</v>
      </c>
      <c r="AT9" s="17">
        <f t="shared" si="37"/>
        <v>649.47847789084256</v>
      </c>
      <c r="AU9" s="17">
        <f t="shared" ref="AU9:BO9" si="38">IF(AU$1&lt;=Lifetime_OH,AT9*(1+Inflation),0)</f>
        <v>663.76700440444108</v>
      </c>
      <c r="AV9" s="17">
        <f t="shared" si="38"/>
        <v>678.3698785013388</v>
      </c>
      <c r="AW9" s="17">
        <f t="shared" si="38"/>
        <v>693.29401582836829</v>
      </c>
      <c r="AX9" s="17">
        <f t="shared" si="38"/>
        <v>708.54648417659246</v>
      </c>
      <c r="AY9" s="17">
        <f t="shared" si="38"/>
        <v>724.13450682847747</v>
      </c>
      <c r="AZ9" s="17">
        <f t="shared" si="38"/>
        <v>0</v>
      </c>
      <c r="BA9" s="17">
        <f t="shared" si="38"/>
        <v>0</v>
      </c>
      <c r="BB9" s="17">
        <f t="shared" si="38"/>
        <v>0</v>
      </c>
      <c r="BC9" s="17">
        <f t="shared" si="38"/>
        <v>0</v>
      </c>
      <c r="BD9" s="17">
        <f t="shared" si="38"/>
        <v>0</v>
      </c>
      <c r="BE9" s="17">
        <f t="shared" si="38"/>
        <v>0</v>
      </c>
      <c r="BF9" s="17">
        <f t="shared" si="38"/>
        <v>0</v>
      </c>
      <c r="BG9" s="17">
        <f t="shared" si="38"/>
        <v>0</v>
      </c>
      <c r="BH9" s="17">
        <f t="shared" si="38"/>
        <v>0</v>
      </c>
      <c r="BI9" s="17">
        <f t="shared" si="38"/>
        <v>0</v>
      </c>
      <c r="BJ9" s="17">
        <f t="shared" si="38"/>
        <v>0</v>
      </c>
      <c r="BK9" s="17">
        <f t="shared" si="38"/>
        <v>0</v>
      </c>
      <c r="BL9" s="17">
        <f t="shared" si="38"/>
        <v>0</v>
      </c>
      <c r="BM9" s="17">
        <f t="shared" si="38"/>
        <v>0</v>
      </c>
      <c r="BN9" s="17">
        <f t="shared" si="38"/>
        <v>0</v>
      </c>
      <c r="BO9" s="17">
        <f t="shared" si="38"/>
        <v>0</v>
      </c>
    </row>
    <row r="10" spans="1:67" ht="19.5" thickTop="1" x14ac:dyDescent="0.4">
      <c r="C10" s="14" t="s">
        <v>176</v>
      </c>
      <c r="D10" s="15"/>
      <c r="E10" s="15">
        <f t="shared" ref="E10:AJ10" si="39">SUM(E5:E9)</f>
        <v>1014820.9860105665</v>
      </c>
      <c r="F10" s="15">
        <f t="shared" si="39"/>
        <v>959917.51176499214</v>
      </c>
      <c r="G10" s="15">
        <f t="shared" si="39"/>
        <v>905581.1425975624</v>
      </c>
      <c r="H10" s="15">
        <f t="shared" si="39"/>
        <v>851788.7386771203</v>
      </c>
      <c r="I10" s="15">
        <f t="shared" si="39"/>
        <v>798512.3226876969</v>
      </c>
      <c r="J10" s="15">
        <f t="shared" si="39"/>
        <v>745721.64692510036</v>
      </c>
      <c r="K10" s="15">
        <f t="shared" si="39"/>
        <v>693389.71536051598</v>
      </c>
      <c r="L10" s="15">
        <f t="shared" si="39"/>
        <v>641489.49560772441</v>
      </c>
      <c r="M10" s="15">
        <f t="shared" si="39"/>
        <v>589994.02596329863</v>
      </c>
      <c r="N10" s="15">
        <f t="shared" si="39"/>
        <v>538876.59122031252</v>
      </c>
      <c r="O10" s="15">
        <f t="shared" si="39"/>
        <v>550731.87622715929</v>
      </c>
      <c r="P10" s="15">
        <f t="shared" si="39"/>
        <v>562847.97750415688</v>
      </c>
      <c r="Q10" s="15">
        <f t="shared" si="39"/>
        <v>575230.63300924841</v>
      </c>
      <c r="R10" s="15">
        <f t="shared" si="39"/>
        <v>587885.70693545172</v>
      </c>
      <c r="S10" s="15">
        <f t="shared" si="39"/>
        <v>600819.19248803169</v>
      </c>
      <c r="T10" s="15">
        <f t="shared" si="39"/>
        <v>614037.21472276852</v>
      </c>
      <c r="U10" s="15">
        <f t="shared" si="39"/>
        <v>627546.03344666946</v>
      </c>
      <c r="V10" s="15">
        <f t="shared" si="39"/>
        <v>641352.04618249612</v>
      </c>
      <c r="W10" s="15">
        <f t="shared" si="39"/>
        <v>655461.79119851114</v>
      </c>
      <c r="X10" s="15">
        <f t="shared" si="39"/>
        <v>669881.95060487825</v>
      </c>
      <c r="Y10" s="15">
        <f t="shared" si="39"/>
        <v>684619.35351818556</v>
      </c>
      <c r="Z10" s="15">
        <f t="shared" si="39"/>
        <v>699680.97929558577</v>
      </c>
      <c r="AA10" s="15">
        <f t="shared" si="39"/>
        <v>715073.96084008866</v>
      </c>
      <c r="AB10" s="15">
        <f t="shared" si="39"/>
        <v>730805.58797857049</v>
      </c>
      <c r="AC10" s="15">
        <f t="shared" si="39"/>
        <v>746883.3109140991</v>
      </c>
      <c r="AD10" s="15">
        <f t="shared" si="39"/>
        <v>763314.74375420937</v>
      </c>
      <c r="AE10" s="15">
        <f t="shared" si="39"/>
        <v>780107.668116802</v>
      </c>
      <c r="AF10" s="15">
        <f t="shared" si="39"/>
        <v>797270.0368153716</v>
      </c>
      <c r="AG10" s="15">
        <f t="shared" si="39"/>
        <v>814809.97762530984</v>
      </c>
      <c r="AH10" s="15">
        <f t="shared" si="39"/>
        <v>832735.79713306658</v>
      </c>
      <c r="AI10" s="15">
        <f t="shared" si="39"/>
        <v>851055.98466999421</v>
      </c>
      <c r="AJ10" s="15">
        <f t="shared" si="39"/>
        <v>869779.2163327341</v>
      </c>
      <c r="AK10" s="15">
        <f t="shared" ref="AK10:BO10" si="40">SUM(AK5:AK9)</f>
        <v>888914.35909205431</v>
      </c>
      <c r="AL10" s="15">
        <f t="shared" si="40"/>
        <v>908470.47499207943</v>
      </c>
      <c r="AM10" s="15">
        <f t="shared" si="40"/>
        <v>928456.82544190518</v>
      </c>
      <c r="AN10" s="15">
        <f t="shared" si="40"/>
        <v>948882.87560162717</v>
      </c>
      <c r="AO10" s="15">
        <f t="shared" si="40"/>
        <v>969758.298864863</v>
      </c>
      <c r="AP10" s="15">
        <f t="shared" si="40"/>
        <v>991092.98143988999</v>
      </c>
      <c r="AQ10" s="15">
        <f t="shared" si="40"/>
        <v>1012897.0270315675</v>
      </c>
      <c r="AR10" s="15">
        <f t="shared" si="40"/>
        <v>1035180.7616262621</v>
      </c>
      <c r="AS10" s="15">
        <f t="shared" si="40"/>
        <v>1057954.7383820398</v>
      </c>
      <c r="AT10" s="15">
        <f t="shared" si="40"/>
        <v>1081229.7426264447</v>
      </c>
      <c r="AU10" s="15">
        <f t="shared" si="40"/>
        <v>1105016.7969642265</v>
      </c>
      <c r="AV10" s="15">
        <f t="shared" si="40"/>
        <v>1129327.1664974396</v>
      </c>
      <c r="AW10" s="15">
        <f t="shared" si="40"/>
        <v>1154172.3641603831</v>
      </c>
      <c r="AX10" s="15">
        <f t="shared" si="40"/>
        <v>1179564.1561719116</v>
      </c>
      <c r="AY10" s="15">
        <f t="shared" si="40"/>
        <v>1205514.5676076936</v>
      </c>
      <c r="AZ10" s="15">
        <f t="shared" si="40"/>
        <v>0</v>
      </c>
      <c r="BA10" s="15">
        <f t="shared" si="40"/>
        <v>0</v>
      </c>
      <c r="BB10" s="15">
        <f t="shared" si="40"/>
        <v>0</v>
      </c>
      <c r="BC10" s="15">
        <f t="shared" si="40"/>
        <v>0</v>
      </c>
      <c r="BD10" s="15">
        <f t="shared" si="40"/>
        <v>0</v>
      </c>
      <c r="BE10" s="15">
        <f t="shared" si="40"/>
        <v>0</v>
      </c>
      <c r="BF10" s="15">
        <f t="shared" si="40"/>
        <v>0</v>
      </c>
      <c r="BG10" s="15">
        <f t="shared" si="40"/>
        <v>0</v>
      </c>
      <c r="BH10" s="15">
        <f t="shared" si="40"/>
        <v>0</v>
      </c>
      <c r="BI10" s="15">
        <f t="shared" si="40"/>
        <v>0</v>
      </c>
      <c r="BJ10" s="15">
        <f t="shared" si="40"/>
        <v>0</v>
      </c>
      <c r="BK10" s="15">
        <f t="shared" si="40"/>
        <v>0</v>
      </c>
      <c r="BL10" s="15">
        <f t="shared" si="40"/>
        <v>0</v>
      </c>
      <c r="BM10" s="15">
        <f t="shared" si="40"/>
        <v>0</v>
      </c>
      <c r="BN10" s="15">
        <f t="shared" si="40"/>
        <v>0</v>
      </c>
      <c r="BO10" s="15">
        <f t="shared" si="40"/>
        <v>0</v>
      </c>
    </row>
    <row r="11" spans="1:67" x14ac:dyDescent="0.4"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</row>
    <row r="12" spans="1:67" x14ac:dyDescent="0.4">
      <c r="C12" s="5" t="s">
        <v>172</v>
      </c>
      <c r="D12" s="5">
        <v>2027</v>
      </c>
      <c r="E12" s="5">
        <v>2028</v>
      </c>
      <c r="F12" s="5">
        <v>2029</v>
      </c>
      <c r="G12" s="5">
        <v>2030</v>
      </c>
      <c r="H12" s="5">
        <v>2031</v>
      </c>
      <c r="I12" s="5">
        <v>2032</v>
      </c>
      <c r="J12" s="5">
        <v>2033</v>
      </c>
      <c r="K12" s="5">
        <v>2034</v>
      </c>
      <c r="L12" s="5">
        <v>2035</v>
      </c>
      <c r="M12" s="5">
        <v>2036</v>
      </c>
      <c r="N12" s="5">
        <v>2037</v>
      </c>
      <c r="O12" s="5">
        <v>2038</v>
      </c>
      <c r="P12" s="5">
        <v>2039</v>
      </c>
      <c r="Q12" s="5">
        <v>2040</v>
      </c>
      <c r="R12" s="5">
        <v>2041</v>
      </c>
      <c r="S12" s="5">
        <v>2042</v>
      </c>
      <c r="T12" s="5">
        <v>2043</v>
      </c>
      <c r="U12" s="5">
        <v>2044</v>
      </c>
      <c r="V12" s="5">
        <v>2045</v>
      </c>
      <c r="W12" s="5">
        <v>2046</v>
      </c>
      <c r="X12" s="5">
        <v>2047</v>
      </c>
      <c r="Y12" s="5">
        <v>2048</v>
      </c>
      <c r="Z12" s="5">
        <v>2049</v>
      </c>
      <c r="AA12" s="5">
        <v>2050</v>
      </c>
      <c r="AB12" s="5">
        <v>2051</v>
      </c>
      <c r="AC12" s="5">
        <v>2052</v>
      </c>
      <c r="AD12" s="5">
        <v>2053</v>
      </c>
      <c r="AE12" s="5">
        <v>2054</v>
      </c>
      <c r="AF12" s="5">
        <v>2055</v>
      </c>
      <c r="AG12" s="5">
        <v>2056</v>
      </c>
      <c r="AH12" s="5">
        <v>2057</v>
      </c>
      <c r="AI12" s="5">
        <v>2058</v>
      </c>
      <c r="AJ12" s="5">
        <v>2059</v>
      </c>
      <c r="AK12" s="5">
        <v>2060</v>
      </c>
      <c r="AL12" s="5">
        <v>2061</v>
      </c>
      <c r="AM12" s="5">
        <v>2062</v>
      </c>
      <c r="AN12" s="5">
        <v>2063</v>
      </c>
      <c r="AO12" s="5">
        <v>2064</v>
      </c>
      <c r="AP12" s="5">
        <v>2065</v>
      </c>
      <c r="AQ12" s="5">
        <v>2066</v>
      </c>
      <c r="AR12" s="5">
        <v>2067</v>
      </c>
      <c r="AS12" s="5">
        <v>2068</v>
      </c>
      <c r="AT12" s="5">
        <v>2069</v>
      </c>
      <c r="AU12" s="5">
        <v>2070</v>
      </c>
      <c r="AV12" s="5">
        <v>2071</v>
      </c>
      <c r="AW12" s="5">
        <v>2072</v>
      </c>
      <c r="AX12" s="5">
        <v>2073</v>
      </c>
      <c r="AY12" s="5">
        <v>2074</v>
      </c>
      <c r="AZ12" s="5">
        <v>2075</v>
      </c>
      <c r="BA12" s="5">
        <v>2076</v>
      </c>
      <c r="BB12" s="5">
        <v>2077</v>
      </c>
      <c r="BC12" s="5">
        <v>2078</v>
      </c>
      <c r="BD12" s="5">
        <v>2079</v>
      </c>
      <c r="BE12" s="5">
        <v>2080</v>
      </c>
      <c r="BF12" s="5">
        <v>2081</v>
      </c>
      <c r="BG12" s="5">
        <v>2082</v>
      </c>
      <c r="BH12" s="5">
        <v>2083</v>
      </c>
      <c r="BI12" s="5">
        <v>2084</v>
      </c>
      <c r="BJ12" s="5">
        <v>2085</v>
      </c>
      <c r="BK12" s="5">
        <v>2086</v>
      </c>
      <c r="BL12" s="5">
        <v>2087</v>
      </c>
      <c r="BM12" s="5">
        <v>2088</v>
      </c>
      <c r="BN12" s="5">
        <v>2089</v>
      </c>
      <c r="BO12" s="5">
        <v>2090</v>
      </c>
    </row>
    <row r="13" spans="1:67" x14ac:dyDescent="0.4"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  <c r="BC13" s="216"/>
      <c r="BD13" s="216"/>
      <c r="BE13" s="216"/>
      <c r="BF13" s="216"/>
      <c r="BG13" s="216"/>
      <c r="BH13" s="216"/>
      <c r="BI13" s="216"/>
      <c r="BJ13" s="216"/>
      <c r="BK13" s="216"/>
      <c r="BL13" s="216"/>
      <c r="BM13" s="216"/>
      <c r="BN13" s="216"/>
      <c r="BO13" s="216"/>
    </row>
    <row r="14" spans="1:67" x14ac:dyDescent="0.4">
      <c r="A14" t="s">
        <v>39</v>
      </c>
      <c r="B14" t="s">
        <v>15</v>
      </c>
      <c r="C14" t="s">
        <v>173</v>
      </c>
      <c r="D14" s="8"/>
      <c r="E14" s="8">
        <f>IF(E$1&gt;Lifetime_OH,0,SUMIFS('Baseline Projects'!AK:AK,'Baseline Projects'!$H:$H,Benefits_Baseline!$B14,'Baseline Projects'!$G:$G,Benefits_Baseline!$A14)*(1+Inflation)^(E$1-$D$1))</f>
        <v>463084.24423044984</v>
      </c>
      <c r="F14" s="8">
        <f>IF(F$1&gt;Lifetime_OH,0,SUMIFS('Baseline Projects'!AL:AL,'Baseline Projects'!$H:$H,Benefits_Baseline!$B14,'Baseline Projects'!$G:$G,Benefits_Baseline!$A14)*(1+Inflation)^(F$1-$D$1))</f>
        <v>438014.36202010448</v>
      </c>
      <c r="G14" s="8">
        <f>IF(G$1&gt;Lifetime_OH,0,SUMIFS('Baseline Projects'!AM:AM,'Baseline Projects'!$H:$H,Benefits_Baseline!$B14,'Baseline Projects'!$G:$G,Benefits_Baseline!$A14)*(1+Inflation)^(G$1-$D$1))</f>
        <v>413204.9844711558</v>
      </c>
      <c r="H14" s="8">
        <f>IF(H$1&gt;Lifetime_OH,0,SUMIFS('Baseline Projects'!AN:AN,'Baseline Projects'!$H:$H,Benefits_Baseline!$B14,'Baseline Projects'!$G:$G,Benefits_Baseline!$A14)*(1+Inflation)^(H$1-$D$1))</f>
        <v>388643.14005784952</v>
      </c>
      <c r="I14" s="8">
        <f>IF(I$1&gt;Lifetime_OH,0,SUMIFS('Baseline Projects'!AO:AO,'Baseline Projects'!$H:$H,Benefits_Baseline!$B14,'Baseline Projects'!$G:$G,Benefits_Baseline!$A14)*(1+Inflation)^(I$1-$D$1))</f>
        <v>364316.00263232266</v>
      </c>
      <c r="J14" s="8">
        <f>IF(J$1&gt;Lifetime_OH,0,SUMIFS('Baseline Projects'!AP:AP,'Baseline Projects'!$H:$H,Benefits_Baseline!$B14,'Baseline Projects'!$G:$G,Benefits_Baseline!$A14)*(1+Inflation)^(J$1-$D$1))</f>
        <v>340210.88470202195</v>
      </c>
      <c r="K14" s="8">
        <f>IF(K$1&gt;Lifetime_OH,0,SUMIFS('Baseline Projects'!AQ:AQ,'Baseline Projects'!$H:$H,Benefits_Baseline!$B14,'Baseline Projects'!$G:$G,Benefits_Baseline!$A14)*(1+Inflation)^(K$1-$D$1))</f>
        <v>316315.23078771884</v>
      </c>
      <c r="L14" s="8">
        <f>IF(L$1&gt;Lifetime_OH,0,SUMIFS('Baseline Projects'!AR:AR,'Baseline Projects'!$H:$H,Benefits_Baseline!$B14,'Baseline Projects'!$G:$G,Benefits_Baseline!$A14)*(1+Inflation)^(L$1-$D$1))</f>
        <v>292616.61085863377</v>
      </c>
      <c r="M14" s="8">
        <f>IF(M$1&gt;Lifetime_OH,0,SUMIFS('Baseline Projects'!AS:AS,'Baseline Projects'!$H:$H,Benefits_Baseline!$B14,'Baseline Projects'!$G:$G,Benefits_Baseline!$A14)*(1+Inflation)^(M$1-$D$1))</f>
        <v>269102.7138412213</v>
      </c>
      <c r="N14" s="8">
        <f>IF(N$1&gt;Lifetime_OH,0,SUMIFS('Baseline Projects'!AT:AT,'Baseline Projects'!$H:$H,Benefits_Baseline!$B14,'Baseline Projects'!$G:$G,Benefits_Baseline!$A14)*(1+Inflation)^(N$1-$D$1))</f>
        <v>245761.34119821785</v>
      </c>
      <c r="O14" s="8">
        <f t="shared" ref="O14:AT15" si="41">IF(O$1&gt;Lifetime_OH,0,N14*(1+Inflation))</f>
        <v>251168.09070457864</v>
      </c>
      <c r="P14" s="8">
        <f t="shared" si="41"/>
        <v>256693.78870007937</v>
      </c>
      <c r="Q14" s="8">
        <f t="shared" si="41"/>
        <v>262341.05205148115</v>
      </c>
      <c r="R14" s="8">
        <f t="shared" si="41"/>
        <v>268112.55519661371</v>
      </c>
      <c r="S14" s="8">
        <f t="shared" si="41"/>
        <v>274011.03141093923</v>
      </c>
      <c r="T14" s="8">
        <f t="shared" si="41"/>
        <v>280039.27410197991</v>
      </c>
      <c r="U14" s="8">
        <f t="shared" si="41"/>
        <v>286200.13813222345</v>
      </c>
      <c r="V14" s="8">
        <f t="shared" si="41"/>
        <v>292496.54117113235</v>
      </c>
      <c r="W14" s="8">
        <f t="shared" si="41"/>
        <v>298931.46507689729</v>
      </c>
      <c r="X14" s="8">
        <f t="shared" si="41"/>
        <v>305507.95730858902</v>
      </c>
      <c r="Y14" s="8">
        <f t="shared" si="41"/>
        <v>312229.132369378</v>
      </c>
      <c r="Z14" s="8">
        <f t="shared" si="41"/>
        <v>319098.17328150431</v>
      </c>
      <c r="AA14" s="8">
        <f t="shared" si="41"/>
        <v>326118.33309369738</v>
      </c>
      <c r="AB14" s="8">
        <f t="shared" si="41"/>
        <v>333292.93642175873</v>
      </c>
      <c r="AC14" s="8">
        <f t="shared" si="41"/>
        <v>340625.38102303742</v>
      </c>
      <c r="AD14" s="8">
        <f t="shared" si="41"/>
        <v>348119.13940554427</v>
      </c>
      <c r="AE14" s="8">
        <f t="shared" si="41"/>
        <v>355777.76047246624</v>
      </c>
      <c r="AF14" s="8">
        <f t="shared" si="41"/>
        <v>363604.87120286049</v>
      </c>
      <c r="AG14" s="8">
        <f t="shared" si="41"/>
        <v>371604.17836932343</v>
      </c>
      <c r="AH14" s="8">
        <f t="shared" si="41"/>
        <v>379779.47029344854</v>
      </c>
      <c r="AI14" s="8">
        <f t="shared" si="41"/>
        <v>388134.61863990442</v>
      </c>
      <c r="AJ14" s="8">
        <f t="shared" si="41"/>
        <v>396673.5802499823</v>
      </c>
      <c r="AK14" s="8">
        <f t="shared" si="41"/>
        <v>405400.39901548193</v>
      </c>
      <c r="AL14" s="8">
        <f t="shared" si="41"/>
        <v>414319.20779382257</v>
      </c>
      <c r="AM14" s="8">
        <f t="shared" si="41"/>
        <v>423434.2303652867</v>
      </c>
      <c r="AN14" s="8">
        <f t="shared" si="41"/>
        <v>432749.78343332303</v>
      </c>
      <c r="AO14" s="8">
        <f t="shared" si="41"/>
        <v>442270.27866885613</v>
      </c>
      <c r="AP14" s="8">
        <f t="shared" si="41"/>
        <v>452000.22479957098</v>
      </c>
      <c r="AQ14" s="8">
        <f t="shared" si="41"/>
        <v>461944.22974516154</v>
      </c>
      <c r="AR14" s="8">
        <f t="shared" si="41"/>
        <v>472107.00279955514</v>
      </c>
      <c r="AS14" s="8">
        <f t="shared" si="41"/>
        <v>482493.35686114535</v>
      </c>
      <c r="AT14" s="8">
        <f t="shared" si="41"/>
        <v>493108.21071209054</v>
      </c>
      <c r="AU14" s="8">
        <f t="shared" ref="AU14:BO15" si="42">IF(AU$1&gt;Lifetime_OH,0,AT14*(1+Inflation))</f>
        <v>503956.59134775656</v>
      </c>
      <c r="AV14" s="8">
        <f t="shared" si="42"/>
        <v>515043.6363574072</v>
      </c>
      <c r="AW14" s="8">
        <f t="shared" si="42"/>
        <v>526374.59635727014</v>
      </c>
      <c r="AX14" s="8">
        <f t="shared" si="42"/>
        <v>537954.83747713012</v>
      </c>
      <c r="AY14" s="8">
        <f t="shared" si="42"/>
        <v>549789.843901627</v>
      </c>
      <c r="AZ14" s="8">
        <f t="shared" si="42"/>
        <v>0</v>
      </c>
      <c r="BA14" s="8">
        <f t="shared" si="42"/>
        <v>0</v>
      </c>
      <c r="BB14" s="8">
        <f t="shared" si="42"/>
        <v>0</v>
      </c>
      <c r="BC14" s="8">
        <f t="shared" si="42"/>
        <v>0</v>
      </c>
      <c r="BD14" s="8">
        <f t="shared" si="42"/>
        <v>0</v>
      </c>
      <c r="BE14" s="8">
        <f t="shared" si="42"/>
        <v>0</v>
      </c>
      <c r="BF14" s="8">
        <f t="shared" si="42"/>
        <v>0</v>
      </c>
      <c r="BG14" s="8">
        <f t="shared" si="42"/>
        <v>0</v>
      </c>
      <c r="BH14" s="8">
        <f t="shared" si="42"/>
        <v>0</v>
      </c>
      <c r="BI14" s="8">
        <f t="shared" si="42"/>
        <v>0</v>
      </c>
      <c r="BJ14" s="8">
        <f t="shared" si="42"/>
        <v>0</v>
      </c>
      <c r="BK14" s="8">
        <f t="shared" si="42"/>
        <v>0</v>
      </c>
      <c r="BL14" s="8">
        <f t="shared" si="42"/>
        <v>0</v>
      </c>
      <c r="BM14" s="8">
        <f t="shared" si="42"/>
        <v>0</v>
      </c>
      <c r="BN14" s="8">
        <f t="shared" si="42"/>
        <v>0</v>
      </c>
      <c r="BO14" s="8">
        <f t="shared" si="42"/>
        <v>0</v>
      </c>
    </row>
    <row r="15" spans="1:67" x14ac:dyDescent="0.4">
      <c r="A15" t="s">
        <v>39</v>
      </c>
      <c r="B15" t="s">
        <v>15</v>
      </c>
      <c r="C15" t="s">
        <v>174</v>
      </c>
      <c r="D15" s="8"/>
      <c r="E15" s="8">
        <f>IF(E$1&gt;Lifetime_OH,0,SUMIFS('Baseline Projects'!AU:AU,'Baseline Projects'!$H:$H,Benefits_Baseline!$B15,'Baseline Projects'!$G:$G,Benefits_Baseline!$A15)*(1+Inflation)^(E$1-$D$1))</f>
        <v>13581588.59317949</v>
      </c>
      <c r="F15" s="8">
        <f>IF(F$1&gt;Lifetime_OH,0,SUMIFS('Baseline Projects'!AV:AV,'Baseline Projects'!$H:$H,Benefits_Baseline!$B15,'Baseline Projects'!$G:$G,Benefits_Baseline!$A15)*(1+Inflation)^(F$1-$D$1))</f>
        <v>12846325.343560185</v>
      </c>
      <c r="G15" s="8">
        <f>IF(G$1&gt;Lifetime_OH,0,SUMIFS('Baseline Projects'!AW:AW,'Baseline Projects'!$H:$H,Benefits_Baseline!$B15,'Baseline Projects'!$G:$G,Benefits_Baseline!$A15)*(1+Inflation)^(G$1-$D$1))</f>
        <v>12118702.317467758</v>
      </c>
      <c r="H15" s="8">
        <f>IF(H$1&gt;Lifetime_OH,0,SUMIFS('Baseline Projects'!AX:AX,'Baseline Projects'!$H:$H,Benefits_Baseline!$B15,'Baseline Projects'!$G:$G,Benefits_Baseline!$A15)*(1+Inflation)^(H$1-$D$1))</f>
        <v>11398339.078883458</v>
      </c>
      <c r="I15" s="8">
        <f>IF(I$1&gt;Lifetime_OH,0,SUMIFS('Baseline Projects'!AY:AY,'Baseline Projects'!$H:$H,Benefits_Baseline!$B15,'Baseline Projects'!$G:$G,Benefits_Baseline!$A15)*(1+Inflation)^(I$1-$D$1))</f>
        <v>10684859.455511034</v>
      </c>
      <c r="J15" s="8">
        <f>IF(J$1&gt;Lifetime_OH,0,SUMIFS('Baseline Projects'!AZ:AZ,'Baseline Projects'!$H:$H,Benefits_Baseline!$B15,'Baseline Projects'!$G:$G,Benefits_Baseline!$A15)*(1+Inflation)^(J$1-$D$1))</f>
        <v>9977891.341613166</v>
      </c>
      <c r="K15" s="8">
        <f>IF(K$1&gt;Lifetime_OH,0,SUMIFS('Baseline Projects'!BA:BA,'Baseline Projects'!$H:$H,Benefits_Baseline!$B15,'Baseline Projects'!$G:$G,Benefits_Baseline!$A15)*(1+Inflation)^(K$1-$D$1))</f>
        <v>9277066.5032117181</v>
      </c>
      <c r="L15" s="8">
        <f>IF(L$1&gt;Lifetime_OH,0,SUMIFS('Baseline Projects'!BB:BB,'Baseline Projects'!$H:$H,Benefits_Baseline!$B15,'Baseline Projects'!$G:$G,Benefits_Baseline!$A15)*(1+Inflation)^(L$1-$D$1))</f>
        <v>8582020.3855494112</v>
      </c>
      <c r="M15" s="8">
        <f>IF(M$1&gt;Lifetime_OH,0,SUMIFS('Baseline Projects'!BC:BC,'Baseline Projects'!$H:$H,Benefits_Baseline!$B15,'Baseline Projects'!$G:$G,Benefits_Baseline!$A15)*(1+Inflation)^(M$1-$D$1))</f>
        <v>7892391.9227119638</v>
      </c>
      <c r="N15" s="8">
        <f>IF(N$1&gt;Lifetime_OH,0,SUMIFS('Baseline Projects'!BD:BD,'Baseline Projects'!$H:$H,Benefits_Baseline!$B15,'Baseline Projects'!$G:$G,Benefits_Baseline!$A15)*(1+Inflation)^(N$1-$D$1))</f>
        <v>7207823.3493108572</v>
      </c>
      <c r="O15" s="8">
        <f t="shared" si="41"/>
        <v>7366395.4629956959</v>
      </c>
      <c r="P15" s="8">
        <f t="shared" ref="P15" si="43">IF(P$1&gt;Lifetime_OH,0,O15*(1+Inflation))</f>
        <v>7528456.1631816011</v>
      </c>
      <c r="Q15" s="8">
        <f t="shared" ref="Q15" si="44">IF(Q$1&gt;Lifetime_OH,0,P15*(1+Inflation))</f>
        <v>7694082.1987715969</v>
      </c>
      <c r="R15" s="8">
        <f t="shared" ref="R15" si="45">IF(R$1&gt;Lifetime_OH,0,Q15*(1+Inflation))</f>
        <v>7863352.0071445722</v>
      </c>
      <c r="S15" s="8">
        <f t="shared" ref="S15" si="46">IF(S$1&gt;Lifetime_OH,0,R15*(1+Inflation))</f>
        <v>8036345.7513017533</v>
      </c>
      <c r="T15" s="8">
        <f t="shared" ref="T15" si="47">IF(T$1&gt;Lifetime_OH,0,S15*(1+Inflation))</f>
        <v>8213145.3578303922</v>
      </c>
      <c r="U15" s="8">
        <f t="shared" ref="U15" si="48">IF(U$1&gt;Lifetime_OH,0,T15*(1+Inflation))</f>
        <v>8393834.5557026602</v>
      </c>
      <c r="V15" s="8">
        <f t="shared" ref="V15" si="49">IF(V$1&gt;Lifetime_OH,0,U15*(1+Inflation))</f>
        <v>8578498.9159281198</v>
      </c>
      <c r="W15" s="8">
        <f t="shared" ref="W15" si="50">IF(W$1&gt;Lifetime_OH,0,V15*(1+Inflation))</f>
        <v>8767225.8920785394</v>
      </c>
      <c r="X15" s="8">
        <f t="shared" ref="X15" si="51">IF(X$1&gt;Lifetime_OH,0,W15*(1+Inflation))</f>
        <v>8960104.8617042676</v>
      </c>
      <c r="Y15" s="8">
        <f t="shared" ref="Y15" si="52">IF(Y$1&gt;Lifetime_OH,0,X15*(1+Inflation))</f>
        <v>9157227.168661762</v>
      </c>
      <c r="Z15" s="8">
        <f t="shared" ref="Z15" si="53">IF(Z$1&gt;Lifetime_OH,0,Y15*(1+Inflation))</f>
        <v>9358686.1663723215</v>
      </c>
      <c r="AA15" s="8">
        <f t="shared" ref="AA15" si="54">IF(AA$1&gt;Lifetime_OH,0,Z15*(1+Inflation))</f>
        <v>9564577.2620325126</v>
      </c>
      <c r="AB15" s="8">
        <f t="shared" ref="AB15" si="55">IF(AB$1&gt;Lifetime_OH,0,AA15*(1+Inflation))</f>
        <v>9774997.9617972281</v>
      </c>
      <c r="AC15" s="8">
        <f t="shared" ref="AC15" si="56">IF(AC$1&gt;Lifetime_OH,0,AB15*(1+Inflation))</f>
        <v>9990047.9169567674</v>
      </c>
      <c r="AD15" s="8">
        <f t="shared" ref="AD15" si="57">IF(AD$1&gt;Lifetime_OH,0,AC15*(1+Inflation))</f>
        <v>10209828.971129816</v>
      </c>
      <c r="AE15" s="8">
        <f t="shared" ref="AE15" si="58">IF(AE$1&gt;Lifetime_OH,0,AD15*(1+Inflation))</f>
        <v>10434445.208494673</v>
      </c>
      <c r="AF15" s="8">
        <f t="shared" ref="AF15" si="59">IF(AF$1&gt;Lifetime_OH,0,AE15*(1+Inflation))</f>
        <v>10664003.003081556</v>
      </c>
      <c r="AG15" s="8">
        <f t="shared" ref="AG15" si="60">IF(AG$1&gt;Lifetime_OH,0,AF15*(1+Inflation))</f>
        <v>10898611.069149351</v>
      </c>
      <c r="AH15" s="8">
        <f t="shared" ref="AH15" si="61">IF(AH$1&gt;Lifetime_OH,0,AG15*(1+Inflation))</f>
        <v>11138380.512670636</v>
      </c>
      <c r="AI15" s="8">
        <f t="shared" ref="AI15" si="62">IF(AI$1&gt;Lifetime_OH,0,AH15*(1+Inflation))</f>
        <v>11383424.88394939</v>
      </c>
      <c r="AJ15" s="8">
        <f t="shared" ref="AJ15" si="63">IF(AJ$1&gt;Lifetime_OH,0,AI15*(1+Inflation))</f>
        <v>11633860.231396277</v>
      </c>
      <c r="AK15" s="8">
        <f t="shared" ref="AK15" si="64">IF(AK$1&gt;Lifetime_OH,0,AJ15*(1+Inflation))</f>
        <v>11889805.156486996</v>
      </c>
      <c r="AL15" s="8">
        <f t="shared" ref="AL15" si="65">IF(AL$1&gt;Lifetime_OH,0,AK15*(1+Inflation))</f>
        <v>12151380.86992971</v>
      </c>
      <c r="AM15" s="8">
        <f t="shared" ref="AM15" si="66">IF(AM$1&gt;Lifetime_OH,0,AL15*(1+Inflation))</f>
        <v>12418711.249068165</v>
      </c>
      <c r="AN15" s="8">
        <f t="shared" ref="AN15" si="67">IF(AN$1&gt;Lifetime_OH,0,AM15*(1+Inflation))</f>
        <v>12691922.896547666</v>
      </c>
      <c r="AO15" s="8">
        <f t="shared" ref="AO15" si="68">IF(AO$1&gt;Lifetime_OH,0,AN15*(1+Inflation))</f>
        <v>12971145.200271714</v>
      </c>
      <c r="AP15" s="8">
        <f t="shared" ref="AP15" si="69">IF(AP$1&gt;Lifetime_OH,0,AO15*(1+Inflation))</f>
        <v>13256510.394677693</v>
      </c>
      <c r="AQ15" s="8">
        <f t="shared" ref="AQ15" si="70">IF(AQ$1&gt;Lifetime_OH,0,AP15*(1+Inflation))</f>
        <v>13548153.623360602</v>
      </c>
      <c r="AR15" s="8">
        <f t="shared" ref="AR15" si="71">IF(AR$1&gt;Lifetime_OH,0,AQ15*(1+Inflation))</f>
        <v>13846213.003074536</v>
      </c>
      <c r="AS15" s="8">
        <f t="shared" ref="AS15" si="72">IF(AS$1&gt;Lifetime_OH,0,AR15*(1+Inflation))</f>
        <v>14150829.689142177</v>
      </c>
      <c r="AT15" s="8">
        <f t="shared" ref="AT15" si="73">IF(AT$1&gt;Lifetime_OH,0,AS15*(1+Inflation))</f>
        <v>14462147.942303305</v>
      </c>
      <c r="AU15" s="8">
        <f t="shared" si="42"/>
        <v>14780315.197033979</v>
      </c>
      <c r="AV15" s="8">
        <f t="shared" si="42"/>
        <v>15105482.131368726</v>
      </c>
      <c r="AW15" s="8">
        <f t="shared" si="42"/>
        <v>15437802.738258839</v>
      </c>
      <c r="AX15" s="8">
        <f t="shared" si="42"/>
        <v>15777434.398500534</v>
      </c>
      <c r="AY15" s="8">
        <f t="shared" si="42"/>
        <v>16124537.955267547</v>
      </c>
      <c r="AZ15" s="8">
        <f t="shared" si="42"/>
        <v>0</v>
      </c>
      <c r="BA15" s="8">
        <f t="shared" si="42"/>
        <v>0</v>
      </c>
      <c r="BB15" s="8">
        <f t="shared" si="42"/>
        <v>0</v>
      </c>
      <c r="BC15" s="8">
        <f t="shared" si="42"/>
        <v>0</v>
      </c>
      <c r="BD15" s="8">
        <f t="shared" si="42"/>
        <v>0</v>
      </c>
      <c r="BE15" s="8">
        <f t="shared" si="42"/>
        <v>0</v>
      </c>
      <c r="BF15" s="8">
        <f t="shared" si="42"/>
        <v>0</v>
      </c>
      <c r="BG15" s="8">
        <f t="shared" si="42"/>
        <v>0</v>
      </c>
      <c r="BH15" s="8">
        <f t="shared" si="42"/>
        <v>0</v>
      </c>
      <c r="BI15" s="8">
        <f t="shared" si="42"/>
        <v>0</v>
      </c>
      <c r="BJ15" s="8">
        <f t="shared" si="42"/>
        <v>0</v>
      </c>
      <c r="BK15" s="8">
        <f t="shared" si="42"/>
        <v>0</v>
      </c>
      <c r="BL15" s="8">
        <f t="shared" si="42"/>
        <v>0</v>
      </c>
      <c r="BM15" s="8">
        <f t="shared" si="42"/>
        <v>0</v>
      </c>
      <c r="BN15" s="8">
        <f t="shared" si="42"/>
        <v>0</v>
      </c>
      <c r="BO15" s="8">
        <f t="shared" si="42"/>
        <v>0</v>
      </c>
    </row>
    <row r="16" spans="1:67" x14ac:dyDescent="0.4">
      <c r="A16" t="s">
        <v>39</v>
      </c>
      <c r="B16" t="s">
        <v>15</v>
      </c>
      <c r="C16" t="s">
        <v>320</v>
      </c>
      <c r="D16" s="8"/>
      <c r="E16" s="8">
        <f>IF(E$1&gt;Lifetime_OH,0,SUMIFS('Baseline Projects'!CJ:CJ,'Baseline Projects'!$H:$H,Benefits_Baseline!$B16,'Baseline Projects'!$G:$G,Benefits_Baseline!$A16)*(1+Inflation)^(E$1-$D$1))</f>
        <v>11211.186633731717</v>
      </c>
      <c r="F16" s="8">
        <f>IF(F$1&gt;Lifetime_OH,0,SUMIFS('Baseline Projects'!CK:CK,'Baseline Projects'!$H:$H,Benefits_Baseline!$B16,'Baseline Projects'!$G:$G,Benefits_Baseline!$A16)*(1+Inflation)^(F$1-$D$1))</f>
        <v>22410.807805054981</v>
      </c>
      <c r="G16" s="8">
        <f>IF(G$1&gt;Lifetime_OH,0,SUMIFS('Baseline Projects'!CL:CL,'Baseline Projects'!$H:$H,Benefits_Baseline!$B16,'Baseline Projects'!$G:$G,Benefits_Baseline!$A16)*(1+Inflation)^(G$1-$D$1))</f>
        <v>33604.556099406873</v>
      </c>
      <c r="H16" s="8">
        <f>IF(H$1&gt;Lifetime_OH,0,SUMIFS('Baseline Projects'!CM:CM,'Baseline Projects'!$H:$H,Benefits_Baseline!$B16,'Baseline Projects'!$G:$G,Benefits_Baseline!$A16)*(1+Inflation)^(H$1-$D$1))</f>
        <v>44798.112369587856</v>
      </c>
      <c r="I16" s="8">
        <f>IF(I$1&gt;Lifetime_OH,0,SUMIFS('Baseline Projects'!CN:CN,'Baseline Projects'!$H:$H,Benefits_Baseline!$B16,'Baseline Projects'!$G:$G,Benefits_Baseline!$A16)*(1+Inflation)^(I$1-$D$1))</f>
        <v>55997.148632270866</v>
      </c>
      <c r="J16" s="8">
        <f>IF(J$1&gt;Lifetime_OH,0,SUMIFS('Baseline Projects'!CO:CO,'Baseline Projects'!$H:$H,Benefits_Baseline!$B16,'Baseline Projects'!$G:$G,Benefits_Baseline!$A16)*(1+Inflation)^(J$1-$D$1))</f>
        <v>67207.330955577549</v>
      </c>
      <c r="K16" s="8">
        <f>IF(K$1&gt;Lifetime_OH,0,SUMIFS('Baseline Projects'!CP:CP,'Baseline Projects'!$H:$H,Benefits_Baseline!$B16,'Baseline Projects'!$G:$G,Benefits_Baseline!$A16)*(1+Inflation)^(K$1-$D$1))</f>
        <v>78434.322339198523</v>
      </c>
      <c r="L16" s="8">
        <f>IF(L$1&gt;Lifetime_OH,0,SUMIFS('Baseline Projects'!CQ:CQ,'Baseline Projects'!$H:$H,Benefits_Baseline!$B16,'Baseline Projects'!$G:$G,Benefits_Baseline!$A16)*(1+Inflation)^(L$1-$D$1))</f>
        <v>89683.785588528161</v>
      </c>
      <c r="M16" s="8">
        <f>IF(M$1&gt;Lifetime_OH,0,SUMIFS('Baseline Projects'!CR:CR,'Baseline Projects'!$H:$H,Benefits_Baseline!$B16,'Baseline Projects'!$G:$G,Benefits_Baseline!$A16)*(1+Inflation)^(M$1-$D$1))</f>
        <v>100961.38618427989</v>
      </c>
      <c r="N16" s="8">
        <f>IF(N$1&gt;Lifetime_OH,0,SUMIFS('Baseline Projects'!CS:CS,'Baseline Projects'!$H:$H,Benefits_Baseline!$B16,'Baseline Projects'!$G:$G,Benefits_Baseline!$A16)*(1+Inflation)^(N$1-$D$1))</f>
        <v>112272.79514904278</v>
      </c>
      <c r="O16" s="8">
        <f t="shared" ref="O16:AT16" si="74">IF(O$1&lt;=Lifetime_OH,N16*(1+Inflation),0)</f>
        <v>114742.79664232173</v>
      </c>
      <c r="P16" s="8">
        <f t="shared" si="74"/>
        <v>117267.13816845282</v>
      </c>
      <c r="Q16" s="8">
        <f t="shared" si="74"/>
        <v>119847.01520815879</v>
      </c>
      <c r="R16" s="8">
        <f t="shared" si="74"/>
        <v>122483.64954273828</v>
      </c>
      <c r="S16" s="8">
        <f t="shared" si="74"/>
        <v>125178.28983267852</v>
      </c>
      <c r="T16" s="8">
        <f t="shared" si="74"/>
        <v>127932.21220899746</v>
      </c>
      <c r="U16" s="8">
        <f t="shared" si="74"/>
        <v>130746.72087759541</v>
      </c>
      <c r="V16" s="8">
        <f t="shared" si="74"/>
        <v>133623.14873690251</v>
      </c>
      <c r="W16" s="8">
        <f t="shared" si="74"/>
        <v>136562.85800911437</v>
      </c>
      <c r="X16" s="8">
        <f t="shared" si="74"/>
        <v>139567.24088531488</v>
      </c>
      <c r="Y16" s="8">
        <f t="shared" si="74"/>
        <v>142637.7201847918</v>
      </c>
      <c r="Z16" s="8">
        <f t="shared" si="74"/>
        <v>145775.75002885723</v>
      </c>
      <c r="AA16" s="8">
        <f t="shared" si="74"/>
        <v>148982.81652949209</v>
      </c>
      <c r="AB16" s="8">
        <f t="shared" si="74"/>
        <v>152260.43849314091</v>
      </c>
      <c r="AC16" s="8">
        <f t="shared" si="74"/>
        <v>155610.16813999001</v>
      </c>
      <c r="AD16" s="8">
        <f t="shared" si="74"/>
        <v>159033.59183906979</v>
      </c>
      <c r="AE16" s="8">
        <f t="shared" si="74"/>
        <v>162532.33085952932</v>
      </c>
      <c r="AF16" s="8">
        <f t="shared" si="74"/>
        <v>166108.04213843896</v>
      </c>
      <c r="AG16" s="8">
        <f t="shared" si="74"/>
        <v>169762.41906548463</v>
      </c>
      <c r="AH16" s="8">
        <f t="shared" si="74"/>
        <v>173497.19228492529</v>
      </c>
      <c r="AI16" s="8">
        <f t="shared" si="74"/>
        <v>177314.13051519365</v>
      </c>
      <c r="AJ16" s="8">
        <f t="shared" si="74"/>
        <v>181215.04138652791</v>
      </c>
      <c r="AK16" s="8">
        <f t="shared" si="74"/>
        <v>185201.77229703154</v>
      </c>
      <c r="AL16" s="8">
        <f t="shared" si="74"/>
        <v>189276.21128756623</v>
      </c>
      <c r="AM16" s="8">
        <f t="shared" si="74"/>
        <v>193440.2879358927</v>
      </c>
      <c r="AN16" s="8">
        <f t="shared" si="74"/>
        <v>197695.97427048234</v>
      </c>
      <c r="AO16" s="8">
        <f t="shared" si="74"/>
        <v>202045.28570443296</v>
      </c>
      <c r="AP16" s="8">
        <f t="shared" si="74"/>
        <v>206490.28198993049</v>
      </c>
      <c r="AQ16" s="8">
        <f t="shared" si="74"/>
        <v>211033.06819370895</v>
      </c>
      <c r="AR16" s="8">
        <f t="shared" si="74"/>
        <v>215675.79569397055</v>
      </c>
      <c r="AS16" s="8">
        <f t="shared" si="74"/>
        <v>220420.6631992379</v>
      </c>
      <c r="AT16" s="8">
        <f t="shared" si="74"/>
        <v>225269.91778962113</v>
      </c>
      <c r="AU16" s="8">
        <f t="shared" ref="AU16:BO16" si="75">IF(AU$1&lt;=Lifetime_OH,AT16*(1+Inflation),0)</f>
        <v>230225.85598099281</v>
      </c>
      <c r="AV16" s="8">
        <f t="shared" si="75"/>
        <v>235290.82481257466</v>
      </c>
      <c r="AW16" s="8">
        <f t="shared" si="75"/>
        <v>240467.22295845131</v>
      </c>
      <c r="AX16" s="8">
        <f t="shared" si="75"/>
        <v>245757.50186353724</v>
      </c>
      <c r="AY16" s="8">
        <f t="shared" si="75"/>
        <v>251164.16690453506</v>
      </c>
      <c r="AZ16" s="8">
        <f t="shared" si="75"/>
        <v>0</v>
      </c>
      <c r="BA16" s="8">
        <f t="shared" si="75"/>
        <v>0</v>
      </c>
      <c r="BB16" s="8">
        <f t="shared" si="75"/>
        <v>0</v>
      </c>
      <c r="BC16" s="8">
        <f t="shared" si="75"/>
        <v>0</v>
      </c>
      <c r="BD16" s="8">
        <f t="shared" si="75"/>
        <v>0</v>
      </c>
      <c r="BE16" s="8">
        <f t="shared" si="75"/>
        <v>0</v>
      </c>
      <c r="BF16" s="8">
        <f t="shared" si="75"/>
        <v>0</v>
      </c>
      <c r="BG16" s="8">
        <f t="shared" si="75"/>
        <v>0</v>
      </c>
      <c r="BH16" s="8">
        <f t="shared" si="75"/>
        <v>0</v>
      </c>
      <c r="BI16" s="8">
        <f t="shared" si="75"/>
        <v>0</v>
      </c>
      <c r="BJ16" s="8">
        <f t="shared" si="75"/>
        <v>0</v>
      </c>
      <c r="BK16" s="8">
        <f t="shared" si="75"/>
        <v>0</v>
      </c>
      <c r="BL16" s="8">
        <f t="shared" si="75"/>
        <v>0</v>
      </c>
      <c r="BM16" s="8">
        <f t="shared" si="75"/>
        <v>0</v>
      </c>
      <c r="BN16" s="8">
        <f t="shared" si="75"/>
        <v>0</v>
      </c>
      <c r="BO16" s="8">
        <f t="shared" si="75"/>
        <v>0</v>
      </c>
    </row>
    <row r="17" spans="1:67" x14ac:dyDescent="0.4">
      <c r="A17" t="s">
        <v>39</v>
      </c>
      <c r="B17" t="s">
        <v>15</v>
      </c>
      <c r="C17" t="s">
        <v>321</v>
      </c>
      <c r="D17" s="8"/>
      <c r="E17" s="8">
        <f>IF(E$1&gt;Lifetime_OH,0,SUMIFS('Baseline Projects'!CP:CP,'Baseline Projects'!$H:$H,Benefits_Baseline!$B17,'Baseline Projects'!$G:$G,Benefits_Baseline!$A17)*(1+Inflation)^(E$1-$D$1))</f>
        <v>68833.645980081797</v>
      </c>
      <c r="F17" s="8">
        <f>IF(F$1&gt;Lifetime_OH,0,SUMIFS('Baseline Projects'!CQ:CQ,'Baseline Projects'!$H:$H,Benefits_Baseline!$B17,'Baseline Projects'!$G:$G,Benefits_Baseline!$A17)*(1+Inflation)^(F$1-$D$1))</f>
        <v>78706.129705020008</v>
      </c>
      <c r="G17" s="8">
        <f>IF(G$1&gt;Lifetime_OH,0,SUMIFS('Baseline Projects'!CR:CR,'Baseline Projects'!$H:$H,Benefits_Baseline!$B17,'Baseline Projects'!$G:$G,Benefits_Baseline!$A17)*(1+Inflation)^(G$1-$D$1))</f>
        <v>88603.306652066574</v>
      </c>
      <c r="H17" s="8">
        <f>IF(H$1&gt;Lifetime_OH,0,SUMIFS('Baseline Projects'!CS:CS,'Baseline Projects'!$H:$H,Benefits_Baseline!$B17,'Baseline Projects'!$G:$G,Benefits_Baseline!$A17)*(1+Inflation)^(H$1-$D$1))</f>
        <v>98530.153687848186</v>
      </c>
      <c r="I17" s="8">
        <f>IF(I$1&gt;Lifetime_OH,0,SUMIFS('Baseline Projects'!CT:CT,'Baseline Projects'!$H:$H,Benefits_Baseline!$B17,'Baseline Projects'!$G:$G,Benefits_Baseline!$A17)*(1+Inflation)^(I$1-$D$1))</f>
        <v>337020.04841462424</v>
      </c>
      <c r="J17" s="8">
        <f>IF(J$1&gt;Lifetime_OH,0,SUMIFS('Baseline Projects'!CU:CU,'Baseline Projects'!$H:$H,Benefits_Baseline!$B17,'Baseline Projects'!$G:$G,Benefits_Baseline!$A17)*(1+Inflation)^(J$1-$D$1))</f>
        <v>673692.42687885207</v>
      </c>
      <c r="K17" s="8">
        <f>IF(K$1&gt;Lifetime_OH,0,SUMIFS('Baseline Projects'!CV:CV,'Baseline Projects'!$H:$H,Benefits_Baseline!$B17,'Baseline Projects'!$G:$G,Benefits_Baseline!$A17)*(1+Inflation)^(K$1-$D$1))</f>
        <v>1010188.2604914164</v>
      </c>
      <c r="L17" s="8">
        <f>IF(L$1&gt;Lifetime_OH,0,SUMIFS('Baseline Projects'!CW:CW,'Baseline Projects'!$H:$H,Benefits_Baseline!$B17,'Baseline Projects'!$G:$G,Benefits_Baseline!$A17)*(1+Inflation)^(L$1-$D$1))</f>
        <v>1346678.3216556669</v>
      </c>
      <c r="M17" s="8">
        <f>IF(M$1&gt;Lifetime_OH,0,SUMIFS('Baseline Projects'!CX:CX,'Baseline Projects'!$H:$H,Benefits_Baseline!$B17,'Baseline Projects'!$G:$G,Benefits_Baseline!$A17)*(1+Inflation)^(M$1-$D$1))</f>
        <v>1683333.1171516774</v>
      </c>
      <c r="N17" s="8">
        <f>IF(N$1&gt;Lifetime_OH,0,SUMIFS('Baseline Projects'!CY:CY,'Baseline Projects'!$H:$H,Benefits_Baseline!$B17,'Baseline Projects'!$G:$G,Benefits_Baseline!$A17)*(1+Inflation)^(N$1-$D$1))</f>
        <v>2020322.9749398211</v>
      </c>
      <c r="O17" s="8">
        <f t="shared" ref="O17:AT17" si="76">IF(O$1&lt;=Lifetime_OH,N17*(1+Inflation),0)</f>
        <v>2064770.0803884971</v>
      </c>
      <c r="P17" s="8">
        <f t="shared" si="76"/>
        <v>2110195.0221570441</v>
      </c>
      <c r="Q17" s="8">
        <f t="shared" si="76"/>
        <v>2156619.3126444994</v>
      </c>
      <c r="R17" s="8">
        <f t="shared" si="76"/>
        <v>2204064.9375226782</v>
      </c>
      <c r="S17" s="8">
        <f t="shared" si="76"/>
        <v>2252554.3661481771</v>
      </c>
      <c r="T17" s="8">
        <f t="shared" si="76"/>
        <v>2302110.5622034371</v>
      </c>
      <c r="U17" s="8">
        <f t="shared" si="76"/>
        <v>2352756.9945719126</v>
      </c>
      <c r="V17" s="8">
        <f t="shared" si="76"/>
        <v>2404517.6484524948</v>
      </c>
      <c r="W17" s="8">
        <f t="shared" si="76"/>
        <v>2457417.0367184496</v>
      </c>
      <c r="X17" s="8">
        <f t="shared" si="76"/>
        <v>2511480.2115262556</v>
      </c>
      <c r="Y17" s="8">
        <f t="shared" si="76"/>
        <v>2566732.7761798333</v>
      </c>
      <c r="Z17" s="8">
        <f t="shared" si="76"/>
        <v>2623200.8972557895</v>
      </c>
      <c r="AA17" s="8">
        <f t="shared" si="76"/>
        <v>2680911.3169954168</v>
      </c>
      <c r="AB17" s="8">
        <f t="shared" si="76"/>
        <v>2739891.3659693161</v>
      </c>
      <c r="AC17" s="8">
        <f t="shared" si="76"/>
        <v>2800168.9760206412</v>
      </c>
      <c r="AD17" s="8">
        <f t="shared" si="76"/>
        <v>2861772.6934930952</v>
      </c>
      <c r="AE17" s="8">
        <f t="shared" si="76"/>
        <v>2924731.6927499436</v>
      </c>
      <c r="AF17" s="8">
        <f t="shared" si="76"/>
        <v>2989075.7899904423</v>
      </c>
      <c r="AG17" s="8">
        <f t="shared" si="76"/>
        <v>3054835.4573702323</v>
      </c>
      <c r="AH17" s="8">
        <f t="shared" si="76"/>
        <v>3122041.8374323775</v>
      </c>
      <c r="AI17" s="8">
        <f t="shared" si="76"/>
        <v>3190726.7578558899</v>
      </c>
      <c r="AJ17" s="8">
        <f t="shared" si="76"/>
        <v>3260922.7465287196</v>
      </c>
      <c r="AK17" s="8">
        <f t="shared" si="76"/>
        <v>3332663.0469523515</v>
      </c>
      <c r="AL17" s="8">
        <f t="shared" si="76"/>
        <v>3405981.6339853033</v>
      </c>
      <c r="AM17" s="8">
        <f t="shared" si="76"/>
        <v>3480913.2299329801</v>
      </c>
      <c r="AN17" s="8">
        <f t="shared" si="76"/>
        <v>3557493.3209915059</v>
      </c>
      <c r="AO17" s="8">
        <f t="shared" si="76"/>
        <v>3635758.1740533193</v>
      </c>
      <c r="AP17" s="8">
        <f t="shared" si="76"/>
        <v>3715744.8538824925</v>
      </c>
      <c r="AQ17" s="8">
        <f t="shared" si="76"/>
        <v>3797491.2406679075</v>
      </c>
      <c r="AR17" s="8">
        <f t="shared" si="76"/>
        <v>3881036.0479626018</v>
      </c>
      <c r="AS17" s="8">
        <f t="shared" si="76"/>
        <v>3966418.841017779</v>
      </c>
      <c r="AT17" s="8">
        <f t="shared" si="76"/>
        <v>4053680.0555201704</v>
      </c>
      <c r="AU17" s="8">
        <f t="shared" ref="AU17:BO17" si="77">IF(AU$1&lt;=Lifetime_OH,AT17*(1+Inflation),0)</f>
        <v>4142861.0167416143</v>
      </c>
      <c r="AV17" s="8">
        <f t="shared" si="77"/>
        <v>4234003.9591099303</v>
      </c>
      <c r="AW17" s="8">
        <f t="shared" si="77"/>
        <v>4327152.0462103486</v>
      </c>
      <c r="AX17" s="8">
        <f t="shared" si="77"/>
        <v>4422349.3912269762</v>
      </c>
      <c r="AY17" s="8">
        <f t="shared" si="77"/>
        <v>4519641.0778339701</v>
      </c>
      <c r="AZ17" s="8">
        <f t="shared" si="77"/>
        <v>0</v>
      </c>
      <c r="BA17" s="8">
        <f t="shared" si="77"/>
        <v>0</v>
      </c>
      <c r="BB17" s="8">
        <f t="shared" si="77"/>
        <v>0</v>
      </c>
      <c r="BC17" s="8">
        <f t="shared" si="77"/>
        <v>0</v>
      </c>
      <c r="BD17" s="8">
        <f t="shared" si="77"/>
        <v>0</v>
      </c>
      <c r="BE17" s="8">
        <f t="shared" si="77"/>
        <v>0</v>
      </c>
      <c r="BF17" s="8">
        <f t="shared" si="77"/>
        <v>0</v>
      </c>
      <c r="BG17" s="8">
        <f t="shared" si="77"/>
        <v>0</v>
      </c>
      <c r="BH17" s="8">
        <f t="shared" si="77"/>
        <v>0</v>
      </c>
      <c r="BI17" s="8">
        <f t="shared" si="77"/>
        <v>0</v>
      </c>
      <c r="BJ17" s="8">
        <f t="shared" si="77"/>
        <v>0</v>
      </c>
      <c r="BK17" s="8">
        <f t="shared" si="77"/>
        <v>0</v>
      </c>
      <c r="BL17" s="8">
        <f t="shared" si="77"/>
        <v>0</v>
      </c>
      <c r="BM17" s="8">
        <f t="shared" si="77"/>
        <v>0</v>
      </c>
      <c r="BN17" s="8">
        <f t="shared" si="77"/>
        <v>0</v>
      </c>
      <c r="BO17" s="8">
        <f t="shared" si="77"/>
        <v>0</v>
      </c>
    </row>
    <row r="18" spans="1:67" ht="19.5" thickBot="1" x14ac:dyDescent="0.45">
      <c r="A18" t="s">
        <v>39</v>
      </c>
      <c r="B18" t="s">
        <v>15</v>
      </c>
      <c r="C18" s="16" t="s">
        <v>175</v>
      </c>
      <c r="D18" s="17"/>
      <c r="E18" s="17">
        <f>Line_Loss_Reduction_Per_Mile_3PH_OH*INDEX('Baseline scaling factors'!$B$34:$K$36,MATCH(Benefits_Baseline!$B9&amp;"-"&amp;Benefits_Baseline!$A9,'Baseline scaling factors'!$A$34:$A$36,0),MATCH(Benefits_Baseline!E$1,'Baseline scaling factors'!$B$33:$K$33,0))*VLOOKUP(E12,'Loss Reduction Calculation'!$A$10:$D$41,4,0)</f>
        <v>1789.2892893144019</v>
      </c>
      <c r="F18" s="17">
        <f>Line_Loss_Reduction_Per_Mile_3PH_OH*INDEX('Baseline scaling factors'!$B$34:$K$36,MATCH(Benefits_Baseline!$B9&amp;"-"&amp;Benefits_Baseline!$A9,'Baseline scaling factors'!$A$34:$A$36,0),MATCH(Benefits_Baseline!F$1,'Baseline scaling factors'!$B$33:$K$33,0))*VLOOKUP(F12,'Loss Reduction Calculation'!$A$10:$D$41,4,0)</f>
        <v>3557.3967934950037</v>
      </c>
      <c r="G18" s="17">
        <f>Line_Loss_Reduction_Per_Mile_3PH_OH*INDEX('Baseline scaling factors'!$B$34:$K$36,MATCH(Benefits_Baseline!$B9&amp;"-"&amp;Benefits_Baseline!$A9,'Baseline scaling factors'!$A$34:$A$36,0),MATCH(Benefits_Baseline!G$1,'Baseline scaling factors'!$B$33:$K$33,0))*VLOOKUP(G12,'Loss Reduction Calculation'!$A$10:$D$41,4,0)</f>
        <v>5129.0215604092755</v>
      </c>
      <c r="H18" s="17">
        <f>Line_Loss_Reduction_Per_Mile_3PH_OH*INDEX('Baseline scaling factors'!$B$34:$K$36,MATCH(Benefits_Baseline!$B9&amp;"-"&amp;Benefits_Baseline!$A9,'Baseline scaling factors'!$A$34:$A$36,0),MATCH(Benefits_Baseline!H$1,'Baseline scaling factors'!$B$33:$K$33,0))*VLOOKUP(H12,'Loss Reduction Calculation'!$A$10:$D$41,4,0)</f>
        <v>6780.6714722681891</v>
      </c>
      <c r="I18" s="17">
        <f>Line_Loss_Reduction_Per_Mile_3PH_OH*INDEX('Baseline scaling factors'!$B$34:$K$36,MATCH(Benefits_Baseline!$B9&amp;"-"&amp;Benefits_Baseline!$A9,'Baseline scaling factors'!$A$34:$A$36,0),MATCH(Benefits_Baseline!I$1,'Baseline scaling factors'!$B$33:$K$33,0))*VLOOKUP(I12,'Loss Reduction Calculation'!$A$10:$D$41,4,0)</f>
        <v>8519.1191522316858</v>
      </c>
      <c r="J18" s="17">
        <f>Line_Loss_Reduction_Per_Mile_3PH_OH*INDEX('Baseline scaling factors'!$B$34:$K$36,MATCH(Benefits_Baseline!$B9&amp;"-"&amp;Benefits_Baseline!$A9,'Baseline scaling factors'!$A$34:$A$36,0),MATCH(Benefits_Baseline!J$1,'Baseline scaling factors'!$B$33:$K$33,0))*VLOOKUP(J12,'Loss Reduction Calculation'!$A$10:$D$41,4,0)</f>
        <v>10216.468271552023</v>
      </c>
      <c r="K18" s="17">
        <f>Line_Loss_Reduction_Per_Mile_3PH_OH*INDEX('Baseline scaling factors'!$B$34:$K$36,MATCH(Benefits_Baseline!$B9&amp;"-"&amp;Benefits_Baseline!$A9,'Baseline scaling factors'!$A$34:$A$36,0),MATCH(Benefits_Baseline!K$1,'Baseline scaling factors'!$B$33:$K$33,0))*VLOOKUP(K12,'Loss Reduction Calculation'!$A$10:$D$41,4,0)</f>
        <v>11899.797385978371</v>
      </c>
      <c r="L18" s="17">
        <f>Line_Loss_Reduction_Per_Mile_3PH_OH*INDEX('Baseline scaling factors'!$B$34:$K$36,MATCH(Benefits_Baseline!$B9&amp;"-"&amp;Benefits_Baseline!$A9,'Baseline scaling factors'!$A$34:$A$36,0),MATCH(Benefits_Baseline!L$1,'Baseline scaling factors'!$B$33:$K$33,0))*VLOOKUP(L12,'Loss Reduction Calculation'!$A$10:$D$41,4,0)</f>
        <v>13579.901688333428</v>
      </c>
      <c r="M18" s="17">
        <f>Line_Loss_Reduction_Per_Mile_3PH_OH*INDEX('Baseline scaling factors'!$B$34:$K$36,MATCH(Benefits_Baseline!$B9&amp;"-"&amp;Benefits_Baseline!$A9,'Baseline scaling factors'!$A$34:$A$36,0),MATCH(Benefits_Baseline!M$1,'Baseline scaling factors'!$B$33:$K$33,0))*VLOOKUP(M12,'Loss Reduction Calculation'!$A$10:$D$41,4,0)</f>
        <v>15257.636881976019</v>
      </c>
      <c r="N18" s="17">
        <f>Line_Loss_Reduction_Per_Mile_3PH_OH*INDEX('Baseline scaling factors'!$B$34:$K$36,MATCH(Benefits_Baseline!$B9&amp;"-"&amp;Benefits_Baseline!$A9,'Baseline scaling factors'!$A$34:$A$36,0),MATCH(Benefits_Baseline!N$1,'Baseline scaling factors'!$B$33:$K$33,0))*VLOOKUP(N12,'Loss Reduction Calculation'!$A$10:$D$41,4,0)</f>
        <v>16933.852831355765</v>
      </c>
      <c r="O18" s="17">
        <f t="shared" ref="O18:AT18" si="78">IF(O$1&lt;=Lifetime_OH,N18*(1+Inflation),0)</f>
        <v>17306.397593645594</v>
      </c>
      <c r="P18" s="17">
        <f t="shared" si="78"/>
        <v>17687.138340705798</v>
      </c>
      <c r="Q18" s="17">
        <f t="shared" si="78"/>
        <v>18076.255384201326</v>
      </c>
      <c r="R18" s="17">
        <f t="shared" si="78"/>
        <v>18473.933002653754</v>
      </c>
      <c r="S18" s="17">
        <f t="shared" si="78"/>
        <v>18880.359528712135</v>
      </c>
      <c r="T18" s="17">
        <f t="shared" si="78"/>
        <v>19295.727438343802</v>
      </c>
      <c r="U18" s="17">
        <f t="shared" si="78"/>
        <v>19720.233441987366</v>
      </c>
      <c r="V18" s="17">
        <f t="shared" si="78"/>
        <v>20154.078577711087</v>
      </c>
      <c r="W18" s="17">
        <f t="shared" si="78"/>
        <v>20597.468306420731</v>
      </c>
      <c r="X18" s="17">
        <f t="shared" si="78"/>
        <v>21050.612609161988</v>
      </c>
      <c r="Y18" s="17">
        <f t="shared" si="78"/>
        <v>21513.726086563551</v>
      </c>
      <c r="Z18" s="17">
        <f t="shared" si="78"/>
        <v>21987.02806046795</v>
      </c>
      <c r="AA18" s="17">
        <f t="shared" si="78"/>
        <v>22470.742677798244</v>
      </c>
      <c r="AB18" s="17">
        <f t="shared" si="78"/>
        <v>22965.099016709806</v>
      </c>
      <c r="AC18" s="17">
        <f t="shared" si="78"/>
        <v>23470.331195077422</v>
      </c>
      <c r="AD18" s="17">
        <f t="shared" si="78"/>
        <v>23986.678481369127</v>
      </c>
      <c r="AE18" s="17">
        <f t="shared" si="78"/>
        <v>24514.385407959249</v>
      </c>
      <c r="AF18" s="17">
        <f t="shared" si="78"/>
        <v>25053.701886934352</v>
      </c>
      <c r="AG18" s="17">
        <f t="shared" si="78"/>
        <v>25604.883328446907</v>
      </c>
      <c r="AH18" s="17">
        <f t="shared" si="78"/>
        <v>26168.19076167274</v>
      </c>
      <c r="AI18" s="17">
        <f t="shared" si="78"/>
        <v>26743.89095842954</v>
      </c>
      <c r="AJ18" s="17">
        <f t="shared" si="78"/>
        <v>27332.25655951499</v>
      </c>
      <c r="AK18" s="17">
        <f t="shared" si="78"/>
        <v>27933.566203824321</v>
      </c>
      <c r="AL18" s="17">
        <f t="shared" si="78"/>
        <v>28548.104660308458</v>
      </c>
      <c r="AM18" s="17">
        <f t="shared" si="78"/>
        <v>29176.162962835246</v>
      </c>
      <c r="AN18" s="17">
        <f t="shared" si="78"/>
        <v>29818.038548017623</v>
      </c>
      <c r="AO18" s="17">
        <f t="shared" si="78"/>
        <v>30474.03539607401</v>
      </c>
      <c r="AP18" s="17">
        <f t="shared" si="78"/>
        <v>31144.464174787638</v>
      </c>
      <c r="AQ18" s="17">
        <f t="shared" si="78"/>
        <v>31829.642386632968</v>
      </c>
      <c r="AR18" s="17">
        <f t="shared" si="78"/>
        <v>32529.894519138892</v>
      </c>
      <c r="AS18" s="17">
        <f t="shared" si="78"/>
        <v>33245.552198559948</v>
      </c>
      <c r="AT18" s="17">
        <f t="shared" si="78"/>
        <v>33976.954346928265</v>
      </c>
      <c r="AU18" s="17">
        <f t="shared" ref="AU18:BO18" si="79">IF(AU$1&lt;=Lifetime_OH,AT18*(1+Inflation),0)</f>
        <v>34724.447342560685</v>
      </c>
      <c r="AV18" s="17">
        <f t="shared" si="79"/>
        <v>35488.385184097024</v>
      </c>
      <c r="AW18" s="17">
        <f t="shared" si="79"/>
        <v>36269.129658147162</v>
      </c>
      <c r="AX18" s="17">
        <f t="shared" si="79"/>
        <v>37067.050510626403</v>
      </c>
      <c r="AY18" s="17">
        <f t="shared" si="79"/>
        <v>37882.525621860186</v>
      </c>
      <c r="AZ18" s="17">
        <f t="shared" si="79"/>
        <v>0</v>
      </c>
      <c r="BA18" s="17">
        <f t="shared" si="79"/>
        <v>0</v>
      </c>
      <c r="BB18" s="17">
        <f t="shared" si="79"/>
        <v>0</v>
      </c>
      <c r="BC18" s="17">
        <f t="shared" si="79"/>
        <v>0</v>
      </c>
      <c r="BD18" s="17">
        <f t="shared" si="79"/>
        <v>0</v>
      </c>
      <c r="BE18" s="17">
        <f t="shared" si="79"/>
        <v>0</v>
      </c>
      <c r="BF18" s="17">
        <f t="shared" si="79"/>
        <v>0</v>
      </c>
      <c r="BG18" s="17">
        <f t="shared" si="79"/>
        <v>0</v>
      </c>
      <c r="BH18" s="17">
        <f t="shared" si="79"/>
        <v>0</v>
      </c>
      <c r="BI18" s="17">
        <f t="shared" si="79"/>
        <v>0</v>
      </c>
      <c r="BJ18" s="17">
        <f t="shared" si="79"/>
        <v>0</v>
      </c>
      <c r="BK18" s="17">
        <f t="shared" si="79"/>
        <v>0</v>
      </c>
      <c r="BL18" s="17">
        <f t="shared" si="79"/>
        <v>0</v>
      </c>
      <c r="BM18" s="17">
        <f t="shared" si="79"/>
        <v>0</v>
      </c>
      <c r="BN18" s="17">
        <f t="shared" si="79"/>
        <v>0</v>
      </c>
      <c r="BO18" s="17">
        <f t="shared" si="79"/>
        <v>0</v>
      </c>
    </row>
    <row r="19" spans="1:67" ht="19.5" thickTop="1" x14ac:dyDescent="0.4">
      <c r="C19" s="14" t="s">
        <v>176</v>
      </c>
      <c r="D19" s="15"/>
      <c r="E19" s="15">
        <f>SUM(E14:E18)</f>
        <v>14126506.959313069</v>
      </c>
      <c r="F19" s="15">
        <f t="shared" ref="F19:BO19" si="80">SUM(F14:F18)</f>
        <v>13389014.039883861</v>
      </c>
      <c r="G19" s="15">
        <f t="shared" si="80"/>
        <v>12659244.186250798</v>
      </c>
      <c r="H19" s="15">
        <f t="shared" si="80"/>
        <v>11937091.15647101</v>
      </c>
      <c r="I19" s="15">
        <f t="shared" si="80"/>
        <v>11450711.774342481</v>
      </c>
      <c r="J19" s="15">
        <f t="shared" si="80"/>
        <v>11069218.45242117</v>
      </c>
      <c r="K19" s="15">
        <f t="shared" si="80"/>
        <v>10693904.114216028</v>
      </c>
      <c r="L19" s="15">
        <f t="shared" si="80"/>
        <v>10324579.005340574</v>
      </c>
      <c r="M19" s="15">
        <f t="shared" si="80"/>
        <v>9961046.776771117</v>
      </c>
      <c r="N19" s="15">
        <f t="shared" si="80"/>
        <v>9603114.313429296</v>
      </c>
      <c r="O19" s="15">
        <f t="shared" si="80"/>
        <v>9814382.8283247389</v>
      </c>
      <c r="P19" s="15">
        <f t="shared" si="80"/>
        <v>10030299.250547884</v>
      </c>
      <c r="Q19" s="15">
        <f t="shared" si="80"/>
        <v>10250965.834059937</v>
      </c>
      <c r="R19" s="15">
        <f t="shared" si="80"/>
        <v>10476487.082409257</v>
      </c>
      <c r="S19" s="15">
        <f t="shared" si="80"/>
        <v>10706969.798222261</v>
      </c>
      <c r="T19" s="15">
        <f t="shared" si="80"/>
        <v>10942523.13378315</v>
      </c>
      <c r="U19" s="15">
        <f t="shared" si="80"/>
        <v>11183258.64272638</v>
      </c>
      <c r="V19" s="15">
        <f t="shared" si="80"/>
        <v>11429290.332866358</v>
      </c>
      <c r="W19" s="15">
        <f t="shared" si="80"/>
        <v>11680734.720189421</v>
      </c>
      <c r="X19" s="15">
        <f t="shared" si="80"/>
        <v>11937710.884033589</v>
      </c>
      <c r="Y19" s="15">
        <f t="shared" si="80"/>
        <v>12200340.52348233</v>
      </c>
      <c r="Z19" s="15">
        <f t="shared" si="80"/>
        <v>12468748.014998941</v>
      </c>
      <c r="AA19" s="15">
        <f t="shared" si="80"/>
        <v>12743060.471328916</v>
      </c>
      <c r="AB19" s="15">
        <f t="shared" si="80"/>
        <v>13023407.801698154</v>
      </c>
      <c r="AC19" s="15">
        <f t="shared" si="80"/>
        <v>13309922.773335515</v>
      </c>
      <c r="AD19" s="15">
        <f t="shared" si="80"/>
        <v>13602741.074348895</v>
      </c>
      <c r="AE19" s="15">
        <f t="shared" si="80"/>
        <v>13902001.377984572</v>
      </c>
      <c r="AF19" s="15">
        <f t="shared" si="80"/>
        <v>14207845.408300232</v>
      </c>
      <c r="AG19" s="15">
        <f t="shared" si="80"/>
        <v>14520418.007282838</v>
      </c>
      <c r="AH19" s="15">
        <f t="shared" si="80"/>
        <v>14839867.20344306</v>
      </c>
      <c r="AI19" s="15">
        <f t="shared" si="80"/>
        <v>15166344.281918809</v>
      </c>
      <c r="AJ19" s="15">
        <f t="shared" si="80"/>
        <v>15500003.85612102</v>
      </c>
      <c r="AK19" s="15">
        <f t="shared" si="80"/>
        <v>15841003.940955687</v>
      </c>
      <c r="AL19" s="15">
        <f t="shared" si="80"/>
        <v>16189506.02765671</v>
      </c>
      <c r="AM19" s="15">
        <f t="shared" si="80"/>
        <v>16545675.160265161</v>
      </c>
      <c r="AN19" s="15">
        <f t="shared" si="80"/>
        <v>16909680.013790995</v>
      </c>
      <c r="AO19" s="15">
        <f t="shared" si="80"/>
        <v>17281692.974094395</v>
      </c>
      <c r="AP19" s="15">
        <f t="shared" si="80"/>
        <v>17661890.219524477</v>
      </c>
      <c r="AQ19" s="15">
        <f t="shared" si="80"/>
        <v>18050451.804354016</v>
      </c>
      <c r="AR19" s="15">
        <f t="shared" si="80"/>
        <v>18447561.744049802</v>
      </c>
      <c r="AS19" s="15">
        <f t="shared" si="80"/>
        <v>18853408.1024189</v>
      </c>
      <c r="AT19" s="15">
        <f t="shared" si="80"/>
        <v>19268183.080672115</v>
      </c>
      <c r="AU19" s="15">
        <f t="shared" si="80"/>
        <v>19692083.1084469</v>
      </c>
      <c r="AV19" s="15">
        <f t="shared" si="80"/>
        <v>20125308.936832737</v>
      </c>
      <c r="AW19" s="15">
        <f t="shared" si="80"/>
        <v>20568065.733443059</v>
      </c>
      <c r="AX19" s="15">
        <f t="shared" si="80"/>
        <v>21020563.179578803</v>
      </c>
      <c r="AY19" s="15">
        <f t="shared" si="80"/>
        <v>21483015.569529537</v>
      </c>
      <c r="AZ19" s="15">
        <f t="shared" si="80"/>
        <v>0</v>
      </c>
      <c r="BA19" s="15">
        <f t="shared" si="80"/>
        <v>0</v>
      </c>
      <c r="BB19" s="15">
        <f t="shared" si="80"/>
        <v>0</v>
      </c>
      <c r="BC19" s="15">
        <f t="shared" si="80"/>
        <v>0</v>
      </c>
      <c r="BD19" s="15">
        <f t="shared" si="80"/>
        <v>0</v>
      </c>
      <c r="BE19" s="15">
        <f t="shared" si="80"/>
        <v>0</v>
      </c>
      <c r="BF19" s="15">
        <f t="shared" si="80"/>
        <v>0</v>
      </c>
      <c r="BG19" s="15">
        <f t="shared" si="80"/>
        <v>0</v>
      </c>
      <c r="BH19" s="15">
        <f t="shared" si="80"/>
        <v>0</v>
      </c>
      <c r="BI19" s="15">
        <f t="shared" si="80"/>
        <v>0</v>
      </c>
      <c r="BJ19" s="15">
        <f t="shared" si="80"/>
        <v>0</v>
      </c>
      <c r="BK19" s="15">
        <f t="shared" si="80"/>
        <v>0</v>
      </c>
      <c r="BL19" s="15">
        <f t="shared" si="80"/>
        <v>0</v>
      </c>
      <c r="BM19" s="15">
        <f t="shared" si="80"/>
        <v>0</v>
      </c>
      <c r="BN19" s="15">
        <f t="shared" si="80"/>
        <v>0</v>
      </c>
      <c r="BO19" s="15">
        <f t="shared" si="80"/>
        <v>0</v>
      </c>
    </row>
    <row r="21" spans="1:67" x14ac:dyDescent="0.4">
      <c r="B21" s="11" t="s">
        <v>433</v>
      </c>
    </row>
    <row r="22" spans="1:67" x14ac:dyDescent="0.4">
      <c r="A22" t="s">
        <v>70</v>
      </c>
      <c r="B22" t="s">
        <v>149</v>
      </c>
      <c r="C22" s="5" t="s">
        <v>172</v>
      </c>
      <c r="D22" s="5">
        <v>2027</v>
      </c>
      <c r="E22" s="5">
        <v>2028</v>
      </c>
      <c r="F22" s="5">
        <v>2029</v>
      </c>
      <c r="G22" s="5">
        <v>2030</v>
      </c>
      <c r="H22" s="5">
        <v>2031</v>
      </c>
      <c r="I22" s="5">
        <v>2032</v>
      </c>
      <c r="J22" s="5">
        <v>2033</v>
      </c>
      <c r="K22" s="5">
        <v>2034</v>
      </c>
      <c r="L22" s="5">
        <v>2035</v>
      </c>
      <c r="M22" s="5">
        <v>2036</v>
      </c>
      <c r="N22" s="5">
        <v>2037</v>
      </c>
      <c r="O22" s="5">
        <v>2038</v>
      </c>
      <c r="P22" s="5">
        <v>2039</v>
      </c>
      <c r="Q22" s="5">
        <v>2040</v>
      </c>
      <c r="R22" s="5">
        <v>2041</v>
      </c>
      <c r="S22" s="5">
        <v>2042</v>
      </c>
      <c r="T22" s="5">
        <v>2043</v>
      </c>
      <c r="U22" s="5">
        <v>2044</v>
      </c>
      <c r="V22" s="5">
        <v>2045</v>
      </c>
      <c r="W22" s="5">
        <v>2046</v>
      </c>
      <c r="X22" s="5">
        <v>2047</v>
      </c>
      <c r="Y22" s="5">
        <v>2048</v>
      </c>
      <c r="Z22" s="5">
        <v>2049</v>
      </c>
      <c r="AA22" s="5">
        <v>2050</v>
      </c>
      <c r="AB22" s="5">
        <v>2051</v>
      </c>
      <c r="AC22" s="5">
        <v>2052</v>
      </c>
      <c r="AD22" s="5">
        <v>2053</v>
      </c>
      <c r="AE22" s="5">
        <v>2054</v>
      </c>
      <c r="AF22" s="5">
        <v>2055</v>
      </c>
      <c r="AG22" s="5">
        <v>2056</v>
      </c>
      <c r="AH22" s="5">
        <v>2057</v>
      </c>
      <c r="AI22" s="5">
        <v>2058</v>
      </c>
      <c r="AJ22" s="5">
        <v>2059</v>
      </c>
      <c r="AK22" s="5">
        <v>2060</v>
      </c>
      <c r="AL22" s="5">
        <v>2061</v>
      </c>
      <c r="AM22" s="5">
        <v>2062</v>
      </c>
      <c r="AN22" s="5">
        <v>2063</v>
      </c>
      <c r="AO22" s="5">
        <v>2064</v>
      </c>
      <c r="AP22" s="5">
        <v>2065</v>
      </c>
      <c r="AQ22" s="5">
        <v>2066</v>
      </c>
      <c r="AR22" s="5">
        <v>2067</v>
      </c>
      <c r="AS22" s="5">
        <v>2068</v>
      </c>
      <c r="AT22" s="5">
        <v>2069</v>
      </c>
      <c r="AU22" s="5">
        <v>2070</v>
      </c>
      <c r="AV22" s="5">
        <v>2071</v>
      </c>
      <c r="AW22" s="5">
        <v>2072</v>
      </c>
      <c r="AX22" s="5">
        <v>2073</v>
      </c>
      <c r="AY22" s="5">
        <v>2074</v>
      </c>
      <c r="AZ22" s="5">
        <v>2075</v>
      </c>
      <c r="BA22" s="5">
        <v>2076</v>
      </c>
      <c r="BB22" s="5">
        <v>2077</v>
      </c>
      <c r="BC22" s="5">
        <v>2078</v>
      </c>
      <c r="BD22" s="5">
        <v>2079</v>
      </c>
      <c r="BE22" s="5">
        <v>2080</v>
      </c>
      <c r="BF22" s="5">
        <v>2081</v>
      </c>
      <c r="BG22" s="5">
        <v>2082</v>
      </c>
      <c r="BH22" s="5">
        <v>2083</v>
      </c>
      <c r="BI22" s="5">
        <v>2084</v>
      </c>
      <c r="BJ22" s="5">
        <v>2085</v>
      </c>
      <c r="BK22" s="5">
        <v>2086</v>
      </c>
      <c r="BL22" s="5">
        <v>2087</v>
      </c>
      <c r="BM22" s="5">
        <v>2088</v>
      </c>
      <c r="BN22" s="5">
        <v>2089</v>
      </c>
      <c r="BO22" s="5">
        <v>2090</v>
      </c>
    </row>
    <row r="23" spans="1:67" x14ac:dyDescent="0.4"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</row>
    <row r="24" spans="1:67" x14ac:dyDescent="0.4">
      <c r="A24" t="s">
        <v>37</v>
      </c>
      <c r="B24" t="s">
        <v>16</v>
      </c>
      <c r="C24" t="s">
        <v>173</v>
      </c>
      <c r="D24" s="8"/>
      <c r="E24" s="8">
        <f>IF(E$1&gt;Lifetime_UG,0,SUMIFS('Baseline Projects'!AK:AK,'Baseline Projects'!$H:$H,Benefits_Baseline!$B24,'Baseline Projects'!$G:$G,Benefits_Baseline!$A24)*(1+Inflation)^(E$1-$D$1))</f>
        <v>86232.018901944466</v>
      </c>
      <c r="F24" s="8">
        <f>IF(F$1&gt;Lifetime_OH,0,SUMIFS('Baseline Projects'!AL:AL,'Baseline Projects'!$H:$H,Benefits_Baseline!$B24,'Baseline Projects'!$G:$G,Benefits_Baseline!$A24)*(1+Inflation)^(F$1-$D$1))</f>
        <v>80634.663660058999</v>
      </c>
      <c r="G24" s="8">
        <f>IF(G$1&gt;Lifetime_OH,0,SUMIFS('Baseline Projects'!AM:AM,'Baseline Projects'!$H:$H,Benefits_Baseline!$B24,'Baseline Projects'!$G:$G,Benefits_Baseline!$A24)*(1+Inflation)^(G$1-$D$1))</f>
        <v>75086.776001427192</v>
      </c>
      <c r="H24" s="8">
        <f>IF(H$1&gt;Lifetime_OH,0,SUMIFS('Baseline Projects'!AN:AN,'Baseline Projects'!$H:$H,Benefits_Baseline!$B24,'Baseline Projects'!$G:$G,Benefits_Baseline!$A24)*(1+Inflation)^(H$1-$D$1))</f>
        <v>69585.468742221332</v>
      </c>
      <c r="I24" s="8">
        <f>IF(I$1&gt;Lifetime_OH,0,SUMIFS('Baseline Projects'!AO:AO,'Baseline Projects'!$H:$H,Benefits_Baseline!$B24,'Baseline Projects'!$G:$G,Benefits_Baseline!$A24)*(1+Inflation)^(I$1-$D$1))</f>
        <v>64127.882742020345</v>
      </c>
      <c r="J24" s="8">
        <f>IF(J$1&gt;Lifetime_OH,0,SUMIFS('Baseline Projects'!AP:AP,'Baseline Projects'!$H:$H,Benefits_Baseline!$B24,'Baseline Projects'!$G:$G,Benefits_Baseline!$A24)*(1+Inflation)^(J$1-$D$1))</f>
        <v>58711.185411958002</v>
      </c>
      <c r="K24" s="8">
        <f>IF(K$1&gt;Lifetime_OH,0,SUMIFS('Baseline Projects'!AQ:AQ,'Baseline Projects'!$H:$H,Benefits_Baseline!$B24,'Baseline Projects'!$G:$G,Benefits_Baseline!$A24)*(1+Inflation)^(K$1-$D$1))</f>
        <v>53332.569238619661</v>
      </c>
      <c r="L24" s="8">
        <f>IF(L$1&gt;Lifetime_OH,0,SUMIFS('Baseline Projects'!AR:AR,'Baseline Projects'!$H:$H,Benefits_Baseline!$B24,'Baseline Projects'!$G:$G,Benefits_Baseline!$A24)*(1+Inflation)^(L$1-$D$1))</f>
        <v>47989.250322915061</v>
      </c>
      <c r="M24" s="8">
        <f>IF(M$1&gt;Lifetime_OH,0,SUMIFS('Baseline Projects'!AS:AS,'Baseline Projects'!$H:$H,Benefits_Baseline!$B24,'Baseline Projects'!$G:$G,Benefits_Baseline!$A24)*(1+Inflation)^(M$1-$D$1))</f>
        <v>42678.466933164345</v>
      </c>
      <c r="N24" s="8">
        <f>IF(N$1&gt;Lifetime_OH,0,SUMIFS('Baseline Projects'!AT:AT,'Baseline Projects'!$H:$H,Benefits_Baseline!$B24,'Baseline Projects'!$G:$G,Benefits_Baseline!$A24)*(1+Inflation)^(N$1-$D$1))</f>
        <v>37397.478071641832</v>
      </c>
      <c r="O24" s="8">
        <f t="shared" ref="O24:AT24" si="81">IF(O$1&gt;Lifetime_UG,0,N24*(1+Inflation))</f>
        <v>38220.222589217956</v>
      </c>
      <c r="P24" s="8">
        <f t="shared" si="81"/>
        <v>39061.067486180749</v>
      </c>
      <c r="Q24" s="8">
        <f t="shared" si="81"/>
        <v>39920.410970876728</v>
      </c>
      <c r="R24" s="8">
        <f t="shared" si="81"/>
        <v>40798.660012236018</v>
      </c>
      <c r="S24" s="8">
        <f t="shared" si="81"/>
        <v>41696.230532505208</v>
      </c>
      <c r="T24" s="8">
        <f t="shared" si="81"/>
        <v>42613.547604220323</v>
      </c>
      <c r="U24" s="8">
        <f t="shared" si="81"/>
        <v>43551.045651513174</v>
      </c>
      <c r="V24" s="8">
        <f t="shared" si="81"/>
        <v>44509.168655846464</v>
      </c>
      <c r="W24" s="8">
        <f t="shared" si="81"/>
        <v>45488.370366275085</v>
      </c>
      <c r="X24" s="8">
        <f t="shared" si="81"/>
        <v>46489.114514333138</v>
      </c>
      <c r="Y24" s="8">
        <f t="shared" si="81"/>
        <v>47511.875033648466</v>
      </c>
      <c r="Z24" s="8">
        <f t="shared" si="81"/>
        <v>48557.136284388733</v>
      </c>
      <c r="AA24" s="8">
        <f t="shared" si="81"/>
        <v>49625.393282645287</v>
      </c>
      <c r="AB24" s="8">
        <f t="shared" si="81"/>
        <v>50717.151934863483</v>
      </c>
      <c r="AC24" s="8">
        <f t="shared" si="81"/>
        <v>51832.929277430478</v>
      </c>
      <c r="AD24" s="8">
        <f t="shared" si="81"/>
        <v>52973.253721533947</v>
      </c>
      <c r="AE24" s="8">
        <f t="shared" si="81"/>
        <v>54138.665303407695</v>
      </c>
      <c r="AF24" s="8">
        <f t="shared" si="81"/>
        <v>55329.715940082664</v>
      </c>
      <c r="AG24" s="8">
        <f t="shared" si="81"/>
        <v>56546.969690764483</v>
      </c>
      <c r="AH24" s="8">
        <f t="shared" si="81"/>
        <v>57791.003023961304</v>
      </c>
      <c r="AI24" s="8">
        <f t="shared" si="81"/>
        <v>59062.405090488457</v>
      </c>
      <c r="AJ24" s="8">
        <f t="shared" si="81"/>
        <v>60361.778002479201</v>
      </c>
      <c r="AK24" s="8">
        <f t="shared" si="81"/>
        <v>61689.737118533747</v>
      </c>
      <c r="AL24" s="8">
        <f t="shared" si="81"/>
        <v>63046.911335141493</v>
      </c>
      <c r="AM24" s="8">
        <f t="shared" si="81"/>
        <v>64433.943384514605</v>
      </c>
      <c r="AN24" s="8">
        <f t="shared" si="81"/>
        <v>65851.490138973924</v>
      </c>
      <c r="AO24" s="8">
        <f t="shared" si="81"/>
        <v>67300.222922031346</v>
      </c>
      <c r="AP24" s="8">
        <f t="shared" si="81"/>
        <v>68780.827826316032</v>
      </c>
      <c r="AQ24" s="8">
        <f t="shared" si="81"/>
        <v>70294.00603849499</v>
      </c>
      <c r="AR24" s="8">
        <f t="shared" si="81"/>
        <v>71840.474171341877</v>
      </c>
      <c r="AS24" s="8">
        <f t="shared" si="81"/>
        <v>73420.964603111395</v>
      </c>
      <c r="AT24" s="8">
        <f t="shared" si="81"/>
        <v>75036.225824379842</v>
      </c>
      <c r="AU24" s="8">
        <f t="shared" ref="AU24:BO24" si="82">IF(AU$1&gt;Lifetime_UG,0,AT24*(1+Inflation))</f>
        <v>76687.022792516203</v>
      </c>
      <c r="AV24" s="8">
        <f t="shared" si="82"/>
        <v>78374.137293951557</v>
      </c>
      <c r="AW24" s="8">
        <f t="shared" si="82"/>
        <v>80098.368314418491</v>
      </c>
      <c r="AX24" s="8">
        <f t="shared" si="82"/>
        <v>81860.532417335693</v>
      </c>
      <c r="AY24" s="8">
        <f t="shared" si="82"/>
        <v>83661.464130517081</v>
      </c>
      <c r="AZ24" s="8">
        <f t="shared" si="82"/>
        <v>85502.016341388458</v>
      </c>
      <c r="BA24" s="8">
        <f t="shared" si="82"/>
        <v>87383.060700899005</v>
      </c>
      <c r="BB24" s="8">
        <f t="shared" si="82"/>
        <v>89305.488036318784</v>
      </c>
      <c r="BC24" s="8">
        <f t="shared" si="82"/>
        <v>91270.208773117804</v>
      </c>
      <c r="BD24" s="8">
        <f t="shared" si="82"/>
        <v>93278.153366126397</v>
      </c>
      <c r="BE24" s="8">
        <f t="shared" si="82"/>
        <v>95330.272740181186</v>
      </c>
      <c r="BF24" s="8">
        <f t="shared" si="82"/>
        <v>97427.53874046517</v>
      </c>
      <c r="BG24" s="8">
        <f t="shared" si="82"/>
        <v>99570.944592755404</v>
      </c>
      <c r="BH24" s="8">
        <f t="shared" si="82"/>
        <v>101761.50537379603</v>
      </c>
      <c r="BI24" s="8">
        <f t="shared" si="82"/>
        <v>0</v>
      </c>
      <c r="BJ24" s="8">
        <f t="shared" si="82"/>
        <v>0</v>
      </c>
      <c r="BK24" s="8">
        <f t="shared" si="82"/>
        <v>0</v>
      </c>
      <c r="BL24" s="8">
        <f t="shared" si="82"/>
        <v>0</v>
      </c>
      <c r="BM24" s="8">
        <f t="shared" si="82"/>
        <v>0</v>
      </c>
      <c r="BN24" s="8">
        <f t="shared" si="82"/>
        <v>0</v>
      </c>
      <c r="BO24" s="8">
        <f t="shared" si="82"/>
        <v>0</v>
      </c>
    </row>
    <row r="25" spans="1:67" x14ac:dyDescent="0.4">
      <c r="A25" t="s">
        <v>37</v>
      </c>
      <c r="B25" t="s">
        <v>16</v>
      </c>
      <c r="C25" t="s">
        <v>174</v>
      </c>
      <c r="D25" s="8"/>
      <c r="E25" s="8">
        <f>IF(E$1&gt;Lifetime_UG,0,SUMIFS('Baseline Projects'!AU:AU,'Baseline Projects'!$H:$H,Benefits_Baseline!$B25,'Baseline Projects'!$G:$G,Benefits_Baseline!$A25)*(1+Inflation)^(E$1-$D$1))</f>
        <v>2349212.421445203</v>
      </c>
      <c r="F25" s="8">
        <f>IF(F$1&gt;Lifetime_UG,0,SUMIFS('Baseline Projects'!AV:AV,'Baseline Projects'!$H:$H,Benefits_Baseline!$B25,'Baseline Projects'!$G:$G,Benefits_Baseline!$A25)*(1+Inflation)^(F$1-$D$1))</f>
        <v>2196724.0925284107</v>
      </c>
      <c r="G25" s="8">
        <f>IF(G$1&gt;Lifetime_UG,0,SUMIFS('Baseline Projects'!AW:AW,'Baseline Projects'!$H:$H,Benefits_Baseline!$B25,'Baseline Projects'!$G:$G,Benefits_Baseline!$A25)*(1+Inflation)^(G$1-$D$1))</f>
        <v>2045583.405270925</v>
      </c>
      <c r="H25" s="8">
        <f>IF(H$1&gt;Lifetime_UG,0,SUMIFS('Baseline Projects'!AX:AX,'Baseline Projects'!$H:$H,Benefits_Baseline!$B25,'Baseline Projects'!$G:$G,Benefits_Baseline!$A25)*(1+Inflation)^(H$1-$D$1))</f>
        <v>1895711.7043403368</v>
      </c>
      <c r="I25" s="8">
        <f>IF(I$1&gt;Lifetime_UG,0,SUMIFS('Baseline Projects'!AY:AY,'Baseline Projects'!$H:$H,Benefits_Baseline!$B25,'Baseline Projects'!$G:$G,Benefits_Baseline!$A25)*(1+Inflation)^(I$1-$D$1))</f>
        <v>1747031.0983886593</v>
      </c>
      <c r="J25" s="8">
        <f>IF(J$1&gt;Lifetime_UG,0,SUMIFS('Baseline Projects'!AZ:AZ,'Baseline Projects'!$H:$H,Benefits_Baseline!$B25,'Baseline Projects'!$G:$G,Benefits_Baseline!$A25)*(1+Inflation)^(J$1-$D$1))</f>
        <v>1599464.4194099235</v>
      </c>
      <c r="K25" s="8">
        <f>IF(K$1&gt;Lifetime_UG,0,SUMIFS('Baseline Projects'!BA:BA,'Baseline Projects'!$H:$H,Benefits_Baseline!$B25,'Baseline Projects'!$G:$G,Benefits_Baseline!$A25)*(1+Inflation)^(K$1-$D$1))</f>
        <v>1452935.1825268054</v>
      </c>
      <c r="L25" s="8">
        <f>IF(L$1&gt;Lifetime_UG,0,SUMIFS('Baseline Projects'!BB:BB,'Baseline Projects'!$H:$H,Benefits_Baseline!$B25,'Baseline Projects'!$G:$G,Benefits_Baseline!$A25)*(1+Inflation)^(L$1-$D$1))</f>
        <v>1307367.5461852504</v>
      </c>
      <c r="M25" s="8">
        <f>IF(M$1&gt;Lifetime_UG,0,SUMIFS('Baseline Projects'!BC:BC,'Baseline Projects'!$H:$H,Benefits_Baseline!$B25,'Baseline Projects'!$G:$G,Benefits_Baseline!$A25)*(1+Inflation)^(M$1-$D$1))</f>
        <v>1162686.2727363007</v>
      </c>
      <c r="N25" s="8">
        <f>IF(N$1&gt;Lifetime_UG,0,SUMIFS('Baseline Projects'!BD:BD,'Baseline Projects'!$H:$H,Benefits_Baseline!$B25,'Baseline Projects'!$G:$G,Benefits_Baseline!$A25)*(1+Inflation)^(N$1-$D$1))</f>
        <v>1018816.6893845573</v>
      </c>
      <c r="O25" s="8">
        <f t="shared" ref="O25:AT25" si="83">IF(O$1&gt;Lifetime_UG,0,N25*(1+Inflation))</f>
        <v>1041230.6565510175</v>
      </c>
      <c r="P25" s="8">
        <f t="shared" si="83"/>
        <v>1064137.73099514</v>
      </c>
      <c r="Q25" s="8">
        <f t="shared" si="83"/>
        <v>1087548.7610770331</v>
      </c>
      <c r="R25" s="8">
        <f t="shared" si="83"/>
        <v>1111474.8338207279</v>
      </c>
      <c r="S25" s="8">
        <f t="shared" si="83"/>
        <v>1135927.2801647838</v>
      </c>
      <c r="T25" s="8">
        <f t="shared" si="83"/>
        <v>1160917.6803284092</v>
      </c>
      <c r="U25" s="8">
        <f t="shared" si="83"/>
        <v>1186457.8692956341</v>
      </c>
      <c r="V25" s="8">
        <f t="shared" si="83"/>
        <v>1212559.942420138</v>
      </c>
      <c r="W25" s="8">
        <f t="shared" si="83"/>
        <v>1239236.2611533811</v>
      </c>
      <c r="X25" s="8">
        <f t="shared" si="83"/>
        <v>1266499.4588987555</v>
      </c>
      <c r="Y25" s="8">
        <f t="shared" si="83"/>
        <v>1294362.4469945282</v>
      </c>
      <c r="Z25" s="8">
        <f t="shared" si="83"/>
        <v>1322838.4208284079</v>
      </c>
      <c r="AA25" s="8">
        <f t="shared" si="83"/>
        <v>1351940.8660866329</v>
      </c>
      <c r="AB25" s="8">
        <f t="shared" si="83"/>
        <v>1381683.5651405388</v>
      </c>
      <c r="AC25" s="8">
        <f t="shared" si="83"/>
        <v>1412080.6035736308</v>
      </c>
      <c r="AD25" s="8">
        <f t="shared" si="83"/>
        <v>1443146.3768522507</v>
      </c>
      <c r="AE25" s="8">
        <f t="shared" si="83"/>
        <v>1474895.5971430002</v>
      </c>
      <c r="AF25" s="8">
        <f t="shared" si="83"/>
        <v>1507343.3002801463</v>
      </c>
      <c r="AG25" s="8">
        <f t="shared" si="83"/>
        <v>1540504.8528863096</v>
      </c>
      <c r="AH25" s="8">
        <f t="shared" si="83"/>
        <v>1574395.9596498085</v>
      </c>
      <c r="AI25" s="8">
        <f t="shared" si="83"/>
        <v>1609032.6707621042</v>
      </c>
      <c r="AJ25" s="8">
        <f t="shared" si="83"/>
        <v>1644431.3895188705</v>
      </c>
      <c r="AK25" s="8">
        <f t="shared" si="83"/>
        <v>1680608.8800882858</v>
      </c>
      <c r="AL25" s="8">
        <f t="shared" si="83"/>
        <v>1717582.275450228</v>
      </c>
      <c r="AM25" s="8">
        <f t="shared" si="83"/>
        <v>1755369.0855101331</v>
      </c>
      <c r="AN25" s="8">
        <f t="shared" si="83"/>
        <v>1793987.205391356</v>
      </c>
      <c r="AO25" s="8">
        <f t="shared" si="83"/>
        <v>1833454.9239099659</v>
      </c>
      <c r="AP25" s="8">
        <f t="shared" si="83"/>
        <v>1873790.9322359853</v>
      </c>
      <c r="AQ25" s="8">
        <f t="shared" si="83"/>
        <v>1915014.332745177</v>
      </c>
      <c r="AR25" s="8">
        <f t="shared" si="83"/>
        <v>1957144.648065571</v>
      </c>
      <c r="AS25" s="8">
        <f t="shared" si="83"/>
        <v>2000201.8303230135</v>
      </c>
      <c r="AT25" s="8">
        <f t="shared" si="83"/>
        <v>2044206.2705901198</v>
      </c>
      <c r="AU25" s="8">
        <f t="shared" ref="AU25:BO25" si="84">IF(AU$1&gt;Lifetime_UG,0,AT25*(1+Inflation))</f>
        <v>2089178.8085431024</v>
      </c>
      <c r="AV25" s="8">
        <f t="shared" si="84"/>
        <v>2135140.7423310508</v>
      </c>
      <c r="AW25" s="8">
        <f t="shared" si="84"/>
        <v>2182113.8386623338</v>
      </c>
      <c r="AX25" s="8">
        <f t="shared" si="84"/>
        <v>2230120.343112905</v>
      </c>
      <c r="AY25" s="8">
        <f t="shared" si="84"/>
        <v>2279182.9906613892</v>
      </c>
      <c r="AZ25" s="8">
        <f t="shared" si="84"/>
        <v>2329325.01645594</v>
      </c>
      <c r="BA25" s="8">
        <f t="shared" si="84"/>
        <v>2380570.1668179706</v>
      </c>
      <c r="BB25" s="8">
        <f t="shared" si="84"/>
        <v>2432942.710487966</v>
      </c>
      <c r="BC25" s="8">
        <f t="shared" si="84"/>
        <v>2486467.4501187014</v>
      </c>
      <c r="BD25" s="8">
        <f t="shared" si="84"/>
        <v>2541169.734021313</v>
      </c>
      <c r="BE25" s="8">
        <f t="shared" si="84"/>
        <v>2597075.4681697818</v>
      </c>
      <c r="BF25" s="8">
        <f t="shared" si="84"/>
        <v>2654211.128469517</v>
      </c>
      <c r="BG25" s="8">
        <f t="shared" si="84"/>
        <v>2712603.7732958463</v>
      </c>
      <c r="BH25" s="8">
        <f t="shared" si="84"/>
        <v>2772281.0563083552</v>
      </c>
      <c r="BI25" s="8">
        <f t="shared" si="84"/>
        <v>0</v>
      </c>
      <c r="BJ25" s="8">
        <f t="shared" si="84"/>
        <v>0</v>
      </c>
      <c r="BK25" s="8">
        <f t="shared" si="84"/>
        <v>0</v>
      </c>
      <c r="BL25" s="8">
        <f t="shared" si="84"/>
        <v>0</v>
      </c>
      <c r="BM25" s="8">
        <f t="shared" si="84"/>
        <v>0</v>
      </c>
      <c r="BN25" s="8">
        <f t="shared" si="84"/>
        <v>0</v>
      </c>
      <c r="BO25" s="8">
        <f t="shared" si="84"/>
        <v>0</v>
      </c>
    </row>
    <row r="26" spans="1:67" x14ac:dyDescent="0.4">
      <c r="A26" t="s">
        <v>37</v>
      </c>
      <c r="B26" t="s">
        <v>16</v>
      </c>
      <c r="C26" t="s">
        <v>320</v>
      </c>
      <c r="D26" s="8"/>
      <c r="E26" s="8">
        <f>IF(E$1&gt;Lifetime_UG,0,SUMIFS('Baseline Projects'!CJ:CJ,'Baseline Projects'!$H:$H,Benefits_Baseline!$B26,'Baseline Projects'!$G:$G,Benefits_Baseline!$A26)*(1+Inflation)^(E$1-$D$1))</f>
        <v>0</v>
      </c>
      <c r="F26" s="8">
        <f>IF(F$1&gt;Lifetime_UG,0,SUMIFS('Baseline Projects'!CK:CK,'Baseline Projects'!$H:$H,Benefits_Baseline!$B26,'Baseline Projects'!$G:$G,Benefits_Baseline!$A26)*(1+Inflation)^(F$1-$D$1))</f>
        <v>0</v>
      </c>
      <c r="G26" s="8">
        <f>IF(G$1&gt;Lifetime_UG,0,SUMIFS('Baseline Projects'!CL:CL,'Baseline Projects'!$H:$H,Benefits_Baseline!$B26,'Baseline Projects'!$G:$G,Benefits_Baseline!$A26)*(1+Inflation)^(G$1-$D$1))</f>
        <v>0</v>
      </c>
      <c r="H26" s="8">
        <f>IF(H$1&gt;Lifetime_UG,0,SUMIFS('Baseline Projects'!CM:CM,'Baseline Projects'!$H:$H,Benefits_Baseline!$B26,'Baseline Projects'!$G:$G,Benefits_Baseline!$A26)*(1+Inflation)^(H$1-$D$1))</f>
        <v>0</v>
      </c>
      <c r="I26" s="8">
        <f>IF(I$1&gt;Lifetime_UG,0,SUMIFS('Baseline Projects'!CN:CN,'Baseline Projects'!$H:$H,Benefits_Baseline!$B26,'Baseline Projects'!$G:$G,Benefits_Baseline!$A26)*(1+Inflation)^(I$1-$D$1))</f>
        <v>0</v>
      </c>
      <c r="J26" s="8">
        <f>IF(J$1&gt;Lifetime_UG,0,SUMIFS('Baseline Projects'!CO:CO,'Baseline Projects'!$H:$H,Benefits_Baseline!$B26,'Baseline Projects'!$G:$G,Benefits_Baseline!$A26)*(1+Inflation)^(J$1-$D$1))</f>
        <v>0</v>
      </c>
      <c r="K26" s="8">
        <f>IF(K$1&gt;Lifetime_UG,0,SUMIFS('Baseline Projects'!CP:CP,'Baseline Projects'!$H:$H,Benefits_Baseline!$B26,'Baseline Projects'!$G:$G,Benefits_Baseline!$A26)*(1+Inflation)^(K$1-$D$1))</f>
        <v>0</v>
      </c>
      <c r="L26" s="8">
        <f>IF(L$1&gt;Lifetime_UG,0,SUMIFS('Baseline Projects'!CQ:CQ,'Baseline Projects'!$H:$H,Benefits_Baseline!$B26,'Baseline Projects'!$G:$G,Benefits_Baseline!$A26)*(1+Inflation)^(L$1-$D$1))</f>
        <v>0</v>
      </c>
      <c r="M26" s="8">
        <f>IF(M$1&gt;Lifetime_UG,0,SUMIFS('Baseline Projects'!CR:CR,'Baseline Projects'!$H:$H,Benefits_Baseline!$B26,'Baseline Projects'!$G:$G,Benefits_Baseline!$A26)*(1+Inflation)^(M$1-$D$1))</f>
        <v>0</v>
      </c>
      <c r="N26" s="8">
        <f>IF(N$1&gt;Lifetime_UG,0,SUMIFS('Baseline Projects'!CS:CS,'Baseline Projects'!$H:$H,Benefits_Baseline!$B26,'Baseline Projects'!$G:$G,Benefits_Baseline!$A26)*(1+Inflation)^(N$1-$D$1))</f>
        <v>0</v>
      </c>
      <c r="O26" s="8">
        <f t="shared" ref="O26:AT26" si="85">IF(O$1&lt;=Lifetime_OH,N26*(1+Inflation),0)</f>
        <v>0</v>
      </c>
      <c r="P26" s="8">
        <f t="shared" si="85"/>
        <v>0</v>
      </c>
      <c r="Q26" s="8">
        <f t="shared" si="85"/>
        <v>0</v>
      </c>
      <c r="R26" s="8">
        <f t="shared" si="85"/>
        <v>0</v>
      </c>
      <c r="S26" s="8">
        <f t="shared" si="85"/>
        <v>0</v>
      </c>
      <c r="T26" s="8">
        <f t="shared" si="85"/>
        <v>0</v>
      </c>
      <c r="U26" s="8">
        <f t="shared" si="85"/>
        <v>0</v>
      </c>
      <c r="V26" s="8">
        <f t="shared" si="85"/>
        <v>0</v>
      </c>
      <c r="W26" s="8">
        <f t="shared" si="85"/>
        <v>0</v>
      </c>
      <c r="X26" s="8">
        <f t="shared" si="85"/>
        <v>0</v>
      </c>
      <c r="Y26" s="8">
        <f t="shared" si="85"/>
        <v>0</v>
      </c>
      <c r="Z26" s="8">
        <f t="shared" si="85"/>
        <v>0</v>
      </c>
      <c r="AA26" s="8">
        <f t="shared" si="85"/>
        <v>0</v>
      </c>
      <c r="AB26" s="8">
        <f t="shared" si="85"/>
        <v>0</v>
      </c>
      <c r="AC26" s="8">
        <f t="shared" si="85"/>
        <v>0</v>
      </c>
      <c r="AD26" s="8">
        <f t="shared" si="85"/>
        <v>0</v>
      </c>
      <c r="AE26" s="8">
        <f t="shared" si="85"/>
        <v>0</v>
      </c>
      <c r="AF26" s="8">
        <f t="shared" si="85"/>
        <v>0</v>
      </c>
      <c r="AG26" s="8">
        <f t="shared" si="85"/>
        <v>0</v>
      </c>
      <c r="AH26" s="8">
        <f t="shared" si="85"/>
        <v>0</v>
      </c>
      <c r="AI26" s="8">
        <f t="shared" si="85"/>
        <v>0</v>
      </c>
      <c r="AJ26" s="8">
        <f t="shared" si="85"/>
        <v>0</v>
      </c>
      <c r="AK26" s="8">
        <f t="shared" si="85"/>
        <v>0</v>
      </c>
      <c r="AL26" s="8">
        <f t="shared" si="85"/>
        <v>0</v>
      </c>
      <c r="AM26" s="8">
        <f t="shared" si="85"/>
        <v>0</v>
      </c>
      <c r="AN26" s="8">
        <f t="shared" si="85"/>
        <v>0</v>
      </c>
      <c r="AO26" s="8">
        <f t="shared" si="85"/>
        <v>0</v>
      </c>
      <c r="AP26" s="8">
        <f t="shared" si="85"/>
        <v>0</v>
      </c>
      <c r="AQ26" s="8">
        <f t="shared" si="85"/>
        <v>0</v>
      </c>
      <c r="AR26" s="8">
        <f t="shared" si="85"/>
        <v>0</v>
      </c>
      <c r="AS26" s="8">
        <f t="shared" si="85"/>
        <v>0</v>
      </c>
      <c r="AT26" s="8">
        <f t="shared" si="85"/>
        <v>0</v>
      </c>
      <c r="AU26" s="8">
        <f t="shared" ref="AU26:BO26" si="86">IF(AU$1&lt;=Lifetime_OH,AT26*(1+Inflation),0)</f>
        <v>0</v>
      </c>
      <c r="AV26" s="8">
        <f t="shared" si="86"/>
        <v>0</v>
      </c>
      <c r="AW26" s="8">
        <f t="shared" si="86"/>
        <v>0</v>
      </c>
      <c r="AX26" s="8">
        <f t="shared" si="86"/>
        <v>0</v>
      </c>
      <c r="AY26" s="8">
        <f t="shared" si="86"/>
        <v>0</v>
      </c>
      <c r="AZ26" s="8">
        <f t="shared" si="86"/>
        <v>0</v>
      </c>
      <c r="BA26" s="8">
        <f t="shared" si="86"/>
        <v>0</v>
      </c>
      <c r="BB26" s="8">
        <f t="shared" si="86"/>
        <v>0</v>
      </c>
      <c r="BC26" s="8">
        <f t="shared" si="86"/>
        <v>0</v>
      </c>
      <c r="BD26" s="8">
        <f t="shared" si="86"/>
        <v>0</v>
      </c>
      <c r="BE26" s="8">
        <f t="shared" si="86"/>
        <v>0</v>
      </c>
      <c r="BF26" s="8">
        <f t="shared" si="86"/>
        <v>0</v>
      </c>
      <c r="BG26" s="8">
        <f t="shared" si="86"/>
        <v>0</v>
      </c>
      <c r="BH26" s="8">
        <f t="shared" si="86"/>
        <v>0</v>
      </c>
      <c r="BI26" s="8">
        <f t="shared" si="86"/>
        <v>0</v>
      </c>
      <c r="BJ26" s="8">
        <f t="shared" si="86"/>
        <v>0</v>
      </c>
      <c r="BK26" s="8">
        <f t="shared" si="86"/>
        <v>0</v>
      </c>
      <c r="BL26" s="8">
        <f t="shared" si="86"/>
        <v>0</v>
      </c>
      <c r="BM26" s="8">
        <f t="shared" si="86"/>
        <v>0</v>
      </c>
      <c r="BN26" s="8">
        <f t="shared" si="86"/>
        <v>0</v>
      </c>
      <c r="BO26" s="8">
        <f t="shared" si="86"/>
        <v>0</v>
      </c>
    </row>
    <row r="27" spans="1:67" x14ac:dyDescent="0.4">
      <c r="A27" t="s">
        <v>37</v>
      </c>
      <c r="B27" t="s">
        <v>16</v>
      </c>
      <c r="C27" t="s">
        <v>321</v>
      </c>
      <c r="D27" s="8"/>
      <c r="E27" s="8">
        <f>IF(E$1&gt;Lifetime_UG,0,SUMIFS('Baseline Projects'!CP:CP,'Baseline Projects'!$H:$H,Benefits_Baseline!$B27,'Baseline Projects'!$G:$G,Benefits_Baseline!$A27)*(1+Inflation)^(E$1-$D$1))</f>
        <v>0</v>
      </c>
      <c r="F27" s="8">
        <f>IF(F$1&gt;Lifetime_UG,0,SUMIFS('Baseline Projects'!CQ:CQ,'Baseline Projects'!$H:$H,Benefits_Baseline!$B27,'Baseline Projects'!$G:$G,Benefits_Baseline!$A27)*(1+Inflation)^(F$1-$D$1))</f>
        <v>0</v>
      </c>
      <c r="G27" s="8">
        <f>IF(G$1&gt;Lifetime_UG,0,SUMIFS('Baseline Projects'!CR:CR,'Baseline Projects'!$H:$H,Benefits_Baseline!$B27,'Baseline Projects'!$G:$G,Benefits_Baseline!$A27)*(1+Inflation)^(G$1-$D$1))</f>
        <v>0</v>
      </c>
      <c r="H27" s="8">
        <f>IF(H$1&gt;Lifetime_UG,0,SUMIFS('Baseline Projects'!CS:CS,'Baseline Projects'!$H:$H,Benefits_Baseline!$B27,'Baseline Projects'!$G:$G,Benefits_Baseline!$A27)*(1+Inflation)^(H$1-$D$1))</f>
        <v>0</v>
      </c>
      <c r="I27" s="8">
        <f>IF(I$1&gt;Lifetime_UG,0,SUMIFS('Baseline Projects'!CT:CT,'Baseline Projects'!$H:$H,Benefits_Baseline!$B27,'Baseline Projects'!$G:$G,Benefits_Baseline!$A27)*(1+Inflation)^(I$1-$D$1))</f>
        <v>0</v>
      </c>
      <c r="J27" s="8">
        <f>IF(J$1&gt;Lifetime_UG,0,SUMIFS('Baseline Projects'!CU:CU,'Baseline Projects'!$H:$H,Benefits_Baseline!$B27,'Baseline Projects'!$G:$G,Benefits_Baseline!$A27)*(1+Inflation)^(J$1-$D$1))</f>
        <v>0</v>
      </c>
      <c r="K27" s="8">
        <f>IF(K$1&gt;Lifetime_UG,0,SUMIFS('Baseline Projects'!CV:CV,'Baseline Projects'!$H:$H,Benefits_Baseline!$B27,'Baseline Projects'!$G:$G,Benefits_Baseline!$A27)*(1+Inflation)^(K$1-$D$1))</f>
        <v>0</v>
      </c>
      <c r="L27" s="8">
        <f>IF(L$1&gt;Lifetime_UG,0,SUMIFS('Baseline Projects'!CW:CW,'Baseline Projects'!$H:$H,Benefits_Baseline!$B27,'Baseline Projects'!$G:$G,Benefits_Baseline!$A27)*(1+Inflation)^(L$1-$D$1))</f>
        <v>0</v>
      </c>
      <c r="M27" s="8">
        <f>IF(M$1&gt;Lifetime_UG,0,SUMIFS('Baseline Projects'!CX:CX,'Baseline Projects'!$H:$H,Benefits_Baseline!$B27,'Baseline Projects'!$G:$G,Benefits_Baseline!$A27)*(1+Inflation)^(M$1-$D$1))</f>
        <v>0</v>
      </c>
      <c r="N27" s="8">
        <f>IF(N$1&gt;Lifetime_UG,0,SUMIFS('Baseline Projects'!CY:CY,'Baseline Projects'!$H:$H,Benefits_Baseline!$B27,'Baseline Projects'!$G:$G,Benefits_Baseline!$A27)*(1+Inflation)^(N$1-$D$1))</f>
        <v>0</v>
      </c>
      <c r="O27" s="8">
        <f t="shared" ref="O27:AT27" si="87">IF(O$1&lt;=Lifetime_OH,N27*(1+Inflation),0)</f>
        <v>0</v>
      </c>
      <c r="P27" s="8">
        <f t="shared" si="87"/>
        <v>0</v>
      </c>
      <c r="Q27" s="8">
        <f t="shared" si="87"/>
        <v>0</v>
      </c>
      <c r="R27" s="8">
        <f t="shared" si="87"/>
        <v>0</v>
      </c>
      <c r="S27" s="8">
        <f t="shared" si="87"/>
        <v>0</v>
      </c>
      <c r="T27" s="8">
        <f t="shared" si="87"/>
        <v>0</v>
      </c>
      <c r="U27" s="8">
        <f t="shared" si="87"/>
        <v>0</v>
      </c>
      <c r="V27" s="8">
        <f t="shared" si="87"/>
        <v>0</v>
      </c>
      <c r="W27" s="8">
        <f t="shared" si="87"/>
        <v>0</v>
      </c>
      <c r="X27" s="8">
        <f t="shared" si="87"/>
        <v>0</v>
      </c>
      <c r="Y27" s="8">
        <f t="shared" si="87"/>
        <v>0</v>
      </c>
      <c r="Z27" s="8">
        <f t="shared" si="87"/>
        <v>0</v>
      </c>
      <c r="AA27" s="8">
        <f t="shared" si="87"/>
        <v>0</v>
      </c>
      <c r="AB27" s="8">
        <f t="shared" si="87"/>
        <v>0</v>
      </c>
      <c r="AC27" s="8">
        <f t="shared" si="87"/>
        <v>0</v>
      </c>
      <c r="AD27" s="8">
        <f t="shared" si="87"/>
        <v>0</v>
      </c>
      <c r="AE27" s="8">
        <f t="shared" si="87"/>
        <v>0</v>
      </c>
      <c r="AF27" s="8">
        <f t="shared" si="87"/>
        <v>0</v>
      </c>
      <c r="AG27" s="8">
        <f t="shared" si="87"/>
        <v>0</v>
      </c>
      <c r="AH27" s="8">
        <f t="shared" si="87"/>
        <v>0</v>
      </c>
      <c r="AI27" s="8">
        <f t="shared" si="87"/>
        <v>0</v>
      </c>
      <c r="AJ27" s="8">
        <f t="shared" si="87"/>
        <v>0</v>
      </c>
      <c r="AK27" s="8">
        <f t="shared" si="87"/>
        <v>0</v>
      </c>
      <c r="AL27" s="8">
        <f t="shared" si="87"/>
        <v>0</v>
      </c>
      <c r="AM27" s="8">
        <f t="shared" si="87"/>
        <v>0</v>
      </c>
      <c r="AN27" s="8">
        <f t="shared" si="87"/>
        <v>0</v>
      </c>
      <c r="AO27" s="8">
        <f t="shared" si="87"/>
        <v>0</v>
      </c>
      <c r="AP27" s="8">
        <f t="shared" si="87"/>
        <v>0</v>
      </c>
      <c r="AQ27" s="8">
        <f t="shared" si="87"/>
        <v>0</v>
      </c>
      <c r="AR27" s="8">
        <f t="shared" si="87"/>
        <v>0</v>
      </c>
      <c r="AS27" s="8">
        <f t="shared" si="87"/>
        <v>0</v>
      </c>
      <c r="AT27" s="8">
        <f t="shared" si="87"/>
        <v>0</v>
      </c>
      <c r="AU27" s="8">
        <f t="shared" ref="AU27:BO27" si="88">IF(AU$1&lt;=Lifetime_OH,AT27*(1+Inflation),0)</f>
        <v>0</v>
      </c>
      <c r="AV27" s="8">
        <f t="shared" si="88"/>
        <v>0</v>
      </c>
      <c r="AW27" s="8">
        <f t="shared" si="88"/>
        <v>0</v>
      </c>
      <c r="AX27" s="8">
        <f t="shared" si="88"/>
        <v>0</v>
      </c>
      <c r="AY27" s="8">
        <f t="shared" si="88"/>
        <v>0</v>
      </c>
      <c r="AZ27" s="8">
        <f t="shared" si="88"/>
        <v>0</v>
      </c>
      <c r="BA27" s="8">
        <f t="shared" si="88"/>
        <v>0</v>
      </c>
      <c r="BB27" s="8">
        <f t="shared" si="88"/>
        <v>0</v>
      </c>
      <c r="BC27" s="8">
        <f t="shared" si="88"/>
        <v>0</v>
      </c>
      <c r="BD27" s="8">
        <f t="shared" si="88"/>
        <v>0</v>
      </c>
      <c r="BE27" s="8">
        <f t="shared" si="88"/>
        <v>0</v>
      </c>
      <c r="BF27" s="8">
        <f t="shared" si="88"/>
        <v>0</v>
      </c>
      <c r="BG27" s="8">
        <f t="shared" si="88"/>
        <v>0</v>
      </c>
      <c r="BH27" s="8">
        <f t="shared" si="88"/>
        <v>0</v>
      </c>
      <c r="BI27" s="8">
        <f t="shared" si="88"/>
        <v>0</v>
      </c>
      <c r="BJ27" s="8">
        <f t="shared" si="88"/>
        <v>0</v>
      </c>
      <c r="BK27" s="8">
        <f t="shared" si="88"/>
        <v>0</v>
      </c>
      <c r="BL27" s="8">
        <f t="shared" si="88"/>
        <v>0</v>
      </c>
      <c r="BM27" s="8">
        <f t="shared" si="88"/>
        <v>0</v>
      </c>
      <c r="BN27" s="8">
        <f t="shared" si="88"/>
        <v>0</v>
      </c>
      <c r="BO27" s="8">
        <f t="shared" si="88"/>
        <v>0</v>
      </c>
    </row>
    <row r="28" spans="1:67" ht="19.5" thickBot="1" x14ac:dyDescent="0.45">
      <c r="A28" t="s">
        <v>37</v>
      </c>
      <c r="B28" t="s">
        <v>16</v>
      </c>
      <c r="C28" s="16" t="s">
        <v>175</v>
      </c>
      <c r="D28" s="17"/>
      <c r="E28" s="17">
        <f>Line_Loss_Reduction_Per_Mile_1PH_UG*INDEX('Baseline scaling factors'!$B$34:$K$36,MATCH(Benefits_Baseline!$B9&amp;"-"&amp;Benefits_Baseline!$A9,'Baseline scaling factors'!$A$34:$A$36,0),MATCH(Benefits_Baseline!E$1,'Baseline scaling factors'!$B$33:$K$33,0))*VLOOKUP(E22,'Loss Reduction Calculation'!$A$10:$D$41,4,0)</f>
        <v>413.56138894361544</v>
      </c>
      <c r="F28" s="17">
        <f>Line_Loss_Reduction_Per_Mile_1PH_UG*INDEX('Baseline scaling factors'!$B$34:$K$36,MATCH(Benefits_Baseline!$B9&amp;"-"&amp;Benefits_Baseline!$A9,'Baseline scaling factors'!$A$34:$A$36,0),MATCH(Benefits_Baseline!F$1,'Baseline scaling factors'!$B$33:$K$33,0))*VLOOKUP(F22,'Loss Reduction Calculation'!$A$10:$D$41,4,0)</f>
        <v>822.22699690169998</v>
      </c>
      <c r="G28" s="17">
        <f>Line_Loss_Reduction_Per_Mile_1PH_UG*INDEX('Baseline scaling factors'!$B$34:$K$36,MATCH(Benefits_Baseline!$B9&amp;"-"&amp;Benefits_Baseline!$A9,'Baseline scaling factors'!$A$34:$A$36,0),MATCH(Benefits_Baseline!G$1,'Baseline scaling factors'!$B$33:$K$33,0))*VLOOKUP(G22,'Loss Reduction Calculation'!$A$10:$D$41,4,0)</f>
        <v>1185.4792252500276</v>
      </c>
      <c r="H28" s="17">
        <f>Line_Loss_Reduction_Per_Mile_1PH_UG*INDEX('Baseline scaling factors'!$B$34:$K$36,MATCH(Benefits_Baseline!$B9&amp;"-"&amp;Benefits_Baseline!$A9,'Baseline scaling factors'!$A$34:$A$36,0),MATCH(Benefits_Baseline!H$1,'Baseline scaling factors'!$B$33:$K$33,0))*VLOOKUP(H22,'Loss Reduction Calculation'!$A$10:$D$41,4,0)</f>
        <v>1567.2277975329916</v>
      </c>
      <c r="I28" s="17">
        <f>Line_Loss_Reduction_Per_Mile_1PH_UG*INDEX('Baseline scaling factors'!$B$34:$K$36,MATCH(Benefits_Baseline!$B9&amp;"-"&amp;Benefits_Baseline!$A9,'Baseline scaling factors'!$A$34:$A$36,0),MATCH(Benefits_Baseline!I$1,'Baseline scaling factors'!$B$33:$K$33,0))*VLOOKUP(I22,'Loss Reduction Calculation'!$A$10:$D$41,4,0)</f>
        <v>1969.0380813284032</v>
      </c>
      <c r="J28" s="17">
        <f>Line_Loss_Reduction_Per_Mile_1PH_UG*INDEX('Baseline scaling factors'!$B$34:$K$36,MATCH(Benefits_Baseline!$B9&amp;"-"&amp;Benefits_Baseline!$A9,'Baseline scaling factors'!$A$34:$A$36,0),MATCH(Benefits_Baseline!J$1,'Baseline scaling factors'!$B$33:$K$33,0))*VLOOKUP(J22,'Loss Reduction Calculation'!$A$10:$D$41,4,0)</f>
        <v>2361.3491869167615</v>
      </c>
      <c r="K28" s="17">
        <f>Line_Loss_Reduction_Per_Mile_1PH_UG*INDEX('Baseline scaling factors'!$B$34:$K$36,MATCH(Benefits_Baseline!$B9&amp;"-"&amp;Benefits_Baseline!$A9,'Baseline scaling factors'!$A$34:$A$36,0),MATCH(Benefits_Baseline!K$1,'Baseline scaling factors'!$B$33:$K$33,0))*VLOOKUP(K22,'Loss Reduction Calculation'!$A$10:$D$41,4,0)</f>
        <v>2750.4198256160698</v>
      </c>
      <c r="L28" s="17">
        <f>Line_Loss_Reduction_Per_Mile_1PH_UG*INDEX('Baseline scaling factors'!$B$34:$K$36,MATCH(Benefits_Baseline!$B9&amp;"-"&amp;Benefits_Baseline!$A9,'Baseline scaling factors'!$A$34:$A$36,0),MATCH(Benefits_Baseline!L$1,'Baseline scaling factors'!$B$33:$K$33,0))*VLOOKUP(L22,'Loss Reduction Calculation'!$A$10:$D$41,4,0)</f>
        <v>3138.7451081746758</v>
      </c>
      <c r="M28" s="17">
        <f>Line_Loss_Reduction_Per_Mile_1PH_UG*INDEX('Baseline scaling factors'!$B$34:$K$36,MATCH(Benefits_Baseline!$B9&amp;"-"&amp;Benefits_Baseline!$A9,'Baseline scaling factors'!$A$34:$A$36,0),MATCH(Benefits_Baseline!M$1,'Baseline scaling factors'!$B$33:$K$33,0))*VLOOKUP(M22,'Loss Reduction Calculation'!$A$10:$D$41,4,0)</f>
        <v>3526.5228147233324</v>
      </c>
      <c r="N28" s="17">
        <f>Line_Loss_Reduction_Per_Mile_1PH_UG*INDEX('Baseline scaling factors'!$B$34:$K$36,MATCH(Benefits_Baseline!$B9&amp;"-"&amp;Benefits_Baseline!$A9,'Baseline scaling factors'!$A$34:$A$36,0),MATCH(Benefits_Baseline!N$1,'Baseline scaling factors'!$B$33:$K$33,0))*VLOOKUP(N22,'Loss Reduction Calculation'!$A$10:$D$41,4,0)</f>
        <v>3913.9493758360677</v>
      </c>
      <c r="O28" s="17">
        <f t="shared" ref="O28:AT28" si="89">IF(O$1&lt;=Lifetime_UG,N28*(1+Inflation),0)</f>
        <v>4000.0562621044614</v>
      </c>
      <c r="P28" s="17">
        <f t="shared" si="89"/>
        <v>4088.0574998707598</v>
      </c>
      <c r="Q28" s="17">
        <f t="shared" si="89"/>
        <v>4177.9947648679163</v>
      </c>
      <c r="R28" s="17">
        <f t="shared" si="89"/>
        <v>4269.9106496950108</v>
      </c>
      <c r="S28" s="17">
        <f t="shared" si="89"/>
        <v>4363.8486839883008</v>
      </c>
      <c r="T28" s="17">
        <f t="shared" si="89"/>
        <v>4459.8533550360435</v>
      </c>
      <c r="U28" s="17">
        <f t="shared" si="89"/>
        <v>4557.9701288468368</v>
      </c>
      <c r="V28" s="17">
        <f t="shared" si="89"/>
        <v>4658.2454716814673</v>
      </c>
      <c r="W28" s="17">
        <f t="shared" si="89"/>
        <v>4760.7268720584598</v>
      </c>
      <c r="X28" s="17">
        <f t="shared" si="89"/>
        <v>4865.4628632437461</v>
      </c>
      <c r="Y28" s="17">
        <f t="shared" si="89"/>
        <v>4972.5030462351087</v>
      </c>
      <c r="Z28" s="17">
        <f t="shared" si="89"/>
        <v>5081.8981132522813</v>
      </c>
      <c r="AA28" s="17">
        <f t="shared" si="89"/>
        <v>5193.6998717438319</v>
      </c>
      <c r="AB28" s="17">
        <f t="shared" si="89"/>
        <v>5307.9612689221958</v>
      </c>
      <c r="AC28" s="17">
        <f t="shared" si="89"/>
        <v>5424.7364168384838</v>
      </c>
      <c r="AD28" s="17">
        <f t="shared" si="89"/>
        <v>5544.0806180089303</v>
      </c>
      <c r="AE28" s="17">
        <f t="shared" si="89"/>
        <v>5666.0503916051266</v>
      </c>
      <c r="AF28" s="17">
        <f t="shared" si="89"/>
        <v>5790.7035002204393</v>
      </c>
      <c r="AG28" s="17">
        <f t="shared" si="89"/>
        <v>5918.0989772252888</v>
      </c>
      <c r="AH28" s="17">
        <f t="shared" si="89"/>
        <v>6048.297154724245</v>
      </c>
      <c r="AI28" s="17">
        <f t="shared" si="89"/>
        <v>6181.3596921281787</v>
      </c>
      <c r="AJ28" s="17">
        <f t="shared" si="89"/>
        <v>6317.3496053549989</v>
      </c>
      <c r="AK28" s="17">
        <f t="shared" si="89"/>
        <v>6456.331296672809</v>
      </c>
      <c r="AL28" s="17">
        <f t="shared" si="89"/>
        <v>6598.370585199611</v>
      </c>
      <c r="AM28" s="17">
        <f t="shared" si="89"/>
        <v>6743.5347380740022</v>
      </c>
      <c r="AN28" s="17">
        <f t="shared" si="89"/>
        <v>6891.8925023116308</v>
      </c>
      <c r="AO28" s="17">
        <f t="shared" si="89"/>
        <v>7043.5141373624865</v>
      </c>
      <c r="AP28" s="17">
        <f t="shared" si="89"/>
        <v>7198.4714483844609</v>
      </c>
      <c r="AQ28" s="17">
        <f t="shared" si="89"/>
        <v>7356.8378202489193</v>
      </c>
      <c r="AR28" s="17">
        <f t="shared" si="89"/>
        <v>7518.6882522943961</v>
      </c>
      <c r="AS28" s="17">
        <f t="shared" si="89"/>
        <v>7684.0993938448728</v>
      </c>
      <c r="AT28" s="17">
        <f t="shared" si="89"/>
        <v>7853.1495805094601</v>
      </c>
      <c r="AU28" s="17">
        <f t="shared" ref="AU28:BO28" si="90">IF(AU$1&lt;=Lifetime_UG,AT28*(1+Inflation),0)</f>
        <v>8025.9188712806681</v>
      </c>
      <c r="AV28" s="17">
        <f t="shared" si="90"/>
        <v>8202.4890864488425</v>
      </c>
      <c r="AW28" s="17">
        <f t="shared" si="90"/>
        <v>8382.9438463507176</v>
      </c>
      <c r="AX28" s="17">
        <f t="shared" si="90"/>
        <v>8567.368610970434</v>
      </c>
      <c r="AY28" s="17">
        <f t="shared" si="90"/>
        <v>8755.8507204117832</v>
      </c>
      <c r="AZ28" s="17">
        <f t="shared" si="90"/>
        <v>8948.4794362608427</v>
      </c>
      <c r="BA28" s="17">
        <f t="shared" si="90"/>
        <v>9145.3459838585823</v>
      </c>
      <c r="BB28" s="17">
        <f t="shared" si="90"/>
        <v>9346.5435955034718</v>
      </c>
      <c r="BC28" s="17">
        <f t="shared" si="90"/>
        <v>9552.1675546045481</v>
      </c>
      <c r="BD28" s="17">
        <f t="shared" si="90"/>
        <v>9762.3152408058486</v>
      </c>
      <c r="BE28" s="17">
        <f t="shared" si="90"/>
        <v>9977.0861761035776</v>
      </c>
      <c r="BF28" s="17">
        <f t="shared" si="90"/>
        <v>10196.582071977857</v>
      </c>
      <c r="BG28" s="17">
        <f t="shared" si="90"/>
        <v>10420.90687756137</v>
      </c>
      <c r="BH28" s="17">
        <f t="shared" si="90"/>
        <v>10650.166828867721</v>
      </c>
      <c r="BI28" s="17">
        <f t="shared" si="90"/>
        <v>0</v>
      </c>
      <c r="BJ28" s="17">
        <f t="shared" si="90"/>
        <v>0</v>
      </c>
      <c r="BK28" s="17">
        <f t="shared" si="90"/>
        <v>0</v>
      </c>
      <c r="BL28" s="17">
        <f t="shared" si="90"/>
        <v>0</v>
      </c>
      <c r="BM28" s="17">
        <f t="shared" si="90"/>
        <v>0</v>
      </c>
      <c r="BN28" s="17">
        <f t="shared" si="90"/>
        <v>0</v>
      </c>
      <c r="BO28" s="17">
        <f t="shared" si="90"/>
        <v>0</v>
      </c>
    </row>
    <row r="29" spans="1:67" ht="19.5" thickTop="1" x14ac:dyDescent="0.4">
      <c r="C29" s="14" t="s">
        <v>176</v>
      </c>
      <c r="D29" s="15"/>
      <c r="E29" s="15">
        <f>SUM(E24:E28)</f>
        <v>2435858.0017360914</v>
      </c>
      <c r="F29" s="15">
        <f t="shared" ref="F29:BO29" si="91">SUM(F24:F28)</f>
        <v>2278180.9831853718</v>
      </c>
      <c r="G29" s="15">
        <f t="shared" si="91"/>
        <v>2121855.6604976021</v>
      </c>
      <c r="H29" s="15">
        <f t="shared" si="91"/>
        <v>1966864.4008800911</v>
      </c>
      <c r="I29" s="15">
        <f t="shared" si="91"/>
        <v>1813128.019212008</v>
      </c>
      <c r="J29" s="15">
        <f t="shared" si="91"/>
        <v>1660536.9540087983</v>
      </c>
      <c r="K29" s="15">
        <f t="shared" si="91"/>
        <v>1509018.1715910411</v>
      </c>
      <c r="L29" s="15">
        <f t="shared" si="91"/>
        <v>1358495.5416163402</v>
      </c>
      <c r="M29" s="15">
        <f t="shared" si="91"/>
        <v>1208891.2624841884</v>
      </c>
      <c r="N29" s="15">
        <f t="shared" si="91"/>
        <v>1060128.1168320354</v>
      </c>
      <c r="O29" s="15">
        <f t="shared" si="91"/>
        <v>1083450.93540234</v>
      </c>
      <c r="P29" s="15">
        <f t="shared" si="91"/>
        <v>1107286.8559811914</v>
      </c>
      <c r="Q29" s="15">
        <f t="shared" si="91"/>
        <v>1131647.1668127778</v>
      </c>
      <c r="R29" s="15">
        <f t="shared" si="91"/>
        <v>1156543.404482659</v>
      </c>
      <c r="S29" s="15">
        <f t="shared" si="91"/>
        <v>1181987.3593812773</v>
      </c>
      <c r="T29" s="15">
        <f t="shared" si="91"/>
        <v>1207991.0812876655</v>
      </c>
      <c r="U29" s="15">
        <f t="shared" si="91"/>
        <v>1234566.8850759941</v>
      </c>
      <c r="V29" s="15">
        <f t="shared" si="91"/>
        <v>1261727.356547666</v>
      </c>
      <c r="W29" s="15">
        <f t="shared" si="91"/>
        <v>1289485.3583917145</v>
      </c>
      <c r="X29" s="15">
        <f t="shared" si="91"/>
        <v>1317854.0362763323</v>
      </c>
      <c r="Y29" s="15">
        <f t="shared" si="91"/>
        <v>1346846.8250744117</v>
      </c>
      <c r="Z29" s="15">
        <f t="shared" si="91"/>
        <v>1376477.4552260491</v>
      </c>
      <c r="AA29" s="15">
        <f t="shared" si="91"/>
        <v>1406759.9592410221</v>
      </c>
      <c r="AB29" s="15">
        <f t="shared" si="91"/>
        <v>1437708.6783443245</v>
      </c>
      <c r="AC29" s="15">
        <f t="shared" si="91"/>
        <v>1469338.2692678999</v>
      </c>
      <c r="AD29" s="15">
        <f t="shared" si="91"/>
        <v>1501663.7111917937</v>
      </c>
      <c r="AE29" s="15">
        <f t="shared" si="91"/>
        <v>1534700.3128380131</v>
      </c>
      <c r="AF29" s="15">
        <f t="shared" si="91"/>
        <v>1568463.7197204495</v>
      </c>
      <c r="AG29" s="15">
        <f t="shared" si="91"/>
        <v>1602969.9215542995</v>
      </c>
      <c r="AH29" s="15">
        <f t="shared" si="91"/>
        <v>1638235.2598284939</v>
      </c>
      <c r="AI29" s="15">
        <f t="shared" si="91"/>
        <v>1674276.4355447209</v>
      </c>
      <c r="AJ29" s="15">
        <f t="shared" si="91"/>
        <v>1711110.5171267046</v>
      </c>
      <c r="AK29" s="15">
        <f t="shared" si="91"/>
        <v>1748754.9485034924</v>
      </c>
      <c r="AL29" s="15">
        <f t="shared" si="91"/>
        <v>1787227.5573705691</v>
      </c>
      <c r="AM29" s="15">
        <f t="shared" si="91"/>
        <v>1826546.5636327218</v>
      </c>
      <c r="AN29" s="15">
        <f t="shared" si="91"/>
        <v>1866730.5880326414</v>
      </c>
      <c r="AO29" s="15">
        <f t="shared" si="91"/>
        <v>1907798.6609693598</v>
      </c>
      <c r="AP29" s="15">
        <f t="shared" si="91"/>
        <v>1949770.2315106858</v>
      </c>
      <c r="AQ29" s="15">
        <f t="shared" si="91"/>
        <v>1992665.176603921</v>
      </c>
      <c r="AR29" s="15">
        <f t="shared" si="91"/>
        <v>2036503.8104892073</v>
      </c>
      <c r="AS29" s="15">
        <f t="shared" si="91"/>
        <v>2081306.8943199697</v>
      </c>
      <c r="AT29" s="15">
        <f t="shared" si="91"/>
        <v>2127095.6459950092</v>
      </c>
      <c r="AU29" s="15">
        <f t="shared" si="91"/>
        <v>2173891.7502068994</v>
      </c>
      <c r="AV29" s="15">
        <f t="shared" si="91"/>
        <v>2221717.3687114511</v>
      </c>
      <c r="AW29" s="15">
        <f t="shared" si="91"/>
        <v>2270595.1508231028</v>
      </c>
      <c r="AX29" s="15">
        <f t="shared" si="91"/>
        <v>2320548.2441412108</v>
      </c>
      <c r="AY29" s="15">
        <f t="shared" si="91"/>
        <v>2371600.3055123179</v>
      </c>
      <c r="AZ29" s="15">
        <f t="shared" si="91"/>
        <v>2423775.5122335888</v>
      </c>
      <c r="BA29" s="15">
        <f t="shared" si="91"/>
        <v>2477098.5735027282</v>
      </c>
      <c r="BB29" s="15">
        <f t="shared" si="91"/>
        <v>2531594.7421197882</v>
      </c>
      <c r="BC29" s="15">
        <f t="shared" si="91"/>
        <v>2587289.8264464238</v>
      </c>
      <c r="BD29" s="15">
        <f t="shared" si="91"/>
        <v>2644210.2026282456</v>
      </c>
      <c r="BE29" s="15">
        <f t="shared" si="91"/>
        <v>2702382.8270860664</v>
      </c>
      <c r="BF29" s="15">
        <f t="shared" si="91"/>
        <v>2761835.2492819596</v>
      </c>
      <c r="BG29" s="15">
        <f t="shared" si="91"/>
        <v>2822595.6247661631</v>
      </c>
      <c r="BH29" s="15">
        <f t="shared" si="91"/>
        <v>2884692.7285110187</v>
      </c>
      <c r="BI29" s="15">
        <f t="shared" si="91"/>
        <v>0</v>
      </c>
      <c r="BJ29" s="15">
        <f t="shared" si="91"/>
        <v>0</v>
      </c>
      <c r="BK29" s="15">
        <f t="shared" si="91"/>
        <v>0</v>
      </c>
      <c r="BL29" s="15">
        <f t="shared" si="91"/>
        <v>0</v>
      </c>
      <c r="BM29" s="15">
        <f t="shared" si="91"/>
        <v>0</v>
      </c>
      <c r="BN29" s="15">
        <f t="shared" si="91"/>
        <v>0</v>
      </c>
      <c r="BO29" s="15">
        <f t="shared" si="91"/>
        <v>0</v>
      </c>
    </row>
    <row r="30" spans="1:67" x14ac:dyDescent="0.4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</row>
    <row r="31" spans="1:67" x14ac:dyDescent="0.4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</row>
    <row r="32" spans="1:67" x14ac:dyDescent="0.4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</row>
    <row r="33" spans="3:67" x14ac:dyDescent="0.4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</row>
    <row r="37" spans="3:67" x14ac:dyDescent="0.4">
      <c r="C37" s="1"/>
      <c r="D37" s="1"/>
      <c r="E37" s="1"/>
      <c r="F37" s="1"/>
      <c r="G37" s="1"/>
      <c r="H37" s="1"/>
      <c r="I37" s="1"/>
      <c r="J37" s="1"/>
    </row>
    <row r="38" spans="3:67" x14ac:dyDescent="0.4">
      <c r="C38" s="1"/>
      <c r="D38" s="1"/>
      <c r="E38" s="1"/>
      <c r="F38" s="1"/>
      <c r="G38" s="1"/>
      <c r="H38" s="1"/>
      <c r="I38" s="1"/>
      <c r="J38" s="1"/>
    </row>
    <row r="39" spans="3:67" x14ac:dyDescent="0.4">
      <c r="C39" s="1"/>
      <c r="D39" s="1"/>
      <c r="E39" s="1"/>
      <c r="F39" s="1"/>
      <c r="G39" s="1"/>
      <c r="H39" s="1"/>
      <c r="I39" s="1"/>
      <c r="J39" s="1"/>
    </row>
    <row r="40" spans="3:67" x14ac:dyDescent="0.4">
      <c r="C40" s="1"/>
      <c r="D40" s="1"/>
      <c r="E40" s="1"/>
      <c r="F40" s="1"/>
      <c r="G40" s="1"/>
      <c r="H40" s="1"/>
      <c r="I40" s="1"/>
      <c r="J40" s="1"/>
    </row>
    <row r="41" spans="3:67" x14ac:dyDescent="0.4">
      <c r="C41" s="1"/>
      <c r="D41" s="1"/>
      <c r="E41" s="1"/>
      <c r="F41" s="1"/>
      <c r="G41" s="1"/>
      <c r="H41" s="1"/>
      <c r="I41" s="1"/>
      <c r="J41" s="1"/>
    </row>
  </sheetData>
  <mergeCells count="3">
    <mergeCell ref="C23:BO23"/>
    <mergeCell ref="C4:BO4"/>
    <mergeCell ref="C13:BO13"/>
  </mergeCells>
  <pageMargins left="0.7" right="0.7" top="0.75" bottom="0.75" header="0.3" footer="0.3"/>
  <pageSetup scale="10" orientation="portrait" r:id="rId1"/>
  <colBreaks count="5" manualBreakCount="5">
    <brk id="9" max="1048575" man="1"/>
    <brk id="18" max="1048575" man="1"/>
    <brk id="29" max="1048575" man="1"/>
    <brk id="40" max="1048575" man="1"/>
    <brk id="5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0EC90-FDBE-4C16-A2A0-81920637BF08}">
  <sheetPr>
    <tabColor theme="4" tint="0.79998168889431442"/>
  </sheetPr>
  <dimension ref="A1:BO75"/>
  <sheetViews>
    <sheetView view="pageBreakPreview" zoomScale="10" zoomScaleNormal="10" zoomScaleSheetLayoutView="10" workbookViewId="0">
      <selection activeCell="BD58" sqref="BD58"/>
    </sheetView>
  </sheetViews>
  <sheetFormatPr defaultRowHeight="18.75" x14ac:dyDescent="0.4"/>
  <cols>
    <col min="3" max="3" width="43.21875" customWidth="1"/>
    <col min="4" max="66" width="15.77734375" customWidth="1"/>
    <col min="67" max="67" width="15.21875" customWidth="1"/>
  </cols>
  <sheetData>
    <row r="1" spans="1:67" x14ac:dyDescent="0.4">
      <c r="D1">
        <v>0</v>
      </c>
      <c r="E1">
        <v>1</v>
      </c>
      <c r="F1">
        <v>2</v>
      </c>
      <c r="G1">
        <v>3</v>
      </c>
      <c r="H1">
        <v>4</v>
      </c>
      <c r="I1">
        <v>5</v>
      </c>
      <c r="J1">
        <v>6</v>
      </c>
      <c r="K1">
        <v>7</v>
      </c>
      <c r="L1">
        <v>8</v>
      </c>
      <c r="M1">
        <v>9</v>
      </c>
      <c r="N1">
        <v>10</v>
      </c>
      <c r="O1">
        <v>11</v>
      </c>
      <c r="P1">
        <v>12</v>
      </c>
      <c r="Q1">
        <v>13</v>
      </c>
      <c r="R1">
        <v>14</v>
      </c>
      <c r="S1">
        <v>15</v>
      </c>
      <c r="T1">
        <v>16</v>
      </c>
      <c r="U1">
        <v>17</v>
      </c>
      <c r="V1">
        <v>18</v>
      </c>
      <c r="W1">
        <v>19</v>
      </c>
      <c r="X1">
        <v>20</v>
      </c>
      <c r="Y1">
        <v>21</v>
      </c>
      <c r="Z1">
        <v>22</v>
      </c>
      <c r="AA1">
        <v>23</v>
      </c>
      <c r="AB1">
        <v>24</v>
      </c>
      <c r="AC1">
        <v>25</v>
      </c>
      <c r="AD1">
        <v>26</v>
      </c>
      <c r="AE1">
        <v>27</v>
      </c>
      <c r="AF1">
        <v>28</v>
      </c>
      <c r="AG1">
        <v>29</v>
      </c>
      <c r="AH1">
        <v>30</v>
      </c>
      <c r="AI1">
        <v>31</v>
      </c>
      <c r="AJ1">
        <v>32</v>
      </c>
      <c r="AK1">
        <v>33</v>
      </c>
      <c r="AL1">
        <v>34</v>
      </c>
      <c r="AM1">
        <v>35</v>
      </c>
      <c r="AN1">
        <v>36</v>
      </c>
      <c r="AO1">
        <v>37</v>
      </c>
      <c r="AP1">
        <v>38</v>
      </c>
      <c r="AQ1">
        <v>39</v>
      </c>
      <c r="AR1">
        <v>40</v>
      </c>
      <c r="AS1">
        <v>41</v>
      </c>
      <c r="AT1">
        <v>42</v>
      </c>
      <c r="AU1">
        <v>43</v>
      </c>
      <c r="AV1">
        <v>44</v>
      </c>
      <c r="AW1">
        <v>45</v>
      </c>
      <c r="AX1">
        <v>46</v>
      </c>
      <c r="AY1">
        <v>47</v>
      </c>
      <c r="AZ1">
        <v>48</v>
      </c>
      <c r="BA1">
        <v>49</v>
      </c>
      <c r="BB1">
        <v>50</v>
      </c>
      <c r="BC1">
        <v>51</v>
      </c>
      <c r="BD1">
        <v>52</v>
      </c>
      <c r="BE1">
        <v>53</v>
      </c>
      <c r="BF1">
        <v>54</v>
      </c>
      <c r="BG1">
        <v>55</v>
      </c>
      <c r="BH1">
        <v>56</v>
      </c>
      <c r="BI1">
        <v>57</v>
      </c>
      <c r="BJ1">
        <v>58</v>
      </c>
      <c r="BK1">
        <v>59</v>
      </c>
      <c r="BL1">
        <v>60</v>
      </c>
      <c r="BM1">
        <v>61</v>
      </c>
      <c r="BN1">
        <v>62</v>
      </c>
      <c r="BO1">
        <v>63</v>
      </c>
    </row>
    <row r="2" spans="1:67" x14ac:dyDescent="0.4">
      <c r="B2" s="11" t="s">
        <v>423</v>
      </c>
    </row>
    <row r="3" spans="1:67" x14ac:dyDescent="0.4">
      <c r="A3" t="s">
        <v>70</v>
      </c>
      <c r="B3" t="s">
        <v>149</v>
      </c>
      <c r="C3" s="5" t="s">
        <v>172</v>
      </c>
      <c r="D3" s="5">
        <v>2027</v>
      </c>
      <c r="E3" s="5">
        <v>2028</v>
      </c>
      <c r="F3" s="5">
        <v>2029</v>
      </c>
      <c r="G3" s="5">
        <v>2030</v>
      </c>
      <c r="H3" s="5">
        <v>2031</v>
      </c>
      <c r="I3" s="5">
        <v>2032</v>
      </c>
      <c r="J3" s="5">
        <v>2033</v>
      </c>
      <c r="K3" s="5">
        <v>2034</v>
      </c>
      <c r="L3" s="5">
        <v>2035</v>
      </c>
      <c r="M3" s="5">
        <v>2036</v>
      </c>
      <c r="N3" s="5">
        <v>2037</v>
      </c>
      <c r="O3" s="5">
        <v>2038</v>
      </c>
      <c r="P3" s="5">
        <v>2039</v>
      </c>
      <c r="Q3" s="5">
        <v>2040</v>
      </c>
      <c r="R3" s="5">
        <v>2041</v>
      </c>
      <c r="S3" s="5">
        <v>2042</v>
      </c>
      <c r="T3" s="5">
        <v>2043</v>
      </c>
      <c r="U3" s="5">
        <v>2044</v>
      </c>
      <c r="V3" s="5">
        <v>2045</v>
      </c>
      <c r="W3" s="5">
        <v>2046</v>
      </c>
      <c r="X3" s="5">
        <v>2047</v>
      </c>
      <c r="Y3" s="5">
        <v>2048</v>
      </c>
      <c r="Z3" s="5">
        <v>2049</v>
      </c>
      <c r="AA3" s="5">
        <v>2050</v>
      </c>
      <c r="AB3" s="5">
        <v>2051</v>
      </c>
      <c r="AC3" s="5">
        <v>2052</v>
      </c>
      <c r="AD3" s="5">
        <v>2053</v>
      </c>
      <c r="AE3" s="5">
        <v>2054</v>
      </c>
      <c r="AF3" s="5">
        <v>2055</v>
      </c>
      <c r="AG3" s="5">
        <v>2056</v>
      </c>
      <c r="AH3" s="5">
        <v>2057</v>
      </c>
      <c r="AI3" s="5">
        <v>2058</v>
      </c>
      <c r="AJ3" s="5">
        <v>2059</v>
      </c>
      <c r="AK3" s="5">
        <v>2060</v>
      </c>
      <c r="AL3" s="5">
        <v>2061</v>
      </c>
      <c r="AM3" s="5">
        <v>2062</v>
      </c>
      <c r="AN3" s="5">
        <v>2063</v>
      </c>
      <c r="AO3" s="5">
        <v>2064</v>
      </c>
      <c r="AP3" s="5">
        <v>2065</v>
      </c>
      <c r="AQ3" s="5">
        <v>2066</v>
      </c>
      <c r="AR3" s="5">
        <v>2067</v>
      </c>
      <c r="AS3" s="5">
        <v>2068</v>
      </c>
      <c r="AT3" s="5">
        <v>2069</v>
      </c>
      <c r="AU3" s="5">
        <v>2070</v>
      </c>
      <c r="AV3" s="5">
        <v>2071</v>
      </c>
      <c r="AW3" s="5">
        <v>2072</v>
      </c>
      <c r="AX3" s="5">
        <v>2073</v>
      </c>
      <c r="AY3" s="5">
        <v>2074</v>
      </c>
      <c r="AZ3" s="5">
        <v>2075</v>
      </c>
      <c r="BA3" s="5">
        <v>2076</v>
      </c>
      <c r="BB3" s="5">
        <v>2077</v>
      </c>
      <c r="BC3" s="5">
        <v>2078</v>
      </c>
      <c r="BD3" s="5">
        <v>2079</v>
      </c>
      <c r="BE3" s="5">
        <v>2080</v>
      </c>
      <c r="BF3" s="5">
        <v>2081</v>
      </c>
      <c r="BG3" s="5">
        <v>2082</v>
      </c>
      <c r="BH3" s="5">
        <v>2083</v>
      </c>
      <c r="BI3" s="5">
        <v>2084</v>
      </c>
      <c r="BJ3" s="5">
        <v>2085</v>
      </c>
      <c r="BK3" s="5">
        <v>2086</v>
      </c>
      <c r="BL3" s="5">
        <v>2087</v>
      </c>
      <c r="BM3" s="5">
        <v>2088</v>
      </c>
      <c r="BN3" s="5">
        <v>2089</v>
      </c>
      <c r="BO3" s="5">
        <v>2090</v>
      </c>
    </row>
    <row r="4" spans="1:67" x14ac:dyDescent="0.4"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  <c r="AN4" s="216"/>
      <c r="AO4" s="216"/>
      <c r="AP4" s="216"/>
      <c r="AQ4" s="216"/>
      <c r="AR4" s="216"/>
      <c r="AS4" s="216"/>
      <c r="AT4" s="216"/>
      <c r="AU4" s="216"/>
      <c r="AV4" s="216"/>
      <c r="AW4" s="216"/>
      <c r="AX4" s="216"/>
      <c r="AY4" s="216"/>
      <c r="AZ4" s="216"/>
      <c r="BA4" s="216"/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  <c r="BM4" s="216"/>
      <c r="BN4" s="216"/>
      <c r="BO4" s="216"/>
    </row>
    <row r="5" spans="1:67" x14ac:dyDescent="0.4">
      <c r="A5" t="s">
        <v>37</v>
      </c>
      <c r="B5" t="s">
        <v>15</v>
      </c>
      <c r="C5" t="s">
        <v>173</v>
      </c>
      <c r="D5" s="8"/>
      <c r="E5" s="8">
        <f>IF(E$1&gt;Lifetime_OH,0,SUMIFS('Mitigation Projects'!$Z$4:$Z$52,'Mitigation Projects'!$H$4:$H$52,$B5,'Mitigation Projects'!$G$4:$G$52,$A5)*(1+Inflation)^(E$1-$D$1))</f>
        <v>15580.647621519935</v>
      </c>
      <c r="F5" s="8">
        <f>IF(F$1&gt;Lifetime_OH,0,SUMIFS('Mitigation Projects'!$Z$4:$Z$52,'Mitigation Projects'!$H$4:$H$52,$B5,'Mitigation Projects'!$G$4:$G$52,$A5)*(1+Inflation)^(F$1-$D$1))</f>
        <v>15923.421869193371</v>
      </c>
      <c r="G5" s="8">
        <f>IF(G$1&gt;Lifetime_OH,0,SUMIFS('Mitigation Projects'!$Z$4:$Z$52,'Mitigation Projects'!$H$4:$H$52,$B5,'Mitigation Projects'!$G$4:$G$52,$A5)*(1+Inflation)^(G$1-$D$1))</f>
        <v>16273.737150315626</v>
      </c>
      <c r="H5" s="8">
        <f>IF(H$1&gt;Lifetime_OH,0,SUMIFS('Mitigation Projects'!$Z$4:$Z$52,'Mitigation Projects'!$H$4:$H$52,$B5,'Mitigation Projects'!$G$4:$G$52,$A5)*(1+Inflation)^(H$1-$D$1))</f>
        <v>16631.75936762257</v>
      </c>
      <c r="I5" s="8">
        <f>IF(I$1&gt;Lifetime_OH,0,SUMIFS('Mitigation Projects'!$Z$4:$Z$52,'Mitigation Projects'!$H$4:$H$52,$B5,'Mitigation Projects'!$G$4:$G$52,$A5)*(1+Inflation)^(I$1-$D$1))</f>
        <v>16997.658073710267</v>
      </c>
      <c r="J5" s="8">
        <f>IF(J$1&gt;Lifetime_OH,0,SUMIFS('Mitigation Projects'!$Z$4:$Z$52,'Mitigation Projects'!$H$4:$H$52,$B5,'Mitigation Projects'!$G$4:$G$52,$A5)*(1+Inflation)^(J$1-$D$1))</f>
        <v>17371.60655133189</v>
      </c>
      <c r="K5" s="8">
        <f>IF(K$1&gt;Lifetime_OH,0,SUMIFS('Mitigation Projects'!$Z$4:$Z$52,'Mitigation Projects'!$H$4:$H$52,$B5,'Mitigation Projects'!$G$4:$G$52,$A5)*(1+Inflation)^(K$1-$D$1))</f>
        <v>17753.781895461194</v>
      </c>
      <c r="L5" s="8">
        <f>IF(L$1&gt;Lifetime_OH,0,SUMIFS('Mitigation Projects'!$Z$4:$Z$52,'Mitigation Projects'!$H$4:$H$52,$B5,'Mitigation Projects'!$G$4:$G$52,$A5)*(1+Inflation)^(L$1-$D$1))</f>
        <v>18144.365097161342</v>
      </c>
      <c r="M5" s="8">
        <f>IF(M$1&gt;Lifetime_OH,0,SUMIFS('Mitigation Projects'!$Z$4:$Z$52,'Mitigation Projects'!$H$4:$H$52,$B5,'Mitigation Projects'!$G$4:$G$52,$A5)*(1+Inflation)^(M$1-$D$1))</f>
        <v>18543.54112929889</v>
      </c>
      <c r="N5" s="8">
        <f>IF(N$1&gt;Lifetime_OH,0,SUMIFS('Mitigation Projects'!$Z$4:$Z$52,'Mitigation Projects'!$H$4:$H$52,$B5,'Mitigation Projects'!$G$4:$G$52,$A5)*(1+Inflation)^(N$1-$D$1))</f>
        <v>18951.499034143468</v>
      </c>
      <c r="O5" s="8">
        <f>IF(O$1&gt;Lifetime_OH,0,SUMIFS('Mitigation Projects'!$Z$4:$Z$52,'Mitigation Projects'!$H$4:$H$52,$B5,'Mitigation Projects'!$G$4:$G$52,$A5)*(1+Inflation)^(O$1-$D$1))</f>
        <v>19368.432012894624</v>
      </c>
      <c r="P5" s="8">
        <f>IF(P$1&gt;Lifetime_OH,0,SUMIFS('Mitigation Projects'!$Z$4:$Z$52,'Mitigation Projects'!$H$4:$H$52,$B5,'Mitigation Projects'!$G$4:$G$52,$A5)*(1+Inflation)^(P$1-$D$1))</f>
        <v>19794.537517178305</v>
      </c>
      <c r="Q5" s="8">
        <f>IF(Q$1&gt;Lifetime_OH,0,SUMIFS('Mitigation Projects'!$Z$4:$Z$52,'Mitigation Projects'!$H$4:$H$52,$B5,'Mitigation Projects'!$G$4:$G$52,$A5)*(1+Inflation)^(Q$1-$D$1))</f>
        <v>20230.017342556232</v>
      </c>
      <c r="R5" s="8">
        <f>IF(R$1&gt;Lifetime_OH,0,SUMIFS('Mitigation Projects'!$Z$4:$Z$52,'Mitigation Projects'!$H$4:$H$52,$B5,'Mitigation Projects'!$G$4:$G$52,$A5)*(1+Inflation)^(R$1-$D$1))</f>
        <v>20675.077724092465</v>
      </c>
      <c r="S5" s="8">
        <f>IF(S$1&gt;Lifetime_OH,0,SUMIFS('Mitigation Projects'!$Z$4:$Z$52,'Mitigation Projects'!$H$4:$H$52,$B5,'Mitigation Projects'!$G$4:$G$52,$A5)*(1+Inflation)^(S$1-$D$1))</f>
        <v>21129.929434022502</v>
      </c>
      <c r="T5" s="8">
        <f>IF(T$1&gt;Lifetime_OH,0,SUMIFS('Mitigation Projects'!$Z$4:$Z$52,'Mitigation Projects'!$H$4:$H$52,$B5,'Mitigation Projects'!$G$4:$G$52,$A5)*(1+Inflation)^(T$1-$D$1))</f>
        <v>21594.787881570996</v>
      </c>
      <c r="U5" s="8">
        <f>IF(U$1&gt;Lifetime_OH,0,SUMIFS('Mitigation Projects'!$Z$4:$Z$52,'Mitigation Projects'!$H$4:$H$52,$B5,'Mitigation Projects'!$G$4:$G$52,$A5)*(1+Inflation)^(U$1-$D$1))</f>
        <v>22069.873214965559</v>
      </c>
      <c r="V5" s="8">
        <f>IF(V$1&gt;Lifetime_OH,0,SUMIFS('Mitigation Projects'!$Z$4:$Z$52,'Mitigation Projects'!$H$4:$H$52,$B5,'Mitigation Projects'!$G$4:$G$52,$A5)*(1+Inflation)^(V$1-$D$1))</f>
        <v>22555.410425694798</v>
      </c>
      <c r="W5" s="8">
        <f>IF(W$1&gt;Lifetime_OH,0,SUMIFS('Mitigation Projects'!$Z$4:$Z$52,'Mitigation Projects'!$H$4:$H$52,$B5,'Mitigation Projects'!$G$4:$G$52,$A5)*(1+Inflation)^(W$1-$D$1))</f>
        <v>23051.629455060087</v>
      </c>
      <c r="X5" s="8">
        <f>IF(X$1&gt;Lifetime_OH,0,SUMIFS('Mitigation Projects'!$Z$4:$Z$52,'Mitigation Projects'!$H$4:$H$52,$B5,'Mitigation Projects'!$G$4:$G$52,$A5)*(1+Inflation)^(X$1-$D$1))</f>
        <v>23558.76530307141</v>
      </c>
      <c r="Y5" s="8">
        <f>IF(Y$1&gt;Lifetime_OH,0,SUMIFS('Mitigation Projects'!$Z$4:$Z$52,'Mitigation Projects'!$H$4:$H$52,$B5,'Mitigation Projects'!$G$4:$G$52,$A5)*(1+Inflation)^(Y$1-$D$1))</f>
        <v>24077.05813973898</v>
      </c>
      <c r="Z5" s="8">
        <f>IF(Z$1&gt;Lifetime_OH,0,SUMIFS('Mitigation Projects'!$Z$4:$Z$52,'Mitigation Projects'!$H$4:$H$52,$B5,'Mitigation Projects'!$G$4:$G$52,$A5)*(1+Inflation)^(Z$1-$D$1))</f>
        <v>24606.753418813238</v>
      </c>
      <c r="AA5" s="8">
        <f>IF(AA$1&gt;Lifetime_OH,0,SUMIFS('Mitigation Projects'!$Z$4:$Z$52,'Mitigation Projects'!$H$4:$H$52,$B5,'Mitigation Projects'!$G$4:$G$52,$A5)*(1+Inflation)^(AA$1-$D$1))</f>
        <v>25148.101994027125</v>
      </c>
      <c r="AB5" s="8">
        <f>IF(AB$1&gt;Lifetime_OH,0,SUMIFS('Mitigation Projects'!$Z$4:$Z$52,'Mitigation Projects'!$H$4:$H$52,$B5,'Mitigation Projects'!$G$4:$G$52,$A5)*(1+Inflation)^(AB$1-$D$1))</f>
        <v>25701.360237895726</v>
      </c>
      <c r="AC5" s="8">
        <f>IF(AC$1&gt;Lifetime_OH,0,SUMIFS('Mitigation Projects'!$Z$4:$Z$52,'Mitigation Projects'!$H$4:$H$52,$B5,'Mitigation Projects'!$G$4:$G$52,$A5)*(1+Inflation)^(AC$1-$D$1))</f>
        <v>26266.79016312943</v>
      </c>
      <c r="AD5" s="8">
        <f>IF(AD$1&gt;Lifetime_OH,0,SUMIFS('Mitigation Projects'!$Z$4:$Z$52,'Mitigation Projects'!$H$4:$H$52,$B5,'Mitigation Projects'!$G$4:$G$52,$A5)*(1+Inflation)^(AD$1-$D$1))</f>
        <v>26844.659546718281</v>
      </c>
      <c r="AE5" s="8">
        <f>IF(AE$1&gt;Lifetime_OH,0,SUMIFS('Mitigation Projects'!$Z$4:$Z$52,'Mitigation Projects'!$H$4:$H$52,$B5,'Mitigation Projects'!$G$4:$G$52,$A5)*(1+Inflation)^(AE$1-$D$1))</f>
        <v>27435.242056746083</v>
      </c>
      <c r="AF5" s="8">
        <f>IF(AF$1&gt;Lifetime_OH,0,SUMIFS('Mitigation Projects'!$Z$4:$Z$52,'Mitigation Projects'!$H$4:$H$52,$B5,'Mitigation Projects'!$G$4:$G$52,$A5)*(1+Inflation)^(AF$1-$D$1))</f>
        <v>28038.817381994497</v>
      </c>
      <c r="AG5" s="8">
        <f>IF(AG$1&gt;Lifetime_OH,0,SUMIFS('Mitigation Projects'!$Z$4:$Z$52,'Mitigation Projects'!$H$4:$H$52,$B5,'Mitigation Projects'!$G$4:$G$52,$A5)*(1+Inflation)^(AG$1-$D$1))</f>
        <v>28655.671364398379</v>
      </c>
      <c r="AH5" s="8">
        <f>IF(AH$1&gt;Lifetime_OH,0,SUMIFS('Mitigation Projects'!$Z$4:$Z$52,'Mitigation Projects'!$H$4:$H$52,$B5,'Mitigation Projects'!$G$4:$G$52,$A5)*(1+Inflation)^(AH$1-$D$1))</f>
        <v>29286.09613441514</v>
      </c>
      <c r="AI5" s="8">
        <f>IF(AI$1&gt;Lifetime_OH,0,SUMIFS('Mitigation Projects'!$Z$4:$Z$52,'Mitigation Projects'!$H$4:$H$52,$B5,'Mitigation Projects'!$G$4:$G$52,$A5)*(1+Inflation)^(AI$1-$D$1))</f>
        <v>29930.390249372274</v>
      </c>
      <c r="AJ5" s="8">
        <f>IF(AJ$1&gt;Lifetime_OH,0,SUMIFS('Mitigation Projects'!$Z$4:$Z$52,'Mitigation Projects'!$H$4:$H$52,$B5,'Mitigation Projects'!$G$4:$G$52,$A5)*(1+Inflation)^(AJ$1-$D$1))</f>
        <v>30588.858834858464</v>
      </c>
      <c r="AK5" s="8">
        <f>IF(AK$1&gt;Lifetime_OH,0,SUMIFS('Mitigation Projects'!$Z$4:$Z$52,'Mitigation Projects'!$H$4:$H$52,$B5,'Mitigation Projects'!$G$4:$G$52,$A5)*(1+Inflation)^(AK$1-$D$1))</f>
        <v>31261.813729225352</v>
      </c>
      <c r="AL5" s="8">
        <f>IF(AL$1&gt;Lifetime_OH,0,SUMIFS('Mitigation Projects'!$Z$4:$Z$52,'Mitigation Projects'!$H$4:$H$52,$B5,'Mitigation Projects'!$G$4:$G$52,$A5)*(1+Inflation)^(AL$1-$D$1))</f>
        <v>31949.573631268304</v>
      </c>
      <c r="AM5" s="8">
        <f>IF(AM$1&gt;Lifetime_OH,0,SUMIFS('Mitigation Projects'!$Z$4:$Z$52,'Mitigation Projects'!$H$4:$H$52,$B5,'Mitigation Projects'!$G$4:$G$52,$A5)*(1+Inflation)^(AM$1-$D$1))</f>
        <v>32652.464251156209</v>
      </c>
      <c r="AN5" s="8">
        <f>IF(AN$1&gt;Lifetime_OH,0,SUMIFS('Mitigation Projects'!$Z$4:$Z$52,'Mitigation Projects'!$H$4:$H$52,$B5,'Mitigation Projects'!$G$4:$G$52,$A5)*(1+Inflation)^(AN$1-$D$1))</f>
        <v>33370.818464681644</v>
      </c>
      <c r="AO5" s="8">
        <f>IF(AO$1&gt;Lifetime_OH,0,SUMIFS('Mitigation Projects'!$Z$4:$Z$52,'Mitigation Projects'!$H$4:$H$52,$B5,'Mitigation Projects'!$G$4:$G$52,$A5)*(1+Inflation)^(AO$1-$D$1))</f>
        <v>34104.976470904643</v>
      </c>
      <c r="AP5" s="8">
        <f>IF(AP$1&gt;Lifetime_OH,0,SUMIFS('Mitigation Projects'!$Z$4:$Z$52,'Mitigation Projects'!$H$4:$H$52,$B5,'Mitigation Projects'!$G$4:$G$52,$A5)*(1+Inflation)^(AP$1-$D$1))</f>
        <v>34855.285953264545</v>
      </c>
      <c r="AQ5" s="8">
        <f>IF(AQ$1&gt;Lifetime_OH,0,SUMIFS('Mitigation Projects'!$Z$4:$Z$52,'Mitigation Projects'!$H$4:$H$52,$B5,'Mitigation Projects'!$G$4:$G$52,$A5)*(1+Inflation)^(AQ$1-$D$1))</f>
        <v>35622.102244236361</v>
      </c>
      <c r="AR5" s="8">
        <f>IF(AR$1&gt;Lifetime_OH,0,SUMIFS('Mitigation Projects'!$Z$4:$Z$52,'Mitigation Projects'!$H$4:$H$52,$B5,'Mitigation Projects'!$G$4:$G$52,$A5)*(1+Inflation)^(AR$1-$D$1))</f>
        <v>36405.788493609572</v>
      </c>
      <c r="AS5" s="8">
        <f>IF(AS$1&gt;Lifetime_OH,0,SUMIFS('Mitigation Projects'!$Z$4:$Z$52,'Mitigation Projects'!$H$4:$H$52,$B5,'Mitigation Projects'!$G$4:$G$52,$A5)*(1+Inflation)^(AS$1-$D$1))</f>
        <v>37206.715840468984</v>
      </c>
      <c r="AT5" s="8">
        <f>IF(AT$1&gt;Lifetime_OH,0,SUMIFS('Mitigation Projects'!$Z$4:$Z$52,'Mitigation Projects'!$H$4:$H$52,$B5,'Mitigation Projects'!$G$4:$G$52,$A5)*(1+Inflation)^(AT$1-$D$1))</f>
        <v>38025.2635889593</v>
      </c>
      <c r="AU5" s="8">
        <f>IF(AU$1&gt;Lifetime_OH,0,SUMIFS('Mitigation Projects'!$Z$4:$Z$52,'Mitigation Projects'!$H$4:$H$52,$B5,'Mitigation Projects'!$G$4:$G$52,$A5)*(1+Inflation)^(AU$1-$D$1))</f>
        <v>38861.819387916403</v>
      </c>
      <c r="AV5" s="8">
        <f>IF(AV$1&gt;Lifetime_OH,0,SUMIFS('Mitigation Projects'!$Z$4:$Z$52,'Mitigation Projects'!$H$4:$H$52,$B5,'Mitigation Projects'!$G$4:$G$52,$A5)*(1+Inflation)^(AV$1-$D$1))</f>
        <v>39716.779414450561</v>
      </c>
      <c r="AW5" s="8">
        <f>IF(AW$1&gt;Lifetime_OH,0,SUMIFS('Mitigation Projects'!$Z$4:$Z$52,'Mitigation Projects'!$H$4:$H$52,$B5,'Mitigation Projects'!$G$4:$G$52,$A5)*(1+Inflation)^(AW$1-$D$1))</f>
        <v>40590.548561568474</v>
      </c>
      <c r="AX5" s="8">
        <f>IF(AX$1&gt;Lifetime_OH,0,SUMIFS('Mitigation Projects'!$Z$4:$Z$52,'Mitigation Projects'!$H$4:$H$52,$B5,'Mitigation Projects'!$G$4:$G$52,$A5)*(1+Inflation)^(AX$1-$D$1))</f>
        <v>41483.54062992298</v>
      </c>
      <c r="AY5" s="8">
        <f>IF(AY$1&gt;Lifetime_OH,0,SUMIFS('Mitigation Projects'!$Z$4:$Z$52,'Mitigation Projects'!$H$4:$H$52,$B5,'Mitigation Projects'!$G$4:$G$52,$A5)*(1+Inflation)^(AY$1-$D$1))</f>
        <v>42396.178523781287</v>
      </c>
      <c r="AZ5" s="8">
        <f>IF(AZ$1&gt;Lifetime_OH,0,SUMIFS('Mitigation Projects'!$Z$4:$Z$52,'Mitigation Projects'!$H$4:$H$52,$B5,'Mitigation Projects'!$G$4:$G$52,$A5)*(1+Inflation)^(AZ$1-$D$1))</f>
        <v>0</v>
      </c>
      <c r="BA5" s="8">
        <f>IF(BA$1&gt;Lifetime_OH,0,SUMIFS('Mitigation Projects'!$Z$4:$Z$52,'Mitigation Projects'!$H$4:$H$52,$B5,'Mitigation Projects'!$G$4:$G$52,$A5)*(1+Inflation)^(BA$1-$D$1))</f>
        <v>0</v>
      </c>
      <c r="BB5" s="8">
        <f>IF(BB$1&gt;Lifetime_OH,0,SUMIFS('Mitigation Projects'!$Z$4:$Z$52,'Mitigation Projects'!$H$4:$H$52,$B5,'Mitigation Projects'!$G$4:$G$52,$A5)*(1+Inflation)^(BB$1-$D$1))</f>
        <v>0</v>
      </c>
      <c r="BC5" s="8">
        <f>IF(BC$1&gt;Lifetime_OH,0,SUMIFS('Mitigation Projects'!$Z$4:$Z$52,'Mitigation Projects'!$H$4:$H$52,$B5,'Mitigation Projects'!$G$4:$G$52,$A5)*(1+Inflation)^(BC$1-$D$1))</f>
        <v>0</v>
      </c>
      <c r="BD5" s="8">
        <f>IF(BD$1&gt;Lifetime_OH,0,SUMIFS('Mitigation Projects'!$Z$4:$Z$52,'Mitigation Projects'!$H$4:$H$52,$B5,'Mitigation Projects'!$G$4:$G$52,$A5)*(1+Inflation)^(BD$1-$D$1))</f>
        <v>0</v>
      </c>
      <c r="BE5" s="8">
        <f>IF(BE$1&gt;Lifetime_OH,0,SUMIFS('Mitigation Projects'!$Z$4:$Z$52,'Mitigation Projects'!$H$4:$H$52,$B5,'Mitigation Projects'!$G$4:$G$52,$A5)*(1+Inflation)^(BE$1-$D$1))</f>
        <v>0</v>
      </c>
      <c r="BF5" s="8">
        <f>IF(BF$1&gt;Lifetime_OH,0,SUMIFS('Mitigation Projects'!$Z$4:$Z$52,'Mitigation Projects'!$H$4:$H$52,$B5,'Mitigation Projects'!$G$4:$G$52,$A5)*(1+Inflation)^(BF$1-$D$1))</f>
        <v>0</v>
      </c>
      <c r="BG5" s="8">
        <f>IF(BG$1&gt;Lifetime_OH,0,SUMIFS('Mitigation Projects'!$Z$4:$Z$52,'Mitigation Projects'!$H$4:$H$52,$B5,'Mitigation Projects'!$G$4:$G$52,$A5)*(1+Inflation)^(BG$1-$D$1))</f>
        <v>0</v>
      </c>
      <c r="BH5" s="8">
        <f>IF(BH$1&gt;Lifetime_OH,0,SUMIFS('Mitigation Projects'!$Z$4:$Z$52,'Mitigation Projects'!$H$4:$H$52,$B5,'Mitigation Projects'!$G$4:$G$52,$A5)*(1+Inflation)^(BH$1-$D$1))</f>
        <v>0</v>
      </c>
      <c r="BI5" s="8">
        <f>IF(BI$1&gt;Lifetime_OH,0,SUMIFS('Mitigation Projects'!$Z$4:$Z$52,'Mitigation Projects'!$H$4:$H$52,$B5,'Mitigation Projects'!$G$4:$G$52,$A5)*(1+Inflation)^(BI$1-$D$1))</f>
        <v>0</v>
      </c>
      <c r="BJ5" s="8">
        <f>IF(BJ$1&gt;Lifetime_OH,0,SUMIFS('Mitigation Projects'!$Z$4:$Z$52,'Mitigation Projects'!$H$4:$H$52,$B5,'Mitigation Projects'!$G$4:$G$52,$A5)*(1+Inflation)^(BJ$1-$D$1))</f>
        <v>0</v>
      </c>
      <c r="BK5" s="8">
        <f>IF(BK$1&gt;Lifetime_OH,0,SUMIFS('Mitigation Projects'!$Z$4:$Z$52,'Mitigation Projects'!$H$4:$H$52,$B5,'Mitigation Projects'!$G$4:$G$52,$A5)*(1+Inflation)^(BK$1-$D$1))</f>
        <v>0</v>
      </c>
      <c r="BL5" s="8">
        <f>IF(BL$1&gt;Lifetime_OH,0,SUMIFS('Mitigation Projects'!$Z$4:$Z$52,'Mitigation Projects'!$H$4:$H$52,$B5,'Mitigation Projects'!$G$4:$G$52,$A5)*(1+Inflation)^(BL$1-$D$1))</f>
        <v>0</v>
      </c>
      <c r="BM5" s="8">
        <f>IF(BM$1&gt;Lifetime_OH,0,SUMIFS('Mitigation Projects'!$Z$4:$Z$52,'Mitigation Projects'!$H$4:$H$52,$B5,'Mitigation Projects'!$G$4:$G$52,$A5)*(1+Inflation)^(BM$1-$D$1))</f>
        <v>0</v>
      </c>
      <c r="BN5" s="8">
        <f>IF(BN$1&gt;Lifetime_OH,0,SUMIFS('Mitigation Projects'!$Z$4:$Z$52,'Mitigation Projects'!$H$4:$H$52,$B5,'Mitigation Projects'!$G$4:$G$52,$A5)*(1+Inflation)^(BN$1-$D$1))</f>
        <v>0</v>
      </c>
      <c r="BO5" s="8">
        <f>IF(BO$1&gt;Lifetime_OH,0,SUMIFS('Mitigation Projects'!$Z$4:$Z$52,'Mitigation Projects'!$H$4:$H$52,$B5,'Mitigation Projects'!$G$4:$G$52,$A5)*(1+Inflation)^(BO$1-$D$1))</f>
        <v>0</v>
      </c>
    </row>
    <row r="6" spans="1:67" x14ac:dyDescent="0.4">
      <c r="A6" t="s">
        <v>37</v>
      </c>
      <c r="B6" t="s">
        <v>15</v>
      </c>
      <c r="C6" t="s">
        <v>174</v>
      </c>
      <c r="D6" s="8"/>
      <c r="E6" s="8">
        <f>IF(E$1&gt;Lifetime_OH,0,SUMIFS('Mitigation Projects'!$AA$4:$AA$52,'Mitigation Projects'!$H$4:$H$52,$B6,'Mitigation Projects'!$G$4:$G$52,$A6)*(1+Inflation)^(E$1-$D$1))</f>
        <v>536874.11489704438</v>
      </c>
      <c r="F6" s="8">
        <f>IF(F$1&gt;Lifetime_OH,0,SUMIFS('Mitigation Projects'!$AA$4:$AA$52,'Mitigation Projects'!$H$4:$H$52,$B6,'Mitigation Projects'!$G$4:$G$52,$A6)*(1+Inflation)^(F$1-$D$1))</f>
        <v>548685.34542477934</v>
      </c>
      <c r="G6" s="8">
        <f>IF(G$1&gt;Lifetime_OH,0,SUMIFS('Mitigation Projects'!$AA$4:$AA$52,'Mitigation Projects'!$H$4:$H$52,$B6,'Mitigation Projects'!$G$4:$G$52,$A6)*(1+Inflation)^(G$1-$D$1))</f>
        <v>560756.42302412447</v>
      </c>
      <c r="H6" s="8">
        <f>IF(H$1&gt;Lifetime_OH,0,SUMIFS('Mitigation Projects'!$AA$4:$AA$52,'Mitigation Projects'!$H$4:$H$52,$B6,'Mitigation Projects'!$G$4:$G$52,$A6)*(1+Inflation)^(H$1-$D$1))</f>
        <v>573093.06433065527</v>
      </c>
      <c r="I6" s="8">
        <f>IF(I$1&gt;Lifetime_OH,0,SUMIFS('Mitigation Projects'!$AA$4:$AA$52,'Mitigation Projects'!$H$4:$H$52,$B6,'Mitigation Projects'!$G$4:$G$52,$A6)*(1+Inflation)^(I$1-$D$1))</f>
        <v>585701.11174592958</v>
      </c>
      <c r="J6" s="8">
        <f>IF(J$1&gt;Lifetime_OH,0,SUMIFS('Mitigation Projects'!$AA$4:$AA$52,'Mitigation Projects'!$H$4:$H$52,$B6,'Mitigation Projects'!$G$4:$G$52,$A6)*(1+Inflation)^(J$1-$D$1))</f>
        <v>598586.53620434005</v>
      </c>
      <c r="K6" s="8">
        <f>IF(K$1&gt;Lifetime_OH,0,SUMIFS('Mitigation Projects'!$AA$4:$AA$52,'Mitigation Projects'!$H$4:$H$52,$B6,'Mitigation Projects'!$G$4:$G$52,$A6)*(1+Inflation)^(K$1-$D$1))</f>
        <v>611755.44000083557</v>
      </c>
      <c r="L6" s="8">
        <f>IF(L$1&gt;Lifetime_OH,0,SUMIFS('Mitigation Projects'!$AA$4:$AA$52,'Mitigation Projects'!$H$4:$H$52,$B6,'Mitigation Projects'!$G$4:$G$52,$A6)*(1+Inflation)^(L$1-$D$1))</f>
        <v>625214.05968085397</v>
      </c>
      <c r="M6" s="8">
        <f>IF(M$1&gt;Lifetime_OH,0,SUMIFS('Mitigation Projects'!$AA$4:$AA$52,'Mitigation Projects'!$H$4:$H$52,$B6,'Mitigation Projects'!$G$4:$G$52,$A6)*(1+Inflation)^(M$1-$D$1))</f>
        <v>638968.76899383275</v>
      </c>
      <c r="N6" s="8">
        <f>IF(N$1&gt;Lifetime_OH,0,SUMIFS('Mitigation Projects'!$AA$4:$AA$52,'Mitigation Projects'!$H$4:$H$52,$B6,'Mitigation Projects'!$G$4:$G$52,$A6)*(1+Inflation)^(N$1-$D$1))</f>
        <v>653026.08191169705</v>
      </c>
      <c r="O6" s="8">
        <f>IF(O$1&gt;Lifetime_OH,0,SUMIFS('Mitigation Projects'!$AA$4:$AA$52,'Mitigation Projects'!$H$4:$H$52,$B6,'Mitigation Projects'!$G$4:$G$52,$A6)*(1+Inflation)^(O$1-$D$1))</f>
        <v>667392.65571375447</v>
      </c>
      <c r="P6" s="8">
        <f>IF(P$1&gt;Lifetime_OH,0,SUMIFS('Mitigation Projects'!$AA$4:$AA$52,'Mitigation Projects'!$H$4:$H$52,$B6,'Mitigation Projects'!$G$4:$G$52,$A6)*(1+Inflation)^(P$1-$D$1))</f>
        <v>682075.29413945705</v>
      </c>
      <c r="Q6" s="8">
        <f>IF(Q$1&gt;Lifetime_OH,0,SUMIFS('Mitigation Projects'!$AA$4:$AA$52,'Mitigation Projects'!$H$4:$H$52,$B6,'Mitigation Projects'!$G$4:$G$52,$A6)*(1+Inflation)^(Q$1-$D$1))</f>
        <v>697080.95061052509</v>
      </c>
      <c r="R6" s="8">
        <f>IF(R$1&gt;Lifetime_OH,0,SUMIFS('Mitigation Projects'!$AA$4:$AA$52,'Mitigation Projects'!$H$4:$H$52,$B6,'Mitigation Projects'!$G$4:$G$52,$A6)*(1+Inflation)^(R$1-$D$1))</f>
        <v>712416.73152395664</v>
      </c>
      <c r="S6" s="8">
        <f>IF(S$1&gt;Lifetime_OH,0,SUMIFS('Mitigation Projects'!$AA$4:$AA$52,'Mitigation Projects'!$H$4:$H$52,$B6,'Mitigation Projects'!$G$4:$G$52,$A6)*(1+Inflation)^(S$1-$D$1))</f>
        <v>728089.89961748372</v>
      </c>
      <c r="T6" s="8">
        <f>IF(T$1&gt;Lifetime_OH,0,SUMIFS('Mitigation Projects'!$AA$4:$AA$52,'Mitigation Projects'!$H$4:$H$52,$B6,'Mitigation Projects'!$G$4:$G$52,$A6)*(1+Inflation)^(T$1-$D$1))</f>
        <v>744107.8774090684</v>
      </c>
      <c r="U6" s="8">
        <f>IF(U$1&gt;Lifetime_OH,0,SUMIFS('Mitigation Projects'!$AA$4:$AA$52,'Mitigation Projects'!$H$4:$H$52,$B6,'Mitigation Projects'!$G$4:$G$52,$A6)*(1+Inflation)^(U$1-$D$1))</f>
        <v>760478.25071206794</v>
      </c>
      <c r="V6" s="8">
        <f>IF(V$1&gt;Lifetime_OH,0,SUMIFS('Mitigation Projects'!$AA$4:$AA$52,'Mitigation Projects'!$H$4:$H$52,$B6,'Mitigation Projects'!$G$4:$G$52,$A6)*(1+Inflation)^(V$1-$D$1))</f>
        <v>777208.77222773328</v>
      </c>
      <c r="W6" s="8">
        <f>IF(W$1&gt;Lifetime_OH,0,SUMIFS('Mitigation Projects'!$AA$4:$AA$52,'Mitigation Projects'!$H$4:$H$52,$B6,'Mitigation Projects'!$G$4:$G$52,$A6)*(1+Inflation)^(W$1-$D$1))</f>
        <v>794307.36521674355</v>
      </c>
      <c r="X6" s="8">
        <f>IF(X$1&gt;Lifetime_OH,0,SUMIFS('Mitigation Projects'!$AA$4:$AA$52,'Mitigation Projects'!$H$4:$H$52,$B6,'Mitigation Projects'!$G$4:$G$52,$A6)*(1+Inflation)^(X$1-$D$1))</f>
        <v>811782.12725151191</v>
      </c>
      <c r="Y6" s="8">
        <f>IF(Y$1&gt;Lifetime_OH,0,SUMIFS('Mitigation Projects'!$AA$4:$AA$52,'Mitigation Projects'!$H$4:$H$52,$B6,'Mitigation Projects'!$G$4:$G$52,$A6)*(1+Inflation)^(Y$1-$D$1))</f>
        <v>829641.33405104512</v>
      </c>
      <c r="Z6" s="8">
        <f>IF(Z$1&gt;Lifetime_OH,0,SUMIFS('Mitigation Projects'!$AA$4:$AA$52,'Mitigation Projects'!$H$4:$H$52,$B6,'Mitigation Projects'!$G$4:$G$52,$A6)*(1+Inflation)^(Z$1-$D$1))</f>
        <v>847893.44340016809</v>
      </c>
      <c r="AA6" s="8">
        <f>IF(AA$1&gt;Lifetime_OH,0,SUMIFS('Mitigation Projects'!$AA$4:$AA$52,'Mitigation Projects'!$H$4:$H$52,$B6,'Mitigation Projects'!$G$4:$G$52,$A6)*(1+Inflation)^(AA$1-$D$1))</f>
        <v>866547.09915497177</v>
      </c>
      <c r="AB6" s="8">
        <f>IF(AB$1&gt;Lifetime_OH,0,SUMIFS('Mitigation Projects'!$AA$4:$AA$52,'Mitigation Projects'!$H$4:$H$52,$B6,'Mitigation Projects'!$G$4:$G$52,$A6)*(1+Inflation)^(AB$1-$D$1))</f>
        <v>885611.13533638127</v>
      </c>
      <c r="AC6" s="8">
        <f>IF(AC$1&gt;Lifetime_OH,0,SUMIFS('Mitigation Projects'!$AA$4:$AA$52,'Mitigation Projects'!$H$4:$H$52,$B6,'Mitigation Projects'!$G$4:$G$52,$A6)*(1+Inflation)^(AC$1-$D$1))</f>
        <v>905094.58031378163</v>
      </c>
      <c r="AD6" s="8">
        <f>IF(AD$1&gt;Lifetime_OH,0,SUMIFS('Mitigation Projects'!$AA$4:$AA$52,'Mitigation Projects'!$H$4:$H$52,$B6,'Mitigation Projects'!$G$4:$G$52,$A6)*(1+Inflation)^(AD$1-$D$1))</f>
        <v>925006.66108068486</v>
      </c>
      <c r="AE6" s="8">
        <f>IF(AE$1&gt;Lifetime_OH,0,SUMIFS('Mitigation Projects'!$AA$4:$AA$52,'Mitigation Projects'!$H$4:$H$52,$B6,'Mitigation Projects'!$G$4:$G$52,$A6)*(1+Inflation)^(AE$1-$D$1))</f>
        <v>945356.80762445997</v>
      </c>
      <c r="AF6" s="8">
        <f>IF(AF$1&gt;Lifetime_OH,0,SUMIFS('Mitigation Projects'!$AA$4:$AA$52,'Mitigation Projects'!$H$4:$H$52,$B6,'Mitigation Projects'!$G$4:$G$52,$A6)*(1+Inflation)^(AF$1-$D$1))</f>
        <v>966154.6573921981</v>
      </c>
      <c r="AG6" s="8">
        <f>IF(AG$1&gt;Lifetime_OH,0,SUMIFS('Mitigation Projects'!$AA$4:$AA$52,'Mitigation Projects'!$H$4:$H$52,$B6,'Mitigation Projects'!$G$4:$G$52,$A6)*(1+Inflation)^(AG$1-$D$1))</f>
        <v>987410.05985482654</v>
      </c>
      <c r="AH6" s="8">
        <f>IF(AH$1&gt;Lifetime_OH,0,SUMIFS('Mitigation Projects'!$AA$4:$AA$52,'Mitigation Projects'!$H$4:$H$52,$B6,'Mitigation Projects'!$G$4:$G$52,$A6)*(1+Inflation)^(AH$1-$D$1))</f>
        <v>1009133.0811716325</v>
      </c>
      <c r="AI6" s="8">
        <f>IF(AI$1&gt;Lifetime_OH,0,SUMIFS('Mitigation Projects'!$AA$4:$AA$52,'Mitigation Projects'!$H$4:$H$52,$B6,'Mitigation Projects'!$G$4:$G$52,$A6)*(1+Inflation)^(AI$1-$D$1))</f>
        <v>1031334.0089574086</v>
      </c>
      <c r="AJ6" s="8">
        <f>IF(AJ$1&gt;Lifetime_OH,0,SUMIFS('Mitigation Projects'!$AA$4:$AA$52,'Mitigation Projects'!$H$4:$H$52,$B6,'Mitigation Projects'!$G$4:$G$52,$A6)*(1+Inflation)^(AJ$1-$D$1))</f>
        <v>1054023.3571544716</v>
      </c>
      <c r="AK6" s="8">
        <f>IF(AK$1&gt;Lifetime_OH,0,SUMIFS('Mitigation Projects'!$AA$4:$AA$52,'Mitigation Projects'!$H$4:$H$52,$B6,'Mitigation Projects'!$G$4:$G$52,$A6)*(1+Inflation)^(AK$1-$D$1))</f>
        <v>1077211.87101187</v>
      </c>
      <c r="AL6" s="8">
        <f>IF(AL$1&gt;Lifetime_OH,0,SUMIFS('Mitigation Projects'!$AA$4:$AA$52,'Mitigation Projects'!$H$4:$H$52,$B6,'Mitigation Projects'!$G$4:$G$52,$A6)*(1+Inflation)^(AL$1-$D$1))</f>
        <v>1100910.5321741309</v>
      </c>
      <c r="AM6" s="8">
        <f>IF(AM$1&gt;Lifetime_OH,0,SUMIFS('Mitigation Projects'!$AA$4:$AA$52,'Mitigation Projects'!$H$4:$H$52,$B6,'Mitigation Projects'!$G$4:$G$52,$A6)*(1+Inflation)^(AM$1-$D$1))</f>
        <v>1125130.5638819619</v>
      </c>
      <c r="AN6" s="8">
        <f>IF(AN$1&gt;Lifetime_OH,0,SUMIFS('Mitigation Projects'!$AA$4:$AA$52,'Mitigation Projects'!$H$4:$H$52,$B6,'Mitigation Projects'!$G$4:$G$52,$A6)*(1+Inflation)^(AN$1-$D$1))</f>
        <v>1149883.4362873649</v>
      </c>
      <c r="AO6" s="8">
        <f>IF(AO$1&gt;Lifetime_OH,0,SUMIFS('Mitigation Projects'!$AA$4:$AA$52,'Mitigation Projects'!$H$4:$H$52,$B6,'Mitigation Projects'!$G$4:$G$52,$A6)*(1+Inflation)^(AO$1-$D$1))</f>
        <v>1175180.8718856871</v>
      </c>
      <c r="AP6" s="8">
        <f>IF(AP$1&gt;Lifetime_OH,0,SUMIFS('Mitigation Projects'!$AA$4:$AA$52,'Mitigation Projects'!$H$4:$H$52,$B6,'Mitigation Projects'!$G$4:$G$52,$A6)*(1+Inflation)^(AP$1-$D$1))</f>
        <v>1201034.8510671721</v>
      </c>
      <c r="AQ6" s="8">
        <f>IF(AQ$1&gt;Lifetime_OH,0,SUMIFS('Mitigation Projects'!$AA$4:$AA$52,'Mitigation Projects'!$H$4:$H$52,$B6,'Mitigation Projects'!$G$4:$G$52,$A6)*(1+Inflation)^(AQ$1-$D$1))</f>
        <v>1227457.6177906499</v>
      </c>
      <c r="AR6" s="8">
        <f>IF(AR$1&gt;Lifetime_OH,0,SUMIFS('Mitigation Projects'!$AA$4:$AA$52,'Mitigation Projects'!$H$4:$H$52,$B6,'Mitigation Projects'!$G$4:$G$52,$A6)*(1+Inflation)^(AR$1-$D$1))</f>
        <v>1254461.6853820444</v>
      </c>
      <c r="AS6" s="8">
        <f>IF(AS$1&gt;Lifetime_OH,0,SUMIFS('Mitigation Projects'!$AA$4:$AA$52,'Mitigation Projects'!$H$4:$H$52,$B6,'Mitigation Projects'!$G$4:$G$52,$A6)*(1+Inflation)^(AS$1-$D$1))</f>
        <v>1282059.8424604496</v>
      </c>
      <c r="AT6" s="8">
        <f>IF(AT$1&gt;Lifetime_OH,0,SUMIFS('Mitigation Projects'!$AA$4:$AA$52,'Mitigation Projects'!$H$4:$H$52,$B6,'Mitigation Projects'!$G$4:$G$52,$A6)*(1+Inflation)^(AT$1-$D$1))</f>
        <v>1310265.1589945792</v>
      </c>
      <c r="AU6" s="8">
        <f>IF(AU$1&gt;Lifetime_OH,0,SUMIFS('Mitigation Projects'!$AA$4:$AA$52,'Mitigation Projects'!$H$4:$H$52,$B6,'Mitigation Projects'!$G$4:$G$52,$A6)*(1+Inflation)^(AU$1-$D$1))</f>
        <v>1339090.9924924599</v>
      </c>
      <c r="AV6" s="8">
        <f>IF(AV$1&gt;Lifetime_OH,0,SUMIFS('Mitigation Projects'!$AA$4:$AA$52,'Mitigation Projects'!$H$4:$H$52,$B6,'Mitigation Projects'!$G$4:$G$52,$A6)*(1+Inflation)^(AV$1-$D$1))</f>
        <v>1368550.9943272942</v>
      </c>
      <c r="AW6" s="8">
        <f>IF(AW$1&gt;Lifetime_OH,0,SUMIFS('Mitigation Projects'!$AA$4:$AA$52,'Mitigation Projects'!$H$4:$H$52,$B6,'Mitigation Projects'!$G$4:$G$52,$A6)*(1+Inflation)^(AW$1-$D$1))</f>
        <v>1398659.1162024948</v>
      </c>
      <c r="AX6" s="8">
        <f>IF(AX$1&gt;Lifetime_OH,0,SUMIFS('Mitigation Projects'!$AA$4:$AA$52,'Mitigation Projects'!$H$4:$H$52,$B6,'Mitigation Projects'!$G$4:$G$52,$A6)*(1+Inflation)^(AX$1-$D$1))</f>
        <v>1429429.6167589494</v>
      </c>
      <c r="AY6" s="8">
        <f>IF(AY$1&gt;Lifetime_OH,0,SUMIFS('Mitigation Projects'!$AA$4:$AA$52,'Mitigation Projects'!$H$4:$H$52,$B6,'Mitigation Projects'!$G$4:$G$52,$A6)*(1+Inflation)^(AY$1-$D$1))</f>
        <v>1460877.0683276465</v>
      </c>
      <c r="AZ6" s="8">
        <f>IF(AZ$1&gt;Lifetime_OH,0,SUMIFS('Mitigation Projects'!$AA$4:$AA$52,'Mitigation Projects'!$H$4:$H$52,$B6,'Mitigation Projects'!$G$4:$G$52,$A6)*(1+Inflation)^(AZ$1-$D$1))</f>
        <v>0</v>
      </c>
      <c r="BA6" s="8">
        <f>IF(BA$1&gt;Lifetime_OH,0,SUMIFS('Mitigation Projects'!$AA$4:$AA$52,'Mitigation Projects'!$H$4:$H$52,$B6,'Mitigation Projects'!$G$4:$G$52,$A6)*(1+Inflation)^(BA$1-$D$1))</f>
        <v>0</v>
      </c>
      <c r="BB6" s="8">
        <f>IF(BB$1&gt;Lifetime_OH,0,SUMIFS('Mitigation Projects'!$AA$4:$AA$52,'Mitigation Projects'!$H$4:$H$52,$B6,'Mitigation Projects'!$G$4:$G$52,$A6)*(1+Inflation)^(BB$1-$D$1))</f>
        <v>0</v>
      </c>
      <c r="BC6" s="8">
        <f>IF(BC$1&gt;Lifetime_OH,0,SUMIFS('Mitigation Projects'!$AA$4:$AA$52,'Mitigation Projects'!$H$4:$H$52,$B6,'Mitigation Projects'!$G$4:$G$52,$A6)*(1+Inflation)^(BC$1-$D$1))</f>
        <v>0</v>
      </c>
      <c r="BD6" s="8">
        <f>IF(BD$1&gt;Lifetime_OH,0,SUMIFS('Mitigation Projects'!$AA$4:$AA$52,'Mitigation Projects'!$H$4:$H$52,$B6,'Mitigation Projects'!$G$4:$G$52,$A6)*(1+Inflation)^(BD$1-$D$1))</f>
        <v>0</v>
      </c>
      <c r="BE6" s="8">
        <f>IF(BE$1&gt;Lifetime_OH,0,SUMIFS('Mitigation Projects'!$AA$4:$AA$52,'Mitigation Projects'!$H$4:$H$52,$B6,'Mitigation Projects'!$G$4:$G$52,$A6)*(1+Inflation)^(BE$1-$D$1))</f>
        <v>0</v>
      </c>
      <c r="BF6" s="8">
        <f>IF(BF$1&gt;Lifetime_OH,0,SUMIFS('Mitigation Projects'!$AA$4:$AA$52,'Mitigation Projects'!$H$4:$H$52,$B6,'Mitigation Projects'!$G$4:$G$52,$A6)*(1+Inflation)^(BF$1-$D$1))</f>
        <v>0</v>
      </c>
      <c r="BG6" s="8">
        <f>IF(BG$1&gt;Lifetime_OH,0,SUMIFS('Mitigation Projects'!$AA$4:$AA$52,'Mitigation Projects'!$H$4:$H$52,$B6,'Mitigation Projects'!$G$4:$G$52,$A6)*(1+Inflation)^(BG$1-$D$1))</f>
        <v>0</v>
      </c>
      <c r="BH6" s="8">
        <f>IF(BH$1&gt;Lifetime_OH,0,SUMIFS('Mitigation Projects'!$AA$4:$AA$52,'Mitigation Projects'!$H$4:$H$52,$B6,'Mitigation Projects'!$G$4:$G$52,$A6)*(1+Inflation)^(BH$1-$D$1))</f>
        <v>0</v>
      </c>
      <c r="BI6" s="8">
        <f>IF(BI$1&gt;Lifetime_OH,0,SUMIFS('Mitigation Projects'!$AA$4:$AA$52,'Mitigation Projects'!$H$4:$H$52,$B6,'Mitigation Projects'!$G$4:$G$52,$A6)*(1+Inflation)^(BI$1-$D$1))</f>
        <v>0</v>
      </c>
      <c r="BJ6" s="8">
        <f>IF(BJ$1&gt;Lifetime_OH,0,SUMIFS('Mitigation Projects'!$AA$4:$AA$52,'Mitigation Projects'!$H$4:$H$52,$B6,'Mitigation Projects'!$G$4:$G$52,$A6)*(1+Inflation)^(BJ$1-$D$1))</f>
        <v>0</v>
      </c>
      <c r="BK6" s="8">
        <f>IF(BK$1&gt;Lifetime_OH,0,SUMIFS('Mitigation Projects'!$AA$4:$AA$52,'Mitigation Projects'!$H$4:$H$52,$B6,'Mitigation Projects'!$G$4:$G$52,$A6)*(1+Inflation)^(BK$1-$D$1))</f>
        <v>0</v>
      </c>
      <c r="BL6" s="8">
        <f>IF(BL$1&gt;Lifetime_OH,0,SUMIFS('Mitigation Projects'!$AA$4:$AA$52,'Mitigation Projects'!$H$4:$H$52,$B6,'Mitigation Projects'!$G$4:$G$52,$A6)*(1+Inflation)^(BL$1-$D$1))</f>
        <v>0</v>
      </c>
      <c r="BM6" s="8">
        <f>IF(BM$1&gt;Lifetime_OH,0,SUMIFS('Mitigation Projects'!$AA$4:$AA$52,'Mitigation Projects'!$H$4:$H$52,$B6,'Mitigation Projects'!$G$4:$G$52,$A6)*(1+Inflation)^(BM$1-$D$1))</f>
        <v>0</v>
      </c>
      <c r="BN6" s="8">
        <f>IF(BN$1&gt;Lifetime_OH,0,SUMIFS('Mitigation Projects'!$AA$4:$AA$52,'Mitigation Projects'!$H$4:$H$52,$B6,'Mitigation Projects'!$G$4:$G$52,$A6)*(1+Inflation)^(BN$1-$D$1))</f>
        <v>0</v>
      </c>
      <c r="BO6" s="8">
        <f>IF(BO$1&gt;Lifetime_OH,0,SUMIFS('Mitigation Projects'!$AA$4:$AA$52,'Mitigation Projects'!$H$4:$H$52,$B6,'Mitigation Projects'!$G$4:$G$52,$A6)*(1+Inflation)^(BO$1-$D$1))</f>
        <v>0</v>
      </c>
    </row>
    <row r="7" spans="1:67" x14ac:dyDescent="0.4">
      <c r="A7" t="s">
        <v>37</v>
      </c>
      <c r="B7" t="s">
        <v>15</v>
      </c>
      <c r="C7" t="s">
        <v>320</v>
      </c>
      <c r="D7" s="8"/>
      <c r="E7" s="8">
        <f>IF(E$1&lt;=Lifetime_OH,SUMIFS('Mitigation Projects'!$AG:$AG,'Mitigation Projects'!$H:$H,Benefits_Mitigation!$B7,'Mitigation Projects'!$G:$G,Benefits_Mitigation!$A7)*(1+Inflation)^(Benefits_Mitigation!E$1-Benefits_Mitigation!$D$1),0)</f>
        <v>0</v>
      </c>
      <c r="F7" s="8">
        <f>IF(F$1&lt;=Lifetime_OH,SUMIFS('Mitigation Projects'!$AG:$AG,'Mitigation Projects'!$H:$H,Benefits_Mitigation!$B7,'Mitigation Projects'!$G:$G,Benefits_Mitigation!$A7)*(1+Inflation)^(Benefits_Mitigation!F$1-Benefits_Mitigation!$D$1),0)</f>
        <v>0</v>
      </c>
      <c r="G7" s="8">
        <f>IF(G$1&lt;=Lifetime_OH,SUMIFS('Mitigation Projects'!$AG:$AG,'Mitigation Projects'!$H:$H,Benefits_Mitigation!$B7,'Mitigation Projects'!$G:$G,Benefits_Mitigation!$A7)*(1+Inflation)^(Benefits_Mitigation!G$1-Benefits_Mitigation!$D$1),0)</f>
        <v>0</v>
      </c>
      <c r="H7" s="8">
        <f>IF(H$1&lt;=Lifetime_OH,SUMIFS('Mitigation Projects'!$AG:$AG,'Mitigation Projects'!$H:$H,Benefits_Mitigation!$B7,'Mitigation Projects'!$G:$G,Benefits_Mitigation!$A7)*(1+Inflation)^(Benefits_Mitigation!H$1-Benefits_Mitigation!$D$1),0)</f>
        <v>0</v>
      </c>
      <c r="I7" s="8">
        <f>IF(I$1&lt;=Lifetime_OH,SUMIFS('Mitigation Projects'!$AG:$AG,'Mitigation Projects'!$H:$H,Benefits_Mitigation!$B7,'Mitigation Projects'!$G:$G,Benefits_Mitigation!$A7)*(1+Inflation)^(Benefits_Mitigation!I$1-Benefits_Mitigation!$D$1),0)</f>
        <v>0</v>
      </c>
      <c r="J7" s="8">
        <f>IF(J$1&lt;=Lifetime_OH,SUMIFS('Mitigation Projects'!$AG:$AG,'Mitigation Projects'!$H:$H,Benefits_Mitigation!$B7,'Mitigation Projects'!$G:$G,Benefits_Mitigation!$A7)*(1+Inflation)^(Benefits_Mitigation!J$1-Benefits_Mitigation!$D$1),0)</f>
        <v>0</v>
      </c>
      <c r="K7" s="8">
        <f>IF(K$1&lt;=Lifetime_OH,SUMIFS('Mitigation Projects'!$AG:$AG,'Mitigation Projects'!$H:$H,Benefits_Mitigation!$B7,'Mitigation Projects'!$G:$G,Benefits_Mitigation!$A7)*(1+Inflation)^(Benefits_Mitigation!K$1-Benefits_Mitigation!$D$1),0)</f>
        <v>0</v>
      </c>
      <c r="L7" s="8">
        <f>IF(L$1&lt;=Lifetime_OH,SUMIFS('Mitigation Projects'!$AG:$AG,'Mitigation Projects'!$H:$H,Benefits_Mitigation!$B7,'Mitigation Projects'!$G:$G,Benefits_Mitigation!$A7)*(1+Inflation)^(Benefits_Mitigation!L$1-Benefits_Mitigation!$D$1),0)</f>
        <v>0</v>
      </c>
      <c r="M7" s="8">
        <f>IF(M$1&lt;=Lifetime_OH,SUMIFS('Mitigation Projects'!$AG:$AG,'Mitigation Projects'!$H:$H,Benefits_Mitigation!$B7,'Mitigation Projects'!$G:$G,Benefits_Mitigation!$A7)*(1+Inflation)^(Benefits_Mitigation!M$1-Benefits_Mitigation!$D$1),0)</f>
        <v>0</v>
      </c>
      <c r="N7" s="8">
        <f>IF(N$1&lt;=Lifetime_OH,SUMIFS('Mitigation Projects'!$AG:$AG,'Mitigation Projects'!$H:$H,Benefits_Mitigation!$B7,'Mitigation Projects'!$G:$G,Benefits_Mitigation!$A7)*(1+Inflation)^(Benefits_Mitigation!N$1-Benefits_Mitigation!$D$1),0)</f>
        <v>0</v>
      </c>
      <c r="O7" s="8">
        <f>IF(O$1&lt;=Lifetime_OH,SUMIFS('Mitigation Projects'!$AG:$AG,'Mitigation Projects'!$H:$H,Benefits_Mitigation!$B7,'Mitigation Projects'!$G:$G,Benefits_Mitigation!$A7)*(1+Inflation)^(Benefits_Mitigation!O$1-Benefits_Mitigation!$D$1),0)</f>
        <v>0</v>
      </c>
      <c r="P7" s="8">
        <f>IF(P$1&lt;=Lifetime_OH,SUMIFS('Mitigation Projects'!$AG:$AG,'Mitigation Projects'!$H:$H,Benefits_Mitigation!$B7,'Mitigation Projects'!$G:$G,Benefits_Mitigation!$A7)*(1+Inflation)^(Benefits_Mitigation!P$1-Benefits_Mitigation!$D$1),0)</f>
        <v>0</v>
      </c>
      <c r="Q7" s="8">
        <f>IF(Q$1&lt;=Lifetime_OH,SUMIFS('Mitigation Projects'!$AG:$AG,'Mitigation Projects'!$H:$H,Benefits_Mitigation!$B7,'Mitigation Projects'!$G:$G,Benefits_Mitigation!$A7)*(1+Inflation)^(Benefits_Mitigation!Q$1-Benefits_Mitigation!$D$1),0)</f>
        <v>0</v>
      </c>
      <c r="R7" s="8">
        <f>IF(R$1&lt;=Lifetime_OH,SUMIFS('Mitigation Projects'!$AG:$AG,'Mitigation Projects'!$H:$H,Benefits_Mitigation!$B7,'Mitigation Projects'!$G:$G,Benefits_Mitigation!$A7)*(1+Inflation)^(Benefits_Mitigation!R$1-Benefits_Mitigation!$D$1),0)</f>
        <v>0</v>
      </c>
      <c r="S7" s="8">
        <f>IF(S$1&lt;=Lifetime_OH,SUMIFS('Mitigation Projects'!$AG:$AG,'Mitigation Projects'!$H:$H,Benefits_Mitigation!$B7,'Mitigation Projects'!$G:$G,Benefits_Mitigation!$A7)*(1+Inflation)^(Benefits_Mitigation!S$1-Benefits_Mitigation!$D$1),0)</f>
        <v>0</v>
      </c>
      <c r="T7" s="8">
        <f>IF(T$1&lt;=Lifetime_OH,SUMIFS('Mitigation Projects'!$AG:$AG,'Mitigation Projects'!$H:$H,Benefits_Mitigation!$B7,'Mitigation Projects'!$G:$G,Benefits_Mitigation!$A7)*(1+Inflation)^(Benefits_Mitigation!T$1-Benefits_Mitigation!$D$1),0)</f>
        <v>0</v>
      </c>
      <c r="U7" s="8">
        <f>IF(U$1&lt;=Lifetime_OH,SUMIFS('Mitigation Projects'!$AG:$AG,'Mitigation Projects'!$H:$H,Benefits_Mitigation!$B7,'Mitigation Projects'!$G:$G,Benefits_Mitigation!$A7)*(1+Inflation)^(Benefits_Mitigation!U$1-Benefits_Mitigation!$D$1),0)</f>
        <v>0</v>
      </c>
      <c r="V7" s="8">
        <f>IF(V$1&lt;=Lifetime_OH,SUMIFS('Mitigation Projects'!$AG:$AG,'Mitigation Projects'!$H:$H,Benefits_Mitigation!$B7,'Mitigation Projects'!$G:$G,Benefits_Mitigation!$A7)*(1+Inflation)^(Benefits_Mitigation!V$1-Benefits_Mitigation!$D$1),0)</f>
        <v>0</v>
      </c>
      <c r="W7" s="8">
        <f>IF(W$1&lt;=Lifetime_OH,SUMIFS('Mitigation Projects'!$AG:$AG,'Mitigation Projects'!$H:$H,Benefits_Mitigation!$B7,'Mitigation Projects'!$G:$G,Benefits_Mitigation!$A7)*(1+Inflation)^(Benefits_Mitigation!W$1-Benefits_Mitigation!$D$1),0)</f>
        <v>0</v>
      </c>
      <c r="X7" s="8">
        <f>IF(X$1&lt;=Lifetime_OH,SUMIFS('Mitigation Projects'!$AG:$AG,'Mitigation Projects'!$H:$H,Benefits_Mitigation!$B7,'Mitigation Projects'!$G:$G,Benefits_Mitigation!$A7)*(1+Inflation)^(Benefits_Mitigation!X$1-Benefits_Mitigation!$D$1),0)</f>
        <v>0</v>
      </c>
      <c r="Y7" s="8">
        <f>IF(Y$1&lt;=Lifetime_OH,SUMIFS('Mitigation Projects'!$AG:$AG,'Mitigation Projects'!$H:$H,Benefits_Mitigation!$B7,'Mitigation Projects'!$G:$G,Benefits_Mitigation!$A7)*(1+Inflation)^(Benefits_Mitigation!Y$1-Benefits_Mitigation!$D$1),0)</f>
        <v>0</v>
      </c>
      <c r="Z7" s="8">
        <f>IF(Z$1&lt;=Lifetime_OH,SUMIFS('Mitigation Projects'!$AG:$AG,'Mitigation Projects'!$H:$H,Benefits_Mitigation!$B7,'Mitigation Projects'!$G:$G,Benefits_Mitigation!$A7)*(1+Inflation)^(Benefits_Mitigation!Z$1-Benefits_Mitigation!$D$1),0)</f>
        <v>0</v>
      </c>
      <c r="AA7" s="8">
        <f>IF(AA$1&lt;=Lifetime_OH,SUMIFS('Mitigation Projects'!$AG:$AG,'Mitigation Projects'!$H:$H,Benefits_Mitigation!$B7,'Mitigation Projects'!$G:$G,Benefits_Mitigation!$A7)*(1+Inflation)^(Benefits_Mitigation!AA$1-Benefits_Mitigation!$D$1),0)</f>
        <v>0</v>
      </c>
      <c r="AB7" s="8">
        <f>IF(AB$1&lt;=Lifetime_OH,SUMIFS('Mitigation Projects'!$AG:$AG,'Mitigation Projects'!$H:$H,Benefits_Mitigation!$B7,'Mitigation Projects'!$G:$G,Benefits_Mitigation!$A7)*(1+Inflation)^(Benefits_Mitigation!AB$1-Benefits_Mitigation!$D$1),0)</f>
        <v>0</v>
      </c>
      <c r="AC7" s="8">
        <f>IF(AC$1&lt;=Lifetime_OH,SUMIFS('Mitigation Projects'!$AG:$AG,'Mitigation Projects'!$H:$H,Benefits_Mitigation!$B7,'Mitigation Projects'!$G:$G,Benefits_Mitigation!$A7)*(1+Inflation)^(Benefits_Mitigation!AC$1-Benefits_Mitigation!$D$1),0)</f>
        <v>0</v>
      </c>
      <c r="AD7" s="8">
        <f>IF(AD$1&lt;=Lifetime_OH,SUMIFS('Mitigation Projects'!$AG:$AG,'Mitigation Projects'!$H:$H,Benefits_Mitigation!$B7,'Mitigation Projects'!$G:$G,Benefits_Mitigation!$A7)*(1+Inflation)^(Benefits_Mitigation!AD$1-Benefits_Mitigation!$D$1),0)</f>
        <v>0</v>
      </c>
      <c r="AE7" s="8">
        <f>IF(AE$1&lt;=Lifetime_OH,SUMIFS('Mitigation Projects'!$AG:$AG,'Mitigation Projects'!$H:$H,Benefits_Mitigation!$B7,'Mitigation Projects'!$G:$G,Benefits_Mitigation!$A7)*(1+Inflation)^(Benefits_Mitigation!AE$1-Benefits_Mitigation!$D$1),0)</f>
        <v>0</v>
      </c>
      <c r="AF7" s="8">
        <f>IF(AF$1&lt;=Lifetime_OH,SUMIFS('Mitigation Projects'!$AG:$AG,'Mitigation Projects'!$H:$H,Benefits_Mitigation!$B7,'Mitigation Projects'!$G:$G,Benefits_Mitigation!$A7)*(1+Inflation)^(Benefits_Mitigation!AF$1-Benefits_Mitigation!$D$1),0)</f>
        <v>0</v>
      </c>
      <c r="AG7" s="8">
        <f>IF(AG$1&lt;=Lifetime_OH,SUMIFS('Mitigation Projects'!$AG:$AG,'Mitigation Projects'!$H:$H,Benefits_Mitigation!$B7,'Mitigation Projects'!$G:$G,Benefits_Mitigation!$A7)*(1+Inflation)^(Benefits_Mitigation!AG$1-Benefits_Mitigation!$D$1),0)</f>
        <v>0</v>
      </c>
      <c r="AH7" s="8">
        <f>IF(AH$1&lt;=Lifetime_OH,SUMIFS('Mitigation Projects'!$AG:$AG,'Mitigation Projects'!$H:$H,Benefits_Mitigation!$B7,'Mitigation Projects'!$G:$G,Benefits_Mitigation!$A7)*(1+Inflation)^(Benefits_Mitigation!AH$1-Benefits_Mitigation!$D$1),0)</f>
        <v>0</v>
      </c>
      <c r="AI7" s="8">
        <f>IF(AI$1&lt;=Lifetime_OH,SUMIFS('Mitigation Projects'!$AG:$AG,'Mitigation Projects'!$H:$H,Benefits_Mitigation!$B7,'Mitigation Projects'!$G:$G,Benefits_Mitigation!$A7)*(1+Inflation)^(Benefits_Mitigation!AI$1-Benefits_Mitigation!$D$1),0)</f>
        <v>0</v>
      </c>
      <c r="AJ7" s="8">
        <f>IF(AJ$1&lt;=Lifetime_OH,SUMIFS('Mitigation Projects'!$AG:$AG,'Mitigation Projects'!$H:$H,Benefits_Mitigation!$B7,'Mitigation Projects'!$G:$G,Benefits_Mitigation!$A7)*(1+Inflation)^(Benefits_Mitigation!AJ$1-Benefits_Mitigation!$D$1),0)</f>
        <v>0</v>
      </c>
      <c r="AK7" s="8">
        <f>IF(AK$1&lt;=Lifetime_OH,SUMIFS('Mitigation Projects'!$AG:$AG,'Mitigation Projects'!$H:$H,Benefits_Mitigation!$B7,'Mitigation Projects'!$G:$G,Benefits_Mitigation!$A7)*(1+Inflation)^(Benefits_Mitigation!AK$1-Benefits_Mitigation!$D$1),0)</f>
        <v>0</v>
      </c>
      <c r="AL7" s="8">
        <f>IF(AL$1&lt;=Lifetime_OH,SUMIFS('Mitigation Projects'!$AG:$AG,'Mitigation Projects'!$H:$H,Benefits_Mitigation!$B7,'Mitigation Projects'!$G:$G,Benefits_Mitigation!$A7)*(1+Inflation)^(Benefits_Mitigation!AL$1-Benefits_Mitigation!$D$1),0)</f>
        <v>0</v>
      </c>
      <c r="AM7" s="8">
        <f>IF(AM$1&lt;=Lifetime_OH,SUMIFS('Mitigation Projects'!$AG:$AG,'Mitigation Projects'!$H:$H,Benefits_Mitigation!$B7,'Mitigation Projects'!$G:$G,Benefits_Mitigation!$A7)*(1+Inflation)^(Benefits_Mitigation!AM$1-Benefits_Mitigation!$D$1),0)</f>
        <v>0</v>
      </c>
      <c r="AN7" s="8">
        <f>IF(AN$1&lt;=Lifetime_OH,SUMIFS('Mitigation Projects'!$AG:$AG,'Mitigation Projects'!$H:$H,Benefits_Mitigation!$B7,'Mitigation Projects'!$G:$G,Benefits_Mitigation!$A7)*(1+Inflation)^(Benefits_Mitigation!AN$1-Benefits_Mitigation!$D$1),0)</f>
        <v>0</v>
      </c>
      <c r="AO7" s="8">
        <f>IF(AO$1&lt;=Lifetime_OH,SUMIFS('Mitigation Projects'!$AG:$AG,'Mitigation Projects'!$H:$H,Benefits_Mitigation!$B7,'Mitigation Projects'!$G:$G,Benefits_Mitigation!$A7)*(1+Inflation)^(Benefits_Mitigation!AO$1-Benefits_Mitigation!$D$1),0)</f>
        <v>0</v>
      </c>
      <c r="AP7" s="8">
        <f>IF(AP$1&lt;=Lifetime_OH,SUMIFS('Mitigation Projects'!$AG:$AG,'Mitigation Projects'!$H:$H,Benefits_Mitigation!$B7,'Mitigation Projects'!$G:$G,Benefits_Mitigation!$A7)*(1+Inflation)^(Benefits_Mitigation!AP$1-Benefits_Mitigation!$D$1),0)</f>
        <v>0</v>
      </c>
      <c r="AQ7" s="8">
        <f>IF(AQ$1&lt;=Lifetime_OH,SUMIFS('Mitigation Projects'!$AG:$AG,'Mitigation Projects'!$H:$H,Benefits_Mitigation!$B7,'Mitigation Projects'!$G:$G,Benefits_Mitigation!$A7)*(1+Inflation)^(Benefits_Mitigation!AQ$1-Benefits_Mitigation!$D$1),0)</f>
        <v>0</v>
      </c>
      <c r="AR7" s="8">
        <f>IF(AR$1&lt;=Lifetime_OH,SUMIFS('Mitigation Projects'!$AG:$AG,'Mitigation Projects'!$H:$H,Benefits_Mitigation!$B7,'Mitigation Projects'!$G:$G,Benefits_Mitigation!$A7)*(1+Inflation)^(Benefits_Mitigation!AR$1-Benefits_Mitigation!$D$1),0)</f>
        <v>0</v>
      </c>
      <c r="AS7" s="8">
        <f>IF(AS$1&lt;=Lifetime_OH,SUMIFS('Mitigation Projects'!$AG:$AG,'Mitigation Projects'!$H:$H,Benefits_Mitigation!$B7,'Mitigation Projects'!$G:$G,Benefits_Mitigation!$A7)*(1+Inflation)^(Benefits_Mitigation!AS$1-Benefits_Mitigation!$D$1),0)</f>
        <v>0</v>
      </c>
      <c r="AT7" s="8">
        <f>IF(AT$1&lt;=Lifetime_OH,SUMIFS('Mitigation Projects'!$AG:$AG,'Mitigation Projects'!$H:$H,Benefits_Mitigation!$B7,'Mitigation Projects'!$G:$G,Benefits_Mitigation!$A7)*(1+Inflation)^(Benefits_Mitigation!AT$1-Benefits_Mitigation!$D$1),0)</f>
        <v>0</v>
      </c>
      <c r="AU7" s="8">
        <f>IF(AU$1&lt;=Lifetime_OH,SUMIFS('Mitigation Projects'!$AG:$AG,'Mitigation Projects'!$H:$H,Benefits_Mitigation!$B7,'Mitigation Projects'!$G:$G,Benefits_Mitigation!$A7)*(1+Inflation)^(Benefits_Mitigation!AU$1-Benefits_Mitigation!$D$1),0)</f>
        <v>0</v>
      </c>
      <c r="AV7" s="8">
        <f>IF(AV$1&lt;=Lifetime_OH,SUMIFS('Mitigation Projects'!$AG:$AG,'Mitigation Projects'!$H:$H,Benefits_Mitigation!$B7,'Mitigation Projects'!$G:$G,Benefits_Mitigation!$A7)*(1+Inflation)^(Benefits_Mitigation!AV$1-Benefits_Mitigation!$D$1),0)</f>
        <v>0</v>
      </c>
      <c r="AW7" s="8">
        <f>IF(AW$1&lt;=Lifetime_OH,SUMIFS('Mitigation Projects'!$AG:$AG,'Mitigation Projects'!$H:$H,Benefits_Mitigation!$B7,'Mitigation Projects'!$G:$G,Benefits_Mitigation!$A7)*(1+Inflation)^(Benefits_Mitigation!AW$1-Benefits_Mitigation!$D$1),0)</f>
        <v>0</v>
      </c>
      <c r="AX7" s="8">
        <f>IF(AX$1&lt;=Lifetime_OH,SUMIFS('Mitigation Projects'!$AG:$AG,'Mitigation Projects'!$H:$H,Benefits_Mitigation!$B7,'Mitigation Projects'!$G:$G,Benefits_Mitigation!$A7)*(1+Inflation)^(Benefits_Mitigation!AX$1-Benefits_Mitigation!$D$1),0)</f>
        <v>0</v>
      </c>
      <c r="AY7" s="8">
        <f>IF(AY$1&lt;=Lifetime_OH,SUMIFS('Mitigation Projects'!$AG:$AG,'Mitigation Projects'!$H:$H,Benefits_Mitigation!$B7,'Mitigation Projects'!$G:$G,Benefits_Mitigation!$A7)*(1+Inflation)^(Benefits_Mitigation!AY$1-Benefits_Mitigation!$D$1),0)</f>
        <v>0</v>
      </c>
      <c r="AZ7" s="8">
        <f>IF(AZ$1&lt;=Lifetime_OH,SUMIFS('Mitigation Projects'!$AG:$AG,'Mitigation Projects'!$H:$H,Benefits_Mitigation!$B7,'Mitigation Projects'!$G:$G,Benefits_Mitigation!$A7)*(1+Inflation)^(Benefits_Mitigation!AZ$1-Benefits_Mitigation!$D$1),0)</f>
        <v>0</v>
      </c>
      <c r="BA7" s="8">
        <f>IF(BA$1&lt;=Lifetime_OH,SUMIFS('Mitigation Projects'!$AG:$AG,'Mitigation Projects'!$H:$H,Benefits_Mitigation!$B7,'Mitigation Projects'!$G:$G,Benefits_Mitigation!$A7)*(1+Inflation)^(Benefits_Mitigation!BA$1-Benefits_Mitigation!$D$1),0)</f>
        <v>0</v>
      </c>
      <c r="BB7" s="8">
        <f>IF(BB$1&lt;=Lifetime_OH,SUMIFS('Mitigation Projects'!$AG:$AG,'Mitigation Projects'!$H:$H,Benefits_Mitigation!$B7,'Mitigation Projects'!$G:$G,Benefits_Mitigation!$A7)*(1+Inflation)^(Benefits_Mitigation!BB$1-Benefits_Mitigation!$D$1),0)</f>
        <v>0</v>
      </c>
      <c r="BC7" s="8">
        <f>IF(BC$1&lt;=Lifetime_OH,SUMIFS('Mitigation Projects'!$AG:$AG,'Mitigation Projects'!$H:$H,Benefits_Mitigation!$B7,'Mitigation Projects'!$G:$G,Benefits_Mitigation!$A7)*(1+Inflation)^(Benefits_Mitigation!BC$1-Benefits_Mitigation!$D$1),0)</f>
        <v>0</v>
      </c>
      <c r="BD7" s="8">
        <f>IF(BD$1&lt;=Lifetime_OH,SUMIFS('Mitigation Projects'!$AG:$AG,'Mitigation Projects'!$H:$H,Benefits_Mitigation!$B7,'Mitigation Projects'!$G:$G,Benefits_Mitigation!$A7)*(1+Inflation)^(Benefits_Mitigation!BD$1-Benefits_Mitigation!$D$1),0)</f>
        <v>0</v>
      </c>
      <c r="BE7" s="8">
        <f>IF(BE$1&lt;=Lifetime_OH,SUMIFS('Mitigation Projects'!$AG:$AG,'Mitigation Projects'!$H:$H,Benefits_Mitigation!$B7,'Mitigation Projects'!$G:$G,Benefits_Mitigation!$A7)*(1+Inflation)^(Benefits_Mitigation!BE$1-Benefits_Mitigation!$D$1),0)</f>
        <v>0</v>
      </c>
      <c r="BF7" s="8">
        <f>IF(BF$1&lt;=Lifetime_OH,SUMIFS('Mitigation Projects'!$AG:$AG,'Mitigation Projects'!$H:$H,Benefits_Mitigation!$B7,'Mitigation Projects'!$G:$G,Benefits_Mitigation!$A7)*(1+Inflation)^(Benefits_Mitigation!BF$1-Benefits_Mitigation!$D$1),0)</f>
        <v>0</v>
      </c>
      <c r="BG7" s="8">
        <f>IF(BG$1&lt;=Lifetime_OH,SUMIFS('Mitigation Projects'!$AG:$AG,'Mitigation Projects'!$H:$H,Benefits_Mitigation!$B7,'Mitigation Projects'!$G:$G,Benefits_Mitigation!$A7)*(1+Inflation)^(Benefits_Mitigation!BG$1-Benefits_Mitigation!$D$1),0)</f>
        <v>0</v>
      </c>
      <c r="BH7" s="8">
        <f>IF(BH$1&lt;=Lifetime_OH,SUMIFS('Mitigation Projects'!$AG:$AG,'Mitigation Projects'!$H:$H,Benefits_Mitigation!$B7,'Mitigation Projects'!$G:$G,Benefits_Mitigation!$A7)*(1+Inflation)^(Benefits_Mitigation!BH$1-Benefits_Mitigation!$D$1),0)</f>
        <v>0</v>
      </c>
      <c r="BI7" s="8">
        <f>IF(BI$1&lt;=Lifetime_OH,SUMIFS('Mitigation Projects'!$AG:$AG,'Mitigation Projects'!$H:$H,Benefits_Mitigation!$B7,'Mitigation Projects'!$G:$G,Benefits_Mitigation!$A7)*(1+Inflation)^(Benefits_Mitigation!BI$1-Benefits_Mitigation!$D$1),0)</f>
        <v>0</v>
      </c>
      <c r="BJ7" s="8">
        <f>IF(BJ$1&lt;=Lifetime_OH,SUMIFS('Mitigation Projects'!$AG:$AG,'Mitigation Projects'!$H:$H,Benefits_Mitigation!$B7,'Mitigation Projects'!$G:$G,Benefits_Mitigation!$A7)*(1+Inflation)^(Benefits_Mitigation!BJ$1-Benefits_Mitigation!$D$1),0)</f>
        <v>0</v>
      </c>
      <c r="BK7" s="8">
        <f>IF(BK$1&lt;=Lifetime_OH,SUMIFS('Mitigation Projects'!$AG:$AG,'Mitigation Projects'!$H:$H,Benefits_Mitigation!$B7,'Mitigation Projects'!$G:$G,Benefits_Mitigation!$A7)*(1+Inflation)^(Benefits_Mitigation!BK$1-Benefits_Mitigation!$D$1),0)</f>
        <v>0</v>
      </c>
      <c r="BL7" s="8">
        <f>IF(BL$1&lt;=Lifetime_OH,SUMIFS('Mitigation Projects'!$AG:$AG,'Mitigation Projects'!$H:$H,Benefits_Mitigation!$B7,'Mitigation Projects'!$G:$G,Benefits_Mitigation!$A7)*(1+Inflation)^(Benefits_Mitigation!BL$1-Benefits_Mitigation!$D$1),0)</f>
        <v>0</v>
      </c>
      <c r="BM7" s="8">
        <f>IF(BM$1&lt;=Lifetime_OH,SUMIFS('Mitigation Projects'!$AG:$AG,'Mitigation Projects'!$H:$H,Benefits_Mitigation!$B7,'Mitigation Projects'!$G:$G,Benefits_Mitigation!$A7)*(1+Inflation)^(Benefits_Mitigation!BM$1-Benefits_Mitigation!$D$1),0)</f>
        <v>0</v>
      </c>
      <c r="BN7" s="8">
        <f>IF(BN$1&lt;=Lifetime_OH,SUMIFS('Mitigation Projects'!$AG:$AG,'Mitigation Projects'!$H:$H,Benefits_Mitigation!$B7,'Mitigation Projects'!$G:$G,Benefits_Mitigation!$A7)*(1+Inflation)^(Benefits_Mitigation!BN$1-Benefits_Mitigation!$D$1),0)</f>
        <v>0</v>
      </c>
      <c r="BO7" s="8">
        <f>IF(BO$1&lt;=Lifetime_OH,SUMIFS('Mitigation Projects'!$AG:$AG,'Mitigation Projects'!$H:$H,Benefits_Mitigation!$B7,'Mitigation Projects'!$G:$G,Benefits_Mitigation!$A7)*(1+Inflation)^(Benefits_Mitigation!BO$1-Benefits_Mitigation!$D$1),0)</f>
        <v>0</v>
      </c>
    </row>
    <row r="8" spans="1:67" x14ac:dyDescent="0.4">
      <c r="A8" t="s">
        <v>37</v>
      </c>
      <c r="B8" t="s">
        <v>15</v>
      </c>
      <c r="C8" t="s">
        <v>321</v>
      </c>
      <c r="D8" s="8"/>
      <c r="E8" s="8">
        <f>IF(E$1&lt;=Lifetime_OH,SUMIFS('Mitigation Projects'!$AH:$AH,'Mitigation Projects'!$H:$H,Benefits_Mitigation!$B8,'Mitigation Projects'!$G:$G,Benefits_Mitigation!$A8)*(1+Inflation)^(Benefits_Mitigation!E$1-Benefits_Mitigation!$D$1),0)</f>
        <v>0</v>
      </c>
      <c r="F8" s="8">
        <f>IF(F$1&lt;=Lifetime_OH,SUMIFS('Mitigation Projects'!$AH:$AH,'Mitigation Projects'!$H:$H,Benefits_Mitigation!$B8,'Mitigation Projects'!$G:$G,Benefits_Mitigation!$A8)*(1+Inflation)^(Benefits_Mitigation!F$1-Benefits_Mitigation!$D$1),0)</f>
        <v>0</v>
      </c>
      <c r="G8" s="8">
        <f>IF(G$1&lt;=Lifetime_OH,SUMIFS('Mitigation Projects'!$AH:$AH,'Mitigation Projects'!$H:$H,Benefits_Mitigation!$B8,'Mitigation Projects'!$G:$G,Benefits_Mitigation!$A8)*(1+Inflation)^(Benefits_Mitigation!G$1-Benefits_Mitigation!$D$1),0)</f>
        <v>0</v>
      </c>
      <c r="H8" s="8">
        <f>IF(H$1&lt;=Lifetime_OH,SUMIFS('Mitigation Projects'!$AH:$AH,'Mitigation Projects'!$H:$H,Benefits_Mitigation!$B8,'Mitigation Projects'!$G:$G,Benefits_Mitigation!$A8)*(1+Inflation)^(Benefits_Mitigation!H$1-Benefits_Mitigation!$D$1),0)</f>
        <v>0</v>
      </c>
      <c r="I8" s="8">
        <f>IF(I$1&lt;=Lifetime_OH,SUMIFS('Mitigation Projects'!$AH:$AH,'Mitigation Projects'!$H:$H,Benefits_Mitigation!$B8,'Mitigation Projects'!$G:$G,Benefits_Mitigation!$A8)*(1+Inflation)^(Benefits_Mitigation!I$1-Benefits_Mitigation!$D$1),0)</f>
        <v>0</v>
      </c>
      <c r="J8" s="8">
        <f>IF(J$1&lt;=Lifetime_OH,SUMIFS('Mitigation Projects'!$AH:$AH,'Mitigation Projects'!$H:$H,Benefits_Mitigation!$B8,'Mitigation Projects'!$G:$G,Benefits_Mitigation!$A8)*(1+Inflation)^(Benefits_Mitigation!J$1-Benefits_Mitigation!$D$1),0)</f>
        <v>0</v>
      </c>
      <c r="K8" s="8">
        <f>IF(K$1&lt;=Lifetime_OH,SUMIFS('Mitigation Projects'!$AH:$AH,'Mitigation Projects'!$H:$H,Benefits_Mitigation!$B8,'Mitigation Projects'!$G:$G,Benefits_Mitigation!$A8)*(1+Inflation)^(Benefits_Mitigation!K$1-Benefits_Mitigation!$D$1),0)</f>
        <v>0</v>
      </c>
      <c r="L8" s="8">
        <f>IF(L$1&lt;=Lifetime_OH,SUMIFS('Mitigation Projects'!$AH:$AH,'Mitigation Projects'!$H:$H,Benefits_Mitigation!$B8,'Mitigation Projects'!$G:$G,Benefits_Mitigation!$A8)*(1+Inflation)^(Benefits_Mitigation!L$1-Benefits_Mitigation!$D$1),0)</f>
        <v>0</v>
      </c>
      <c r="M8" s="8">
        <f>IF(M$1&lt;=Lifetime_OH,SUMIFS('Mitigation Projects'!$AH:$AH,'Mitigation Projects'!$H:$H,Benefits_Mitigation!$B8,'Mitigation Projects'!$G:$G,Benefits_Mitigation!$A8)*(1+Inflation)^(Benefits_Mitigation!M$1-Benefits_Mitigation!$D$1),0)</f>
        <v>0</v>
      </c>
      <c r="N8" s="8">
        <f>IF(N$1&lt;=Lifetime_OH,SUMIFS('Mitigation Projects'!$AH:$AH,'Mitigation Projects'!$H:$H,Benefits_Mitigation!$B8,'Mitigation Projects'!$G:$G,Benefits_Mitigation!$A8)*(1+Inflation)^(Benefits_Mitigation!N$1-Benefits_Mitigation!$D$1),0)</f>
        <v>0</v>
      </c>
      <c r="O8" s="8">
        <f>IF(O$1&lt;=Lifetime_OH,SUMIFS('Mitigation Projects'!$AH:$AH,'Mitigation Projects'!$H:$H,Benefits_Mitigation!$B8,'Mitigation Projects'!$G:$G,Benefits_Mitigation!$A8)*(1+Inflation)^(Benefits_Mitigation!O$1-Benefits_Mitigation!$D$1),0)</f>
        <v>0</v>
      </c>
      <c r="P8" s="8">
        <f>IF(P$1&lt;=Lifetime_OH,SUMIFS('Mitigation Projects'!$AH:$AH,'Mitigation Projects'!$H:$H,Benefits_Mitigation!$B8,'Mitigation Projects'!$G:$G,Benefits_Mitigation!$A8)*(1+Inflation)^(Benefits_Mitigation!P$1-Benefits_Mitigation!$D$1),0)</f>
        <v>0</v>
      </c>
      <c r="Q8" s="8">
        <f>IF(Q$1&lt;=Lifetime_OH,SUMIFS('Mitigation Projects'!$AH:$AH,'Mitigation Projects'!$H:$H,Benefits_Mitigation!$B8,'Mitigation Projects'!$G:$G,Benefits_Mitigation!$A8)*(1+Inflation)^(Benefits_Mitigation!Q$1-Benefits_Mitigation!$D$1),0)</f>
        <v>0</v>
      </c>
      <c r="R8" s="8">
        <f>IF(R$1&lt;=Lifetime_OH,SUMIFS('Mitigation Projects'!$AH:$AH,'Mitigation Projects'!$H:$H,Benefits_Mitigation!$B8,'Mitigation Projects'!$G:$G,Benefits_Mitigation!$A8)*(1+Inflation)^(Benefits_Mitigation!R$1-Benefits_Mitigation!$D$1),0)</f>
        <v>0</v>
      </c>
      <c r="S8" s="8">
        <f>IF(S$1&lt;=Lifetime_OH,SUMIFS('Mitigation Projects'!$AH:$AH,'Mitigation Projects'!$H:$H,Benefits_Mitigation!$B8,'Mitigation Projects'!$G:$G,Benefits_Mitigation!$A8)*(1+Inflation)^(Benefits_Mitigation!S$1-Benefits_Mitigation!$D$1),0)</f>
        <v>0</v>
      </c>
      <c r="T8" s="8">
        <f>IF(T$1&lt;=Lifetime_OH,SUMIFS('Mitigation Projects'!$AH:$AH,'Mitigation Projects'!$H:$H,Benefits_Mitigation!$B8,'Mitigation Projects'!$G:$G,Benefits_Mitigation!$A8)*(1+Inflation)^(Benefits_Mitigation!T$1-Benefits_Mitigation!$D$1),0)</f>
        <v>0</v>
      </c>
      <c r="U8" s="8">
        <f>IF(U$1&lt;=Lifetime_OH,SUMIFS('Mitigation Projects'!$AH:$AH,'Mitigation Projects'!$H:$H,Benefits_Mitigation!$B8,'Mitigation Projects'!$G:$G,Benefits_Mitigation!$A8)*(1+Inflation)^(Benefits_Mitigation!U$1-Benefits_Mitigation!$D$1),0)</f>
        <v>0</v>
      </c>
      <c r="V8" s="8">
        <f>IF(V$1&lt;=Lifetime_OH,SUMIFS('Mitigation Projects'!$AH:$AH,'Mitigation Projects'!$H:$H,Benefits_Mitigation!$B8,'Mitigation Projects'!$G:$G,Benefits_Mitigation!$A8)*(1+Inflation)^(Benefits_Mitigation!V$1-Benefits_Mitigation!$D$1),0)</f>
        <v>0</v>
      </c>
      <c r="W8" s="8">
        <f>IF(W$1&lt;=Lifetime_OH,SUMIFS('Mitigation Projects'!$AH:$AH,'Mitigation Projects'!$H:$H,Benefits_Mitigation!$B8,'Mitigation Projects'!$G:$G,Benefits_Mitigation!$A8)*(1+Inflation)^(Benefits_Mitigation!W$1-Benefits_Mitigation!$D$1),0)</f>
        <v>0</v>
      </c>
      <c r="X8" s="8">
        <f>IF(X$1&lt;=Lifetime_OH,SUMIFS('Mitigation Projects'!$AH:$AH,'Mitigation Projects'!$H:$H,Benefits_Mitigation!$B8,'Mitigation Projects'!$G:$G,Benefits_Mitigation!$A8)*(1+Inflation)^(Benefits_Mitigation!X$1-Benefits_Mitigation!$D$1),0)</f>
        <v>0</v>
      </c>
      <c r="Y8" s="8">
        <f>IF(Y$1&lt;=Lifetime_OH,SUMIFS('Mitigation Projects'!$AH:$AH,'Mitigation Projects'!$H:$H,Benefits_Mitigation!$B8,'Mitigation Projects'!$G:$G,Benefits_Mitigation!$A8)*(1+Inflation)^(Benefits_Mitigation!Y$1-Benefits_Mitigation!$D$1),0)</f>
        <v>0</v>
      </c>
      <c r="Z8" s="8">
        <f>IF(Z$1&lt;=Lifetime_OH,SUMIFS('Mitigation Projects'!$AH:$AH,'Mitigation Projects'!$H:$H,Benefits_Mitigation!$B8,'Mitigation Projects'!$G:$G,Benefits_Mitigation!$A8)*(1+Inflation)^(Benefits_Mitigation!Z$1-Benefits_Mitigation!$D$1),0)</f>
        <v>0</v>
      </c>
      <c r="AA8" s="8">
        <f>IF(AA$1&lt;=Lifetime_OH,SUMIFS('Mitigation Projects'!$AH:$AH,'Mitigation Projects'!$H:$H,Benefits_Mitigation!$B8,'Mitigation Projects'!$G:$G,Benefits_Mitigation!$A8)*(1+Inflation)^(Benefits_Mitigation!AA$1-Benefits_Mitigation!$D$1),0)</f>
        <v>0</v>
      </c>
      <c r="AB8" s="8">
        <f>IF(AB$1&lt;=Lifetime_OH,SUMIFS('Mitigation Projects'!$AH:$AH,'Mitigation Projects'!$H:$H,Benefits_Mitigation!$B8,'Mitigation Projects'!$G:$G,Benefits_Mitigation!$A8)*(1+Inflation)^(Benefits_Mitigation!AB$1-Benefits_Mitigation!$D$1),0)</f>
        <v>0</v>
      </c>
      <c r="AC8" s="8">
        <f>IF(AC$1&lt;=Lifetime_OH,SUMIFS('Mitigation Projects'!$AH:$AH,'Mitigation Projects'!$H:$H,Benefits_Mitigation!$B8,'Mitigation Projects'!$G:$G,Benefits_Mitigation!$A8)*(1+Inflation)^(Benefits_Mitigation!AC$1-Benefits_Mitigation!$D$1),0)</f>
        <v>0</v>
      </c>
      <c r="AD8" s="8">
        <f>IF(AD$1&lt;=Lifetime_OH,SUMIFS('Mitigation Projects'!$AH:$AH,'Mitigation Projects'!$H:$H,Benefits_Mitigation!$B8,'Mitigation Projects'!$G:$G,Benefits_Mitigation!$A8)*(1+Inflation)^(Benefits_Mitigation!AD$1-Benefits_Mitigation!$D$1),0)</f>
        <v>0</v>
      </c>
      <c r="AE8" s="8">
        <f>IF(AE$1&lt;=Lifetime_OH,SUMIFS('Mitigation Projects'!$AH:$AH,'Mitigation Projects'!$H:$H,Benefits_Mitigation!$B8,'Mitigation Projects'!$G:$G,Benefits_Mitigation!$A8)*(1+Inflation)^(Benefits_Mitigation!AE$1-Benefits_Mitigation!$D$1),0)</f>
        <v>0</v>
      </c>
      <c r="AF8" s="8">
        <f>IF(AF$1&lt;=Lifetime_OH,SUMIFS('Mitigation Projects'!$AH:$AH,'Mitigation Projects'!$H:$H,Benefits_Mitigation!$B8,'Mitigation Projects'!$G:$G,Benefits_Mitigation!$A8)*(1+Inflation)^(Benefits_Mitigation!AF$1-Benefits_Mitigation!$D$1),0)</f>
        <v>0</v>
      </c>
      <c r="AG8" s="8">
        <f>IF(AG$1&lt;=Lifetime_OH,SUMIFS('Mitigation Projects'!$AH:$AH,'Mitigation Projects'!$H:$H,Benefits_Mitigation!$B8,'Mitigation Projects'!$G:$G,Benefits_Mitigation!$A8)*(1+Inflation)^(Benefits_Mitigation!AG$1-Benefits_Mitigation!$D$1),0)</f>
        <v>0</v>
      </c>
      <c r="AH8" s="8">
        <f>IF(AH$1&lt;=Lifetime_OH,SUMIFS('Mitigation Projects'!$AH:$AH,'Mitigation Projects'!$H:$H,Benefits_Mitigation!$B8,'Mitigation Projects'!$G:$G,Benefits_Mitigation!$A8)*(1+Inflation)^(Benefits_Mitigation!AH$1-Benefits_Mitigation!$D$1),0)</f>
        <v>0</v>
      </c>
      <c r="AI8" s="8">
        <f>IF(AI$1&lt;=Lifetime_OH,SUMIFS('Mitigation Projects'!$AH:$AH,'Mitigation Projects'!$H:$H,Benefits_Mitigation!$B8,'Mitigation Projects'!$G:$G,Benefits_Mitigation!$A8)*(1+Inflation)^(Benefits_Mitigation!AI$1-Benefits_Mitigation!$D$1),0)</f>
        <v>0</v>
      </c>
      <c r="AJ8" s="8">
        <f>IF(AJ$1&lt;=Lifetime_OH,SUMIFS('Mitigation Projects'!$AH:$AH,'Mitigation Projects'!$H:$H,Benefits_Mitigation!$B8,'Mitigation Projects'!$G:$G,Benefits_Mitigation!$A8)*(1+Inflation)^(Benefits_Mitigation!AJ$1-Benefits_Mitigation!$D$1),0)</f>
        <v>0</v>
      </c>
      <c r="AK8" s="8">
        <f>IF(AK$1&lt;=Lifetime_OH,SUMIFS('Mitigation Projects'!$AH:$AH,'Mitigation Projects'!$H:$H,Benefits_Mitigation!$B8,'Mitigation Projects'!$G:$G,Benefits_Mitigation!$A8)*(1+Inflation)^(Benefits_Mitigation!AK$1-Benefits_Mitigation!$D$1),0)</f>
        <v>0</v>
      </c>
      <c r="AL8" s="8">
        <f>IF(AL$1&lt;=Lifetime_OH,SUMIFS('Mitigation Projects'!$AH:$AH,'Mitigation Projects'!$H:$H,Benefits_Mitigation!$B8,'Mitigation Projects'!$G:$G,Benefits_Mitigation!$A8)*(1+Inflation)^(Benefits_Mitigation!AL$1-Benefits_Mitigation!$D$1),0)</f>
        <v>0</v>
      </c>
      <c r="AM8" s="8">
        <f>IF(AM$1&lt;=Lifetime_OH,SUMIFS('Mitigation Projects'!$AH:$AH,'Mitigation Projects'!$H:$H,Benefits_Mitigation!$B8,'Mitigation Projects'!$G:$G,Benefits_Mitigation!$A8)*(1+Inflation)^(Benefits_Mitigation!AM$1-Benefits_Mitigation!$D$1),0)</f>
        <v>0</v>
      </c>
      <c r="AN8" s="8">
        <f>IF(AN$1&lt;=Lifetime_OH,SUMIFS('Mitigation Projects'!$AH:$AH,'Mitigation Projects'!$H:$H,Benefits_Mitigation!$B8,'Mitigation Projects'!$G:$G,Benefits_Mitigation!$A8)*(1+Inflation)^(Benefits_Mitigation!AN$1-Benefits_Mitigation!$D$1),0)</f>
        <v>0</v>
      </c>
      <c r="AO8" s="8">
        <f>IF(AO$1&lt;=Lifetime_OH,SUMIFS('Mitigation Projects'!$AH:$AH,'Mitigation Projects'!$H:$H,Benefits_Mitigation!$B8,'Mitigation Projects'!$G:$G,Benefits_Mitigation!$A8)*(1+Inflation)^(Benefits_Mitigation!AO$1-Benefits_Mitigation!$D$1),0)</f>
        <v>0</v>
      </c>
      <c r="AP8" s="8">
        <f>IF(AP$1&lt;=Lifetime_OH,SUMIFS('Mitigation Projects'!$AH:$AH,'Mitigation Projects'!$H:$H,Benefits_Mitigation!$B8,'Mitigation Projects'!$G:$G,Benefits_Mitigation!$A8)*(1+Inflation)^(Benefits_Mitigation!AP$1-Benefits_Mitigation!$D$1),0)</f>
        <v>0</v>
      </c>
      <c r="AQ8" s="8">
        <f>IF(AQ$1&lt;=Lifetime_OH,SUMIFS('Mitigation Projects'!$AH:$AH,'Mitigation Projects'!$H:$H,Benefits_Mitigation!$B8,'Mitigation Projects'!$G:$G,Benefits_Mitigation!$A8)*(1+Inflation)^(Benefits_Mitigation!AQ$1-Benefits_Mitigation!$D$1),0)</f>
        <v>0</v>
      </c>
      <c r="AR8" s="8">
        <f>IF(AR$1&lt;=Lifetime_OH,SUMIFS('Mitigation Projects'!$AH:$AH,'Mitigation Projects'!$H:$H,Benefits_Mitigation!$B8,'Mitigation Projects'!$G:$G,Benefits_Mitigation!$A8)*(1+Inflation)^(Benefits_Mitigation!AR$1-Benefits_Mitigation!$D$1),0)</f>
        <v>0</v>
      </c>
      <c r="AS8" s="8">
        <f>IF(AS$1&lt;=Lifetime_OH,SUMIFS('Mitigation Projects'!$AH:$AH,'Mitigation Projects'!$H:$H,Benefits_Mitigation!$B8,'Mitigation Projects'!$G:$G,Benefits_Mitigation!$A8)*(1+Inflation)^(Benefits_Mitigation!AS$1-Benefits_Mitigation!$D$1),0)</f>
        <v>0</v>
      </c>
      <c r="AT8" s="8">
        <f>IF(AT$1&lt;=Lifetime_OH,SUMIFS('Mitigation Projects'!$AH:$AH,'Mitigation Projects'!$H:$H,Benefits_Mitigation!$B8,'Mitigation Projects'!$G:$G,Benefits_Mitigation!$A8)*(1+Inflation)^(Benefits_Mitigation!AT$1-Benefits_Mitigation!$D$1),0)</f>
        <v>0</v>
      </c>
      <c r="AU8" s="8">
        <f>IF(AU$1&lt;=Lifetime_OH,SUMIFS('Mitigation Projects'!$AH:$AH,'Mitigation Projects'!$H:$H,Benefits_Mitigation!$B8,'Mitigation Projects'!$G:$G,Benefits_Mitigation!$A8)*(1+Inflation)^(Benefits_Mitigation!AU$1-Benefits_Mitigation!$D$1),0)</f>
        <v>0</v>
      </c>
      <c r="AV8" s="8">
        <f>IF(AV$1&lt;=Lifetime_OH,SUMIFS('Mitigation Projects'!$AH:$AH,'Mitigation Projects'!$H:$H,Benefits_Mitigation!$B8,'Mitigation Projects'!$G:$G,Benefits_Mitigation!$A8)*(1+Inflation)^(Benefits_Mitigation!AV$1-Benefits_Mitigation!$D$1),0)</f>
        <v>0</v>
      </c>
      <c r="AW8" s="8">
        <f>IF(AW$1&lt;=Lifetime_OH,SUMIFS('Mitigation Projects'!$AH:$AH,'Mitigation Projects'!$H:$H,Benefits_Mitigation!$B8,'Mitigation Projects'!$G:$G,Benefits_Mitigation!$A8)*(1+Inflation)^(Benefits_Mitigation!AW$1-Benefits_Mitigation!$D$1),0)</f>
        <v>0</v>
      </c>
      <c r="AX8" s="8">
        <f>IF(AX$1&lt;=Lifetime_OH,SUMIFS('Mitigation Projects'!$AH:$AH,'Mitigation Projects'!$H:$H,Benefits_Mitigation!$B8,'Mitigation Projects'!$G:$G,Benefits_Mitigation!$A8)*(1+Inflation)^(Benefits_Mitigation!AX$1-Benefits_Mitigation!$D$1),0)</f>
        <v>0</v>
      </c>
      <c r="AY8" s="8">
        <f>IF(AY$1&lt;=Lifetime_OH,SUMIFS('Mitigation Projects'!$AH:$AH,'Mitigation Projects'!$H:$H,Benefits_Mitigation!$B8,'Mitigation Projects'!$G:$G,Benefits_Mitigation!$A8)*(1+Inflation)^(Benefits_Mitigation!AY$1-Benefits_Mitigation!$D$1),0)</f>
        <v>0</v>
      </c>
      <c r="AZ8" s="8">
        <f>IF(AZ$1&lt;=Lifetime_OH,SUMIFS('Mitigation Projects'!$AH:$AH,'Mitigation Projects'!$H:$H,Benefits_Mitigation!$B8,'Mitigation Projects'!$G:$G,Benefits_Mitigation!$A8)*(1+Inflation)^(Benefits_Mitigation!AZ$1-Benefits_Mitigation!$D$1),0)</f>
        <v>0</v>
      </c>
      <c r="BA8" s="8">
        <f>IF(BA$1&lt;=Lifetime_OH,SUMIFS('Mitigation Projects'!$AH:$AH,'Mitigation Projects'!$H:$H,Benefits_Mitigation!$B8,'Mitigation Projects'!$G:$G,Benefits_Mitigation!$A8)*(1+Inflation)^(Benefits_Mitigation!BA$1-Benefits_Mitigation!$D$1),0)</f>
        <v>0</v>
      </c>
      <c r="BB8" s="8">
        <f>IF(BB$1&lt;=Lifetime_OH,SUMIFS('Mitigation Projects'!$AH:$AH,'Mitigation Projects'!$H:$H,Benefits_Mitigation!$B8,'Mitigation Projects'!$G:$G,Benefits_Mitigation!$A8)*(1+Inflation)^(Benefits_Mitigation!BB$1-Benefits_Mitigation!$D$1),0)</f>
        <v>0</v>
      </c>
      <c r="BC8" s="8">
        <f>IF(BC$1&lt;=Lifetime_OH,SUMIFS('Mitigation Projects'!$AH:$AH,'Mitigation Projects'!$H:$H,Benefits_Mitigation!$B8,'Mitigation Projects'!$G:$G,Benefits_Mitigation!$A8)*(1+Inflation)^(Benefits_Mitigation!BC$1-Benefits_Mitigation!$D$1),0)</f>
        <v>0</v>
      </c>
      <c r="BD8" s="8">
        <f>IF(BD$1&lt;=Lifetime_OH,SUMIFS('Mitigation Projects'!$AH:$AH,'Mitigation Projects'!$H:$H,Benefits_Mitigation!$B8,'Mitigation Projects'!$G:$G,Benefits_Mitigation!$A8)*(1+Inflation)^(Benefits_Mitigation!BD$1-Benefits_Mitigation!$D$1),0)</f>
        <v>0</v>
      </c>
      <c r="BE8" s="8">
        <f>IF(BE$1&lt;=Lifetime_OH,SUMIFS('Mitigation Projects'!$AH:$AH,'Mitigation Projects'!$H:$H,Benefits_Mitigation!$B8,'Mitigation Projects'!$G:$G,Benefits_Mitigation!$A8)*(1+Inflation)^(Benefits_Mitigation!BE$1-Benefits_Mitigation!$D$1),0)</f>
        <v>0</v>
      </c>
      <c r="BF8" s="8">
        <f>IF(BF$1&lt;=Lifetime_OH,SUMIFS('Mitigation Projects'!$AH:$AH,'Mitigation Projects'!$H:$H,Benefits_Mitigation!$B8,'Mitigation Projects'!$G:$G,Benefits_Mitigation!$A8)*(1+Inflation)^(Benefits_Mitigation!BF$1-Benefits_Mitigation!$D$1),0)</f>
        <v>0</v>
      </c>
      <c r="BG8" s="8">
        <f>IF(BG$1&lt;=Lifetime_OH,SUMIFS('Mitigation Projects'!$AH:$AH,'Mitigation Projects'!$H:$H,Benefits_Mitigation!$B8,'Mitigation Projects'!$G:$G,Benefits_Mitigation!$A8)*(1+Inflation)^(Benefits_Mitigation!BG$1-Benefits_Mitigation!$D$1),0)</f>
        <v>0</v>
      </c>
      <c r="BH8" s="8">
        <f>IF(BH$1&lt;=Lifetime_OH,SUMIFS('Mitigation Projects'!$AH:$AH,'Mitigation Projects'!$H:$H,Benefits_Mitigation!$B8,'Mitigation Projects'!$G:$G,Benefits_Mitigation!$A8)*(1+Inflation)^(Benefits_Mitigation!BH$1-Benefits_Mitigation!$D$1),0)</f>
        <v>0</v>
      </c>
      <c r="BI8" s="8">
        <f>IF(BI$1&lt;=Lifetime_OH,SUMIFS('Mitigation Projects'!$AH:$AH,'Mitigation Projects'!$H:$H,Benefits_Mitigation!$B8,'Mitigation Projects'!$G:$G,Benefits_Mitigation!$A8)*(1+Inflation)^(Benefits_Mitigation!BI$1-Benefits_Mitigation!$D$1),0)</f>
        <v>0</v>
      </c>
      <c r="BJ8" s="8">
        <f>IF(BJ$1&lt;=Lifetime_OH,SUMIFS('Mitigation Projects'!$AH:$AH,'Mitigation Projects'!$H:$H,Benefits_Mitigation!$B8,'Mitigation Projects'!$G:$G,Benefits_Mitigation!$A8)*(1+Inflation)^(Benefits_Mitigation!BJ$1-Benefits_Mitigation!$D$1),0)</f>
        <v>0</v>
      </c>
      <c r="BK8" s="8">
        <f>IF(BK$1&lt;=Lifetime_OH,SUMIFS('Mitigation Projects'!$AH:$AH,'Mitigation Projects'!$H:$H,Benefits_Mitigation!$B8,'Mitigation Projects'!$G:$G,Benefits_Mitigation!$A8)*(1+Inflation)^(Benefits_Mitigation!BK$1-Benefits_Mitigation!$D$1),0)</f>
        <v>0</v>
      </c>
      <c r="BL8" s="8">
        <f>IF(BL$1&lt;=Lifetime_OH,SUMIFS('Mitigation Projects'!$AH:$AH,'Mitigation Projects'!$H:$H,Benefits_Mitigation!$B8,'Mitigation Projects'!$G:$G,Benefits_Mitigation!$A8)*(1+Inflation)^(Benefits_Mitigation!BL$1-Benefits_Mitigation!$D$1),0)</f>
        <v>0</v>
      </c>
      <c r="BM8" s="8">
        <f>IF(BM$1&lt;=Lifetime_OH,SUMIFS('Mitigation Projects'!$AH:$AH,'Mitigation Projects'!$H:$H,Benefits_Mitigation!$B8,'Mitigation Projects'!$G:$G,Benefits_Mitigation!$A8)*(1+Inflation)^(Benefits_Mitigation!BM$1-Benefits_Mitigation!$D$1),0)</f>
        <v>0</v>
      </c>
      <c r="BN8" s="8">
        <f>IF(BN$1&lt;=Lifetime_OH,SUMIFS('Mitigation Projects'!$AH:$AH,'Mitigation Projects'!$H:$H,Benefits_Mitigation!$B8,'Mitigation Projects'!$G:$G,Benefits_Mitigation!$A8)*(1+Inflation)^(Benefits_Mitigation!BN$1-Benefits_Mitigation!$D$1),0)</f>
        <v>0</v>
      </c>
      <c r="BO8" s="8">
        <f>IF(BO$1&lt;=Lifetime_OH,SUMIFS('Mitigation Projects'!$AH:$AH,'Mitigation Projects'!$H:$H,Benefits_Mitigation!$B8,'Mitigation Projects'!$G:$G,Benefits_Mitigation!$A8)*(1+Inflation)^(Benefits_Mitigation!BO$1-Benefits_Mitigation!$D$1),0)</f>
        <v>0</v>
      </c>
    </row>
    <row r="9" spans="1:67" x14ac:dyDescent="0.4">
      <c r="A9" t="s">
        <v>37</v>
      </c>
      <c r="B9" t="s">
        <v>15</v>
      </c>
      <c r="C9" t="s">
        <v>175</v>
      </c>
      <c r="D9" s="8"/>
      <c r="E9" s="8">
        <f>Line_Loss_Reduction_Per_Mile_1PH_OH*Distance_OH_1PH*VLOOKUP(E3,'Loss Reduction Calculation'!$A$10:$D$41,4,0)</f>
        <v>342.02738487517405</v>
      </c>
      <c r="F9" s="8">
        <f>Line_Loss_Reduction_Per_Mile_1PH_OH*Distance_OH_1PH*VLOOKUP(F3,'Loss Reduction Calculation'!$A$10:$D$41,4,0)</f>
        <v>347.66229593857065</v>
      </c>
      <c r="G9" s="8">
        <f>Line_Loss_Reduction_Per_Mile_1PH_OH*Distance_OH_1PH*VLOOKUP(G3,'Loss Reduction Calculation'!$A$10:$D$41,4,0)</f>
        <v>341.64105416772099</v>
      </c>
      <c r="H9" s="8">
        <f>Line_Loss_Reduction_Per_Mile_1PH_OH*Distance_OH_1PH*VLOOKUP(H3,'Loss Reduction Calculation'!$A$10:$D$41,4,0)</f>
        <v>346.25621359505573</v>
      </c>
      <c r="I9" s="8">
        <f>Line_Loss_Reduction_Per_Mile_1PH_OH*Distance_OH_1PH*VLOOKUP(I3,'Loss Reduction Calculation'!$A$10:$D$41,4,0)</f>
        <v>355.68394502064388</v>
      </c>
      <c r="J9" s="8">
        <f>Line_Loss_Reduction_Per_Mile_1PH_OH*Distance_OH_1PH*VLOOKUP(J3,'Loss Reduction Calculation'!$A$10:$D$41,4,0)</f>
        <v>363.22064154080698</v>
      </c>
      <c r="K9" s="8">
        <f>Line_Loss_Reduction_Per_Mile_1PH_OH*Distance_OH_1PH*VLOOKUP(K3,'Loss Reduction Calculation'!$A$10:$D$41,4,0)</f>
        <v>370.48505437162316</v>
      </c>
      <c r="L9" s="8">
        <f>Line_Loss_Reduction_Per_Mile_1PH_OH*Distance_OH_1PH*VLOOKUP(L3,'Loss Reduction Calculation'!$A$10:$D$41,4,0)</f>
        <v>377.89475545905572</v>
      </c>
      <c r="M9" s="8">
        <f>Line_Loss_Reduction_Per_Mile_1PH_OH*Distance_OH_1PH*VLOOKUP(M3,'Loss Reduction Calculation'!$A$10:$D$41,4,0)</f>
        <v>385.45265056823666</v>
      </c>
      <c r="N9" s="8">
        <f>Line_Loss_Reduction_Per_Mile_1PH_OH*Distance_OH_1PH*VLOOKUP(N3,'Loss Reduction Calculation'!$A$10:$D$41,4,0)</f>
        <v>393.16170357960141</v>
      </c>
      <c r="O9" s="8">
        <f t="shared" ref="O9:AT9" si="0">IF(O$1&lt;=Lifetime_OH,N9*(1+Inflation),0)</f>
        <v>401.81126105835267</v>
      </c>
      <c r="P9" s="8">
        <f t="shared" si="0"/>
        <v>410.65110880163644</v>
      </c>
      <c r="Q9" s="8">
        <f t="shared" si="0"/>
        <v>419.68543319527242</v>
      </c>
      <c r="R9" s="8">
        <f t="shared" si="0"/>
        <v>428.91851272556841</v>
      </c>
      <c r="S9" s="8">
        <f t="shared" si="0"/>
        <v>438.35472000553091</v>
      </c>
      <c r="T9" s="8">
        <f t="shared" si="0"/>
        <v>447.99852384565258</v>
      </c>
      <c r="U9" s="8">
        <f t="shared" si="0"/>
        <v>457.85449137025694</v>
      </c>
      <c r="V9" s="8">
        <f t="shared" si="0"/>
        <v>467.92729018040262</v>
      </c>
      <c r="W9" s="8">
        <f t="shared" si="0"/>
        <v>478.2216905643715</v>
      </c>
      <c r="X9" s="8">
        <f t="shared" si="0"/>
        <v>488.74256775678771</v>
      </c>
      <c r="Y9" s="8">
        <f t="shared" si="0"/>
        <v>499.49490424743703</v>
      </c>
      <c r="Z9" s="8">
        <f t="shared" si="0"/>
        <v>510.48379214088067</v>
      </c>
      <c r="AA9" s="8">
        <f t="shared" si="0"/>
        <v>521.7144355679801</v>
      </c>
      <c r="AB9" s="8">
        <f t="shared" si="0"/>
        <v>533.19215315047563</v>
      </c>
      <c r="AC9" s="8">
        <f t="shared" si="0"/>
        <v>544.92238051978609</v>
      </c>
      <c r="AD9" s="8">
        <f t="shared" si="0"/>
        <v>556.91067289122134</v>
      </c>
      <c r="AE9" s="8">
        <f t="shared" si="0"/>
        <v>569.16270769482821</v>
      </c>
      <c r="AF9" s="8">
        <f t="shared" si="0"/>
        <v>581.68428726411446</v>
      </c>
      <c r="AG9" s="8">
        <f t="shared" si="0"/>
        <v>594.48134158392497</v>
      </c>
      <c r="AH9" s="8">
        <f t="shared" si="0"/>
        <v>607.55993109877136</v>
      </c>
      <c r="AI9" s="8">
        <f t="shared" si="0"/>
        <v>620.92624958294437</v>
      </c>
      <c r="AJ9" s="8">
        <f t="shared" si="0"/>
        <v>634.58662707376914</v>
      </c>
      <c r="AK9" s="8">
        <f t="shared" si="0"/>
        <v>648.54753286939206</v>
      </c>
      <c r="AL9" s="8">
        <f t="shared" si="0"/>
        <v>662.8155785925187</v>
      </c>
      <c r="AM9" s="8">
        <f t="shared" si="0"/>
        <v>677.39752132155411</v>
      </c>
      <c r="AN9" s="8">
        <f t="shared" si="0"/>
        <v>692.30026679062826</v>
      </c>
      <c r="AO9" s="8">
        <f t="shared" si="0"/>
        <v>707.53087266002206</v>
      </c>
      <c r="AP9" s="8">
        <f t="shared" si="0"/>
        <v>723.09655185854251</v>
      </c>
      <c r="AQ9" s="8">
        <f t="shared" si="0"/>
        <v>739.00467599943045</v>
      </c>
      <c r="AR9" s="8">
        <f t="shared" si="0"/>
        <v>755.26277887141794</v>
      </c>
      <c r="AS9" s="8">
        <f t="shared" si="0"/>
        <v>771.87856000658917</v>
      </c>
      <c r="AT9" s="8">
        <f t="shared" si="0"/>
        <v>788.85988832673411</v>
      </c>
      <c r="AU9" s="8">
        <f t="shared" ref="AU9:BO9" si="1">IF(AU$1&lt;=Lifetime_OH,AT9*(1+Inflation),0)</f>
        <v>806.21480586992232</v>
      </c>
      <c r="AV9" s="8">
        <f t="shared" si="1"/>
        <v>823.95153159906067</v>
      </c>
      <c r="AW9" s="8">
        <f t="shared" si="1"/>
        <v>842.07846529424</v>
      </c>
      <c r="AX9" s="8">
        <f t="shared" si="1"/>
        <v>860.60419153071325</v>
      </c>
      <c r="AY9" s="8">
        <f t="shared" si="1"/>
        <v>879.53748374438896</v>
      </c>
      <c r="AZ9" s="8">
        <f t="shared" si="1"/>
        <v>0</v>
      </c>
      <c r="BA9" s="8">
        <f t="shared" si="1"/>
        <v>0</v>
      </c>
      <c r="BB9" s="8">
        <f t="shared" si="1"/>
        <v>0</v>
      </c>
      <c r="BC9" s="8">
        <f t="shared" si="1"/>
        <v>0</v>
      </c>
      <c r="BD9" s="8">
        <f t="shared" si="1"/>
        <v>0</v>
      </c>
      <c r="BE9" s="8">
        <f t="shared" si="1"/>
        <v>0</v>
      </c>
      <c r="BF9" s="8">
        <f t="shared" si="1"/>
        <v>0</v>
      </c>
      <c r="BG9" s="8">
        <f t="shared" si="1"/>
        <v>0</v>
      </c>
      <c r="BH9" s="8">
        <f t="shared" si="1"/>
        <v>0</v>
      </c>
      <c r="BI9" s="8">
        <f t="shared" si="1"/>
        <v>0</v>
      </c>
      <c r="BJ9" s="8">
        <f t="shared" si="1"/>
        <v>0</v>
      </c>
      <c r="BK9" s="8">
        <f t="shared" si="1"/>
        <v>0</v>
      </c>
      <c r="BL9" s="8">
        <f t="shared" si="1"/>
        <v>0</v>
      </c>
      <c r="BM9" s="8">
        <f t="shared" si="1"/>
        <v>0</v>
      </c>
      <c r="BN9" s="8">
        <f t="shared" si="1"/>
        <v>0</v>
      </c>
      <c r="BO9" s="8">
        <f t="shared" si="1"/>
        <v>0</v>
      </c>
    </row>
    <row r="10" spans="1:67" x14ac:dyDescent="0.4">
      <c r="C10" s="14"/>
      <c r="D10" s="15"/>
      <c r="E10" s="15">
        <f t="shared" ref="E10:AJ10" si="2">SUM(E5:E9)</f>
        <v>552796.78990343958</v>
      </c>
      <c r="F10" s="15">
        <f t="shared" si="2"/>
        <v>564956.42958991125</v>
      </c>
      <c r="G10" s="15">
        <f t="shared" si="2"/>
        <v>577371.80122860789</v>
      </c>
      <c r="H10" s="15">
        <f t="shared" si="2"/>
        <v>590071.07991187286</v>
      </c>
      <c r="I10" s="15">
        <f t="shared" si="2"/>
        <v>603054.45376466052</v>
      </c>
      <c r="J10" s="15">
        <f t="shared" si="2"/>
        <v>616321.36339721282</v>
      </c>
      <c r="K10" s="15">
        <f t="shared" si="2"/>
        <v>629879.70695066836</v>
      </c>
      <c r="L10" s="15">
        <f t="shared" si="2"/>
        <v>643736.31953347439</v>
      </c>
      <c r="M10" s="15">
        <f t="shared" si="2"/>
        <v>657897.76277369983</v>
      </c>
      <c r="N10" s="15">
        <f t="shared" si="2"/>
        <v>672370.74264942016</v>
      </c>
      <c r="O10" s="15">
        <f t="shared" si="2"/>
        <v>687162.89898770745</v>
      </c>
      <c r="P10" s="15">
        <f t="shared" si="2"/>
        <v>702280.48276543699</v>
      </c>
      <c r="Q10" s="15">
        <f t="shared" si="2"/>
        <v>717730.65338627668</v>
      </c>
      <c r="R10" s="15">
        <f t="shared" si="2"/>
        <v>733520.72776077467</v>
      </c>
      <c r="S10" s="15">
        <f t="shared" si="2"/>
        <v>749658.18377151177</v>
      </c>
      <c r="T10" s="15">
        <f t="shared" si="2"/>
        <v>766150.66381448507</v>
      </c>
      <c r="U10" s="15">
        <f t="shared" si="2"/>
        <v>783005.97841840377</v>
      </c>
      <c r="V10" s="15">
        <f t="shared" si="2"/>
        <v>800232.1099436084</v>
      </c>
      <c r="W10" s="15">
        <f t="shared" si="2"/>
        <v>817837.21636236808</v>
      </c>
      <c r="X10" s="15">
        <f t="shared" si="2"/>
        <v>835829.63512234006</v>
      </c>
      <c r="Y10" s="15">
        <f t="shared" si="2"/>
        <v>854217.88709503156</v>
      </c>
      <c r="Z10" s="15">
        <f t="shared" si="2"/>
        <v>873010.68061112217</v>
      </c>
      <c r="AA10" s="15">
        <f t="shared" si="2"/>
        <v>892216.91558456689</v>
      </c>
      <c r="AB10" s="15">
        <f t="shared" si="2"/>
        <v>911845.68772742746</v>
      </c>
      <c r="AC10" s="15">
        <f t="shared" si="2"/>
        <v>931906.29285743088</v>
      </c>
      <c r="AD10" s="15">
        <f t="shared" si="2"/>
        <v>952408.23130029428</v>
      </c>
      <c r="AE10" s="15">
        <f t="shared" si="2"/>
        <v>973361.21238890081</v>
      </c>
      <c r="AF10" s="15">
        <f t="shared" si="2"/>
        <v>994775.15906145668</v>
      </c>
      <c r="AG10" s="15">
        <f t="shared" si="2"/>
        <v>1016660.2125608088</v>
      </c>
      <c r="AH10" s="15">
        <f t="shared" si="2"/>
        <v>1039026.7372371464</v>
      </c>
      <c r="AI10" s="15">
        <f t="shared" si="2"/>
        <v>1061885.3254563638</v>
      </c>
      <c r="AJ10" s="15">
        <f t="shared" si="2"/>
        <v>1085246.8026164039</v>
      </c>
      <c r="AK10" s="15">
        <f t="shared" ref="AK10:BO10" si="3">SUM(AK5:AK9)</f>
        <v>1109122.2322739649</v>
      </c>
      <c r="AL10" s="15">
        <f t="shared" si="3"/>
        <v>1133522.9213839916</v>
      </c>
      <c r="AM10" s="15">
        <f t="shared" si="3"/>
        <v>1158460.4256544397</v>
      </c>
      <c r="AN10" s="15">
        <f t="shared" si="3"/>
        <v>1183946.5550188373</v>
      </c>
      <c r="AO10" s="15">
        <f t="shared" si="3"/>
        <v>1209993.3792292518</v>
      </c>
      <c r="AP10" s="15">
        <f t="shared" si="3"/>
        <v>1236613.2335722952</v>
      </c>
      <c r="AQ10" s="15">
        <f t="shared" si="3"/>
        <v>1263818.7247108857</v>
      </c>
      <c r="AR10" s="15">
        <f t="shared" si="3"/>
        <v>1291622.7366545254</v>
      </c>
      <c r="AS10" s="15">
        <f t="shared" si="3"/>
        <v>1320038.4368609251</v>
      </c>
      <c r="AT10" s="15">
        <f t="shared" si="3"/>
        <v>1349079.2824718654</v>
      </c>
      <c r="AU10" s="15">
        <f t="shared" si="3"/>
        <v>1378759.0266862463</v>
      </c>
      <c r="AV10" s="15">
        <f t="shared" si="3"/>
        <v>1409091.7252733437</v>
      </c>
      <c r="AW10" s="15">
        <f t="shared" si="3"/>
        <v>1440091.7432293575</v>
      </c>
      <c r="AX10" s="15">
        <f t="shared" si="3"/>
        <v>1471773.761580403</v>
      </c>
      <c r="AY10" s="15">
        <f t="shared" si="3"/>
        <v>1504152.784335172</v>
      </c>
      <c r="AZ10" s="15">
        <f t="shared" si="3"/>
        <v>0</v>
      </c>
      <c r="BA10" s="15">
        <f t="shared" si="3"/>
        <v>0</v>
      </c>
      <c r="BB10" s="15">
        <f t="shared" si="3"/>
        <v>0</v>
      </c>
      <c r="BC10" s="15">
        <f t="shared" si="3"/>
        <v>0</v>
      </c>
      <c r="BD10" s="15">
        <f t="shared" si="3"/>
        <v>0</v>
      </c>
      <c r="BE10" s="15">
        <f t="shared" si="3"/>
        <v>0</v>
      </c>
      <c r="BF10" s="15">
        <f t="shared" si="3"/>
        <v>0</v>
      </c>
      <c r="BG10" s="15">
        <f t="shared" si="3"/>
        <v>0</v>
      </c>
      <c r="BH10" s="15">
        <f t="shared" si="3"/>
        <v>0</v>
      </c>
      <c r="BI10" s="15">
        <f t="shared" si="3"/>
        <v>0</v>
      </c>
      <c r="BJ10" s="15">
        <f t="shared" si="3"/>
        <v>0</v>
      </c>
      <c r="BK10" s="15">
        <f t="shared" si="3"/>
        <v>0</v>
      </c>
      <c r="BL10" s="15">
        <f t="shared" si="3"/>
        <v>0</v>
      </c>
      <c r="BM10" s="15">
        <f t="shared" si="3"/>
        <v>0</v>
      </c>
      <c r="BN10" s="15">
        <f t="shared" si="3"/>
        <v>0</v>
      </c>
      <c r="BO10" s="15">
        <f t="shared" si="3"/>
        <v>0</v>
      </c>
    </row>
    <row r="12" spans="1:67" x14ac:dyDescent="0.4">
      <c r="C12" s="5" t="s">
        <v>172</v>
      </c>
      <c r="D12" s="5">
        <v>2027</v>
      </c>
      <c r="E12" s="5">
        <v>2028</v>
      </c>
      <c r="F12" s="5">
        <v>2029</v>
      </c>
      <c r="G12" s="5">
        <v>2030</v>
      </c>
      <c r="H12" s="5">
        <v>2031</v>
      </c>
      <c r="I12" s="5">
        <v>2032</v>
      </c>
      <c r="J12" s="5">
        <v>2033</v>
      </c>
      <c r="K12" s="5">
        <v>2034</v>
      </c>
      <c r="L12" s="5">
        <v>2035</v>
      </c>
      <c r="M12" s="5">
        <v>2036</v>
      </c>
      <c r="N12" s="5">
        <v>2037</v>
      </c>
      <c r="O12" s="5">
        <v>2038</v>
      </c>
      <c r="P12" s="5">
        <v>2039</v>
      </c>
      <c r="Q12" s="5">
        <v>2040</v>
      </c>
      <c r="R12" s="5">
        <v>2041</v>
      </c>
      <c r="S12" s="5">
        <v>2042</v>
      </c>
      <c r="T12" s="5">
        <v>2043</v>
      </c>
      <c r="U12" s="5">
        <v>2044</v>
      </c>
      <c r="V12" s="5">
        <v>2045</v>
      </c>
      <c r="W12" s="5">
        <v>2046</v>
      </c>
      <c r="X12" s="5">
        <v>2047</v>
      </c>
      <c r="Y12" s="5">
        <v>2048</v>
      </c>
      <c r="Z12" s="5">
        <v>2049</v>
      </c>
      <c r="AA12" s="5">
        <v>2050</v>
      </c>
      <c r="AB12" s="5">
        <v>2051</v>
      </c>
      <c r="AC12" s="5">
        <v>2052</v>
      </c>
      <c r="AD12" s="5">
        <v>2053</v>
      </c>
      <c r="AE12" s="5">
        <v>2054</v>
      </c>
      <c r="AF12" s="5">
        <v>2055</v>
      </c>
      <c r="AG12" s="5">
        <v>2056</v>
      </c>
      <c r="AH12" s="5">
        <v>2057</v>
      </c>
      <c r="AI12" s="5">
        <v>2058</v>
      </c>
      <c r="AJ12" s="5">
        <v>2059</v>
      </c>
      <c r="AK12" s="5">
        <v>2060</v>
      </c>
      <c r="AL12" s="5">
        <v>2061</v>
      </c>
      <c r="AM12" s="5">
        <v>2062</v>
      </c>
      <c r="AN12" s="5">
        <v>2063</v>
      </c>
      <c r="AO12" s="5">
        <v>2064</v>
      </c>
      <c r="AP12" s="5">
        <v>2065</v>
      </c>
      <c r="AQ12" s="5">
        <v>2066</v>
      </c>
      <c r="AR12" s="5">
        <v>2067</v>
      </c>
      <c r="AS12" s="5">
        <v>2068</v>
      </c>
      <c r="AT12" s="5">
        <v>2069</v>
      </c>
      <c r="AU12" s="5">
        <v>2070</v>
      </c>
      <c r="AV12" s="5">
        <v>2071</v>
      </c>
      <c r="AW12" s="5">
        <v>2072</v>
      </c>
      <c r="AX12" s="5">
        <v>2073</v>
      </c>
      <c r="AY12" s="5">
        <v>2074</v>
      </c>
      <c r="AZ12" s="5">
        <v>2075</v>
      </c>
      <c r="BA12" s="5">
        <v>2076</v>
      </c>
      <c r="BB12" s="5">
        <v>2077</v>
      </c>
      <c r="BC12" s="5">
        <v>2078</v>
      </c>
      <c r="BD12" s="5">
        <v>2079</v>
      </c>
      <c r="BE12" s="5">
        <v>2080</v>
      </c>
      <c r="BF12" s="5">
        <v>2081</v>
      </c>
      <c r="BG12" s="5">
        <v>2082</v>
      </c>
      <c r="BH12" s="5">
        <v>2083</v>
      </c>
      <c r="BI12" s="5">
        <v>2084</v>
      </c>
      <c r="BJ12" s="5">
        <v>2085</v>
      </c>
      <c r="BK12" s="5">
        <v>2086</v>
      </c>
      <c r="BL12" s="5">
        <v>2087</v>
      </c>
      <c r="BM12" s="5">
        <v>2088</v>
      </c>
      <c r="BN12" s="5">
        <v>2089</v>
      </c>
      <c r="BO12" s="5">
        <v>2090</v>
      </c>
    </row>
    <row r="13" spans="1:67" x14ac:dyDescent="0.4"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  <c r="BC13" s="216"/>
      <c r="BD13" s="216"/>
      <c r="BE13" s="216"/>
      <c r="BF13" s="216"/>
      <c r="BG13" s="216"/>
      <c r="BH13" s="216"/>
      <c r="BI13" s="216"/>
      <c r="BJ13" s="216"/>
      <c r="BK13" s="216"/>
      <c r="BL13" s="216"/>
      <c r="BM13" s="216"/>
      <c r="BN13" s="216"/>
      <c r="BO13" s="216"/>
    </row>
    <row r="14" spans="1:67" x14ac:dyDescent="0.4">
      <c r="A14" t="s">
        <v>39</v>
      </c>
      <c r="B14" t="s">
        <v>15</v>
      </c>
      <c r="C14" t="s">
        <v>173</v>
      </c>
      <c r="D14" s="8"/>
      <c r="E14" s="8">
        <f>IF(E$1&gt;Lifetime_OH,0,SUMIFS('Mitigation Projects'!$Z$4:$Z$52,'Mitigation Projects'!$H$4:$H$52,$B14,'Mitigation Projects'!$G$4:$G$52,$A14)*(1+Inflation)^(E$1-$D$1))</f>
        <v>107613.52454777098</v>
      </c>
      <c r="F14" s="8">
        <f>IF(F$1&gt;Lifetime_OH,0,SUMIFS('Mitigation Projects'!$Z$4:$Z$52,'Mitigation Projects'!$H$4:$H$52,$B14,'Mitigation Projects'!$G$4:$G$52,$A14)*(1+Inflation)^(F$1-$D$1))</f>
        <v>109981.02208782194</v>
      </c>
      <c r="G14" s="8">
        <f>IF(G$1&gt;Lifetime_OH,0,SUMIFS('Mitigation Projects'!$Z$4:$Z$52,'Mitigation Projects'!$H$4:$H$52,$B14,'Mitigation Projects'!$G$4:$G$52,$A14)*(1+Inflation)^(G$1-$D$1))</f>
        <v>112400.60457375403</v>
      </c>
      <c r="H14" s="8">
        <f>IF(H$1&gt;Lifetime_OH,0,SUMIFS('Mitigation Projects'!$Z$4:$Z$52,'Mitigation Projects'!$H$4:$H$52,$B14,'Mitigation Projects'!$G$4:$G$52,$A14)*(1+Inflation)^(H$1-$D$1))</f>
        <v>114873.41787437661</v>
      </c>
      <c r="I14" s="8">
        <f>IF(I$1&gt;Lifetime_OH,0,SUMIFS('Mitigation Projects'!$Z$4:$Z$52,'Mitigation Projects'!$H$4:$H$52,$B14,'Mitigation Projects'!$G$4:$G$52,$A14)*(1+Inflation)^(I$1-$D$1))</f>
        <v>117400.6330676129</v>
      </c>
      <c r="J14" s="8">
        <f>IF(J$1&gt;Lifetime_OH,0,SUMIFS('Mitigation Projects'!$Z$4:$Z$52,'Mitigation Projects'!$H$4:$H$52,$B14,'Mitigation Projects'!$G$4:$G$52,$A14)*(1+Inflation)^(J$1-$D$1))</f>
        <v>119983.44699510037</v>
      </c>
      <c r="K14" s="8">
        <f>IF(K$1&gt;Lifetime_OH,0,SUMIFS('Mitigation Projects'!$Z$4:$Z$52,'Mitigation Projects'!$H$4:$H$52,$B14,'Mitigation Projects'!$G$4:$G$52,$A14)*(1+Inflation)^(K$1-$D$1))</f>
        <v>122623.08282899258</v>
      </c>
      <c r="L14" s="8">
        <f>IF(L$1&gt;Lifetime_OH,0,SUMIFS('Mitigation Projects'!$Z$4:$Z$52,'Mitigation Projects'!$H$4:$H$52,$B14,'Mitigation Projects'!$G$4:$G$52,$A14)*(1+Inflation)^(L$1-$D$1))</f>
        <v>125320.79065123045</v>
      </c>
      <c r="M14" s="8">
        <f>IF(M$1&gt;Lifetime_OH,0,SUMIFS('Mitigation Projects'!$Z$4:$Z$52,'Mitigation Projects'!$H$4:$H$52,$B14,'Mitigation Projects'!$G$4:$G$52,$A14)*(1+Inflation)^(M$1-$D$1))</f>
        <v>128077.8480455575</v>
      </c>
      <c r="N14" s="8">
        <f>IF(N$1&gt;Lifetime_OH,0,SUMIFS('Mitigation Projects'!$Z$4:$Z$52,'Mitigation Projects'!$H$4:$H$52,$B14,'Mitigation Projects'!$G$4:$G$52,$A14)*(1+Inflation)^(N$1-$D$1))</f>
        <v>130895.56070255977</v>
      </c>
      <c r="O14" s="8">
        <f>IF(O$1&gt;Lifetime_OH,0,SUMIFS('Mitigation Projects'!$Z$4:$Z$52,'Mitigation Projects'!$H$4:$H$52,$B14,'Mitigation Projects'!$G$4:$G$52,$A14)*(1+Inflation)^(O$1-$D$1))</f>
        <v>133775.2630380161</v>
      </c>
      <c r="P14" s="8">
        <f>IF(P$1&gt;Lifetime_OH,0,SUMIFS('Mitigation Projects'!$Z$4:$Z$52,'Mitigation Projects'!$H$4:$H$52,$B14,'Mitigation Projects'!$G$4:$G$52,$A14)*(1+Inflation)^(P$1-$D$1))</f>
        <v>136718.31882485244</v>
      </c>
      <c r="Q14" s="8">
        <f>IF(Q$1&gt;Lifetime_OH,0,SUMIFS('Mitigation Projects'!$Z$4:$Z$52,'Mitigation Projects'!$H$4:$H$52,$B14,'Mitigation Projects'!$G$4:$G$52,$A14)*(1+Inflation)^(Q$1-$D$1))</f>
        <v>139726.12183899921</v>
      </c>
      <c r="R14" s="8">
        <f>IF(R$1&gt;Lifetime_OH,0,SUMIFS('Mitigation Projects'!$Z$4:$Z$52,'Mitigation Projects'!$H$4:$H$52,$B14,'Mitigation Projects'!$G$4:$G$52,$A14)*(1+Inflation)^(R$1-$D$1))</f>
        <v>142800.09651945718</v>
      </c>
      <c r="S14" s="8">
        <f>IF(S$1&gt;Lifetime_OH,0,SUMIFS('Mitigation Projects'!$Z$4:$Z$52,'Mitigation Projects'!$H$4:$H$52,$B14,'Mitigation Projects'!$G$4:$G$52,$A14)*(1+Inflation)^(S$1-$D$1))</f>
        <v>145941.69864288525</v>
      </c>
      <c r="T14" s="8">
        <f>IF(T$1&gt;Lifetime_OH,0,SUMIFS('Mitigation Projects'!$Z$4:$Z$52,'Mitigation Projects'!$H$4:$H$52,$B14,'Mitigation Projects'!$G$4:$G$52,$A14)*(1+Inflation)^(T$1-$D$1))</f>
        <v>149152.41601302873</v>
      </c>
      <c r="U14" s="8">
        <f>IF(U$1&gt;Lifetime_OH,0,SUMIFS('Mitigation Projects'!$Z$4:$Z$52,'Mitigation Projects'!$H$4:$H$52,$B14,'Mitigation Projects'!$G$4:$G$52,$A14)*(1+Inflation)^(U$1-$D$1))</f>
        <v>152433.76916531535</v>
      </c>
      <c r="V14" s="8">
        <f>IF(V$1&gt;Lifetime_OH,0,SUMIFS('Mitigation Projects'!$Z$4:$Z$52,'Mitigation Projects'!$H$4:$H$52,$B14,'Mitigation Projects'!$G$4:$G$52,$A14)*(1+Inflation)^(V$1-$D$1))</f>
        <v>155787.3120869523</v>
      </c>
      <c r="W14" s="8">
        <f>IF(W$1&gt;Lifetime_OH,0,SUMIFS('Mitigation Projects'!$Z$4:$Z$52,'Mitigation Projects'!$H$4:$H$52,$B14,'Mitigation Projects'!$G$4:$G$52,$A14)*(1+Inflation)^(W$1-$D$1))</f>
        <v>159214.63295286524</v>
      </c>
      <c r="X14" s="8">
        <f>IF(X$1&gt;Lifetime_OH,0,SUMIFS('Mitigation Projects'!$Z$4:$Z$52,'Mitigation Projects'!$H$4:$H$52,$B14,'Mitigation Projects'!$G$4:$G$52,$A14)*(1+Inflation)^(X$1-$D$1))</f>
        <v>162717.3548778283</v>
      </c>
      <c r="Y14" s="8">
        <f>IF(Y$1&gt;Lifetime_OH,0,SUMIFS('Mitigation Projects'!$Z$4:$Z$52,'Mitigation Projects'!$H$4:$H$52,$B14,'Mitigation Projects'!$G$4:$G$52,$A14)*(1+Inflation)^(Y$1-$D$1))</f>
        <v>166297.13668514052</v>
      </c>
      <c r="Z14" s="8">
        <f>IF(Z$1&gt;Lifetime_OH,0,SUMIFS('Mitigation Projects'!$Z$4:$Z$52,'Mitigation Projects'!$H$4:$H$52,$B14,'Mitigation Projects'!$G$4:$G$52,$A14)*(1+Inflation)^(Z$1-$D$1))</f>
        <v>169955.67369221358</v>
      </c>
      <c r="AA14" s="8">
        <f>IF(AA$1&gt;Lifetime_OH,0,SUMIFS('Mitigation Projects'!$Z$4:$Z$52,'Mitigation Projects'!$H$4:$H$52,$B14,'Mitigation Projects'!$G$4:$G$52,$A14)*(1+Inflation)^(AA$1-$D$1))</f>
        <v>173694.69851344227</v>
      </c>
      <c r="AB14" s="8">
        <f>IF(AB$1&gt;Lifetime_OH,0,SUMIFS('Mitigation Projects'!$Z$4:$Z$52,'Mitigation Projects'!$H$4:$H$52,$B14,'Mitigation Projects'!$G$4:$G$52,$A14)*(1+Inflation)^(AB$1-$D$1))</f>
        <v>177515.98188073802</v>
      </c>
      <c r="AC14" s="8">
        <f>IF(AC$1&gt;Lifetime_OH,0,SUMIFS('Mitigation Projects'!$Z$4:$Z$52,'Mitigation Projects'!$H$4:$H$52,$B14,'Mitigation Projects'!$G$4:$G$52,$A14)*(1+Inflation)^(AC$1-$D$1))</f>
        <v>181421.33348211425</v>
      </c>
      <c r="AD14" s="8">
        <f>IF(AD$1&gt;Lifetime_OH,0,SUMIFS('Mitigation Projects'!$Z$4:$Z$52,'Mitigation Projects'!$H$4:$H$52,$B14,'Mitigation Projects'!$G$4:$G$52,$A14)*(1+Inflation)^(AD$1-$D$1))</f>
        <v>185412.6028187208</v>
      </c>
      <c r="AE14" s="8">
        <f>IF(AE$1&gt;Lifetime_OH,0,SUMIFS('Mitigation Projects'!$Z$4:$Z$52,'Mitigation Projects'!$H$4:$H$52,$B14,'Mitigation Projects'!$G$4:$G$52,$A14)*(1+Inflation)^(AE$1-$D$1))</f>
        <v>189491.68008073265</v>
      </c>
      <c r="AF14" s="8">
        <f>IF(AF$1&gt;Lifetime_OH,0,SUMIFS('Mitigation Projects'!$Z$4:$Z$52,'Mitigation Projects'!$H$4:$H$52,$B14,'Mitigation Projects'!$G$4:$G$52,$A14)*(1+Inflation)^(AF$1-$D$1))</f>
        <v>193660.49704250877</v>
      </c>
      <c r="AG14" s="8">
        <f>IF(AG$1&gt;Lifetime_OH,0,SUMIFS('Mitigation Projects'!$Z$4:$Z$52,'Mitigation Projects'!$H$4:$H$52,$B14,'Mitigation Projects'!$G$4:$G$52,$A14)*(1+Inflation)^(AG$1-$D$1))</f>
        <v>197921.02797744397</v>
      </c>
      <c r="AH14" s="8">
        <f>IF(AH$1&gt;Lifetime_OH,0,SUMIFS('Mitigation Projects'!$Z$4:$Z$52,'Mitigation Projects'!$H$4:$H$52,$B14,'Mitigation Projects'!$G$4:$G$52,$A14)*(1+Inflation)^(AH$1-$D$1))</f>
        <v>202275.29059294771</v>
      </c>
      <c r="AI14" s="8">
        <f>IF(AI$1&gt;Lifetime_OH,0,SUMIFS('Mitigation Projects'!$Z$4:$Z$52,'Mitigation Projects'!$H$4:$H$52,$B14,'Mitigation Projects'!$G$4:$G$52,$A14)*(1+Inflation)^(AI$1-$D$1))</f>
        <v>206725.3469859926</v>
      </c>
      <c r="AJ14" s="8">
        <f>IF(AJ$1&gt;Lifetime_OH,0,SUMIFS('Mitigation Projects'!$Z$4:$Z$52,'Mitigation Projects'!$H$4:$H$52,$B14,'Mitigation Projects'!$G$4:$G$52,$A14)*(1+Inflation)^(AJ$1-$D$1))</f>
        <v>211273.30461968441</v>
      </c>
      <c r="AK14" s="8">
        <f>IF(AK$1&gt;Lifetime_OH,0,SUMIFS('Mitigation Projects'!$Z$4:$Z$52,'Mitigation Projects'!$H$4:$H$52,$B14,'Mitigation Projects'!$G$4:$G$52,$A14)*(1+Inflation)^(AK$1-$D$1))</f>
        <v>215921.31732131747</v>
      </c>
      <c r="AL14" s="8">
        <f>IF(AL$1&gt;Lifetime_OH,0,SUMIFS('Mitigation Projects'!$Z$4:$Z$52,'Mitigation Projects'!$H$4:$H$52,$B14,'Mitigation Projects'!$G$4:$G$52,$A14)*(1+Inflation)^(AL$1-$D$1))</f>
        <v>220671.58630238642</v>
      </c>
      <c r="AM14" s="8">
        <f>IF(AM$1&gt;Lifetime_OH,0,SUMIFS('Mitigation Projects'!$Z$4:$Z$52,'Mitigation Projects'!$H$4:$H$52,$B14,'Mitigation Projects'!$G$4:$G$52,$A14)*(1+Inflation)^(AM$1-$D$1))</f>
        <v>225526.36120103896</v>
      </c>
      <c r="AN14" s="8">
        <f>IF(AN$1&gt;Lifetime_OH,0,SUMIFS('Mitigation Projects'!$Z$4:$Z$52,'Mitigation Projects'!$H$4:$H$52,$B14,'Mitigation Projects'!$G$4:$G$52,$A14)*(1+Inflation)^(AN$1-$D$1))</f>
        <v>230487.9411474618</v>
      </c>
      <c r="AO14" s="8">
        <f>IF(AO$1&gt;Lifetime_OH,0,SUMIFS('Mitigation Projects'!$Z$4:$Z$52,'Mitigation Projects'!$H$4:$H$52,$B14,'Mitigation Projects'!$G$4:$G$52,$A14)*(1+Inflation)^(AO$1-$D$1))</f>
        <v>235558.67585270599</v>
      </c>
      <c r="AP14" s="8">
        <f>IF(AP$1&gt;Lifetime_OH,0,SUMIFS('Mitigation Projects'!$Z$4:$Z$52,'Mitigation Projects'!$H$4:$H$52,$B14,'Mitigation Projects'!$G$4:$G$52,$A14)*(1+Inflation)^(AP$1-$D$1))</f>
        <v>240740.96672146549</v>
      </c>
      <c r="AQ14" s="8">
        <f>IF(AQ$1&gt;Lifetime_OH,0,SUMIFS('Mitigation Projects'!$Z$4:$Z$52,'Mitigation Projects'!$H$4:$H$52,$B14,'Mitigation Projects'!$G$4:$G$52,$A14)*(1+Inflation)^(AQ$1-$D$1))</f>
        <v>246037.26798933771</v>
      </c>
      <c r="AR14" s="8">
        <f>IF(AR$1&gt;Lifetime_OH,0,SUMIFS('Mitigation Projects'!$Z$4:$Z$52,'Mitigation Projects'!$H$4:$H$52,$B14,'Mitigation Projects'!$G$4:$G$52,$A14)*(1+Inflation)^(AR$1-$D$1))</f>
        <v>251450.08788510322</v>
      </c>
      <c r="AS14" s="8">
        <f>IF(AS$1&gt;Lifetime_OH,0,SUMIFS('Mitigation Projects'!$Z$4:$Z$52,'Mitigation Projects'!$H$4:$H$52,$B14,'Mitigation Projects'!$G$4:$G$52,$A14)*(1+Inflation)^(AS$1-$D$1))</f>
        <v>256981.98981857547</v>
      </c>
      <c r="AT14" s="8">
        <f>IF(AT$1&gt;Lifetime_OH,0,SUMIFS('Mitigation Projects'!$Z$4:$Z$52,'Mitigation Projects'!$H$4:$H$52,$B14,'Mitigation Projects'!$G$4:$G$52,$A14)*(1+Inflation)^(AT$1-$D$1))</f>
        <v>262635.59359458415</v>
      </c>
      <c r="AU14" s="8">
        <f>IF(AU$1&gt;Lifetime_OH,0,SUMIFS('Mitigation Projects'!$Z$4:$Z$52,'Mitigation Projects'!$H$4:$H$52,$B14,'Mitigation Projects'!$G$4:$G$52,$A14)*(1+Inflation)^(AU$1-$D$1))</f>
        <v>268413.57665366499</v>
      </c>
      <c r="AV14" s="8">
        <f>IF(AV$1&gt;Lifetime_OH,0,SUMIFS('Mitigation Projects'!$Z$4:$Z$52,'Mitigation Projects'!$H$4:$H$52,$B14,'Mitigation Projects'!$G$4:$G$52,$A14)*(1+Inflation)^(AV$1-$D$1))</f>
        <v>274318.67534004565</v>
      </c>
      <c r="AW14" s="8">
        <f>IF(AW$1&gt;Lifetime_OH,0,SUMIFS('Mitigation Projects'!$Z$4:$Z$52,'Mitigation Projects'!$H$4:$H$52,$B14,'Mitigation Projects'!$G$4:$G$52,$A14)*(1+Inflation)^(AW$1-$D$1))</f>
        <v>280353.68619752664</v>
      </c>
      <c r="AX14" s="8">
        <f>IF(AX$1&gt;Lifetime_OH,0,SUMIFS('Mitigation Projects'!$Z$4:$Z$52,'Mitigation Projects'!$H$4:$H$52,$B14,'Mitigation Projects'!$G$4:$G$52,$A14)*(1+Inflation)^(AX$1-$D$1))</f>
        <v>286521.46729387221</v>
      </c>
      <c r="AY14" s="8">
        <f>IF(AY$1&gt;Lifetime_OH,0,SUMIFS('Mitigation Projects'!$Z$4:$Z$52,'Mitigation Projects'!$H$4:$H$52,$B14,'Mitigation Projects'!$G$4:$G$52,$A14)*(1+Inflation)^(AY$1-$D$1))</f>
        <v>292824.93957433739</v>
      </c>
      <c r="AZ14" s="8">
        <f>IF(AZ$1&gt;Lifetime_OH,0,SUMIFS('Mitigation Projects'!$Z$4:$Z$52,'Mitigation Projects'!$H$4:$H$52,$B14,'Mitigation Projects'!$G$4:$G$52,$A14)*(1+Inflation)^(AZ$1-$D$1))</f>
        <v>0</v>
      </c>
      <c r="BA14" s="8">
        <f>IF(BA$1&gt;Lifetime_OH,0,SUMIFS('Mitigation Projects'!$Z$4:$Z$52,'Mitigation Projects'!$H$4:$H$52,$B14,'Mitigation Projects'!$G$4:$G$52,$A14)*(1+Inflation)^(BA$1-$D$1))</f>
        <v>0</v>
      </c>
      <c r="BB14" s="8">
        <f>IF(BB$1&gt;Lifetime_OH,0,SUMIFS('Mitigation Projects'!$Z$4:$Z$52,'Mitigation Projects'!$H$4:$H$52,$B14,'Mitigation Projects'!$G$4:$G$52,$A14)*(1+Inflation)^(BB$1-$D$1))</f>
        <v>0</v>
      </c>
      <c r="BC14" s="8">
        <f>IF(BC$1&gt;Lifetime_OH,0,SUMIFS('Mitigation Projects'!$Z$4:$Z$52,'Mitigation Projects'!$H$4:$H$52,$B14,'Mitigation Projects'!$G$4:$G$52,$A14)*(1+Inflation)^(BC$1-$D$1))</f>
        <v>0</v>
      </c>
      <c r="BD14" s="8">
        <f>IF(BD$1&gt;Lifetime_OH,0,SUMIFS('Mitigation Projects'!$Z$4:$Z$52,'Mitigation Projects'!$H$4:$H$52,$B14,'Mitigation Projects'!$G$4:$G$52,$A14)*(1+Inflation)^(BD$1-$D$1))</f>
        <v>0</v>
      </c>
      <c r="BE14" s="8">
        <f>IF(BE$1&gt;Lifetime_OH,0,SUMIFS('Mitigation Projects'!$Z$4:$Z$52,'Mitigation Projects'!$H$4:$H$52,$B14,'Mitigation Projects'!$G$4:$G$52,$A14)*(1+Inflation)^(BE$1-$D$1))</f>
        <v>0</v>
      </c>
      <c r="BF14" s="8">
        <f>IF(BF$1&gt;Lifetime_OH,0,SUMIFS('Mitigation Projects'!$Z$4:$Z$52,'Mitigation Projects'!$H$4:$H$52,$B14,'Mitigation Projects'!$G$4:$G$52,$A14)*(1+Inflation)^(BF$1-$D$1))</f>
        <v>0</v>
      </c>
      <c r="BG14" s="8">
        <f>IF(BG$1&gt;Lifetime_OH,0,SUMIFS('Mitigation Projects'!$Z$4:$Z$52,'Mitigation Projects'!$H$4:$H$52,$B14,'Mitigation Projects'!$G$4:$G$52,$A14)*(1+Inflation)^(BG$1-$D$1))</f>
        <v>0</v>
      </c>
      <c r="BH14" s="8">
        <f>IF(BH$1&gt;Lifetime_OH,0,SUMIFS('Mitigation Projects'!$Z$4:$Z$52,'Mitigation Projects'!$H$4:$H$52,$B14,'Mitigation Projects'!$G$4:$G$52,$A14)*(1+Inflation)^(BH$1-$D$1))</f>
        <v>0</v>
      </c>
      <c r="BI14" s="8">
        <f>IF(BI$1&gt;Lifetime_OH,0,SUMIFS('Mitigation Projects'!$Z$4:$Z$52,'Mitigation Projects'!$H$4:$H$52,$B14,'Mitigation Projects'!$G$4:$G$52,$A14)*(1+Inflation)^(BI$1-$D$1))</f>
        <v>0</v>
      </c>
      <c r="BJ14" s="8">
        <f>IF(BJ$1&gt;Lifetime_OH,0,SUMIFS('Mitigation Projects'!$Z$4:$Z$52,'Mitigation Projects'!$H$4:$H$52,$B14,'Mitigation Projects'!$G$4:$G$52,$A14)*(1+Inflation)^(BJ$1-$D$1))</f>
        <v>0</v>
      </c>
      <c r="BK14" s="8">
        <f>IF(BK$1&gt;Lifetime_OH,0,SUMIFS('Mitigation Projects'!$Z$4:$Z$52,'Mitigation Projects'!$H$4:$H$52,$B14,'Mitigation Projects'!$G$4:$G$52,$A14)*(1+Inflation)^(BK$1-$D$1))</f>
        <v>0</v>
      </c>
      <c r="BL14" s="8">
        <f>IF(BL$1&gt;Lifetime_OH,0,SUMIFS('Mitigation Projects'!$Z$4:$Z$52,'Mitigation Projects'!$H$4:$H$52,$B14,'Mitigation Projects'!$G$4:$G$52,$A14)*(1+Inflation)^(BL$1-$D$1))</f>
        <v>0</v>
      </c>
      <c r="BM14" s="8">
        <f>IF(BM$1&gt;Lifetime_OH,0,SUMIFS('Mitigation Projects'!$Z$4:$Z$52,'Mitigation Projects'!$H$4:$H$52,$B14,'Mitigation Projects'!$G$4:$G$52,$A14)*(1+Inflation)^(BM$1-$D$1))</f>
        <v>0</v>
      </c>
      <c r="BN14" s="8">
        <f>IF(BN$1&gt;Lifetime_OH,0,SUMIFS('Mitigation Projects'!$Z$4:$Z$52,'Mitigation Projects'!$H$4:$H$52,$B14,'Mitigation Projects'!$G$4:$G$52,$A14)*(1+Inflation)^(BN$1-$D$1))</f>
        <v>0</v>
      </c>
      <c r="BO14" s="8">
        <f>IF(BO$1&gt;Lifetime_OH,0,SUMIFS('Mitigation Projects'!$Z$4:$Z$52,'Mitigation Projects'!$H$4:$H$52,$B14,'Mitigation Projects'!$G$4:$G$52,$A14)*(1+Inflation)^(BO$1-$D$1))</f>
        <v>0</v>
      </c>
    </row>
    <row r="15" spans="1:67" x14ac:dyDescent="0.4">
      <c r="A15" t="s">
        <v>39</v>
      </c>
      <c r="B15" t="s">
        <v>15</v>
      </c>
      <c r="C15" t="s">
        <v>174</v>
      </c>
      <c r="D15" s="8"/>
      <c r="E15" s="8">
        <f>IF(E$1&gt;Lifetime_OH,0,SUMIFS('Mitigation Projects'!$AA$4:$AA$52,'Mitigation Projects'!$H$4:$H$52,$B15,'Mitigation Projects'!$G$4:$G$52,$A15)*(1+Inflation)^(E$1-$D$1))</f>
        <v>3216639.3236098043</v>
      </c>
      <c r="F15" s="8">
        <f>IF(F$1&gt;Lifetime_OH,0,SUMIFS('Mitigation Projects'!$AA$4:$AA$52,'Mitigation Projects'!$H$4:$H$52,$B15,'Mitigation Projects'!$G$4:$G$52,$A15)*(1+Inflation)^(F$1-$D$1))</f>
        <v>3287405.3887292198</v>
      </c>
      <c r="G15" s="8">
        <f>IF(G$1&gt;Lifetime_OH,0,SUMIFS('Mitigation Projects'!$AA$4:$AA$52,'Mitigation Projects'!$H$4:$H$52,$B15,'Mitigation Projects'!$G$4:$G$52,$A15)*(1+Inflation)^(G$1-$D$1))</f>
        <v>3359728.3072812627</v>
      </c>
      <c r="H15" s="8">
        <f>IF(H$1&gt;Lifetime_OH,0,SUMIFS('Mitigation Projects'!$AA$4:$AA$52,'Mitigation Projects'!$H$4:$H$52,$B15,'Mitigation Projects'!$G$4:$G$52,$A15)*(1+Inflation)^(H$1-$D$1))</f>
        <v>3433642.3300414504</v>
      </c>
      <c r="I15" s="8">
        <f>IF(I$1&gt;Lifetime_OH,0,SUMIFS('Mitigation Projects'!$AA$4:$AA$52,'Mitigation Projects'!$H$4:$H$52,$B15,'Mitigation Projects'!$G$4:$G$52,$A15)*(1+Inflation)^(I$1-$D$1))</f>
        <v>3509182.4613023624</v>
      </c>
      <c r="J15" s="8">
        <f>IF(J$1&gt;Lifetime_OH,0,SUMIFS('Mitigation Projects'!$AA$4:$AA$52,'Mitigation Projects'!$H$4:$H$52,$B15,'Mitigation Projects'!$G$4:$G$52,$A15)*(1+Inflation)^(J$1-$D$1))</f>
        <v>3586384.475451014</v>
      </c>
      <c r="K15" s="8">
        <f>IF(K$1&gt;Lifetime_OH,0,SUMIFS('Mitigation Projects'!$AA$4:$AA$52,'Mitigation Projects'!$H$4:$H$52,$B15,'Mitigation Projects'!$G$4:$G$52,$A15)*(1+Inflation)^(K$1-$D$1))</f>
        <v>3665284.9339109366</v>
      </c>
      <c r="L15" s="8">
        <f>IF(L$1&gt;Lifetime_OH,0,SUMIFS('Mitigation Projects'!$AA$4:$AA$52,'Mitigation Projects'!$H$4:$H$52,$B15,'Mitigation Projects'!$G$4:$G$52,$A15)*(1+Inflation)^(L$1-$D$1))</f>
        <v>3745921.2024569777</v>
      </c>
      <c r="M15" s="8">
        <f>IF(M$1&gt;Lifetime_OH,0,SUMIFS('Mitigation Projects'!$AA$4:$AA$52,'Mitigation Projects'!$H$4:$H$52,$B15,'Mitigation Projects'!$G$4:$G$52,$A15)*(1+Inflation)^(M$1-$D$1))</f>
        <v>3828331.4689110308</v>
      </c>
      <c r="N15" s="8">
        <f>IF(N$1&gt;Lifetime_OH,0,SUMIFS('Mitigation Projects'!$AA$4:$AA$52,'Mitigation Projects'!$H$4:$H$52,$B15,'Mitigation Projects'!$G$4:$G$52,$A15)*(1+Inflation)^(N$1-$D$1))</f>
        <v>3912554.7612270736</v>
      </c>
      <c r="O15" s="8">
        <f>IF(O$1&gt;Lifetime_OH,0,SUMIFS('Mitigation Projects'!$AA$4:$AA$52,'Mitigation Projects'!$H$4:$H$52,$B15,'Mitigation Projects'!$G$4:$G$52,$A15)*(1+Inflation)^(O$1-$D$1))</f>
        <v>3998630.9659740697</v>
      </c>
      <c r="P15" s="8">
        <f>IF(P$1&gt;Lifetime_OH,0,SUMIFS('Mitigation Projects'!$AA$4:$AA$52,'Mitigation Projects'!$H$4:$H$52,$B15,'Mitigation Projects'!$G$4:$G$52,$A15)*(1+Inflation)^(P$1-$D$1))</f>
        <v>4086600.8472254989</v>
      </c>
      <c r="Q15" s="8">
        <f>IF(Q$1&gt;Lifetime_OH,0,SUMIFS('Mitigation Projects'!$AA$4:$AA$52,'Mitigation Projects'!$H$4:$H$52,$B15,'Mitigation Projects'!$G$4:$G$52,$A15)*(1+Inflation)^(Q$1-$D$1))</f>
        <v>4176506.0658644601</v>
      </c>
      <c r="R15" s="8">
        <f>IF(R$1&gt;Lifetime_OH,0,SUMIFS('Mitigation Projects'!$AA$4:$AA$52,'Mitigation Projects'!$H$4:$H$52,$B15,'Mitigation Projects'!$G$4:$G$52,$A15)*(1+Inflation)^(R$1-$D$1))</f>
        <v>4268389.1993134776</v>
      </c>
      <c r="S15" s="8">
        <f>IF(S$1&gt;Lifetime_OH,0,SUMIFS('Mitigation Projects'!$AA$4:$AA$52,'Mitigation Projects'!$H$4:$H$52,$B15,'Mitigation Projects'!$G$4:$G$52,$A15)*(1+Inflation)^(S$1-$D$1))</f>
        <v>4362293.7616983745</v>
      </c>
      <c r="T15" s="8">
        <f>IF(T$1&gt;Lifetime_OH,0,SUMIFS('Mitigation Projects'!$AA$4:$AA$52,'Mitigation Projects'!$H$4:$H$52,$B15,'Mitigation Projects'!$G$4:$G$52,$A15)*(1+Inflation)^(T$1-$D$1))</f>
        <v>4458264.2244557394</v>
      </c>
      <c r="U15" s="8">
        <f>IF(U$1&gt;Lifetime_OH,0,SUMIFS('Mitigation Projects'!$AA$4:$AA$52,'Mitigation Projects'!$H$4:$H$52,$B15,'Mitigation Projects'!$G$4:$G$52,$A15)*(1+Inflation)^(U$1-$D$1))</f>
        <v>4556346.0373937655</v>
      </c>
      <c r="V15" s="8">
        <f>IF(V$1&gt;Lifetime_OH,0,SUMIFS('Mitigation Projects'!$AA$4:$AA$52,'Mitigation Projects'!$H$4:$H$52,$B15,'Mitigation Projects'!$G$4:$G$52,$A15)*(1+Inflation)^(V$1-$D$1))</f>
        <v>4656585.6502164276</v>
      </c>
      <c r="W15" s="8">
        <f>IF(W$1&gt;Lifetime_OH,0,SUMIFS('Mitigation Projects'!$AA$4:$AA$52,'Mitigation Projects'!$H$4:$H$52,$B15,'Mitigation Projects'!$G$4:$G$52,$A15)*(1+Inflation)^(W$1-$D$1))</f>
        <v>4759030.5345211895</v>
      </c>
      <c r="X15" s="8">
        <f>IF(X$1&gt;Lifetime_OH,0,SUMIFS('Mitigation Projects'!$AA$4:$AA$52,'Mitigation Projects'!$H$4:$H$52,$B15,'Mitigation Projects'!$G$4:$G$52,$A15)*(1+Inflation)^(X$1-$D$1))</f>
        <v>4863729.2062806562</v>
      </c>
      <c r="Y15" s="8">
        <f>IF(Y$1&gt;Lifetime_OH,0,SUMIFS('Mitigation Projects'!$AA$4:$AA$52,'Mitigation Projects'!$H$4:$H$52,$B15,'Mitigation Projects'!$G$4:$G$52,$A15)*(1+Inflation)^(Y$1-$D$1))</f>
        <v>4970731.2488188306</v>
      </c>
      <c r="Z15" s="8">
        <f>IF(Z$1&gt;Lifetime_OH,0,SUMIFS('Mitigation Projects'!$AA$4:$AA$52,'Mitigation Projects'!$H$4:$H$52,$B15,'Mitigation Projects'!$G$4:$G$52,$A15)*(1+Inflation)^(Z$1-$D$1))</f>
        <v>5080087.3362928443</v>
      </c>
      <c r="AA15" s="8">
        <f>IF(AA$1&gt;Lifetime_OH,0,SUMIFS('Mitigation Projects'!$AA$4:$AA$52,'Mitigation Projects'!$H$4:$H$52,$B15,'Mitigation Projects'!$G$4:$G$52,$A15)*(1+Inflation)^(AA$1-$D$1))</f>
        <v>5191849.2576912865</v>
      </c>
      <c r="AB15" s="8">
        <f>IF(AB$1&gt;Lifetime_OH,0,SUMIFS('Mitigation Projects'!$AA$4:$AA$52,'Mitigation Projects'!$H$4:$H$52,$B15,'Mitigation Projects'!$G$4:$G$52,$A15)*(1+Inflation)^(AB$1-$D$1))</f>
        <v>5306069.941360496</v>
      </c>
      <c r="AC15" s="8">
        <f>IF(AC$1&gt;Lifetime_OH,0,SUMIFS('Mitigation Projects'!$AA$4:$AA$52,'Mitigation Projects'!$H$4:$H$52,$B15,'Mitigation Projects'!$G$4:$G$52,$A15)*(1+Inflation)^(AC$1-$D$1))</f>
        <v>5422803.4800704261</v>
      </c>
      <c r="AD15" s="8">
        <f>IF(AD$1&gt;Lifetime_OH,0,SUMIFS('Mitigation Projects'!$AA$4:$AA$52,'Mitigation Projects'!$H$4:$H$52,$B15,'Mitigation Projects'!$G$4:$G$52,$A15)*(1+Inflation)^(AD$1-$D$1))</f>
        <v>5542105.1566319764</v>
      </c>
      <c r="AE15" s="8">
        <f>IF(AE$1&gt;Lifetime_OH,0,SUMIFS('Mitigation Projects'!$AA$4:$AA$52,'Mitigation Projects'!$H$4:$H$52,$B15,'Mitigation Projects'!$G$4:$G$52,$A15)*(1+Inflation)^(AE$1-$D$1))</f>
        <v>5664031.4700778797</v>
      </c>
      <c r="AF15" s="8">
        <f>IF(AF$1&gt;Lifetime_OH,0,SUMIFS('Mitigation Projects'!$AA$4:$AA$52,'Mitigation Projects'!$H$4:$H$52,$B15,'Mitigation Projects'!$G$4:$G$52,$A15)*(1+Inflation)^(AF$1-$D$1))</f>
        <v>5788640.162419593</v>
      </c>
      <c r="AG15" s="8">
        <f>IF(AG$1&gt;Lifetime_OH,0,SUMIFS('Mitigation Projects'!$AA$4:$AA$52,'Mitigation Projects'!$H$4:$H$52,$B15,'Mitigation Projects'!$G$4:$G$52,$A15)*(1+Inflation)^(AG$1-$D$1))</f>
        <v>5915990.2459928244</v>
      </c>
      <c r="AH15" s="8">
        <f>IF(AH$1&gt;Lifetime_OH,0,SUMIFS('Mitigation Projects'!$AA$4:$AA$52,'Mitigation Projects'!$H$4:$H$52,$B15,'Mitigation Projects'!$G$4:$G$52,$A15)*(1+Inflation)^(AH$1-$D$1))</f>
        <v>6046142.0314046657</v>
      </c>
      <c r="AI15" s="8">
        <f>IF(AI$1&gt;Lifetime_OH,0,SUMIFS('Mitigation Projects'!$AA$4:$AA$52,'Mitigation Projects'!$H$4:$H$52,$B15,'Mitigation Projects'!$G$4:$G$52,$A15)*(1+Inflation)^(AI$1-$D$1))</f>
        <v>6179157.156095569</v>
      </c>
      <c r="AJ15" s="8">
        <f>IF(AJ$1&gt;Lifetime_OH,0,SUMIFS('Mitigation Projects'!$AA$4:$AA$52,'Mitigation Projects'!$H$4:$H$52,$B15,'Mitigation Projects'!$G$4:$G$52,$A15)*(1+Inflation)^(AJ$1-$D$1))</f>
        <v>6315098.613529671</v>
      </c>
      <c r="AK15" s="8">
        <f>IF(AK$1&gt;Lifetime_OH,0,SUMIFS('Mitigation Projects'!$AA$4:$AA$52,'Mitigation Projects'!$H$4:$H$52,$B15,'Mitigation Projects'!$G$4:$G$52,$A15)*(1+Inflation)^(AK$1-$D$1))</f>
        <v>6454030.7830273248</v>
      </c>
      <c r="AL15" s="8">
        <f>IF(AL$1&gt;Lifetime_OH,0,SUMIFS('Mitigation Projects'!$AA$4:$AA$52,'Mitigation Projects'!$H$4:$H$52,$B15,'Mitigation Projects'!$G$4:$G$52,$A15)*(1+Inflation)^(AL$1-$D$1))</f>
        <v>6596019.4602539241</v>
      </c>
      <c r="AM15" s="8">
        <f>IF(AM$1&gt;Lifetime_OH,0,SUMIFS('Mitigation Projects'!$AA$4:$AA$52,'Mitigation Projects'!$H$4:$H$52,$B15,'Mitigation Projects'!$G$4:$G$52,$A15)*(1+Inflation)^(AM$1-$D$1))</f>
        <v>6741131.8883795114</v>
      </c>
      <c r="AN15" s="8">
        <f>IF(AN$1&gt;Lifetime_OH,0,SUMIFS('Mitigation Projects'!$AA$4:$AA$52,'Mitigation Projects'!$H$4:$H$52,$B15,'Mitigation Projects'!$G$4:$G$52,$A15)*(1+Inflation)^(AN$1-$D$1))</f>
        <v>6889436.7899238607</v>
      </c>
      <c r="AO15" s="8">
        <f>IF(AO$1&gt;Lifetime_OH,0,SUMIFS('Mitigation Projects'!$AA$4:$AA$52,'Mitigation Projects'!$H$4:$H$52,$B15,'Mitigation Projects'!$G$4:$G$52,$A15)*(1+Inflation)^(AO$1-$D$1))</f>
        <v>7041004.3993021864</v>
      </c>
      <c r="AP15" s="8">
        <f>IF(AP$1&gt;Lifetime_OH,0,SUMIFS('Mitigation Projects'!$AA$4:$AA$52,'Mitigation Projects'!$H$4:$H$52,$B15,'Mitigation Projects'!$G$4:$G$52,$A15)*(1+Inflation)^(AP$1-$D$1))</f>
        <v>7195906.496086834</v>
      </c>
      <c r="AQ15" s="8">
        <f>IF(AQ$1&gt;Lifetime_OH,0,SUMIFS('Mitigation Projects'!$AA$4:$AA$52,'Mitigation Projects'!$H$4:$H$52,$B15,'Mitigation Projects'!$G$4:$G$52,$A15)*(1+Inflation)^(AQ$1-$D$1))</f>
        <v>7354216.4390007434</v>
      </c>
      <c r="AR15" s="8">
        <f>IF(AR$1&gt;Lifetime_OH,0,SUMIFS('Mitigation Projects'!$AA$4:$AA$52,'Mitigation Projects'!$H$4:$H$52,$B15,'Mitigation Projects'!$G$4:$G$52,$A15)*(1+Inflation)^(AR$1-$D$1))</f>
        <v>7516009.2006587619</v>
      </c>
      <c r="AS15" s="8">
        <f>IF(AS$1&gt;Lifetime_OH,0,SUMIFS('Mitigation Projects'!$AA$4:$AA$52,'Mitigation Projects'!$H$4:$H$52,$B15,'Mitigation Projects'!$G$4:$G$52,$A15)*(1+Inflation)^(AS$1-$D$1))</f>
        <v>7681361.403073254</v>
      </c>
      <c r="AT15" s="8">
        <f>IF(AT$1&gt;Lifetime_OH,0,SUMIFS('Mitigation Projects'!$AA$4:$AA$52,'Mitigation Projects'!$H$4:$H$52,$B15,'Mitigation Projects'!$G$4:$G$52,$A15)*(1+Inflation)^(AT$1-$D$1))</f>
        <v>7850351.353940866</v>
      </c>
      <c r="AU15" s="8">
        <f>IF(AU$1&gt;Lifetime_OH,0,SUMIFS('Mitigation Projects'!$AA$4:$AA$52,'Mitigation Projects'!$H$4:$H$52,$B15,'Mitigation Projects'!$G$4:$G$52,$A15)*(1+Inflation)^(AU$1-$D$1))</f>
        <v>8023059.0837275647</v>
      </c>
      <c r="AV15" s="8">
        <f>IF(AV$1&gt;Lifetime_OH,0,SUMIFS('Mitigation Projects'!$AA$4:$AA$52,'Mitigation Projects'!$H$4:$H$52,$B15,'Mitigation Projects'!$G$4:$G$52,$A15)*(1+Inflation)^(AV$1-$D$1))</f>
        <v>8199566.3835695712</v>
      </c>
      <c r="AW15" s="8">
        <f>IF(AW$1&gt;Lifetime_OH,0,SUMIFS('Mitigation Projects'!$AA$4:$AA$52,'Mitigation Projects'!$H$4:$H$52,$B15,'Mitigation Projects'!$G$4:$G$52,$A15)*(1+Inflation)^(AW$1-$D$1))</f>
        <v>8379956.8440081021</v>
      </c>
      <c r="AX15" s="8">
        <f>IF(AX$1&gt;Lifetime_OH,0,SUMIFS('Mitigation Projects'!$AA$4:$AA$52,'Mitigation Projects'!$H$4:$H$52,$B15,'Mitigation Projects'!$G$4:$G$52,$A15)*(1+Inflation)^(AX$1-$D$1))</f>
        <v>8564315.8945762794</v>
      </c>
      <c r="AY15" s="8">
        <f>IF(AY$1&gt;Lifetime_OH,0,SUMIFS('Mitigation Projects'!$AA$4:$AA$52,'Mitigation Projects'!$H$4:$H$52,$B15,'Mitigation Projects'!$G$4:$G$52,$A15)*(1+Inflation)^(AY$1-$D$1))</f>
        <v>8752730.844256958</v>
      </c>
      <c r="AZ15" s="8">
        <f>IF(AZ$1&gt;Lifetime_OH,0,SUMIFS('Mitigation Projects'!$AA$4:$AA$52,'Mitigation Projects'!$H$4:$H$52,$B15,'Mitigation Projects'!$G$4:$G$52,$A15)*(1+Inflation)^(AZ$1-$D$1))</f>
        <v>0</v>
      </c>
      <c r="BA15" s="8">
        <f>IF(BA$1&gt;Lifetime_OH,0,SUMIFS('Mitigation Projects'!$AA$4:$AA$52,'Mitigation Projects'!$H$4:$H$52,$B15,'Mitigation Projects'!$G$4:$G$52,$A15)*(1+Inflation)^(BA$1-$D$1))</f>
        <v>0</v>
      </c>
      <c r="BB15" s="8">
        <f>IF(BB$1&gt;Lifetime_OH,0,SUMIFS('Mitigation Projects'!$AA$4:$AA$52,'Mitigation Projects'!$H$4:$H$52,$B15,'Mitigation Projects'!$G$4:$G$52,$A15)*(1+Inflation)^(BB$1-$D$1))</f>
        <v>0</v>
      </c>
      <c r="BC15" s="8">
        <f>IF(BC$1&gt;Lifetime_OH,0,SUMIFS('Mitigation Projects'!$AA$4:$AA$52,'Mitigation Projects'!$H$4:$H$52,$B15,'Mitigation Projects'!$G$4:$G$52,$A15)*(1+Inflation)^(BC$1-$D$1))</f>
        <v>0</v>
      </c>
      <c r="BD15" s="8">
        <f>IF(BD$1&gt;Lifetime_OH,0,SUMIFS('Mitigation Projects'!$AA$4:$AA$52,'Mitigation Projects'!$H$4:$H$52,$B15,'Mitigation Projects'!$G$4:$G$52,$A15)*(1+Inflation)^(BD$1-$D$1))</f>
        <v>0</v>
      </c>
      <c r="BE15" s="8">
        <f>IF(BE$1&gt;Lifetime_OH,0,SUMIFS('Mitigation Projects'!$AA$4:$AA$52,'Mitigation Projects'!$H$4:$H$52,$B15,'Mitigation Projects'!$G$4:$G$52,$A15)*(1+Inflation)^(BE$1-$D$1))</f>
        <v>0</v>
      </c>
      <c r="BF15" s="8">
        <f>IF(BF$1&gt;Lifetime_OH,0,SUMIFS('Mitigation Projects'!$AA$4:$AA$52,'Mitigation Projects'!$H$4:$H$52,$B15,'Mitigation Projects'!$G$4:$G$52,$A15)*(1+Inflation)^(BF$1-$D$1))</f>
        <v>0</v>
      </c>
      <c r="BG15" s="8">
        <f>IF(BG$1&gt;Lifetime_OH,0,SUMIFS('Mitigation Projects'!$AA$4:$AA$52,'Mitigation Projects'!$H$4:$H$52,$B15,'Mitigation Projects'!$G$4:$G$52,$A15)*(1+Inflation)^(BG$1-$D$1))</f>
        <v>0</v>
      </c>
      <c r="BH15" s="8">
        <f>IF(BH$1&gt;Lifetime_OH,0,SUMIFS('Mitigation Projects'!$AA$4:$AA$52,'Mitigation Projects'!$H$4:$H$52,$B15,'Mitigation Projects'!$G$4:$G$52,$A15)*(1+Inflation)^(BH$1-$D$1))</f>
        <v>0</v>
      </c>
      <c r="BI15" s="8">
        <f>IF(BI$1&gt;Lifetime_OH,0,SUMIFS('Mitigation Projects'!$AA$4:$AA$52,'Mitigation Projects'!$H$4:$H$52,$B15,'Mitigation Projects'!$G$4:$G$52,$A15)*(1+Inflation)^(BI$1-$D$1))</f>
        <v>0</v>
      </c>
      <c r="BJ15" s="8">
        <f>IF(BJ$1&gt;Lifetime_OH,0,SUMIFS('Mitigation Projects'!$AA$4:$AA$52,'Mitigation Projects'!$H$4:$H$52,$B15,'Mitigation Projects'!$G$4:$G$52,$A15)*(1+Inflation)^(BJ$1-$D$1))</f>
        <v>0</v>
      </c>
      <c r="BK15" s="8">
        <f>IF(BK$1&gt;Lifetime_OH,0,SUMIFS('Mitigation Projects'!$AA$4:$AA$52,'Mitigation Projects'!$H$4:$H$52,$B15,'Mitigation Projects'!$G$4:$G$52,$A15)*(1+Inflation)^(BK$1-$D$1))</f>
        <v>0</v>
      </c>
      <c r="BL15" s="8">
        <f>IF(BL$1&gt;Lifetime_OH,0,SUMIFS('Mitigation Projects'!$AA$4:$AA$52,'Mitigation Projects'!$H$4:$H$52,$B15,'Mitigation Projects'!$G$4:$G$52,$A15)*(1+Inflation)^(BL$1-$D$1))</f>
        <v>0</v>
      </c>
      <c r="BM15" s="8">
        <f>IF(BM$1&gt;Lifetime_OH,0,SUMIFS('Mitigation Projects'!$AA$4:$AA$52,'Mitigation Projects'!$H$4:$H$52,$B15,'Mitigation Projects'!$G$4:$G$52,$A15)*(1+Inflation)^(BM$1-$D$1))</f>
        <v>0</v>
      </c>
      <c r="BN15" s="8">
        <f>IF(BN$1&gt;Lifetime_OH,0,SUMIFS('Mitigation Projects'!$AA$4:$AA$52,'Mitigation Projects'!$H$4:$H$52,$B15,'Mitigation Projects'!$G$4:$G$52,$A15)*(1+Inflation)^(BN$1-$D$1))</f>
        <v>0</v>
      </c>
      <c r="BO15" s="8">
        <f>IF(BO$1&gt;Lifetime_OH,0,SUMIFS('Mitigation Projects'!$AA$4:$AA$52,'Mitigation Projects'!$H$4:$H$52,$B15,'Mitigation Projects'!$G$4:$G$52,$A15)*(1+Inflation)^(BO$1-$D$1))</f>
        <v>0</v>
      </c>
    </row>
    <row r="16" spans="1:67" x14ac:dyDescent="0.4">
      <c r="A16" t="s">
        <v>39</v>
      </c>
      <c r="B16" t="s">
        <v>15</v>
      </c>
      <c r="C16" t="s">
        <v>320</v>
      </c>
      <c r="D16" s="8"/>
      <c r="E16" s="8">
        <f>IF(E$1&lt;=Lifetime_OH,SUMIFS('Mitigation Projects'!$AG:$AG,'Mitigation Projects'!$H:$H,Benefits_Mitigation!$B16,'Mitigation Projects'!$G:$G,Benefits_Mitigation!$A16)*(1+Inflation)^(Benefits_Mitigation!E$1-Benefits_Mitigation!$D$1),0)</f>
        <v>112111.86633731716</v>
      </c>
      <c r="F16" s="8">
        <f>IF(F$1&lt;=Lifetime_OH,SUMIFS('Mitigation Projects'!$AG:$AG,'Mitigation Projects'!$H:$H,Benefits_Mitigation!$B16,'Mitigation Projects'!$G:$G,Benefits_Mitigation!$A16)*(1+Inflation)^(Benefits_Mitigation!F$1-Benefits_Mitigation!$D$1),0)</f>
        <v>114578.32739673812</v>
      </c>
      <c r="G16" s="8">
        <f>IF(G$1&lt;=Lifetime_OH,SUMIFS('Mitigation Projects'!$AG:$AG,'Mitigation Projects'!$H:$H,Benefits_Mitigation!$B16,'Mitigation Projects'!$G:$G,Benefits_Mitigation!$A16)*(1+Inflation)^(Benefits_Mitigation!G$1-Benefits_Mitigation!$D$1),0)</f>
        <v>117099.05059946637</v>
      </c>
      <c r="H16" s="8">
        <f>IF(H$1&lt;=Lifetime_OH,SUMIFS('Mitigation Projects'!$AG:$AG,'Mitigation Projects'!$H:$H,Benefits_Mitigation!$B16,'Mitigation Projects'!$G:$G,Benefits_Mitigation!$A16)*(1+Inflation)^(Benefits_Mitigation!H$1-Benefits_Mitigation!$D$1),0)</f>
        <v>119675.22971265463</v>
      </c>
      <c r="I16" s="8">
        <f>IF(I$1&lt;=Lifetime_OH,SUMIFS('Mitigation Projects'!$AG:$AG,'Mitigation Projects'!$H:$H,Benefits_Mitigation!$B16,'Mitigation Projects'!$G:$G,Benefits_Mitigation!$A16)*(1+Inflation)^(Benefits_Mitigation!I$1-Benefits_Mitigation!$D$1),0)</f>
        <v>122308.08476633304</v>
      </c>
      <c r="J16" s="8">
        <f>IF(J$1&lt;=Lifetime_OH,SUMIFS('Mitigation Projects'!$AG:$AG,'Mitigation Projects'!$H:$H,Benefits_Mitigation!$B16,'Mitigation Projects'!$G:$G,Benefits_Mitigation!$A16)*(1+Inflation)^(Benefits_Mitigation!J$1-Benefits_Mitigation!$D$1),0)</f>
        <v>124998.86263119236</v>
      </c>
      <c r="K16" s="8">
        <f>IF(K$1&lt;=Lifetime_OH,SUMIFS('Mitigation Projects'!$AG:$AG,'Mitigation Projects'!$H:$H,Benefits_Mitigation!$B16,'Mitigation Projects'!$G:$G,Benefits_Mitigation!$A16)*(1+Inflation)^(Benefits_Mitigation!K$1-Benefits_Mitigation!$D$1),0)</f>
        <v>127748.83760907859</v>
      </c>
      <c r="L16" s="8">
        <f>IF(L$1&lt;=Lifetime_OH,SUMIFS('Mitigation Projects'!$AG:$AG,'Mitigation Projects'!$H:$H,Benefits_Mitigation!$B16,'Mitigation Projects'!$G:$G,Benefits_Mitigation!$A16)*(1+Inflation)^(Benefits_Mitigation!L$1-Benefits_Mitigation!$D$1),0)</f>
        <v>130559.31203647834</v>
      </c>
      <c r="M16" s="8">
        <f>IF(M$1&lt;=Lifetime_OH,SUMIFS('Mitigation Projects'!$AG:$AG,'Mitigation Projects'!$H:$H,Benefits_Mitigation!$B16,'Mitigation Projects'!$G:$G,Benefits_Mitigation!$A16)*(1+Inflation)^(Benefits_Mitigation!M$1-Benefits_Mitigation!$D$1),0)</f>
        <v>133431.61690128085</v>
      </c>
      <c r="N16" s="8">
        <f>IF(N$1&lt;=Lifetime_OH,SUMIFS('Mitigation Projects'!$AG:$AG,'Mitigation Projects'!$H:$H,Benefits_Mitigation!$B16,'Mitigation Projects'!$G:$G,Benefits_Mitigation!$A16)*(1+Inflation)^(Benefits_Mitigation!N$1-Benefits_Mitigation!$D$1),0)</f>
        <v>136367.11247310904</v>
      </c>
      <c r="O16" s="8">
        <f>IF(O$1&lt;=Lifetime_OH,SUMIFS('Mitigation Projects'!$AG:$AG,'Mitigation Projects'!$H:$H,Benefits_Mitigation!$B16,'Mitigation Projects'!$G:$G,Benefits_Mitigation!$A16)*(1+Inflation)^(Benefits_Mitigation!O$1-Benefits_Mitigation!$D$1),0)</f>
        <v>139367.18894751745</v>
      </c>
      <c r="P16" s="8">
        <f>IF(P$1&lt;=Lifetime_OH,SUMIFS('Mitigation Projects'!$AG:$AG,'Mitigation Projects'!$H:$H,Benefits_Mitigation!$B16,'Mitigation Projects'!$G:$G,Benefits_Mitigation!$A16)*(1+Inflation)^(Benefits_Mitigation!P$1-Benefits_Mitigation!$D$1),0)</f>
        <v>142433.26710436284</v>
      </c>
      <c r="Q16" s="8">
        <f>IF(Q$1&lt;=Lifetime_OH,SUMIFS('Mitigation Projects'!$AG:$AG,'Mitigation Projects'!$H:$H,Benefits_Mitigation!$B16,'Mitigation Projects'!$G:$G,Benefits_Mitigation!$A16)*(1+Inflation)^(Benefits_Mitigation!Q$1-Benefits_Mitigation!$D$1),0)</f>
        <v>145566.79898065882</v>
      </c>
      <c r="R16" s="8">
        <f>IF(R$1&lt;=Lifetime_OH,SUMIFS('Mitigation Projects'!$AG:$AG,'Mitigation Projects'!$H:$H,Benefits_Mitigation!$B16,'Mitigation Projects'!$G:$G,Benefits_Mitigation!$A16)*(1+Inflation)^(Benefits_Mitigation!R$1-Benefits_Mitigation!$D$1),0)</f>
        <v>148769.26855823328</v>
      </c>
      <c r="S16" s="8">
        <f>IF(S$1&lt;=Lifetime_OH,SUMIFS('Mitigation Projects'!$AG:$AG,'Mitigation Projects'!$H:$H,Benefits_Mitigation!$B16,'Mitigation Projects'!$G:$G,Benefits_Mitigation!$A16)*(1+Inflation)^(Benefits_Mitigation!S$1-Benefits_Mitigation!$D$1),0)</f>
        <v>152042.19246651445</v>
      </c>
      <c r="T16" s="8">
        <f>IF(T$1&lt;=Lifetime_OH,SUMIFS('Mitigation Projects'!$AG:$AG,'Mitigation Projects'!$H:$H,Benefits_Mitigation!$B16,'Mitigation Projects'!$G:$G,Benefits_Mitigation!$A16)*(1+Inflation)^(Benefits_Mitigation!T$1-Benefits_Mitigation!$D$1),0)</f>
        <v>155387.12070077777</v>
      </c>
      <c r="U16" s="8">
        <f>IF(U$1&lt;=Lifetime_OH,SUMIFS('Mitigation Projects'!$AG:$AG,'Mitigation Projects'!$H:$H,Benefits_Mitigation!$B16,'Mitigation Projects'!$G:$G,Benefits_Mitigation!$A16)*(1+Inflation)^(Benefits_Mitigation!U$1-Benefits_Mitigation!$D$1),0)</f>
        <v>158805.63735619487</v>
      </c>
      <c r="V16" s="8">
        <f>IF(V$1&lt;=Lifetime_OH,SUMIFS('Mitigation Projects'!$AG:$AG,'Mitigation Projects'!$H:$H,Benefits_Mitigation!$B16,'Mitigation Projects'!$G:$G,Benefits_Mitigation!$A16)*(1+Inflation)^(Benefits_Mitigation!V$1-Benefits_Mitigation!$D$1),0)</f>
        <v>162299.36137803114</v>
      </c>
      <c r="W16" s="8">
        <f>IF(W$1&lt;=Lifetime_OH,SUMIFS('Mitigation Projects'!$AG:$AG,'Mitigation Projects'!$H:$H,Benefits_Mitigation!$B16,'Mitigation Projects'!$G:$G,Benefits_Mitigation!$A16)*(1+Inflation)^(Benefits_Mitigation!W$1-Benefits_Mitigation!$D$1),0)</f>
        <v>165869.94732834783</v>
      </c>
      <c r="X16" s="8">
        <f>IF(X$1&lt;=Lifetime_OH,SUMIFS('Mitigation Projects'!$AG:$AG,'Mitigation Projects'!$H:$H,Benefits_Mitigation!$B16,'Mitigation Projects'!$G:$G,Benefits_Mitigation!$A16)*(1+Inflation)^(Benefits_Mitigation!X$1-Benefits_Mitigation!$D$1),0)</f>
        <v>169519.0861695715</v>
      </c>
      <c r="Y16" s="8">
        <f>IF(Y$1&lt;=Lifetime_OH,SUMIFS('Mitigation Projects'!$AG:$AG,'Mitigation Projects'!$H:$H,Benefits_Mitigation!$B16,'Mitigation Projects'!$G:$G,Benefits_Mitigation!$A16)*(1+Inflation)^(Benefits_Mitigation!Y$1-Benefits_Mitigation!$D$1),0)</f>
        <v>173248.50606530206</v>
      </c>
      <c r="Z16" s="8">
        <f>IF(Z$1&lt;=Lifetime_OH,SUMIFS('Mitigation Projects'!$AG:$AG,'Mitigation Projects'!$H:$H,Benefits_Mitigation!$B16,'Mitigation Projects'!$G:$G,Benefits_Mitigation!$A16)*(1+Inflation)^(Benefits_Mitigation!Z$1-Benefits_Mitigation!$D$1),0)</f>
        <v>177059.97319873871</v>
      </c>
      <c r="AA16" s="8">
        <f>IF(AA$1&lt;=Lifetime_OH,SUMIFS('Mitigation Projects'!$AG:$AG,'Mitigation Projects'!$H:$H,Benefits_Mitigation!$B16,'Mitigation Projects'!$G:$G,Benefits_Mitigation!$A16)*(1+Inflation)^(Benefits_Mitigation!AA$1-Benefits_Mitigation!$D$1),0)</f>
        <v>180955.29260911094</v>
      </c>
      <c r="AB16" s="8">
        <f>IF(AB$1&lt;=Lifetime_OH,SUMIFS('Mitigation Projects'!$AG:$AG,'Mitigation Projects'!$H:$H,Benefits_Mitigation!$B16,'Mitigation Projects'!$G:$G,Benefits_Mitigation!$A16)*(1+Inflation)^(Benefits_Mitigation!AB$1-Benefits_Mitigation!$D$1),0)</f>
        <v>184936.30904651142</v>
      </c>
      <c r="AC16" s="8">
        <f>IF(AC$1&lt;=Lifetime_OH,SUMIFS('Mitigation Projects'!$AG:$AG,'Mitigation Projects'!$H:$H,Benefits_Mitigation!$B16,'Mitigation Projects'!$G:$G,Benefits_Mitigation!$A16)*(1+Inflation)^(Benefits_Mitigation!AC$1-Benefits_Mitigation!$D$1),0)</f>
        <v>189004.90784553468</v>
      </c>
      <c r="AD16" s="8">
        <f>IF(AD$1&lt;=Lifetime_OH,SUMIFS('Mitigation Projects'!$AG:$AG,'Mitigation Projects'!$H:$H,Benefits_Mitigation!$B16,'Mitigation Projects'!$G:$G,Benefits_Mitigation!$A16)*(1+Inflation)^(Benefits_Mitigation!AD$1-Benefits_Mitigation!$D$1),0)</f>
        <v>193163.01581813645</v>
      </c>
      <c r="AE16" s="8">
        <f>IF(AE$1&lt;=Lifetime_OH,SUMIFS('Mitigation Projects'!$AG:$AG,'Mitigation Projects'!$H:$H,Benefits_Mitigation!$B16,'Mitigation Projects'!$G:$G,Benefits_Mitigation!$A16)*(1+Inflation)^(Benefits_Mitigation!AE$1-Benefits_Mitigation!$D$1),0)</f>
        <v>197412.60216613545</v>
      </c>
      <c r="AF16" s="8">
        <f>IF(AF$1&lt;=Lifetime_OH,SUMIFS('Mitigation Projects'!$AG:$AG,'Mitigation Projects'!$H:$H,Benefits_Mitigation!$B16,'Mitigation Projects'!$G:$G,Benefits_Mitigation!$A16)*(1+Inflation)^(Benefits_Mitigation!AF$1-Benefits_Mitigation!$D$1),0)</f>
        <v>201755.67941379041</v>
      </c>
      <c r="AG16" s="8">
        <f>IF(AG$1&lt;=Lifetime_OH,SUMIFS('Mitigation Projects'!$AG:$AG,'Mitigation Projects'!$H:$H,Benefits_Mitigation!$B16,'Mitigation Projects'!$G:$G,Benefits_Mitigation!$A16)*(1+Inflation)^(Benefits_Mitigation!AG$1-Benefits_Mitigation!$D$1),0)</f>
        <v>206194.30436089382</v>
      </c>
      <c r="AH16" s="8">
        <f>IF(AH$1&lt;=Lifetime_OH,SUMIFS('Mitigation Projects'!$AG:$AG,'Mitigation Projects'!$H:$H,Benefits_Mitigation!$B16,'Mitigation Projects'!$G:$G,Benefits_Mitigation!$A16)*(1+Inflation)^(Benefits_Mitigation!AH$1-Benefits_Mitigation!$D$1),0)</f>
        <v>210730.57905683346</v>
      </c>
      <c r="AI16" s="8">
        <f>IF(AI$1&lt;=Lifetime_OH,SUMIFS('Mitigation Projects'!$AG:$AG,'Mitigation Projects'!$H:$H,Benefits_Mitigation!$B16,'Mitigation Projects'!$G:$G,Benefits_Mitigation!$A16)*(1+Inflation)^(Benefits_Mitigation!AI$1-Benefits_Mitigation!$D$1),0)</f>
        <v>215366.65179608381</v>
      </c>
      <c r="AJ16" s="8">
        <f>IF(AJ$1&lt;=Lifetime_OH,SUMIFS('Mitigation Projects'!$AG:$AG,'Mitigation Projects'!$H:$H,Benefits_Mitigation!$B16,'Mitigation Projects'!$G:$G,Benefits_Mitigation!$A16)*(1+Inflation)^(Benefits_Mitigation!AJ$1-Benefits_Mitigation!$D$1),0)</f>
        <v>220104.71813559765</v>
      </c>
      <c r="AK16" s="8">
        <f>IF(AK$1&lt;=Lifetime_OH,SUMIFS('Mitigation Projects'!$AG:$AG,'Mitigation Projects'!$H:$H,Benefits_Mitigation!$B16,'Mitigation Projects'!$G:$G,Benefits_Mitigation!$A16)*(1+Inflation)^(Benefits_Mitigation!AK$1-Benefits_Mitigation!$D$1),0)</f>
        <v>224947.02193458081</v>
      </c>
      <c r="AL16" s="8">
        <f>IF(AL$1&lt;=Lifetime_OH,SUMIFS('Mitigation Projects'!$AG:$AG,'Mitigation Projects'!$H:$H,Benefits_Mitigation!$B16,'Mitigation Projects'!$G:$G,Benefits_Mitigation!$A16)*(1+Inflation)^(Benefits_Mitigation!AL$1-Benefits_Mitigation!$D$1),0)</f>
        <v>229895.85641714153</v>
      </c>
      <c r="AM16" s="8">
        <f>IF(AM$1&lt;=Lifetime_OH,SUMIFS('Mitigation Projects'!$AG:$AG,'Mitigation Projects'!$H:$H,Benefits_Mitigation!$B16,'Mitigation Projects'!$G:$G,Benefits_Mitigation!$A16)*(1+Inflation)^(Benefits_Mitigation!AM$1-Benefits_Mitigation!$D$1),0)</f>
        <v>234953.56525831867</v>
      </c>
      <c r="AN16" s="8">
        <f>IF(AN$1&lt;=Lifetime_OH,SUMIFS('Mitigation Projects'!$AG:$AG,'Mitigation Projects'!$H:$H,Benefits_Mitigation!$B16,'Mitigation Projects'!$G:$G,Benefits_Mitigation!$A16)*(1+Inflation)^(Benefits_Mitigation!AN$1-Benefits_Mitigation!$D$1),0)</f>
        <v>240122.54369400171</v>
      </c>
      <c r="AO16" s="8">
        <f>IF(AO$1&lt;=Lifetime_OH,SUMIFS('Mitigation Projects'!$AG:$AG,'Mitigation Projects'!$H:$H,Benefits_Mitigation!$B16,'Mitigation Projects'!$G:$G,Benefits_Mitigation!$A16)*(1+Inflation)^(Benefits_Mitigation!AO$1-Benefits_Mitigation!$D$1),0)</f>
        <v>245405.23965526975</v>
      </c>
      <c r="AP16" s="8">
        <f>IF(AP$1&lt;=Lifetime_OH,SUMIFS('Mitigation Projects'!$AG:$AG,'Mitigation Projects'!$H:$H,Benefits_Mitigation!$B16,'Mitigation Projects'!$G:$G,Benefits_Mitigation!$A16)*(1+Inflation)^(Benefits_Mitigation!AP$1-Benefits_Mitigation!$D$1),0)</f>
        <v>250804.15492768568</v>
      </c>
      <c r="AQ16" s="8">
        <f>IF(AQ$1&lt;=Lifetime_OH,SUMIFS('Mitigation Projects'!$AG:$AG,'Mitigation Projects'!$H:$H,Benefits_Mitigation!$B16,'Mitigation Projects'!$G:$G,Benefits_Mitigation!$A16)*(1+Inflation)^(Benefits_Mitigation!AQ$1-Benefits_Mitigation!$D$1),0)</f>
        <v>256321.84633609472</v>
      </c>
      <c r="AR16" s="8">
        <f>IF(AR$1&lt;=Lifetime_OH,SUMIFS('Mitigation Projects'!$AG:$AG,'Mitigation Projects'!$H:$H,Benefits_Mitigation!$B16,'Mitigation Projects'!$G:$G,Benefits_Mitigation!$A16)*(1+Inflation)^(Benefits_Mitigation!AR$1-Benefits_Mitigation!$D$1),0)</f>
        <v>261960.92695548889</v>
      </c>
      <c r="AS16" s="8">
        <f>IF(AS$1&lt;=Lifetime_OH,SUMIFS('Mitigation Projects'!$AG:$AG,'Mitigation Projects'!$H:$H,Benefits_Mitigation!$B16,'Mitigation Projects'!$G:$G,Benefits_Mitigation!$A16)*(1+Inflation)^(Benefits_Mitigation!AS$1-Benefits_Mitigation!$D$1),0)</f>
        <v>267724.06734850962</v>
      </c>
      <c r="AT16" s="8">
        <f>IF(AT$1&lt;=Lifetime_OH,SUMIFS('Mitigation Projects'!$AG:$AG,'Mitigation Projects'!$H:$H,Benefits_Mitigation!$B16,'Mitigation Projects'!$G:$G,Benefits_Mitigation!$A16)*(1+Inflation)^(Benefits_Mitigation!AT$1-Benefits_Mitigation!$D$1),0)</f>
        <v>273613.99683017685</v>
      </c>
      <c r="AU16" s="8">
        <f>IF(AU$1&lt;=Lifetime_OH,SUMIFS('Mitigation Projects'!$AG:$AG,'Mitigation Projects'!$H:$H,Benefits_Mitigation!$B16,'Mitigation Projects'!$G:$G,Benefits_Mitigation!$A16)*(1+Inflation)^(Benefits_Mitigation!AU$1-Benefits_Mitigation!$D$1),0)</f>
        <v>279633.50476044073</v>
      </c>
      <c r="AV16" s="8">
        <f>IF(AV$1&lt;=Lifetime_OH,SUMIFS('Mitigation Projects'!$AG:$AG,'Mitigation Projects'!$H:$H,Benefits_Mitigation!$B16,'Mitigation Projects'!$G:$G,Benefits_Mitigation!$A16)*(1+Inflation)^(Benefits_Mitigation!AV$1-Benefits_Mitigation!$D$1),0)</f>
        <v>285785.44186517043</v>
      </c>
      <c r="AW16" s="8">
        <f>IF(AW$1&lt;=Lifetime_OH,SUMIFS('Mitigation Projects'!$AG:$AG,'Mitigation Projects'!$H:$H,Benefits_Mitigation!$B16,'Mitigation Projects'!$G:$G,Benefits_Mitigation!$A16)*(1+Inflation)^(Benefits_Mitigation!AW$1-Benefits_Mitigation!$D$1),0)</f>
        <v>292072.72158620419</v>
      </c>
      <c r="AX16" s="8">
        <f>IF(AX$1&lt;=Lifetime_OH,SUMIFS('Mitigation Projects'!$AG:$AG,'Mitigation Projects'!$H:$H,Benefits_Mitigation!$B16,'Mitigation Projects'!$G:$G,Benefits_Mitigation!$A16)*(1+Inflation)^(Benefits_Mitigation!AX$1-Benefits_Mitigation!$D$1),0)</f>
        <v>298498.32146110066</v>
      </c>
      <c r="AY16" s="8">
        <f>IF(AY$1&lt;=Lifetime_OH,SUMIFS('Mitigation Projects'!$AG:$AG,'Mitigation Projects'!$H:$H,Benefits_Mitigation!$B16,'Mitigation Projects'!$G:$G,Benefits_Mitigation!$A16)*(1+Inflation)^(Benefits_Mitigation!AY$1-Benefits_Mitigation!$D$1),0)</f>
        <v>305065.28453324491</v>
      </c>
      <c r="AZ16" s="8">
        <f>IF(AZ$1&lt;=Lifetime_OH,SUMIFS('Mitigation Projects'!$AG:$AG,'Mitigation Projects'!$H:$H,Benefits_Mitigation!$B16,'Mitigation Projects'!$G:$G,Benefits_Mitigation!$A16)*(1+Inflation)^(Benefits_Mitigation!AZ$1-Benefits_Mitigation!$D$1),0)</f>
        <v>0</v>
      </c>
      <c r="BA16" s="8">
        <f>IF(BA$1&lt;=Lifetime_OH,SUMIFS('Mitigation Projects'!$AG:$AG,'Mitigation Projects'!$H:$H,Benefits_Mitigation!$B16,'Mitigation Projects'!$G:$G,Benefits_Mitigation!$A16)*(1+Inflation)^(Benefits_Mitigation!BA$1-Benefits_Mitigation!$D$1),0)</f>
        <v>0</v>
      </c>
      <c r="BB16" s="8">
        <f>IF(BB$1&lt;=Lifetime_OH,SUMIFS('Mitigation Projects'!$AG:$AG,'Mitigation Projects'!$H:$H,Benefits_Mitigation!$B16,'Mitigation Projects'!$G:$G,Benefits_Mitigation!$A16)*(1+Inflation)^(Benefits_Mitigation!BB$1-Benefits_Mitigation!$D$1),0)</f>
        <v>0</v>
      </c>
      <c r="BC16" s="8">
        <f>IF(BC$1&lt;=Lifetime_OH,SUMIFS('Mitigation Projects'!$AG:$AG,'Mitigation Projects'!$H:$H,Benefits_Mitigation!$B16,'Mitigation Projects'!$G:$G,Benefits_Mitigation!$A16)*(1+Inflation)^(Benefits_Mitigation!BC$1-Benefits_Mitigation!$D$1),0)</f>
        <v>0</v>
      </c>
      <c r="BD16" s="8">
        <f>IF(BD$1&lt;=Lifetime_OH,SUMIFS('Mitigation Projects'!$AG:$AG,'Mitigation Projects'!$H:$H,Benefits_Mitigation!$B16,'Mitigation Projects'!$G:$G,Benefits_Mitigation!$A16)*(1+Inflation)^(Benefits_Mitigation!BD$1-Benefits_Mitigation!$D$1),0)</f>
        <v>0</v>
      </c>
      <c r="BE16" s="8">
        <f>IF(BE$1&lt;=Lifetime_OH,SUMIFS('Mitigation Projects'!$AG:$AG,'Mitigation Projects'!$H:$H,Benefits_Mitigation!$B16,'Mitigation Projects'!$G:$G,Benefits_Mitigation!$A16)*(1+Inflation)^(Benefits_Mitigation!BE$1-Benefits_Mitigation!$D$1),0)</f>
        <v>0</v>
      </c>
      <c r="BF16" s="8">
        <f>IF(BF$1&lt;=Lifetime_OH,SUMIFS('Mitigation Projects'!$AG:$AG,'Mitigation Projects'!$H:$H,Benefits_Mitigation!$B16,'Mitigation Projects'!$G:$G,Benefits_Mitigation!$A16)*(1+Inflation)^(Benefits_Mitigation!BF$1-Benefits_Mitigation!$D$1),0)</f>
        <v>0</v>
      </c>
      <c r="BG16" s="8">
        <f>IF(BG$1&lt;=Lifetime_OH,SUMIFS('Mitigation Projects'!$AG:$AG,'Mitigation Projects'!$H:$H,Benefits_Mitigation!$B16,'Mitigation Projects'!$G:$G,Benefits_Mitigation!$A16)*(1+Inflation)^(Benefits_Mitigation!BG$1-Benefits_Mitigation!$D$1),0)</f>
        <v>0</v>
      </c>
      <c r="BH16" s="8">
        <f>IF(BH$1&lt;=Lifetime_OH,SUMIFS('Mitigation Projects'!$AG:$AG,'Mitigation Projects'!$H:$H,Benefits_Mitigation!$B16,'Mitigation Projects'!$G:$G,Benefits_Mitigation!$A16)*(1+Inflation)^(Benefits_Mitigation!BH$1-Benefits_Mitigation!$D$1),0)</f>
        <v>0</v>
      </c>
      <c r="BI16" s="8">
        <f>IF(BI$1&lt;=Lifetime_OH,SUMIFS('Mitigation Projects'!$AG:$AG,'Mitigation Projects'!$H:$H,Benefits_Mitigation!$B16,'Mitigation Projects'!$G:$G,Benefits_Mitigation!$A16)*(1+Inflation)^(Benefits_Mitigation!BI$1-Benefits_Mitigation!$D$1),0)</f>
        <v>0</v>
      </c>
      <c r="BJ16" s="8">
        <f>IF(BJ$1&lt;=Lifetime_OH,SUMIFS('Mitigation Projects'!$AG:$AG,'Mitigation Projects'!$H:$H,Benefits_Mitigation!$B16,'Mitigation Projects'!$G:$G,Benefits_Mitigation!$A16)*(1+Inflation)^(Benefits_Mitigation!BJ$1-Benefits_Mitigation!$D$1),0)</f>
        <v>0</v>
      </c>
      <c r="BK16" s="8">
        <f>IF(BK$1&lt;=Lifetime_OH,SUMIFS('Mitigation Projects'!$AG:$AG,'Mitigation Projects'!$H:$H,Benefits_Mitigation!$B16,'Mitigation Projects'!$G:$G,Benefits_Mitigation!$A16)*(1+Inflation)^(Benefits_Mitigation!BK$1-Benefits_Mitigation!$D$1),0)</f>
        <v>0</v>
      </c>
      <c r="BL16" s="8">
        <f>IF(BL$1&lt;=Lifetime_OH,SUMIFS('Mitigation Projects'!$AG:$AG,'Mitigation Projects'!$H:$H,Benefits_Mitigation!$B16,'Mitigation Projects'!$G:$G,Benefits_Mitigation!$A16)*(1+Inflation)^(Benefits_Mitigation!BL$1-Benefits_Mitigation!$D$1),0)</f>
        <v>0</v>
      </c>
      <c r="BM16" s="8">
        <f>IF(BM$1&lt;=Lifetime_OH,SUMIFS('Mitigation Projects'!$AG:$AG,'Mitigation Projects'!$H:$H,Benefits_Mitigation!$B16,'Mitigation Projects'!$G:$G,Benefits_Mitigation!$A16)*(1+Inflation)^(Benefits_Mitigation!BM$1-Benefits_Mitigation!$D$1),0)</f>
        <v>0</v>
      </c>
      <c r="BN16" s="8">
        <f>IF(BN$1&lt;=Lifetime_OH,SUMIFS('Mitigation Projects'!$AG:$AG,'Mitigation Projects'!$H:$H,Benefits_Mitigation!$B16,'Mitigation Projects'!$G:$G,Benefits_Mitigation!$A16)*(1+Inflation)^(Benefits_Mitigation!BN$1-Benefits_Mitigation!$D$1),0)</f>
        <v>0</v>
      </c>
      <c r="BO16" s="8">
        <f>IF(BO$1&lt;=Lifetime_OH,SUMIFS('Mitigation Projects'!$AG:$AG,'Mitigation Projects'!$H:$H,Benefits_Mitigation!$B16,'Mitigation Projects'!$G:$G,Benefits_Mitigation!$A16)*(1+Inflation)^(Benefits_Mitigation!BO$1-Benefits_Mitigation!$D$1),0)</f>
        <v>0</v>
      </c>
    </row>
    <row r="17" spans="1:67" x14ac:dyDescent="0.4">
      <c r="A17" t="s">
        <v>39</v>
      </c>
      <c r="B17" t="s">
        <v>15</v>
      </c>
      <c r="C17" t="s">
        <v>321</v>
      </c>
      <c r="D17" s="8"/>
      <c r="E17" s="8">
        <f>IF(E$1&lt;=Lifetime_OH,SUMIFS('Mitigation Projects'!$AH:$AH,'Mitigation Projects'!$H:$H,Benefits_Mitigation!$B17,'Mitigation Projects'!$G:$G,Benefits_Mitigation!$A17)*(1+Inflation)^(Benefits_Mitigation!E$1-Benefits_Mitigation!$D$1),0)</f>
        <v>3089243.5845955657</v>
      </c>
      <c r="F17" s="8">
        <f>IF(F$1&lt;=Lifetime_OH,SUMIFS('Mitigation Projects'!$AH:$AH,'Mitigation Projects'!$H:$H,Benefits_Mitigation!$B17,'Mitigation Projects'!$G:$G,Benefits_Mitigation!$A17)*(1+Inflation)^(Benefits_Mitigation!F$1-Benefits_Mitigation!$D$1),0)</f>
        <v>3157206.9434566684</v>
      </c>
      <c r="G17" s="8">
        <f>IF(G$1&lt;=Lifetime_OH,SUMIFS('Mitigation Projects'!$AH:$AH,'Mitigation Projects'!$H:$H,Benefits_Mitigation!$B17,'Mitigation Projects'!$G:$G,Benefits_Mitigation!$A17)*(1+Inflation)^(Benefits_Mitigation!G$1-Benefits_Mitigation!$D$1),0)</f>
        <v>3226665.4962127148</v>
      </c>
      <c r="H17" s="8">
        <f>IF(H$1&lt;=Lifetime_OH,SUMIFS('Mitigation Projects'!$AH:$AH,'Mitigation Projects'!$H:$H,Benefits_Mitigation!$B17,'Mitigation Projects'!$G:$G,Benefits_Mitigation!$A17)*(1+Inflation)^(Benefits_Mitigation!H$1-Benefits_Mitigation!$D$1),0)</f>
        <v>3297652.1371293948</v>
      </c>
      <c r="I17" s="8">
        <f>IF(I$1&lt;=Lifetime_OH,SUMIFS('Mitigation Projects'!$AH:$AH,'Mitigation Projects'!$H:$H,Benefits_Mitigation!$B17,'Mitigation Projects'!$G:$G,Benefits_Mitigation!$A17)*(1+Inflation)^(Benefits_Mitigation!I$1-Benefits_Mitigation!$D$1),0)</f>
        <v>3370200.4841462416</v>
      </c>
      <c r="J17" s="8">
        <f>IF(J$1&lt;=Lifetime_OH,SUMIFS('Mitigation Projects'!$AH:$AH,'Mitigation Projects'!$H:$H,Benefits_Mitigation!$B17,'Mitigation Projects'!$G:$G,Benefits_Mitigation!$A17)*(1+Inflation)^(Benefits_Mitigation!J$1-Benefits_Mitigation!$D$1),0)</f>
        <v>3444344.8947974583</v>
      </c>
      <c r="K17" s="8">
        <f>IF(K$1&lt;=Lifetime_OH,SUMIFS('Mitigation Projects'!$AH:$AH,'Mitigation Projects'!$H:$H,Benefits_Mitigation!$B17,'Mitigation Projects'!$G:$G,Benefits_Mitigation!$A17)*(1+Inflation)^(Benefits_Mitigation!K$1-Benefits_Mitigation!$D$1),0)</f>
        <v>3520120.4824830028</v>
      </c>
      <c r="L17" s="8">
        <f>IF(L$1&lt;=Lifetime_OH,SUMIFS('Mitigation Projects'!$AH:$AH,'Mitigation Projects'!$H:$H,Benefits_Mitigation!$B17,'Mitigation Projects'!$G:$G,Benefits_Mitigation!$A17)*(1+Inflation)^(Benefits_Mitigation!L$1-Benefits_Mitigation!$D$1),0)</f>
        <v>3597563.1330976291</v>
      </c>
      <c r="M17" s="8">
        <f>IF(M$1&lt;=Lifetime_OH,SUMIFS('Mitigation Projects'!$AH:$AH,'Mitigation Projects'!$H:$H,Benefits_Mitigation!$B17,'Mitigation Projects'!$G:$G,Benefits_Mitigation!$A17)*(1+Inflation)^(Benefits_Mitigation!M$1-Benefits_Mitigation!$D$1),0)</f>
        <v>3676709.522025777</v>
      </c>
      <c r="N17" s="8">
        <f>IF(N$1&lt;=Lifetime_OH,SUMIFS('Mitigation Projects'!$AH:$AH,'Mitigation Projects'!$H:$H,Benefits_Mitigation!$B17,'Mitigation Projects'!$G:$G,Benefits_Mitigation!$A17)*(1+Inflation)^(Benefits_Mitigation!N$1-Benefits_Mitigation!$D$1),0)</f>
        <v>3757597.1315103443</v>
      </c>
      <c r="O17" s="8">
        <f>IF(O$1&lt;=Lifetime_OH,SUMIFS('Mitigation Projects'!$AH:$AH,'Mitigation Projects'!$H:$H,Benefits_Mitigation!$B17,'Mitigation Projects'!$G:$G,Benefits_Mitigation!$A17)*(1+Inflation)^(Benefits_Mitigation!O$1-Benefits_Mitigation!$D$1),0)</f>
        <v>3840264.268403572</v>
      </c>
      <c r="P17" s="8">
        <f>IF(P$1&lt;=Lifetime_OH,SUMIFS('Mitigation Projects'!$AH:$AH,'Mitigation Projects'!$H:$H,Benefits_Mitigation!$B17,'Mitigation Projects'!$G:$G,Benefits_Mitigation!$A17)*(1+Inflation)^(Benefits_Mitigation!P$1-Benefits_Mitigation!$D$1),0)</f>
        <v>3924750.0823084507</v>
      </c>
      <c r="Q17" s="8">
        <f>IF(Q$1&lt;=Lifetime_OH,SUMIFS('Mitigation Projects'!$AH:$AH,'Mitigation Projects'!$H:$H,Benefits_Mitigation!$B17,'Mitigation Projects'!$G:$G,Benefits_Mitigation!$A17)*(1+Inflation)^(Benefits_Mitigation!Q$1-Benefits_Mitigation!$D$1),0)</f>
        <v>4011094.5841192366</v>
      </c>
      <c r="R17" s="8">
        <f>IF(R$1&lt;=Lifetime_OH,SUMIFS('Mitigation Projects'!$AH:$AH,'Mitigation Projects'!$H:$H,Benefits_Mitigation!$B17,'Mitigation Projects'!$G:$G,Benefits_Mitigation!$A17)*(1+Inflation)^(Benefits_Mitigation!R$1-Benefits_Mitigation!$D$1),0)</f>
        <v>4099338.6649698592</v>
      </c>
      <c r="S17" s="8">
        <f>IF(S$1&lt;=Lifetime_OH,SUMIFS('Mitigation Projects'!$AH:$AH,'Mitigation Projects'!$H:$H,Benefits_Mitigation!$B17,'Mitigation Projects'!$G:$G,Benefits_Mitigation!$A17)*(1+Inflation)^(Benefits_Mitigation!S$1-Benefits_Mitigation!$D$1),0)</f>
        <v>4189524.1155991964</v>
      </c>
      <c r="T17" s="8">
        <f>IF(T$1&lt;=Lifetime_OH,SUMIFS('Mitigation Projects'!$AH:$AH,'Mitigation Projects'!$H:$H,Benefits_Mitigation!$B17,'Mitigation Projects'!$G:$G,Benefits_Mitigation!$A17)*(1+Inflation)^(Benefits_Mitigation!T$1-Benefits_Mitigation!$D$1),0)</f>
        <v>4281693.6461423794</v>
      </c>
      <c r="U17" s="8">
        <f>IF(U$1&lt;=Lifetime_OH,SUMIFS('Mitigation Projects'!$AH:$AH,'Mitigation Projects'!$H:$H,Benefits_Mitigation!$B17,'Mitigation Projects'!$G:$G,Benefits_Mitigation!$A17)*(1+Inflation)^(Benefits_Mitigation!U$1-Benefits_Mitigation!$D$1),0)</f>
        <v>4375890.9063575109</v>
      </c>
      <c r="V17" s="8">
        <f>IF(V$1&lt;=Lifetime_OH,SUMIFS('Mitigation Projects'!$AH:$AH,'Mitigation Projects'!$H:$H,Benefits_Mitigation!$B17,'Mitigation Projects'!$G:$G,Benefits_Mitigation!$A17)*(1+Inflation)^(Benefits_Mitigation!V$1-Benefits_Mitigation!$D$1),0)</f>
        <v>4472160.506297376</v>
      </c>
      <c r="W17" s="8">
        <f>IF(W$1&lt;=Lifetime_OH,SUMIFS('Mitigation Projects'!$AH:$AH,'Mitigation Projects'!$H:$H,Benefits_Mitigation!$B17,'Mitigation Projects'!$G:$G,Benefits_Mitigation!$A17)*(1+Inflation)^(Benefits_Mitigation!W$1-Benefits_Mitigation!$D$1),0)</f>
        <v>4570548.037435919</v>
      </c>
      <c r="X17" s="8">
        <f>IF(X$1&lt;=Lifetime_OH,SUMIFS('Mitigation Projects'!$AH:$AH,'Mitigation Projects'!$H:$H,Benefits_Mitigation!$B17,'Mitigation Projects'!$G:$G,Benefits_Mitigation!$A17)*(1+Inflation)^(Benefits_Mitigation!X$1-Benefits_Mitigation!$D$1),0)</f>
        <v>4671100.0942595089</v>
      </c>
      <c r="Y17" s="8">
        <f>IF(Y$1&lt;=Lifetime_OH,SUMIFS('Mitigation Projects'!$AH:$AH,'Mitigation Projects'!$H:$H,Benefits_Mitigation!$B17,'Mitigation Projects'!$G:$G,Benefits_Mitigation!$A17)*(1+Inflation)^(Benefits_Mitigation!Y$1-Benefits_Mitigation!$D$1),0)</f>
        <v>4773864.2963332189</v>
      </c>
      <c r="Z17" s="8">
        <f>IF(Z$1&lt;=Lifetime_OH,SUMIFS('Mitigation Projects'!$AH:$AH,'Mitigation Projects'!$H:$H,Benefits_Mitigation!$B17,'Mitigation Projects'!$G:$G,Benefits_Mitigation!$A17)*(1+Inflation)^(Benefits_Mitigation!Z$1-Benefits_Mitigation!$D$1),0)</f>
        <v>4878889.310852549</v>
      </c>
      <c r="AA17" s="8">
        <f>IF(AA$1&lt;=Lifetime_OH,SUMIFS('Mitigation Projects'!$AH:$AH,'Mitigation Projects'!$H:$H,Benefits_Mitigation!$B17,'Mitigation Projects'!$G:$G,Benefits_Mitigation!$A17)*(1+Inflation)^(Benefits_Mitigation!AA$1-Benefits_Mitigation!$D$1),0)</f>
        <v>4986224.8756913049</v>
      </c>
      <c r="AB17" s="8">
        <f>IF(AB$1&lt;=Lifetime_OH,SUMIFS('Mitigation Projects'!$AH:$AH,'Mitigation Projects'!$H:$H,Benefits_Mitigation!$B17,'Mitigation Projects'!$G:$G,Benefits_Mitigation!$A17)*(1+Inflation)^(Benefits_Mitigation!AB$1-Benefits_Mitigation!$D$1),0)</f>
        <v>5095921.8229565145</v>
      </c>
      <c r="AC17" s="8">
        <f>IF(AC$1&lt;=Lifetime_OH,SUMIFS('Mitigation Projects'!$AH:$AH,'Mitigation Projects'!$H:$H,Benefits_Mitigation!$B17,'Mitigation Projects'!$G:$G,Benefits_Mitigation!$A17)*(1+Inflation)^(Benefits_Mitigation!AC$1-Benefits_Mitigation!$D$1),0)</f>
        <v>5208032.1030615577</v>
      </c>
      <c r="AD17" s="8">
        <f>IF(AD$1&lt;=Lifetime_OH,SUMIFS('Mitigation Projects'!$AH:$AH,'Mitigation Projects'!$H:$H,Benefits_Mitigation!$B17,'Mitigation Projects'!$G:$G,Benefits_Mitigation!$A17)*(1+Inflation)^(Benefits_Mitigation!AD$1-Benefits_Mitigation!$D$1),0)</f>
        <v>5322608.8093289118</v>
      </c>
      <c r="AE17" s="8">
        <f>IF(AE$1&lt;=Lifetime_OH,SUMIFS('Mitigation Projects'!$AH:$AH,'Mitigation Projects'!$H:$H,Benefits_Mitigation!$B17,'Mitigation Projects'!$G:$G,Benefits_Mitigation!$A17)*(1+Inflation)^(Benefits_Mitigation!AE$1-Benefits_Mitigation!$D$1),0)</f>
        <v>5439706.2031341484</v>
      </c>
      <c r="AF17" s="8">
        <f>IF(AF$1&lt;=Lifetime_OH,SUMIFS('Mitigation Projects'!$AH:$AH,'Mitigation Projects'!$H:$H,Benefits_Mitigation!$B17,'Mitigation Projects'!$G:$G,Benefits_Mitigation!$A17)*(1+Inflation)^(Benefits_Mitigation!AF$1-Benefits_Mitigation!$D$1),0)</f>
        <v>5559379.7396030994</v>
      </c>
      <c r="AG17" s="8">
        <f>IF(AG$1&lt;=Lifetime_OH,SUMIFS('Mitigation Projects'!$AH:$AH,'Mitigation Projects'!$H:$H,Benefits_Mitigation!$B17,'Mitigation Projects'!$G:$G,Benefits_Mitigation!$A17)*(1+Inflation)^(Benefits_Mitigation!AG$1-Benefits_Mitigation!$D$1),0)</f>
        <v>5681686.0938743679</v>
      </c>
      <c r="AH17" s="8">
        <f>IF(AH$1&lt;=Lifetime_OH,SUMIFS('Mitigation Projects'!$AH:$AH,'Mitigation Projects'!$H:$H,Benefits_Mitigation!$B17,'Mitigation Projects'!$G:$G,Benefits_Mitigation!$A17)*(1+Inflation)^(Benefits_Mitigation!AH$1-Benefits_Mitigation!$D$1),0)</f>
        <v>5806683.1879396029</v>
      </c>
      <c r="AI17" s="8">
        <f>IF(AI$1&lt;=Lifetime_OH,SUMIFS('Mitigation Projects'!$AH:$AH,'Mitigation Projects'!$H:$H,Benefits_Mitigation!$B17,'Mitigation Projects'!$G:$G,Benefits_Mitigation!$A17)*(1+Inflation)^(Benefits_Mitigation!AI$1-Benefits_Mitigation!$D$1),0)</f>
        <v>5934430.2180742752</v>
      </c>
      <c r="AJ17" s="8">
        <f>IF(AJ$1&lt;=Lifetime_OH,SUMIFS('Mitigation Projects'!$AH:$AH,'Mitigation Projects'!$H:$H,Benefits_Mitigation!$B17,'Mitigation Projects'!$G:$G,Benefits_Mitigation!$A17)*(1+Inflation)^(Benefits_Mitigation!AJ$1-Benefits_Mitigation!$D$1),0)</f>
        <v>6064987.6828719089</v>
      </c>
      <c r="AK17" s="8">
        <f>IF(AK$1&lt;=Lifetime_OH,SUMIFS('Mitigation Projects'!$AH:$AH,'Mitigation Projects'!$H:$H,Benefits_Mitigation!$B17,'Mitigation Projects'!$G:$G,Benefits_Mitigation!$A17)*(1+Inflation)^(Benefits_Mitigation!AK$1-Benefits_Mitigation!$D$1),0)</f>
        <v>6198417.4118950916</v>
      </c>
      <c r="AL17" s="8">
        <f>IF(AL$1&lt;=Lifetime_OH,SUMIFS('Mitigation Projects'!$AH:$AH,'Mitigation Projects'!$H:$H,Benefits_Mitigation!$B17,'Mitigation Projects'!$G:$G,Benefits_Mitigation!$A17)*(1+Inflation)^(Benefits_Mitigation!AL$1-Benefits_Mitigation!$D$1),0)</f>
        <v>6334782.5949567817</v>
      </c>
      <c r="AM17" s="8">
        <f>IF(AM$1&lt;=Lifetime_OH,SUMIFS('Mitigation Projects'!$AH:$AH,'Mitigation Projects'!$H:$H,Benefits_Mitigation!$B17,'Mitigation Projects'!$G:$G,Benefits_Mitigation!$A17)*(1+Inflation)^(Benefits_Mitigation!AM$1-Benefits_Mitigation!$D$1),0)</f>
        <v>6474147.8120458322</v>
      </c>
      <c r="AN17" s="8">
        <f>IF(AN$1&lt;=Lifetime_OH,SUMIFS('Mitigation Projects'!$AH:$AH,'Mitigation Projects'!$H:$H,Benefits_Mitigation!$B17,'Mitigation Projects'!$G:$G,Benefits_Mitigation!$A17)*(1+Inflation)^(Benefits_Mitigation!AN$1-Benefits_Mitigation!$D$1),0)</f>
        <v>6616579.0639108401</v>
      </c>
      <c r="AO17" s="8">
        <f>IF(AO$1&lt;=Lifetime_OH,SUMIFS('Mitigation Projects'!$AH:$AH,'Mitigation Projects'!$H:$H,Benefits_Mitigation!$B17,'Mitigation Projects'!$G:$G,Benefits_Mitigation!$A17)*(1+Inflation)^(Benefits_Mitigation!AO$1-Benefits_Mitigation!$D$1),0)</f>
        <v>6762143.8033168791</v>
      </c>
      <c r="AP17" s="8">
        <f>IF(AP$1&lt;=Lifetime_OH,SUMIFS('Mitigation Projects'!$AH:$AH,'Mitigation Projects'!$H:$H,Benefits_Mitigation!$B17,'Mitigation Projects'!$G:$G,Benefits_Mitigation!$A17)*(1+Inflation)^(Benefits_Mitigation!AP$1-Benefits_Mitigation!$D$1),0)</f>
        <v>6910910.9669898497</v>
      </c>
      <c r="AQ17" s="8">
        <f>IF(AQ$1&lt;=Lifetime_OH,SUMIFS('Mitigation Projects'!$AH:$AH,'Mitigation Projects'!$H:$H,Benefits_Mitigation!$B17,'Mitigation Projects'!$G:$G,Benefits_Mitigation!$A17)*(1+Inflation)^(Benefits_Mitigation!AQ$1-Benefits_Mitigation!$D$1),0)</f>
        <v>7062951.0082636261</v>
      </c>
      <c r="AR17" s="8">
        <f>IF(AR$1&lt;=Lifetime_OH,SUMIFS('Mitigation Projects'!$AH:$AH,'Mitigation Projects'!$H:$H,Benefits_Mitigation!$B17,'Mitigation Projects'!$G:$G,Benefits_Mitigation!$A17)*(1+Inflation)^(Benefits_Mitigation!AR$1-Benefits_Mitigation!$D$1),0)</f>
        <v>7218335.930445428</v>
      </c>
      <c r="AS17" s="8">
        <f>IF(AS$1&lt;=Lifetime_OH,SUMIFS('Mitigation Projects'!$AH:$AH,'Mitigation Projects'!$H:$H,Benefits_Mitigation!$B17,'Mitigation Projects'!$G:$G,Benefits_Mitigation!$A17)*(1+Inflation)^(Benefits_Mitigation!AS$1-Benefits_Mitigation!$D$1),0)</f>
        <v>7377139.3209152268</v>
      </c>
      <c r="AT17" s="8">
        <f>IF(AT$1&lt;=Lifetime_OH,SUMIFS('Mitigation Projects'!$AH:$AH,'Mitigation Projects'!$H:$H,Benefits_Mitigation!$B17,'Mitigation Projects'!$G:$G,Benefits_Mitigation!$A17)*(1+Inflation)^(Benefits_Mitigation!AT$1-Benefits_Mitigation!$D$1),0)</f>
        <v>7539436.3859753618</v>
      </c>
      <c r="AU17" s="8">
        <f>IF(AU$1&lt;=Lifetime_OH,SUMIFS('Mitigation Projects'!$AH:$AH,'Mitigation Projects'!$H:$H,Benefits_Mitigation!$B17,'Mitigation Projects'!$G:$G,Benefits_Mitigation!$A17)*(1+Inflation)^(Benefits_Mitigation!AU$1-Benefits_Mitigation!$D$1),0)</f>
        <v>7705303.9864668194</v>
      </c>
      <c r="AV17" s="8">
        <f>IF(AV$1&lt;=Lifetime_OH,SUMIFS('Mitigation Projects'!$AH:$AH,'Mitigation Projects'!$H:$H,Benefits_Mitigation!$B17,'Mitigation Projects'!$G:$G,Benefits_Mitigation!$A17)*(1+Inflation)^(Benefits_Mitigation!AV$1-Benefits_Mitigation!$D$1),0)</f>
        <v>7874820.6741690906</v>
      </c>
      <c r="AW17" s="8">
        <f>IF(AW$1&lt;=Lifetime_OH,SUMIFS('Mitigation Projects'!$AH:$AH,'Mitigation Projects'!$H:$H,Benefits_Mitigation!$B17,'Mitigation Projects'!$G:$G,Benefits_Mitigation!$A17)*(1+Inflation)^(Benefits_Mitigation!AW$1-Benefits_Mitigation!$D$1),0)</f>
        <v>8048066.7290008105</v>
      </c>
      <c r="AX17" s="8">
        <f>IF(AX$1&lt;=Lifetime_OH,SUMIFS('Mitigation Projects'!$AH:$AH,'Mitigation Projects'!$H:$H,Benefits_Mitigation!$B17,'Mitigation Projects'!$G:$G,Benefits_Mitigation!$A17)*(1+Inflation)^(Benefits_Mitigation!AX$1-Benefits_Mitigation!$D$1),0)</f>
        <v>8225124.1970388275</v>
      </c>
      <c r="AY17" s="8">
        <f>IF(AY$1&lt;=Lifetime_OH,SUMIFS('Mitigation Projects'!$AH:$AH,'Mitigation Projects'!$H:$H,Benefits_Mitigation!$B17,'Mitigation Projects'!$G:$G,Benefits_Mitigation!$A17)*(1+Inflation)^(Benefits_Mitigation!AY$1-Benefits_Mitigation!$D$1),0)</f>
        <v>8406076.9293736815</v>
      </c>
      <c r="AZ17" s="8">
        <f>IF(AZ$1&lt;=Lifetime_OH,SUMIFS('Mitigation Projects'!$AH:$AH,'Mitigation Projects'!$H:$H,Benefits_Mitigation!$B17,'Mitigation Projects'!$G:$G,Benefits_Mitigation!$A17)*(1+Inflation)^(Benefits_Mitigation!AZ$1-Benefits_Mitigation!$D$1),0)</f>
        <v>0</v>
      </c>
      <c r="BA17" s="8">
        <f>IF(BA$1&lt;=Lifetime_OH,SUMIFS('Mitigation Projects'!$AH:$AH,'Mitigation Projects'!$H:$H,Benefits_Mitigation!$B17,'Mitigation Projects'!$G:$G,Benefits_Mitigation!$A17)*(1+Inflation)^(Benefits_Mitigation!BA$1-Benefits_Mitigation!$D$1),0)</f>
        <v>0</v>
      </c>
      <c r="BB17" s="8">
        <f>IF(BB$1&lt;=Lifetime_OH,SUMIFS('Mitigation Projects'!$AH:$AH,'Mitigation Projects'!$H:$H,Benefits_Mitigation!$B17,'Mitigation Projects'!$G:$G,Benefits_Mitigation!$A17)*(1+Inflation)^(Benefits_Mitigation!BB$1-Benefits_Mitigation!$D$1),0)</f>
        <v>0</v>
      </c>
      <c r="BC17" s="8">
        <f>IF(BC$1&lt;=Lifetime_OH,SUMIFS('Mitigation Projects'!$AH:$AH,'Mitigation Projects'!$H:$H,Benefits_Mitigation!$B17,'Mitigation Projects'!$G:$G,Benefits_Mitigation!$A17)*(1+Inflation)^(Benefits_Mitigation!BC$1-Benefits_Mitigation!$D$1),0)</f>
        <v>0</v>
      </c>
      <c r="BD17" s="8">
        <f>IF(BD$1&lt;=Lifetime_OH,SUMIFS('Mitigation Projects'!$AH:$AH,'Mitigation Projects'!$H:$H,Benefits_Mitigation!$B17,'Mitigation Projects'!$G:$G,Benefits_Mitigation!$A17)*(1+Inflation)^(Benefits_Mitigation!BD$1-Benefits_Mitigation!$D$1),0)</f>
        <v>0</v>
      </c>
      <c r="BE17" s="8">
        <f>IF(BE$1&lt;=Lifetime_OH,SUMIFS('Mitigation Projects'!$AH:$AH,'Mitigation Projects'!$H:$H,Benefits_Mitigation!$B17,'Mitigation Projects'!$G:$G,Benefits_Mitigation!$A17)*(1+Inflation)^(Benefits_Mitigation!BE$1-Benefits_Mitigation!$D$1),0)</f>
        <v>0</v>
      </c>
      <c r="BF17" s="8">
        <f>IF(BF$1&lt;=Lifetime_OH,SUMIFS('Mitigation Projects'!$AH:$AH,'Mitigation Projects'!$H:$H,Benefits_Mitigation!$B17,'Mitigation Projects'!$G:$G,Benefits_Mitigation!$A17)*(1+Inflation)^(Benefits_Mitigation!BF$1-Benefits_Mitigation!$D$1),0)</f>
        <v>0</v>
      </c>
      <c r="BG17" s="8">
        <f>IF(BG$1&lt;=Lifetime_OH,SUMIFS('Mitigation Projects'!$AH:$AH,'Mitigation Projects'!$H:$H,Benefits_Mitigation!$B17,'Mitigation Projects'!$G:$G,Benefits_Mitigation!$A17)*(1+Inflation)^(Benefits_Mitigation!BG$1-Benefits_Mitigation!$D$1),0)</f>
        <v>0</v>
      </c>
      <c r="BH17" s="8">
        <f>IF(BH$1&lt;=Lifetime_OH,SUMIFS('Mitigation Projects'!$AH:$AH,'Mitigation Projects'!$H:$H,Benefits_Mitigation!$B17,'Mitigation Projects'!$G:$G,Benefits_Mitigation!$A17)*(1+Inflation)^(Benefits_Mitigation!BH$1-Benefits_Mitigation!$D$1),0)</f>
        <v>0</v>
      </c>
      <c r="BI17" s="8">
        <f>IF(BI$1&lt;=Lifetime_OH,SUMIFS('Mitigation Projects'!$AH:$AH,'Mitigation Projects'!$H:$H,Benefits_Mitigation!$B17,'Mitigation Projects'!$G:$G,Benefits_Mitigation!$A17)*(1+Inflation)^(Benefits_Mitigation!BI$1-Benefits_Mitigation!$D$1),0)</f>
        <v>0</v>
      </c>
      <c r="BJ17" s="8">
        <f>IF(BJ$1&lt;=Lifetime_OH,SUMIFS('Mitigation Projects'!$AH:$AH,'Mitigation Projects'!$H:$H,Benefits_Mitigation!$B17,'Mitigation Projects'!$G:$G,Benefits_Mitigation!$A17)*(1+Inflation)^(Benefits_Mitigation!BJ$1-Benefits_Mitigation!$D$1),0)</f>
        <v>0</v>
      </c>
      <c r="BK17" s="8">
        <f>IF(BK$1&lt;=Lifetime_OH,SUMIFS('Mitigation Projects'!$AH:$AH,'Mitigation Projects'!$H:$H,Benefits_Mitigation!$B17,'Mitigation Projects'!$G:$G,Benefits_Mitigation!$A17)*(1+Inflation)^(Benefits_Mitigation!BK$1-Benefits_Mitigation!$D$1),0)</f>
        <v>0</v>
      </c>
      <c r="BL17" s="8">
        <f>IF(BL$1&lt;=Lifetime_OH,SUMIFS('Mitigation Projects'!$AH:$AH,'Mitigation Projects'!$H:$H,Benefits_Mitigation!$B17,'Mitigation Projects'!$G:$G,Benefits_Mitigation!$A17)*(1+Inflation)^(Benefits_Mitigation!BL$1-Benefits_Mitigation!$D$1),0)</f>
        <v>0</v>
      </c>
      <c r="BM17" s="8">
        <f>IF(BM$1&lt;=Lifetime_OH,SUMIFS('Mitigation Projects'!$AH:$AH,'Mitigation Projects'!$H:$H,Benefits_Mitigation!$B17,'Mitigation Projects'!$G:$G,Benefits_Mitigation!$A17)*(1+Inflation)^(Benefits_Mitigation!BM$1-Benefits_Mitigation!$D$1),0)</f>
        <v>0</v>
      </c>
      <c r="BN17" s="8">
        <f>IF(BN$1&lt;=Lifetime_OH,SUMIFS('Mitigation Projects'!$AH:$AH,'Mitigation Projects'!$H:$H,Benefits_Mitigation!$B17,'Mitigation Projects'!$G:$G,Benefits_Mitigation!$A17)*(1+Inflation)^(Benefits_Mitigation!BN$1-Benefits_Mitigation!$D$1),0)</f>
        <v>0</v>
      </c>
      <c r="BO17" s="8">
        <f>IF(BO$1&lt;=Lifetime_OH,SUMIFS('Mitigation Projects'!$AH:$AH,'Mitigation Projects'!$H:$H,Benefits_Mitigation!$B17,'Mitigation Projects'!$G:$G,Benefits_Mitigation!$A17)*(1+Inflation)^(Benefits_Mitigation!BO$1-Benefits_Mitigation!$D$1),0)</f>
        <v>0</v>
      </c>
    </row>
    <row r="18" spans="1:67" x14ac:dyDescent="0.4">
      <c r="A18" t="s">
        <v>39</v>
      </c>
      <c r="B18" t="s">
        <v>15</v>
      </c>
      <c r="C18" t="s">
        <v>175</v>
      </c>
      <c r="D18" s="8"/>
      <c r="E18" s="8">
        <f>Line_Loss_Reduction_Per_Mile_3PH_OH*Distance_OH_3PH*VLOOKUP(E12,'Loss Reduction Calculation'!$A$10:$D$41,4,0)</f>
        <v>46028.23374817799</v>
      </c>
      <c r="F18" s="8">
        <f>Line_Loss_Reduction_Per_Mile_3PH_OH*Distance_OH_3PH*VLOOKUP(F12,'Loss Reduction Calculation'!$A$10:$D$41,4,0)</f>
        <v>46786.550231142857</v>
      </c>
      <c r="G18" s="8">
        <f>Line_Loss_Reduction_Per_Mile_3PH_OH*Distance_OH_3PH*VLOOKUP(G12,'Loss Reduction Calculation'!$A$10:$D$41,4,0)</f>
        <v>45976.243407950591</v>
      </c>
      <c r="H18" s="8">
        <f>Line_Loss_Reduction_Per_Mile_3PH_OH*Distance_OH_3PH*VLOOKUP(H12,'Loss Reduction Calculation'!$A$10:$D$41,4,0)</f>
        <v>46597.327117326662</v>
      </c>
      <c r="I18" s="8">
        <f>Line_Loss_Reduction_Per_Mile_3PH_OH*Distance_OH_3PH*VLOOKUP(I12,'Loss Reduction Calculation'!$A$10:$D$41,4,0)</f>
        <v>47866.061274184845</v>
      </c>
      <c r="J18" s="8">
        <f>Line_Loss_Reduction_Per_Mile_3PH_OH*Distance_OH_3PH*VLOOKUP(J12,'Loss Reduction Calculation'!$A$10:$D$41,4,0)</f>
        <v>48880.309970223476</v>
      </c>
      <c r="K18" s="8">
        <f>Line_Loss_Reduction_Per_Mile_3PH_OH*Distance_OH_3PH*VLOOKUP(K12,'Loss Reduction Calculation'!$A$10:$D$41,4,0)</f>
        <v>49857.916169627948</v>
      </c>
      <c r="L18" s="8">
        <f>Line_Loss_Reduction_Per_Mile_3PH_OH*Distance_OH_3PH*VLOOKUP(L12,'Loss Reduction Calculation'!$A$10:$D$41,4,0)</f>
        <v>50855.074493020518</v>
      </c>
      <c r="M18" s="8">
        <f>Line_Loss_Reduction_Per_Mile_3PH_OH*Distance_OH_3PH*VLOOKUP(M12,'Loss Reduction Calculation'!$A$10:$D$41,4,0)</f>
        <v>51872.175982880908</v>
      </c>
      <c r="N18" s="8">
        <f>Line_Loss_Reduction_Per_Mile_3PH_OH*Distance_OH_3PH*VLOOKUP(N12,'Loss Reduction Calculation'!$A$10:$D$41,4,0)</f>
        <v>52909.619502538524</v>
      </c>
      <c r="O18" s="8">
        <f t="shared" ref="O18:AT18" si="4">IF(O$1&lt;=Lifetime_OH,N18*(1+Inflation),0)</f>
        <v>54073.631131594375</v>
      </c>
      <c r="P18" s="8">
        <f t="shared" si="4"/>
        <v>55263.251016489456</v>
      </c>
      <c r="Q18" s="8">
        <f t="shared" si="4"/>
        <v>56479.042538852227</v>
      </c>
      <c r="R18" s="8">
        <f t="shared" si="4"/>
        <v>57721.581474706974</v>
      </c>
      <c r="S18" s="8">
        <f t="shared" si="4"/>
        <v>58991.456267150526</v>
      </c>
      <c r="T18" s="8">
        <f t="shared" si="4"/>
        <v>60289.268305027836</v>
      </c>
      <c r="U18" s="8">
        <f t="shared" si="4"/>
        <v>61615.632207738447</v>
      </c>
      <c r="V18" s="8">
        <f t="shared" si="4"/>
        <v>62971.176116308692</v>
      </c>
      <c r="W18" s="8">
        <f t="shared" si="4"/>
        <v>64356.541990867481</v>
      </c>
      <c r="X18" s="8">
        <f t="shared" si="4"/>
        <v>65772.385914666564</v>
      </c>
      <c r="Y18" s="8">
        <f t="shared" si="4"/>
        <v>67219.378404789226</v>
      </c>
      <c r="Z18" s="8">
        <f t="shared" si="4"/>
        <v>68698.204729694597</v>
      </c>
      <c r="AA18" s="8">
        <f t="shared" si="4"/>
        <v>70209.565233747882</v>
      </c>
      <c r="AB18" s="8">
        <f t="shared" si="4"/>
        <v>71754.175668890341</v>
      </c>
      <c r="AC18" s="8">
        <f t="shared" si="4"/>
        <v>73332.767533605933</v>
      </c>
      <c r="AD18" s="8">
        <f t="shared" si="4"/>
        <v>74946.088419345266</v>
      </c>
      <c r="AE18" s="8">
        <f t="shared" si="4"/>
        <v>76594.902364570866</v>
      </c>
      <c r="AF18" s="8">
        <f t="shared" si="4"/>
        <v>78279.990216591425</v>
      </c>
      <c r="AG18" s="8">
        <f t="shared" si="4"/>
        <v>80002.150001356436</v>
      </c>
      <c r="AH18" s="8">
        <f t="shared" si="4"/>
        <v>81762.197301386273</v>
      </c>
      <c r="AI18" s="8">
        <f t="shared" si="4"/>
        <v>83560.965642016774</v>
      </c>
      <c r="AJ18" s="8">
        <f t="shared" si="4"/>
        <v>85399.306886141145</v>
      </c>
      <c r="AK18" s="8">
        <f t="shared" si="4"/>
        <v>87278.091637636258</v>
      </c>
      <c r="AL18" s="8">
        <f t="shared" si="4"/>
        <v>89198.209653664264</v>
      </c>
      <c r="AM18" s="8">
        <f t="shared" si="4"/>
        <v>91160.570266044873</v>
      </c>
      <c r="AN18" s="8">
        <f t="shared" si="4"/>
        <v>93166.102811897857</v>
      </c>
      <c r="AO18" s="8">
        <f t="shared" si="4"/>
        <v>95215.757073759611</v>
      </c>
      <c r="AP18" s="8">
        <f t="shared" si="4"/>
        <v>97310.503729382326</v>
      </c>
      <c r="AQ18" s="8">
        <f t="shared" si="4"/>
        <v>99451.334811428736</v>
      </c>
      <c r="AR18" s="8">
        <f t="shared" si="4"/>
        <v>101639.26417728017</v>
      </c>
      <c r="AS18" s="8">
        <f t="shared" si="4"/>
        <v>103875.32798918034</v>
      </c>
      <c r="AT18" s="8">
        <f t="shared" si="4"/>
        <v>106160.58520494231</v>
      </c>
      <c r="AU18" s="8">
        <f t="shared" ref="AU18:BO18" si="5">IF(AU$1&lt;=Lifetime_OH,AT18*(1+Inflation),0)</f>
        <v>108496.11807945104</v>
      </c>
      <c r="AV18" s="8">
        <f t="shared" si="5"/>
        <v>110883.03267719896</v>
      </c>
      <c r="AW18" s="8">
        <f t="shared" si="5"/>
        <v>113322.45939609734</v>
      </c>
      <c r="AX18" s="8">
        <f t="shared" si="5"/>
        <v>115815.55350281148</v>
      </c>
      <c r="AY18" s="8">
        <f t="shared" si="5"/>
        <v>118363.49567987333</v>
      </c>
      <c r="AZ18" s="8">
        <f t="shared" si="5"/>
        <v>0</v>
      </c>
      <c r="BA18" s="8">
        <f t="shared" si="5"/>
        <v>0</v>
      </c>
      <c r="BB18" s="8">
        <f t="shared" si="5"/>
        <v>0</v>
      </c>
      <c r="BC18" s="8">
        <f t="shared" si="5"/>
        <v>0</v>
      </c>
      <c r="BD18" s="8">
        <f t="shared" si="5"/>
        <v>0</v>
      </c>
      <c r="BE18" s="8">
        <f t="shared" si="5"/>
        <v>0</v>
      </c>
      <c r="BF18" s="8">
        <f t="shared" si="5"/>
        <v>0</v>
      </c>
      <c r="BG18" s="8">
        <f t="shared" si="5"/>
        <v>0</v>
      </c>
      <c r="BH18" s="8">
        <f t="shared" si="5"/>
        <v>0</v>
      </c>
      <c r="BI18" s="8">
        <f t="shared" si="5"/>
        <v>0</v>
      </c>
      <c r="BJ18" s="8">
        <f t="shared" si="5"/>
        <v>0</v>
      </c>
      <c r="BK18" s="8">
        <f t="shared" si="5"/>
        <v>0</v>
      </c>
      <c r="BL18" s="8">
        <f t="shared" si="5"/>
        <v>0</v>
      </c>
      <c r="BM18" s="8">
        <f t="shared" si="5"/>
        <v>0</v>
      </c>
      <c r="BN18" s="8">
        <f t="shared" si="5"/>
        <v>0</v>
      </c>
      <c r="BO18" s="8">
        <f t="shared" si="5"/>
        <v>0</v>
      </c>
    </row>
    <row r="19" spans="1:67" x14ac:dyDescent="0.4">
      <c r="C19" s="14"/>
      <c r="D19" s="15"/>
      <c r="E19" s="15">
        <f t="shared" ref="E19:AJ19" si="6">SUM(E14:E18)</f>
        <v>6571636.5328386361</v>
      </c>
      <c r="F19" s="15">
        <f t="shared" si="6"/>
        <v>6715958.2319015907</v>
      </c>
      <c r="G19" s="15">
        <f t="shared" si="6"/>
        <v>6861869.7020751489</v>
      </c>
      <c r="H19" s="15">
        <f t="shared" si="6"/>
        <v>7012440.4418752035</v>
      </c>
      <c r="I19" s="15">
        <f t="shared" si="6"/>
        <v>7166957.7245567348</v>
      </c>
      <c r="J19" s="15">
        <f t="shared" si="6"/>
        <v>7324591.9898449881</v>
      </c>
      <c r="K19" s="15">
        <f t="shared" si="6"/>
        <v>7485635.2530016387</v>
      </c>
      <c r="L19" s="15">
        <f t="shared" si="6"/>
        <v>7650219.512735337</v>
      </c>
      <c r="M19" s="15">
        <f t="shared" si="6"/>
        <v>7818422.6318665277</v>
      </c>
      <c r="N19" s="15">
        <f t="shared" si="6"/>
        <v>7990324.1854156256</v>
      </c>
      <c r="O19" s="15">
        <f t="shared" si="6"/>
        <v>8166111.3174947696</v>
      </c>
      <c r="P19" s="15">
        <f t="shared" si="6"/>
        <v>8345765.7664796542</v>
      </c>
      <c r="Q19" s="15">
        <f t="shared" si="6"/>
        <v>8529372.6133422069</v>
      </c>
      <c r="R19" s="15">
        <f t="shared" si="6"/>
        <v>8717018.810835734</v>
      </c>
      <c r="S19" s="15">
        <f t="shared" si="6"/>
        <v>8908793.2246741205</v>
      </c>
      <c r="T19" s="15">
        <f t="shared" si="6"/>
        <v>9104786.6756169517</v>
      </c>
      <c r="U19" s="15">
        <f t="shared" si="6"/>
        <v>9305091.9824805241</v>
      </c>
      <c r="V19" s="15">
        <f t="shared" si="6"/>
        <v>9509804.0060950946</v>
      </c>
      <c r="W19" s="15">
        <f t="shared" si="6"/>
        <v>9719019.6942291874</v>
      </c>
      <c r="X19" s="15">
        <f t="shared" si="6"/>
        <v>9932838.1275022309</v>
      </c>
      <c r="Y19" s="15">
        <f t="shared" si="6"/>
        <v>10151360.56630728</v>
      </c>
      <c r="Z19" s="15">
        <f t="shared" si="6"/>
        <v>10374690.49876604</v>
      </c>
      <c r="AA19" s="15">
        <f t="shared" si="6"/>
        <v>10602933.689738892</v>
      </c>
      <c r="AB19" s="15">
        <f t="shared" si="6"/>
        <v>10836198.230913149</v>
      </c>
      <c r="AC19" s="15">
        <f t="shared" si="6"/>
        <v>11074594.591993239</v>
      </c>
      <c r="AD19" s="15">
        <f t="shared" si="6"/>
        <v>11318235.673017092</v>
      </c>
      <c r="AE19" s="15">
        <f t="shared" si="6"/>
        <v>11567236.857823467</v>
      </c>
      <c r="AF19" s="15">
        <f t="shared" si="6"/>
        <v>11821716.068695584</v>
      </c>
      <c r="AG19" s="15">
        <f t="shared" si="6"/>
        <v>12081793.822206886</v>
      </c>
      <c r="AH19" s="15">
        <f t="shared" si="6"/>
        <v>12347593.286295436</v>
      </c>
      <c r="AI19" s="15">
        <f t="shared" si="6"/>
        <v>12619240.338593937</v>
      </c>
      <c r="AJ19" s="15">
        <f t="shared" si="6"/>
        <v>12896863.626043003</v>
      </c>
      <c r="AK19" s="15">
        <f t="shared" ref="AK19:BO19" si="7">SUM(AK14:AK18)</f>
        <v>13180594.62581595</v>
      </c>
      <c r="AL19" s="15">
        <f t="shared" si="7"/>
        <v>13470567.707583899</v>
      </c>
      <c r="AM19" s="15">
        <f t="shared" si="7"/>
        <v>13766920.197150746</v>
      </c>
      <c r="AN19" s="15">
        <f t="shared" si="7"/>
        <v>14069792.441488061</v>
      </c>
      <c r="AO19" s="15">
        <f t="shared" si="7"/>
        <v>14379327.875200801</v>
      </c>
      <c r="AP19" s="15">
        <f t="shared" si="7"/>
        <v>14695673.088455217</v>
      </c>
      <c r="AQ19" s="15">
        <f t="shared" si="7"/>
        <v>15018977.89640123</v>
      </c>
      <c r="AR19" s="15">
        <f t="shared" si="7"/>
        <v>15349395.410122061</v>
      </c>
      <c r="AS19" s="15">
        <f t="shared" si="7"/>
        <v>15687082.109144747</v>
      </c>
      <c r="AT19" s="15">
        <f t="shared" si="7"/>
        <v>16032197.915545931</v>
      </c>
      <c r="AU19" s="15">
        <f t="shared" si="7"/>
        <v>16384906.269687941</v>
      </c>
      <c r="AV19" s="15">
        <f t="shared" si="7"/>
        <v>16745374.207621079</v>
      </c>
      <c r="AW19" s="15">
        <f t="shared" si="7"/>
        <v>17113772.440188739</v>
      </c>
      <c r="AX19" s="15">
        <f t="shared" si="7"/>
        <v>17490275.433872893</v>
      </c>
      <c r="AY19" s="15">
        <f t="shared" si="7"/>
        <v>17875061.493418094</v>
      </c>
      <c r="AZ19" s="15">
        <f t="shared" si="7"/>
        <v>0</v>
      </c>
      <c r="BA19" s="15">
        <f t="shared" si="7"/>
        <v>0</v>
      </c>
      <c r="BB19" s="15">
        <f t="shared" si="7"/>
        <v>0</v>
      </c>
      <c r="BC19" s="15">
        <f t="shared" si="7"/>
        <v>0</v>
      </c>
      <c r="BD19" s="15">
        <f t="shared" si="7"/>
        <v>0</v>
      </c>
      <c r="BE19" s="15">
        <f t="shared" si="7"/>
        <v>0</v>
      </c>
      <c r="BF19" s="15">
        <f t="shared" si="7"/>
        <v>0</v>
      </c>
      <c r="BG19" s="15">
        <f t="shared" si="7"/>
        <v>0</v>
      </c>
      <c r="BH19" s="15">
        <f t="shared" si="7"/>
        <v>0</v>
      </c>
      <c r="BI19" s="15">
        <f t="shared" si="7"/>
        <v>0</v>
      </c>
      <c r="BJ19" s="15">
        <f t="shared" si="7"/>
        <v>0</v>
      </c>
      <c r="BK19" s="15">
        <f t="shared" si="7"/>
        <v>0</v>
      </c>
      <c r="BL19" s="15">
        <f t="shared" si="7"/>
        <v>0</v>
      </c>
      <c r="BM19" s="15">
        <f t="shared" si="7"/>
        <v>0</v>
      </c>
      <c r="BN19" s="15">
        <f t="shared" si="7"/>
        <v>0</v>
      </c>
      <c r="BO19" s="15">
        <f t="shared" si="7"/>
        <v>0</v>
      </c>
    </row>
    <row r="21" spans="1:67" x14ac:dyDescent="0.4">
      <c r="B21" s="11" t="s">
        <v>424</v>
      </c>
    </row>
    <row r="22" spans="1:67" x14ac:dyDescent="0.4">
      <c r="A22" t="s">
        <v>70</v>
      </c>
      <c r="B22" t="s">
        <v>149</v>
      </c>
      <c r="C22" s="5" t="s">
        <v>172</v>
      </c>
      <c r="D22" s="5">
        <v>2027</v>
      </c>
      <c r="E22" s="5">
        <v>2028</v>
      </c>
      <c r="F22" s="5">
        <v>2029</v>
      </c>
      <c r="G22" s="5">
        <v>2030</v>
      </c>
      <c r="H22" s="5">
        <v>2031</v>
      </c>
      <c r="I22" s="5">
        <v>2032</v>
      </c>
      <c r="J22" s="5">
        <v>2033</v>
      </c>
      <c r="K22" s="5">
        <v>2034</v>
      </c>
      <c r="L22" s="5">
        <v>2035</v>
      </c>
      <c r="M22" s="5">
        <v>2036</v>
      </c>
      <c r="N22" s="5">
        <v>2037</v>
      </c>
      <c r="O22" s="5">
        <v>2038</v>
      </c>
      <c r="P22" s="5">
        <v>2039</v>
      </c>
      <c r="Q22" s="5">
        <v>2040</v>
      </c>
      <c r="R22" s="5">
        <v>2041</v>
      </c>
      <c r="S22" s="5">
        <v>2042</v>
      </c>
      <c r="T22" s="5">
        <v>2043</v>
      </c>
      <c r="U22" s="5">
        <v>2044</v>
      </c>
      <c r="V22" s="5">
        <v>2045</v>
      </c>
      <c r="W22" s="5">
        <v>2046</v>
      </c>
      <c r="X22" s="5">
        <v>2047</v>
      </c>
      <c r="Y22" s="5">
        <v>2048</v>
      </c>
      <c r="Z22" s="5">
        <v>2049</v>
      </c>
      <c r="AA22" s="5">
        <v>2050</v>
      </c>
      <c r="AB22" s="5">
        <v>2051</v>
      </c>
      <c r="AC22" s="5">
        <v>2052</v>
      </c>
      <c r="AD22" s="5">
        <v>2053</v>
      </c>
      <c r="AE22" s="5">
        <v>2054</v>
      </c>
      <c r="AF22" s="5">
        <v>2055</v>
      </c>
      <c r="AG22" s="5">
        <v>2056</v>
      </c>
      <c r="AH22" s="5">
        <v>2057</v>
      </c>
      <c r="AI22" s="5">
        <v>2058</v>
      </c>
      <c r="AJ22" s="5">
        <v>2059</v>
      </c>
      <c r="AK22" s="5">
        <v>2060</v>
      </c>
      <c r="AL22" s="5">
        <v>2061</v>
      </c>
      <c r="AM22" s="5">
        <v>2062</v>
      </c>
      <c r="AN22" s="5">
        <v>2063</v>
      </c>
      <c r="AO22" s="5">
        <v>2064</v>
      </c>
      <c r="AP22" s="5">
        <v>2065</v>
      </c>
      <c r="AQ22" s="5">
        <v>2066</v>
      </c>
      <c r="AR22" s="5">
        <v>2067</v>
      </c>
      <c r="AS22" s="5">
        <v>2068</v>
      </c>
      <c r="AT22" s="5">
        <v>2069</v>
      </c>
      <c r="AU22" s="5">
        <v>2070</v>
      </c>
      <c r="AV22" s="5">
        <v>2071</v>
      </c>
      <c r="AW22" s="5">
        <v>2072</v>
      </c>
      <c r="AX22" s="5">
        <v>2073</v>
      </c>
      <c r="AY22" s="5">
        <v>2074</v>
      </c>
      <c r="AZ22" s="5">
        <v>2075</v>
      </c>
      <c r="BA22" s="5">
        <v>2076</v>
      </c>
      <c r="BB22" s="5">
        <v>2077</v>
      </c>
      <c r="BC22" s="5">
        <v>2078</v>
      </c>
      <c r="BD22" s="5">
        <v>2079</v>
      </c>
      <c r="BE22" s="5">
        <v>2080</v>
      </c>
      <c r="BF22" s="5">
        <v>2081</v>
      </c>
      <c r="BG22" s="5">
        <v>2082</v>
      </c>
      <c r="BH22" s="5">
        <v>2083</v>
      </c>
      <c r="BI22" s="5">
        <v>2084</v>
      </c>
      <c r="BJ22" s="5">
        <v>2085</v>
      </c>
      <c r="BK22" s="5">
        <v>2086</v>
      </c>
      <c r="BL22" s="5">
        <v>2087</v>
      </c>
      <c r="BM22" s="5">
        <v>2088</v>
      </c>
      <c r="BN22" s="5">
        <v>2089</v>
      </c>
      <c r="BO22" s="5">
        <v>2090</v>
      </c>
    </row>
    <row r="23" spans="1:67" x14ac:dyDescent="0.4"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</row>
    <row r="24" spans="1:67" x14ac:dyDescent="0.4">
      <c r="A24" t="s">
        <v>37</v>
      </c>
      <c r="B24" t="s">
        <v>16</v>
      </c>
      <c r="C24" t="s">
        <v>173</v>
      </c>
      <c r="D24" s="8"/>
      <c r="E24" s="8">
        <f>IF(E$1&gt;Lifetime_UG,0,SUMIFS('Mitigation Projects'!$Z$4:$Z$52,'Mitigation Projects'!$H$4:$H$52,$B24,'Mitigation Projects'!$G$4:$G$52,$A24)*(1+Inflation)^(E$1-$D$1))</f>
        <v>23430.39873106173</v>
      </c>
      <c r="F24" s="8">
        <f>IF(F$1&gt;Lifetime_UG,0,SUMIFS('Mitigation Projects'!$Z$4:$Z$52,'Mitigation Projects'!$H$4:$H$52,$B24,'Mitigation Projects'!$G$4:$G$52,$A24)*(1+Inflation)^(F$1-$D$1))</f>
        <v>23945.867503145088</v>
      </c>
      <c r="G24" s="8">
        <f>IF(G$1&gt;Lifetime_UG,0,SUMIFS('Mitigation Projects'!$Z$4:$Z$52,'Mitigation Projects'!$H$4:$H$52,$B24,'Mitigation Projects'!$G$4:$G$52,$A24)*(1+Inflation)^(G$1-$D$1))</f>
        <v>24472.676588214279</v>
      </c>
      <c r="H24" s="8">
        <f>IF(H$1&gt;Lifetime_UG,0,SUMIFS('Mitigation Projects'!$Z$4:$Z$52,'Mitigation Projects'!$H$4:$H$52,$B24,'Mitigation Projects'!$G$4:$G$52,$A24)*(1+Inflation)^(H$1-$D$1))</f>
        <v>25011.075473154997</v>
      </c>
      <c r="I24" s="8">
        <f>IF(I$1&gt;Lifetime_UG,0,SUMIFS('Mitigation Projects'!$Z$4:$Z$52,'Mitigation Projects'!$H$4:$H$52,$B24,'Mitigation Projects'!$G$4:$G$52,$A24)*(1+Inflation)^(I$1-$D$1))</f>
        <v>25561.319133564404</v>
      </c>
      <c r="J24" s="8">
        <f>IF(J$1&gt;Lifetime_UG,0,SUMIFS('Mitigation Projects'!$Z$4:$Z$52,'Mitigation Projects'!$H$4:$H$52,$B24,'Mitigation Projects'!$G$4:$G$52,$A24)*(1+Inflation)^(J$1-$D$1))</f>
        <v>26123.668154502819</v>
      </c>
      <c r="K24" s="8">
        <f>IF(K$1&gt;Lifetime_UG,0,SUMIFS('Mitigation Projects'!$Z$4:$Z$52,'Mitigation Projects'!$H$4:$H$52,$B24,'Mitigation Projects'!$G$4:$G$52,$A24)*(1+Inflation)^(K$1-$D$1))</f>
        <v>26698.388853901884</v>
      </c>
      <c r="L24" s="8">
        <f>IF(L$1&gt;Lifetime_UG,0,SUMIFS('Mitigation Projects'!$Z$4:$Z$52,'Mitigation Projects'!$H$4:$H$52,$B24,'Mitigation Projects'!$G$4:$G$52,$A24)*(1+Inflation)^(L$1-$D$1))</f>
        <v>27285.753408687728</v>
      </c>
      <c r="M24" s="8">
        <f>IF(M$1&gt;Lifetime_UG,0,SUMIFS('Mitigation Projects'!$Z$4:$Z$52,'Mitigation Projects'!$H$4:$H$52,$B24,'Mitigation Projects'!$G$4:$G$52,$A24)*(1+Inflation)^(M$1-$D$1))</f>
        <v>27886.039983678857</v>
      </c>
      <c r="N24" s="8">
        <f>IF(N$1&gt;Lifetime_UG,0,SUMIFS('Mitigation Projects'!$Z$4:$Z$52,'Mitigation Projects'!$H$4:$H$52,$B24,'Mitigation Projects'!$G$4:$G$52,$A24)*(1+Inflation)^(N$1-$D$1))</f>
        <v>28499.532863319793</v>
      </c>
      <c r="O24" s="8">
        <f>IF(O$1&gt;Lifetime_UG,0,SUMIFS('Mitigation Projects'!$Z$4:$Z$52,'Mitigation Projects'!$H$4:$H$52,$B24,'Mitigation Projects'!$G$4:$G$52,$A24)*(1+Inflation)^(O$1-$D$1))</f>
        <v>29126.522586312829</v>
      </c>
      <c r="P24" s="8">
        <f>IF(P$1&gt;Lifetime_UG,0,SUMIFS('Mitigation Projects'!$Z$4:$Z$52,'Mitigation Projects'!$H$4:$H$52,$B24,'Mitigation Projects'!$G$4:$G$52,$A24)*(1+Inflation)^(P$1-$D$1))</f>
        <v>29767.306083211712</v>
      </c>
      <c r="Q24" s="8">
        <f>IF(Q$1&gt;Lifetime_UG,0,SUMIFS('Mitigation Projects'!$Z$4:$Z$52,'Mitigation Projects'!$H$4:$H$52,$B24,'Mitigation Projects'!$G$4:$G$52,$A24)*(1+Inflation)^(Q$1-$D$1))</f>
        <v>30422.18681704237</v>
      </c>
      <c r="R24" s="8">
        <f>IF(R$1&gt;Lifetime_UG,0,SUMIFS('Mitigation Projects'!$Z$4:$Z$52,'Mitigation Projects'!$H$4:$H$52,$B24,'Mitigation Projects'!$G$4:$G$52,$A24)*(1+Inflation)^(R$1-$D$1))</f>
        <v>31091.474927017298</v>
      </c>
      <c r="S24" s="8">
        <f>IF(S$1&gt;Lifetime_UG,0,SUMIFS('Mitigation Projects'!$Z$4:$Z$52,'Mitigation Projects'!$H$4:$H$52,$B24,'Mitigation Projects'!$G$4:$G$52,$A24)*(1+Inflation)^(S$1-$D$1))</f>
        <v>31775.487375411682</v>
      </c>
      <c r="T24" s="8">
        <f>IF(T$1&gt;Lifetime_UG,0,SUMIFS('Mitigation Projects'!$Z$4:$Z$52,'Mitigation Projects'!$H$4:$H$52,$B24,'Mitigation Projects'!$G$4:$G$52,$A24)*(1+Inflation)^(T$1-$D$1))</f>
        <v>32474.54809767074</v>
      </c>
      <c r="U24" s="8">
        <f>IF(U$1&gt;Lifetime_UG,0,SUMIFS('Mitigation Projects'!$Z$4:$Z$52,'Mitigation Projects'!$H$4:$H$52,$B24,'Mitigation Projects'!$G$4:$G$52,$A24)*(1+Inflation)^(U$1-$D$1))</f>
        <v>33188.988155819497</v>
      </c>
      <c r="V24" s="8">
        <f>IF(V$1&gt;Lifetime_UG,0,SUMIFS('Mitigation Projects'!$Z$4:$Z$52,'Mitigation Projects'!$H$4:$H$52,$B24,'Mitigation Projects'!$G$4:$G$52,$A24)*(1+Inflation)^(V$1-$D$1))</f>
        <v>33919.145895247522</v>
      </c>
      <c r="W24" s="8">
        <f>IF(W$1&gt;Lifetime_UG,0,SUMIFS('Mitigation Projects'!$Z$4:$Z$52,'Mitigation Projects'!$H$4:$H$52,$B24,'Mitigation Projects'!$G$4:$G$52,$A24)*(1+Inflation)^(W$1-$D$1))</f>
        <v>34665.367104942969</v>
      </c>
      <c r="X24" s="8">
        <f>IF(X$1&gt;Lifetime_UG,0,SUMIFS('Mitigation Projects'!$Z$4:$Z$52,'Mitigation Projects'!$H$4:$H$52,$B24,'Mitigation Projects'!$G$4:$G$52,$A24)*(1+Inflation)^(X$1-$D$1))</f>
        <v>35428.005181251719</v>
      </c>
      <c r="Y24" s="8">
        <f>IF(Y$1&gt;Lifetime_UG,0,SUMIFS('Mitigation Projects'!$Z$4:$Z$52,'Mitigation Projects'!$H$4:$H$52,$B24,'Mitigation Projects'!$G$4:$G$52,$A24)*(1+Inflation)^(Y$1-$D$1))</f>
        <v>36207.421295239255</v>
      </c>
      <c r="Z24" s="8">
        <f>IF(Z$1&gt;Lifetime_UG,0,SUMIFS('Mitigation Projects'!$Z$4:$Z$52,'Mitigation Projects'!$H$4:$H$52,$B24,'Mitigation Projects'!$G$4:$G$52,$A24)*(1+Inflation)^(Z$1-$D$1))</f>
        <v>37003.984563734513</v>
      </c>
      <c r="AA24" s="8">
        <f>IF(AA$1&gt;Lifetime_UG,0,SUMIFS('Mitigation Projects'!$Z$4:$Z$52,'Mitigation Projects'!$H$4:$H$52,$B24,'Mitigation Projects'!$G$4:$G$52,$A24)*(1+Inflation)^(AA$1-$D$1))</f>
        <v>37818.072224136675</v>
      </c>
      <c r="AB24" s="8">
        <f>IF(AB$1&gt;Lifetime_UG,0,SUMIFS('Mitigation Projects'!$Z$4:$Z$52,'Mitigation Projects'!$H$4:$H$52,$B24,'Mitigation Projects'!$G$4:$G$52,$A24)*(1+Inflation)^(AB$1-$D$1))</f>
        <v>38650.06981306769</v>
      </c>
      <c r="AC24" s="8">
        <f>IF(AC$1&gt;Lifetime_UG,0,SUMIFS('Mitigation Projects'!$Z$4:$Z$52,'Mitigation Projects'!$H$4:$H$52,$B24,'Mitigation Projects'!$G$4:$G$52,$A24)*(1+Inflation)^(AC$1-$D$1))</f>
        <v>39500.371348955174</v>
      </c>
      <c r="AD24" s="8">
        <f>IF(AD$1&gt;Lifetime_UG,0,SUMIFS('Mitigation Projects'!$Z$4:$Z$52,'Mitigation Projects'!$H$4:$H$52,$B24,'Mitigation Projects'!$G$4:$G$52,$A24)*(1+Inflation)^(AD$1-$D$1))</f>
        <v>40369.379518632195</v>
      </c>
      <c r="AE24" s="8">
        <f>IF(AE$1&gt;Lifetime_UG,0,SUMIFS('Mitigation Projects'!$Z$4:$Z$52,'Mitigation Projects'!$H$4:$H$52,$B24,'Mitigation Projects'!$G$4:$G$52,$A24)*(1+Inflation)^(AE$1-$D$1))</f>
        <v>41257.505868042099</v>
      </c>
      <c r="AF24" s="8">
        <f>IF(AF$1&gt;Lifetime_UG,0,SUMIFS('Mitigation Projects'!$Z$4:$Z$52,'Mitigation Projects'!$H$4:$H$52,$B24,'Mitigation Projects'!$G$4:$G$52,$A24)*(1+Inflation)^(AF$1-$D$1))</f>
        <v>42165.170997139023</v>
      </c>
      <c r="AG24" s="8">
        <f>IF(AG$1&gt;Lifetime_UG,0,SUMIFS('Mitigation Projects'!$Z$4:$Z$52,'Mitigation Projects'!$H$4:$H$52,$B24,'Mitigation Projects'!$G$4:$G$52,$A24)*(1+Inflation)^(AG$1-$D$1))</f>
        <v>43092.804759076083</v>
      </c>
      <c r="AH24" s="8">
        <f>IF(AH$1&gt;Lifetime_UG,0,SUMIFS('Mitigation Projects'!$Z$4:$Z$52,'Mitigation Projects'!$H$4:$H$52,$B24,'Mitigation Projects'!$G$4:$G$52,$A24)*(1+Inflation)^(AH$1-$D$1))</f>
        <v>44040.846463775757</v>
      </c>
      <c r="AI24" s="8">
        <f>IF(AI$1&gt;Lifetime_UG,0,SUMIFS('Mitigation Projects'!$Z$4:$Z$52,'Mitigation Projects'!$H$4:$H$52,$B24,'Mitigation Projects'!$G$4:$G$52,$A24)*(1+Inflation)^(AI$1-$D$1))</f>
        <v>45009.745085978822</v>
      </c>
      <c r="AJ24" s="8">
        <f>IF(AJ$1&gt;Lifetime_UG,0,SUMIFS('Mitigation Projects'!$Z$4:$Z$52,'Mitigation Projects'!$H$4:$H$52,$B24,'Mitigation Projects'!$G$4:$G$52,$A24)*(1+Inflation)^(AJ$1-$D$1))</f>
        <v>45999.959477870354</v>
      </c>
      <c r="AK24" s="8">
        <f>IF(AK$1&gt;Lifetime_UG,0,SUMIFS('Mitigation Projects'!$Z$4:$Z$52,'Mitigation Projects'!$H$4:$H$52,$B24,'Mitigation Projects'!$G$4:$G$52,$A24)*(1+Inflation)^(AK$1-$D$1))</f>
        <v>47011.958586383509</v>
      </c>
      <c r="AL24" s="8">
        <f>IF(AL$1&gt;Lifetime_UG,0,SUMIFS('Mitigation Projects'!$Z$4:$Z$52,'Mitigation Projects'!$H$4:$H$52,$B24,'Mitigation Projects'!$G$4:$G$52,$A24)*(1+Inflation)^(AL$1-$D$1))</f>
        <v>48046.221675283938</v>
      </c>
      <c r="AM24" s="8">
        <f>IF(AM$1&gt;Lifetime_UG,0,SUMIFS('Mitigation Projects'!$Z$4:$Z$52,'Mitigation Projects'!$H$4:$H$52,$B24,'Mitigation Projects'!$G$4:$G$52,$A24)*(1+Inflation)^(AM$1-$D$1))</f>
        <v>49103.238552140188</v>
      </c>
      <c r="AN24" s="8">
        <f>IF(AN$1&gt;Lifetime_UG,0,SUMIFS('Mitigation Projects'!$Z$4:$Z$52,'Mitigation Projects'!$H$4:$H$52,$B24,'Mitigation Projects'!$G$4:$G$52,$A24)*(1+Inflation)^(AN$1-$D$1))</f>
        <v>50183.509800287269</v>
      </c>
      <c r="AO24" s="8">
        <f>IF(AO$1&gt;Lifetime_UG,0,SUMIFS('Mitigation Projects'!$Z$4:$Z$52,'Mitigation Projects'!$H$4:$H$52,$B24,'Mitigation Projects'!$G$4:$G$52,$A24)*(1+Inflation)^(AO$1-$D$1))</f>
        <v>51287.5470158936</v>
      </c>
      <c r="AP24" s="8">
        <f>IF(AP$1&gt;Lifetime_UG,0,SUMIFS('Mitigation Projects'!$Z$4:$Z$52,'Mitigation Projects'!$H$4:$H$52,$B24,'Mitigation Projects'!$G$4:$G$52,$A24)*(1+Inflation)^(AP$1-$D$1))</f>
        <v>52415.873050243252</v>
      </c>
      <c r="AQ24" s="8">
        <f>IF(AQ$1&gt;Lifetime_UG,0,SUMIFS('Mitigation Projects'!$Z$4:$Z$52,'Mitigation Projects'!$H$4:$H$52,$B24,'Mitigation Projects'!$G$4:$G$52,$A24)*(1+Inflation)^(AQ$1-$D$1))</f>
        <v>53569.022257348595</v>
      </c>
      <c r="AR24" s="8">
        <f>IF(AR$1&gt;Lifetime_UG,0,SUMIFS('Mitigation Projects'!$Z$4:$Z$52,'Mitigation Projects'!$H$4:$H$52,$B24,'Mitigation Projects'!$G$4:$G$52,$A24)*(1+Inflation)^(AR$1-$D$1))</f>
        <v>54747.54074701028</v>
      </c>
      <c r="AS24" s="8">
        <f>IF(AS$1&gt;Lifetime_UG,0,SUMIFS('Mitigation Projects'!$Z$4:$Z$52,'Mitigation Projects'!$H$4:$H$52,$B24,'Mitigation Projects'!$G$4:$G$52,$A24)*(1+Inflation)^(AS$1-$D$1))</f>
        <v>55951.986643444507</v>
      </c>
      <c r="AT24" s="8">
        <f>IF(AT$1&gt;Lifetime_UG,0,SUMIFS('Mitigation Projects'!$Z$4:$Z$52,'Mitigation Projects'!$H$4:$H$52,$B24,'Mitigation Projects'!$G$4:$G$52,$A24)*(1+Inflation)^(AT$1-$D$1))</f>
        <v>57182.930349600283</v>
      </c>
      <c r="AU24" s="8">
        <f>IF(AU$1&gt;Lifetime_UG,0,SUMIFS('Mitigation Projects'!$Z$4:$Z$52,'Mitigation Projects'!$H$4:$H$52,$B24,'Mitigation Projects'!$G$4:$G$52,$A24)*(1+Inflation)^(AU$1-$D$1))</f>
        <v>58440.954817291487</v>
      </c>
      <c r="AV24" s="8">
        <f>IF(AV$1&gt;Lifetime_UG,0,SUMIFS('Mitigation Projects'!$Z$4:$Z$52,'Mitigation Projects'!$H$4:$H$52,$B24,'Mitigation Projects'!$G$4:$G$52,$A24)*(1+Inflation)^(AV$1-$D$1))</f>
        <v>59726.655823271904</v>
      </c>
      <c r="AW24" s="8">
        <f>IF(AW$1&gt;Lifetime_UG,0,SUMIFS('Mitigation Projects'!$Z$4:$Z$52,'Mitigation Projects'!$H$4:$H$52,$B24,'Mitigation Projects'!$G$4:$G$52,$A24)*(1+Inflation)^(AW$1-$D$1))</f>
        <v>61040.642251383892</v>
      </c>
      <c r="AX24" s="8">
        <f>IF(AX$1&gt;Lifetime_UG,0,SUMIFS('Mitigation Projects'!$Z$4:$Z$52,'Mitigation Projects'!$H$4:$H$52,$B24,'Mitigation Projects'!$G$4:$G$52,$A24)*(1+Inflation)^(AX$1-$D$1))</f>
        <v>62383.536380914331</v>
      </c>
      <c r="AY24" s="8">
        <f>IF(AY$1&gt;Lifetime_UG,0,SUMIFS('Mitigation Projects'!$Z$4:$Z$52,'Mitigation Projects'!$H$4:$H$52,$B24,'Mitigation Projects'!$G$4:$G$52,$A24)*(1+Inflation)^(AY$1-$D$1))</f>
        <v>63755.974181294448</v>
      </c>
      <c r="AZ24" s="8">
        <f>IF(AZ$1&gt;Lifetime_UG,0,SUMIFS('Mitigation Projects'!$Z$4:$Z$52,'Mitigation Projects'!$H$4:$H$52,$B24,'Mitigation Projects'!$G$4:$G$52,$A24)*(1+Inflation)^(AZ$1-$D$1))</f>
        <v>65158.605613282925</v>
      </c>
      <c r="BA24" s="8">
        <f>IF(BA$1&gt;Lifetime_UG,0,SUMIFS('Mitigation Projects'!$Z$4:$Z$52,'Mitigation Projects'!$H$4:$H$52,$B24,'Mitigation Projects'!$G$4:$G$52,$A24)*(1+Inflation)^(BA$1-$D$1))</f>
        <v>66592.09493677516</v>
      </c>
      <c r="BB24" s="8">
        <f>IF(BB$1&gt;Lifetime_UG,0,SUMIFS('Mitigation Projects'!$Z$4:$Z$52,'Mitigation Projects'!$H$4:$H$52,$B24,'Mitigation Projects'!$G$4:$G$52,$A24)*(1+Inflation)^(BB$1-$D$1))</f>
        <v>68057.1210253842</v>
      </c>
      <c r="BC24" s="8">
        <f>IF(BC$1&gt;Lifetime_UG,0,SUMIFS('Mitigation Projects'!$Z$4:$Z$52,'Mitigation Projects'!$H$4:$H$52,$B24,'Mitigation Projects'!$G$4:$G$52,$A24)*(1+Inflation)^(BC$1-$D$1))</f>
        <v>69554.377687942659</v>
      </c>
      <c r="BD24" s="8">
        <f>IF(BD$1&gt;Lifetime_UG,0,SUMIFS('Mitigation Projects'!$Z$4:$Z$52,'Mitigation Projects'!$H$4:$H$52,$B24,'Mitigation Projects'!$G$4:$G$52,$A24)*(1+Inflation)^(BD$1-$D$1))</f>
        <v>71084.573997077401</v>
      </c>
      <c r="BE24" s="8">
        <f>IF(BE$1&gt;Lifetime_UG,0,SUMIFS('Mitigation Projects'!$Z$4:$Z$52,'Mitigation Projects'!$H$4:$H$52,$B24,'Mitigation Projects'!$G$4:$G$52,$A24)*(1+Inflation)^(BE$1-$D$1))</f>
        <v>72648.434625013106</v>
      </c>
      <c r="BF24" s="8">
        <f>IF(BF$1&gt;Lifetime_UG,0,SUMIFS('Mitigation Projects'!$Z$4:$Z$52,'Mitigation Projects'!$H$4:$H$52,$B24,'Mitigation Projects'!$G$4:$G$52,$A24)*(1+Inflation)^(BF$1-$D$1))</f>
        <v>74246.700186763381</v>
      </c>
      <c r="BG24" s="8">
        <f>IF(BG$1&gt;Lifetime_UG,0,SUMIFS('Mitigation Projects'!$Z$4:$Z$52,'Mitigation Projects'!$H$4:$H$52,$B24,'Mitigation Projects'!$G$4:$G$52,$A24)*(1+Inflation)^(BG$1-$D$1))</f>
        <v>75880.127590872173</v>
      </c>
      <c r="BH24" s="8">
        <f>IF(BH$1&gt;Lifetime_UG,0,SUMIFS('Mitigation Projects'!$Z$4:$Z$52,'Mitigation Projects'!$H$4:$H$52,$B24,'Mitigation Projects'!$G$4:$G$52,$A24)*(1+Inflation)^(BH$1-$D$1))</f>
        <v>77549.490397871385</v>
      </c>
      <c r="BI24" s="8">
        <f>IF(BI$1&gt;Lifetime_UG,0,SUMIFS('Mitigation Projects'!$Z$4:$Z$52,'Mitigation Projects'!$H$4:$H$52,$B24,'Mitigation Projects'!$G$4:$G$52,$A24)*(1+Inflation)^(BI$1-$D$1))</f>
        <v>0</v>
      </c>
      <c r="BJ24" s="8">
        <f>IF(BJ$1&gt;Lifetime_UG,0,SUMIFS('Mitigation Projects'!$Z$4:$Z$52,'Mitigation Projects'!$H$4:$H$52,$B24,'Mitigation Projects'!$G$4:$G$52,$A24)*(1+Inflation)^(BJ$1-$D$1))</f>
        <v>0</v>
      </c>
      <c r="BK24" s="8">
        <f>IF(BK$1&gt;Lifetime_UG,0,SUMIFS('Mitigation Projects'!$Z$4:$Z$52,'Mitigation Projects'!$H$4:$H$52,$B24,'Mitigation Projects'!$G$4:$G$52,$A24)*(1+Inflation)^(BK$1-$D$1))</f>
        <v>0</v>
      </c>
      <c r="BL24" s="8">
        <f>IF(BL$1&gt;Lifetime_UG,0,SUMIFS('Mitigation Projects'!$Z$4:$Z$52,'Mitigation Projects'!$H$4:$H$52,$B24,'Mitigation Projects'!$G$4:$G$52,$A24)*(1+Inflation)^(BL$1-$D$1))</f>
        <v>0</v>
      </c>
      <c r="BM24" s="8">
        <f>IF(BM$1&gt;Lifetime_UG,0,SUMIFS('Mitigation Projects'!$Z$4:$Z$52,'Mitigation Projects'!$H$4:$H$52,$B24,'Mitigation Projects'!$G$4:$G$52,$A24)*(1+Inflation)^(BM$1-$D$1))</f>
        <v>0</v>
      </c>
      <c r="BN24" s="8">
        <f>IF(BN$1&gt;Lifetime_UG,0,SUMIFS('Mitigation Projects'!$Z$4:$Z$52,'Mitigation Projects'!$H$4:$H$52,$B24,'Mitigation Projects'!$G$4:$G$52,$A24)*(1+Inflation)^(BN$1-$D$1))</f>
        <v>0</v>
      </c>
      <c r="BO24" s="8">
        <f>IF(BO$1&gt;Lifetime_UG,0,SUMIFS('Mitigation Projects'!$Z$4:$Z$52,'Mitigation Projects'!$H$4:$H$52,$B24,'Mitigation Projects'!$G$4:$G$52,$A24)*(1+Inflation)^(BO$1-$D$1))</f>
        <v>0</v>
      </c>
    </row>
    <row r="25" spans="1:67" x14ac:dyDescent="0.4">
      <c r="A25" t="s">
        <v>37</v>
      </c>
      <c r="B25" t="s">
        <v>16</v>
      </c>
      <c r="C25" t="s">
        <v>174</v>
      </c>
      <c r="D25" s="8"/>
      <c r="E25" s="8">
        <f>IF(E$1&gt;Lifetime_UG,0,SUMIFS('Mitigation Projects'!$AA$4:$AA$52,'Mitigation Projects'!$H$4:$H$52,$B25,'Mitigation Projects'!$G$4:$G$52,$A25)*(1+Inflation)^(E$1-$D$1))</f>
        <v>630243.79857871518</v>
      </c>
      <c r="F25" s="8">
        <f>IF(F$1&gt;Lifetime_UG,0,SUMIFS('Mitigation Projects'!$AA$4:$AA$52,'Mitigation Projects'!$H$4:$H$52,$B25,'Mitigation Projects'!$G$4:$G$52,$A25)*(1+Inflation)^(F$1-$D$1))</f>
        <v>644109.16214744688</v>
      </c>
      <c r="G25" s="8">
        <f>IF(G$1&gt;Lifetime_UG,0,SUMIFS('Mitigation Projects'!$AA$4:$AA$52,'Mitigation Projects'!$H$4:$H$52,$B25,'Mitigation Projects'!$G$4:$G$52,$A25)*(1+Inflation)^(G$1-$D$1))</f>
        <v>658279.56371469074</v>
      </c>
      <c r="H25" s="8">
        <f>IF(H$1&gt;Lifetime_UG,0,SUMIFS('Mitigation Projects'!$AA$4:$AA$52,'Mitigation Projects'!$H$4:$H$52,$B25,'Mitigation Projects'!$G$4:$G$52,$A25)*(1+Inflation)^(H$1-$D$1))</f>
        <v>672761.71411641396</v>
      </c>
      <c r="I25" s="8">
        <f>IF(I$1&gt;Lifetime_UG,0,SUMIFS('Mitigation Projects'!$AA$4:$AA$52,'Mitigation Projects'!$H$4:$H$52,$B25,'Mitigation Projects'!$G$4:$G$52,$A25)*(1+Inflation)^(I$1-$D$1))</f>
        <v>687562.47182697512</v>
      </c>
      <c r="J25" s="8">
        <f>IF(J$1&gt;Lifetime_UG,0,SUMIFS('Mitigation Projects'!$AA$4:$AA$52,'Mitigation Projects'!$H$4:$H$52,$B25,'Mitigation Projects'!$G$4:$G$52,$A25)*(1+Inflation)^(J$1-$D$1))</f>
        <v>702688.84620716842</v>
      </c>
      <c r="K25" s="8">
        <f>IF(K$1&gt;Lifetime_UG,0,SUMIFS('Mitigation Projects'!$AA$4:$AA$52,'Mitigation Projects'!$H$4:$H$52,$B25,'Mitigation Projects'!$G$4:$G$52,$A25)*(1+Inflation)^(K$1-$D$1))</f>
        <v>718148.00082372618</v>
      </c>
      <c r="L25" s="8">
        <f>IF(L$1&gt;Lifetime_UG,0,SUMIFS('Mitigation Projects'!$AA$4:$AA$52,'Mitigation Projects'!$H$4:$H$52,$B25,'Mitigation Projects'!$G$4:$G$52,$A25)*(1+Inflation)^(L$1-$D$1))</f>
        <v>733947.25684184826</v>
      </c>
      <c r="M25" s="8">
        <f>IF(M$1&gt;Lifetime_UG,0,SUMIFS('Mitigation Projects'!$AA$4:$AA$52,'Mitigation Projects'!$H$4:$H$52,$B25,'Mitigation Projects'!$G$4:$G$52,$A25)*(1+Inflation)^(M$1-$D$1))</f>
        <v>750094.09649236884</v>
      </c>
      <c r="N25" s="8">
        <f>IF(N$1&gt;Lifetime_UG,0,SUMIFS('Mitigation Projects'!$AA$4:$AA$52,'Mitigation Projects'!$H$4:$H$52,$B25,'Mitigation Projects'!$G$4:$G$52,$A25)*(1+Inflation)^(N$1-$D$1))</f>
        <v>766596.16661520104</v>
      </c>
      <c r="O25" s="8">
        <f>IF(O$1&gt;Lifetime_UG,0,SUMIFS('Mitigation Projects'!$AA$4:$AA$52,'Mitigation Projects'!$H$4:$H$52,$B25,'Mitigation Projects'!$G$4:$G$52,$A25)*(1+Inflation)^(O$1-$D$1))</f>
        <v>783461.28228073556</v>
      </c>
      <c r="P25" s="8">
        <f>IF(P$1&gt;Lifetime_UG,0,SUMIFS('Mitigation Projects'!$AA$4:$AA$52,'Mitigation Projects'!$H$4:$H$52,$B25,'Mitigation Projects'!$G$4:$G$52,$A25)*(1+Inflation)^(P$1-$D$1))</f>
        <v>800697.43049091171</v>
      </c>
      <c r="Q25" s="8">
        <f>IF(Q$1&gt;Lifetime_UG,0,SUMIFS('Mitigation Projects'!$AA$4:$AA$52,'Mitigation Projects'!$H$4:$H$52,$B25,'Mitigation Projects'!$G$4:$G$52,$A25)*(1+Inflation)^(Q$1-$D$1))</f>
        <v>818312.77396171179</v>
      </c>
      <c r="R25" s="8">
        <f>IF(R$1&gt;Lifetime_UG,0,SUMIFS('Mitigation Projects'!$AA$4:$AA$52,'Mitigation Projects'!$H$4:$H$52,$B25,'Mitigation Projects'!$G$4:$G$52,$A25)*(1+Inflation)^(R$1-$D$1))</f>
        <v>836315.65498886933</v>
      </c>
      <c r="S25" s="8">
        <f>IF(S$1&gt;Lifetime_UG,0,SUMIFS('Mitigation Projects'!$AA$4:$AA$52,'Mitigation Projects'!$H$4:$H$52,$B25,'Mitigation Projects'!$G$4:$G$52,$A25)*(1+Inflation)^(S$1-$D$1))</f>
        <v>854714.5993986245</v>
      </c>
      <c r="T25" s="8">
        <f>IF(T$1&gt;Lifetime_UG,0,SUMIFS('Mitigation Projects'!$AA$4:$AA$52,'Mitigation Projects'!$H$4:$H$52,$B25,'Mitigation Projects'!$G$4:$G$52,$A25)*(1+Inflation)^(T$1-$D$1))</f>
        <v>873518.32058539428</v>
      </c>
      <c r="U25" s="8">
        <f>IF(U$1&gt;Lifetime_UG,0,SUMIFS('Mitigation Projects'!$AA$4:$AA$52,'Mitigation Projects'!$H$4:$H$52,$B25,'Mitigation Projects'!$G$4:$G$52,$A25)*(1+Inflation)^(U$1-$D$1))</f>
        <v>892735.72363827296</v>
      </c>
      <c r="V25" s="8">
        <f>IF(V$1&gt;Lifetime_UG,0,SUMIFS('Mitigation Projects'!$AA$4:$AA$52,'Mitigation Projects'!$H$4:$H$52,$B25,'Mitigation Projects'!$G$4:$G$52,$A25)*(1+Inflation)^(V$1-$D$1))</f>
        <v>912375.90955831495</v>
      </c>
      <c r="W25" s="8">
        <f>IF(W$1&gt;Lifetime_UG,0,SUMIFS('Mitigation Projects'!$AA$4:$AA$52,'Mitigation Projects'!$H$4:$H$52,$B25,'Mitigation Projects'!$G$4:$G$52,$A25)*(1+Inflation)^(W$1-$D$1))</f>
        <v>932448.17956859793</v>
      </c>
      <c r="X25" s="8">
        <f>IF(X$1&gt;Lifetime_UG,0,SUMIFS('Mitigation Projects'!$AA$4:$AA$52,'Mitigation Projects'!$H$4:$H$52,$B25,'Mitigation Projects'!$G$4:$G$52,$A25)*(1+Inflation)^(X$1-$D$1))</f>
        <v>952962.03951910709</v>
      </c>
      <c r="Y25" s="8">
        <f>IF(Y$1&gt;Lifetime_UG,0,SUMIFS('Mitigation Projects'!$AA$4:$AA$52,'Mitigation Projects'!$H$4:$H$52,$B25,'Mitigation Projects'!$G$4:$G$52,$A25)*(1+Inflation)^(Y$1-$D$1))</f>
        <v>973927.20438852743</v>
      </c>
      <c r="Z25" s="8">
        <f>IF(Z$1&gt;Lifetime_UG,0,SUMIFS('Mitigation Projects'!$AA$4:$AA$52,'Mitigation Projects'!$H$4:$H$52,$B25,'Mitigation Projects'!$G$4:$G$52,$A25)*(1+Inflation)^(Z$1-$D$1))</f>
        <v>995353.60288507503</v>
      </c>
      <c r="AA25" s="8">
        <f>IF(AA$1&gt;Lifetime_UG,0,SUMIFS('Mitigation Projects'!$AA$4:$AA$52,'Mitigation Projects'!$H$4:$H$52,$B25,'Mitigation Projects'!$G$4:$G$52,$A25)*(1+Inflation)^(AA$1-$D$1))</f>
        <v>1017251.3821485466</v>
      </c>
      <c r="AB25" s="8">
        <f>IF(AB$1&gt;Lifetime_UG,0,SUMIFS('Mitigation Projects'!$AA$4:$AA$52,'Mitigation Projects'!$H$4:$H$52,$B25,'Mitigation Projects'!$G$4:$G$52,$A25)*(1+Inflation)^(AB$1-$D$1))</f>
        <v>1039630.9125558147</v>
      </c>
      <c r="AC25" s="8">
        <f>IF(AC$1&gt;Lifetime_UG,0,SUMIFS('Mitigation Projects'!$AA$4:$AA$52,'Mitigation Projects'!$H$4:$H$52,$B25,'Mitigation Projects'!$G$4:$G$52,$A25)*(1+Inflation)^(AC$1-$D$1))</f>
        <v>1062502.7926320427</v>
      </c>
      <c r="AD25" s="8">
        <f>IF(AD$1&gt;Lifetime_UG,0,SUMIFS('Mitigation Projects'!$AA$4:$AA$52,'Mitigation Projects'!$H$4:$H$52,$B25,'Mitigation Projects'!$G$4:$G$52,$A25)*(1+Inflation)^(AD$1-$D$1))</f>
        <v>1085877.8540699477</v>
      </c>
      <c r="AE25" s="8">
        <f>IF(AE$1&gt;Lifetime_UG,0,SUMIFS('Mitigation Projects'!$AA$4:$AA$52,'Mitigation Projects'!$H$4:$H$52,$B25,'Mitigation Projects'!$G$4:$G$52,$A25)*(1+Inflation)^(AE$1-$D$1))</f>
        <v>1109767.1668594866</v>
      </c>
      <c r="AF25" s="8">
        <f>IF(AF$1&gt;Lifetime_UG,0,SUMIFS('Mitigation Projects'!$AA$4:$AA$52,'Mitigation Projects'!$H$4:$H$52,$B25,'Mitigation Projects'!$G$4:$G$52,$A25)*(1+Inflation)^(AF$1-$D$1))</f>
        <v>1134182.0445303952</v>
      </c>
      <c r="AG25" s="8">
        <f>IF(AG$1&gt;Lifetime_UG,0,SUMIFS('Mitigation Projects'!$AA$4:$AA$52,'Mitigation Projects'!$H$4:$H$52,$B25,'Mitigation Projects'!$G$4:$G$52,$A25)*(1+Inflation)^(AG$1-$D$1))</f>
        <v>1159134.0495100641</v>
      </c>
      <c r="AH25" s="8">
        <f>IF(AH$1&gt;Lifetime_UG,0,SUMIFS('Mitigation Projects'!$AA$4:$AA$52,'Mitigation Projects'!$H$4:$H$52,$B25,'Mitigation Projects'!$G$4:$G$52,$A25)*(1+Inflation)^(AH$1-$D$1))</f>
        <v>1184634.9985992853</v>
      </c>
      <c r="AI25" s="8">
        <f>IF(AI$1&gt;Lifetime_UG,0,SUMIFS('Mitigation Projects'!$AA$4:$AA$52,'Mitigation Projects'!$H$4:$H$52,$B25,'Mitigation Projects'!$G$4:$G$52,$A25)*(1+Inflation)^(AI$1-$D$1))</f>
        <v>1210696.9685684696</v>
      </c>
      <c r="AJ25" s="8">
        <f>IF(AJ$1&gt;Lifetime_UG,0,SUMIFS('Mitigation Projects'!$AA$4:$AA$52,'Mitigation Projects'!$H$4:$H$52,$B25,'Mitigation Projects'!$G$4:$G$52,$A25)*(1+Inflation)^(AJ$1-$D$1))</f>
        <v>1237332.3018769759</v>
      </c>
      <c r="AK25" s="8">
        <f>IF(AK$1&gt;Lifetime_UG,0,SUMIFS('Mitigation Projects'!$AA$4:$AA$52,'Mitigation Projects'!$H$4:$H$52,$B25,'Mitigation Projects'!$G$4:$G$52,$A25)*(1+Inflation)^(AK$1-$D$1))</f>
        <v>1264553.6125182696</v>
      </c>
      <c r="AL25" s="8">
        <f>IF(AL$1&gt;Lifetime_UG,0,SUMIFS('Mitigation Projects'!$AA$4:$AA$52,'Mitigation Projects'!$H$4:$H$52,$B25,'Mitigation Projects'!$G$4:$G$52,$A25)*(1+Inflation)^(AL$1-$D$1))</f>
        <v>1292373.7919936711</v>
      </c>
      <c r="AM25" s="8">
        <f>IF(AM$1&gt;Lifetime_UG,0,SUMIFS('Mitigation Projects'!$AA$4:$AA$52,'Mitigation Projects'!$H$4:$H$52,$B25,'Mitigation Projects'!$G$4:$G$52,$A25)*(1+Inflation)^(AM$1-$D$1))</f>
        <v>1320806.0154175321</v>
      </c>
      <c r="AN25" s="8">
        <f>IF(AN$1&gt;Lifetime_UG,0,SUMIFS('Mitigation Projects'!$AA$4:$AA$52,'Mitigation Projects'!$H$4:$H$52,$B25,'Mitigation Projects'!$G$4:$G$52,$A25)*(1+Inflation)^(AN$1-$D$1))</f>
        <v>1349863.7477567177</v>
      </c>
      <c r="AO25" s="8">
        <f>IF(AO$1&gt;Lifetime_UG,0,SUMIFS('Mitigation Projects'!$AA$4:$AA$52,'Mitigation Projects'!$H$4:$H$52,$B25,'Mitigation Projects'!$G$4:$G$52,$A25)*(1+Inflation)^(AO$1-$D$1))</f>
        <v>1379560.7502073657</v>
      </c>
      <c r="AP25" s="8">
        <f>IF(AP$1&gt;Lifetime_UG,0,SUMIFS('Mitigation Projects'!$AA$4:$AA$52,'Mitigation Projects'!$H$4:$H$52,$B25,'Mitigation Projects'!$G$4:$G$52,$A25)*(1+Inflation)^(AP$1-$D$1))</f>
        <v>1409911.0867119275</v>
      </c>
      <c r="AQ25" s="8">
        <f>IF(AQ$1&gt;Lifetime_UG,0,SUMIFS('Mitigation Projects'!$AA$4:$AA$52,'Mitigation Projects'!$H$4:$H$52,$B25,'Mitigation Projects'!$G$4:$G$52,$A25)*(1+Inflation)^(AQ$1-$D$1))</f>
        <v>1440929.1306195899</v>
      </c>
      <c r="AR25" s="8">
        <f>IF(AR$1&gt;Lifetime_UG,0,SUMIFS('Mitigation Projects'!$AA$4:$AA$52,'Mitigation Projects'!$H$4:$H$52,$B25,'Mitigation Projects'!$G$4:$G$52,$A25)*(1+Inflation)^(AR$1-$D$1))</f>
        <v>1472629.5714932212</v>
      </c>
      <c r="AS25" s="8">
        <f>IF(AS$1&gt;Lifetime_UG,0,SUMIFS('Mitigation Projects'!$AA$4:$AA$52,'Mitigation Projects'!$H$4:$H$52,$B25,'Mitigation Projects'!$G$4:$G$52,$A25)*(1+Inflation)^(AS$1-$D$1))</f>
        <v>1505027.422066072</v>
      </c>
      <c r="AT25" s="8">
        <f>IF(AT$1&gt;Lifetime_UG,0,SUMIFS('Mitigation Projects'!$AA$4:$AA$52,'Mitigation Projects'!$H$4:$H$52,$B25,'Mitigation Projects'!$G$4:$G$52,$A25)*(1+Inflation)^(AT$1-$D$1))</f>
        <v>1538138.0253515255</v>
      </c>
      <c r="AU25" s="8">
        <f>IF(AU$1&gt;Lifetime_UG,0,SUMIFS('Mitigation Projects'!$AA$4:$AA$52,'Mitigation Projects'!$H$4:$H$52,$B25,'Mitigation Projects'!$G$4:$G$52,$A25)*(1+Inflation)^(AU$1-$D$1))</f>
        <v>1571977.0619092591</v>
      </c>
      <c r="AV25" s="8">
        <f>IF(AV$1&gt;Lifetime_UG,0,SUMIFS('Mitigation Projects'!$AA$4:$AA$52,'Mitigation Projects'!$H$4:$H$52,$B25,'Mitigation Projects'!$G$4:$G$52,$A25)*(1+Inflation)^(AV$1-$D$1))</f>
        <v>1606560.5572712629</v>
      </c>
      <c r="AW25" s="8">
        <f>IF(AW$1&gt;Lifetime_UG,0,SUMIFS('Mitigation Projects'!$AA$4:$AA$52,'Mitigation Projects'!$H$4:$H$52,$B25,'Mitigation Projects'!$G$4:$G$52,$A25)*(1+Inflation)^(AW$1-$D$1))</f>
        <v>1641904.8895312308</v>
      </c>
      <c r="AX25" s="8">
        <f>IF(AX$1&gt;Lifetime_UG,0,SUMIFS('Mitigation Projects'!$AA$4:$AA$52,'Mitigation Projects'!$H$4:$H$52,$B25,'Mitigation Projects'!$G$4:$G$52,$A25)*(1+Inflation)^(AX$1-$D$1))</f>
        <v>1678026.7971009177</v>
      </c>
      <c r="AY25" s="8">
        <f>IF(AY$1&gt;Lifetime_UG,0,SUMIFS('Mitigation Projects'!$AA$4:$AA$52,'Mitigation Projects'!$H$4:$H$52,$B25,'Mitigation Projects'!$G$4:$G$52,$A25)*(1+Inflation)^(AY$1-$D$1))</f>
        <v>1714943.386637138</v>
      </c>
      <c r="AZ25" s="8">
        <f>IF(AZ$1&gt;Lifetime_UG,0,SUMIFS('Mitigation Projects'!$AA$4:$AA$52,'Mitigation Projects'!$H$4:$H$52,$B25,'Mitigation Projects'!$G$4:$G$52,$A25)*(1+Inflation)^(AZ$1-$D$1))</f>
        <v>1752672.1411431551</v>
      </c>
      <c r="BA25" s="8">
        <f>IF(BA$1&gt;Lifetime_UG,0,SUMIFS('Mitigation Projects'!$AA$4:$AA$52,'Mitigation Projects'!$H$4:$H$52,$B25,'Mitigation Projects'!$G$4:$G$52,$A25)*(1+Inflation)^(BA$1-$D$1))</f>
        <v>1791230.9282483046</v>
      </c>
      <c r="BB25" s="8">
        <f>IF(BB$1&gt;Lifetime_UG,0,SUMIFS('Mitigation Projects'!$AA$4:$AA$52,'Mitigation Projects'!$H$4:$H$52,$B25,'Mitigation Projects'!$G$4:$G$52,$A25)*(1+Inflation)^(BB$1-$D$1))</f>
        <v>1830638.0086697671</v>
      </c>
      <c r="BC25" s="8">
        <f>IF(BC$1&gt;Lifetime_UG,0,SUMIFS('Mitigation Projects'!$AA$4:$AA$52,'Mitigation Projects'!$H$4:$H$52,$B25,'Mitigation Projects'!$G$4:$G$52,$A25)*(1+Inflation)^(BC$1-$D$1))</f>
        <v>1870912.044860502</v>
      </c>
      <c r="BD25" s="8">
        <f>IF(BD$1&gt;Lifetime_UG,0,SUMIFS('Mitigation Projects'!$AA$4:$AA$52,'Mitigation Projects'!$H$4:$H$52,$B25,'Mitigation Projects'!$G$4:$G$52,$A25)*(1+Inflation)^(BD$1-$D$1))</f>
        <v>1912072.1098474332</v>
      </c>
      <c r="BE25" s="8">
        <f>IF(BE$1&gt;Lifetime_UG,0,SUMIFS('Mitigation Projects'!$AA$4:$AA$52,'Mitigation Projects'!$H$4:$H$52,$B25,'Mitigation Projects'!$G$4:$G$52,$A25)*(1+Inflation)^(BE$1-$D$1))</f>
        <v>1954137.6962640767</v>
      </c>
      <c r="BF25" s="8">
        <f>IF(BF$1&gt;Lifetime_UG,0,SUMIFS('Mitigation Projects'!$AA$4:$AA$52,'Mitigation Projects'!$H$4:$H$52,$B25,'Mitigation Projects'!$G$4:$G$52,$A25)*(1+Inflation)^(BF$1-$D$1))</f>
        <v>1997128.7255818862</v>
      </c>
      <c r="BG25" s="8">
        <f>IF(BG$1&gt;Lifetime_UG,0,SUMIFS('Mitigation Projects'!$AA$4:$AA$52,'Mitigation Projects'!$H$4:$H$52,$B25,'Mitigation Projects'!$G$4:$G$52,$A25)*(1+Inflation)^(BG$1-$D$1))</f>
        <v>2041065.5575446875</v>
      </c>
      <c r="BH25" s="8">
        <f>IF(BH$1&gt;Lifetime_UG,0,SUMIFS('Mitigation Projects'!$AA$4:$AA$52,'Mitigation Projects'!$H$4:$H$52,$B25,'Mitigation Projects'!$G$4:$G$52,$A25)*(1+Inflation)^(BH$1-$D$1))</f>
        <v>2085968.9998106712</v>
      </c>
      <c r="BI25" s="8">
        <f>IF(BI$1&gt;Lifetime_UG,0,SUMIFS('Mitigation Projects'!$AA$4:$AA$52,'Mitigation Projects'!$H$4:$H$52,$B25,'Mitigation Projects'!$G$4:$G$52,$A25)*(1+Inflation)^(BI$1-$D$1))</f>
        <v>0</v>
      </c>
      <c r="BJ25" s="8">
        <f>IF(BJ$1&gt;Lifetime_UG,0,SUMIFS('Mitigation Projects'!$AA$4:$AA$52,'Mitigation Projects'!$H$4:$H$52,$B25,'Mitigation Projects'!$G$4:$G$52,$A25)*(1+Inflation)^(BJ$1-$D$1))</f>
        <v>0</v>
      </c>
      <c r="BK25" s="8">
        <f>IF(BK$1&gt;Lifetime_UG,0,SUMIFS('Mitigation Projects'!$AA$4:$AA$52,'Mitigation Projects'!$H$4:$H$52,$B25,'Mitigation Projects'!$G$4:$G$52,$A25)*(1+Inflation)^(BK$1-$D$1))</f>
        <v>0</v>
      </c>
      <c r="BL25" s="8">
        <f>IF(BL$1&gt;Lifetime_UG,0,SUMIFS('Mitigation Projects'!$AA$4:$AA$52,'Mitigation Projects'!$H$4:$H$52,$B25,'Mitigation Projects'!$G$4:$G$52,$A25)*(1+Inflation)^(BL$1-$D$1))</f>
        <v>0</v>
      </c>
      <c r="BM25" s="8">
        <f>IF(BM$1&gt;Lifetime_UG,0,SUMIFS('Mitigation Projects'!$AA$4:$AA$52,'Mitigation Projects'!$H$4:$H$52,$B25,'Mitigation Projects'!$G$4:$G$52,$A25)*(1+Inflation)^(BM$1-$D$1))</f>
        <v>0</v>
      </c>
      <c r="BN25" s="8">
        <f>IF(BN$1&gt;Lifetime_UG,0,SUMIFS('Mitigation Projects'!$AA$4:$AA$52,'Mitigation Projects'!$H$4:$H$52,$B25,'Mitigation Projects'!$G$4:$G$52,$A25)*(1+Inflation)^(BN$1-$D$1))</f>
        <v>0</v>
      </c>
      <c r="BO25" s="8">
        <f>IF(BO$1&gt;Lifetime_UG,0,SUMIFS('Mitigation Projects'!$AA$4:$AA$52,'Mitigation Projects'!$H$4:$H$52,$B25,'Mitigation Projects'!$G$4:$G$52,$A25)*(1+Inflation)^(BO$1-$D$1))</f>
        <v>0</v>
      </c>
    </row>
    <row r="26" spans="1:67" x14ac:dyDescent="0.4">
      <c r="A26" t="s">
        <v>37</v>
      </c>
      <c r="B26" t="s">
        <v>16</v>
      </c>
      <c r="C26" t="s">
        <v>320</v>
      </c>
      <c r="D26" s="8"/>
      <c r="E26" s="8">
        <f>IF(E$1&lt;=Lifetime_UG,SUMIFS('Mitigation Projects'!$AG:$AG,'Mitigation Projects'!$H:$H,Benefits_Mitigation!$B26,'Mitigation Projects'!$G:$G,Benefits_Mitigation!$A26)*(1+Inflation)^(Benefits_Mitigation!E$1-Benefits_Mitigation!$D$1),0)</f>
        <v>0</v>
      </c>
      <c r="F26" s="8">
        <f>IF(F$1&lt;=Lifetime_UG,SUMIFS('Mitigation Projects'!$AG:$AG,'Mitigation Projects'!$H:$H,Benefits_Mitigation!$B26,'Mitigation Projects'!$G:$G,Benefits_Mitigation!$A26)*(1+Inflation)^(Benefits_Mitigation!F$1-Benefits_Mitigation!$D$1),0)</f>
        <v>0</v>
      </c>
      <c r="G26" s="8">
        <f>IF(G$1&lt;=Lifetime_UG,SUMIFS('Mitigation Projects'!$AG:$AG,'Mitigation Projects'!$H:$H,Benefits_Mitigation!$B26,'Mitigation Projects'!$G:$G,Benefits_Mitigation!$A26)*(1+Inflation)^(Benefits_Mitigation!G$1-Benefits_Mitigation!$D$1),0)</f>
        <v>0</v>
      </c>
      <c r="H26" s="8">
        <f>IF(H$1&lt;=Lifetime_UG,SUMIFS('Mitigation Projects'!$AG:$AG,'Mitigation Projects'!$H:$H,Benefits_Mitigation!$B26,'Mitigation Projects'!$G:$G,Benefits_Mitigation!$A26)*(1+Inflation)^(Benefits_Mitigation!H$1-Benefits_Mitigation!$D$1),0)</f>
        <v>0</v>
      </c>
      <c r="I26" s="8">
        <f>IF(I$1&lt;=Lifetime_UG,SUMIFS('Mitigation Projects'!$AG:$AG,'Mitigation Projects'!$H:$H,Benefits_Mitigation!$B26,'Mitigation Projects'!$G:$G,Benefits_Mitigation!$A26)*(1+Inflation)^(Benefits_Mitigation!I$1-Benefits_Mitigation!$D$1),0)</f>
        <v>0</v>
      </c>
      <c r="J26" s="8">
        <f>IF(J$1&lt;=Lifetime_UG,SUMIFS('Mitigation Projects'!$AG:$AG,'Mitigation Projects'!$H:$H,Benefits_Mitigation!$B26,'Mitigation Projects'!$G:$G,Benefits_Mitigation!$A26)*(1+Inflation)^(Benefits_Mitigation!J$1-Benefits_Mitigation!$D$1),0)</f>
        <v>0</v>
      </c>
      <c r="K26" s="8">
        <f>IF(K$1&lt;=Lifetime_UG,SUMIFS('Mitigation Projects'!$AG:$AG,'Mitigation Projects'!$H:$H,Benefits_Mitigation!$B26,'Mitigation Projects'!$G:$G,Benefits_Mitigation!$A26)*(1+Inflation)^(Benefits_Mitigation!K$1-Benefits_Mitigation!$D$1),0)</f>
        <v>0</v>
      </c>
      <c r="L26" s="8">
        <f>IF(L$1&lt;=Lifetime_UG,SUMIFS('Mitigation Projects'!$AG:$AG,'Mitigation Projects'!$H:$H,Benefits_Mitigation!$B26,'Mitigation Projects'!$G:$G,Benefits_Mitigation!$A26)*(1+Inflation)^(Benefits_Mitigation!L$1-Benefits_Mitigation!$D$1),0)</f>
        <v>0</v>
      </c>
      <c r="M26" s="8">
        <f>IF(M$1&lt;=Lifetime_UG,SUMIFS('Mitigation Projects'!$AG:$AG,'Mitigation Projects'!$H:$H,Benefits_Mitigation!$B26,'Mitigation Projects'!$G:$G,Benefits_Mitigation!$A26)*(1+Inflation)^(Benefits_Mitigation!M$1-Benefits_Mitigation!$D$1),0)</f>
        <v>0</v>
      </c>
      <c r="N26" s="8">
        <f>IF(N$1&lt;=Lifetime_UG,SUMIFS('Mitigation Projects'!$AG:$AG,'Mitigation Projects'!$H:$H,Benefits_Mitigation!$B26,'Mitigation Projects'!$G:$G,Benefits_Mitigation!$A26)*(1+Inflation)^(Benefits_Mitigation!N$1-Benefits_Mitigation!$D$1),0)</f>
        <v>0</v>
      </c>
      <c r="O26" s="8">
        <f>IF(O$1&lt;=Lifetime_UG,SUMIFS('Mitigation Projects'!$AG:$AG,'Mitigation Projects'!$H:$H,Benefits_Mitigation!$B26,'Mitigation Projects'!$G:$G,Benefits_Mitigation!$A26)*(1+Inflation)^(Benefits_Mitigation!O$1-Benefits_Mitigation!$D$1),0)</f>
        <v>0</v>
      </c>
      <c r="P26" s="8">
        <f>IF(P$1&lt;=Lifetime_UG,SUMIFS('Mitigation Projects'!$AG:$AG,'Mitigation Projects'!$H:$H,Benefits_Mitigation!$B26,'Mitigation Projects'!$G:$G,Benefits_Mitigation!$A26)*(1+Inflation)^(Benefits_Mitigation!P$1-Benefits_Mitigation!$D$1),0)</f>
        <v>0</v>
      </c>
      <c r="Q26" s="8">
        <f>IF(Q$1&lt;=Lifetime_UG,SUMIFS('Mitigation Projects'!$AG:$AG,'Mitigation Projects'!$H:$H,Benefits_Mitigation!$B26,'Mitigation Projects'!$G:$G,Benefits_Mitigation!$A26)*(1+Inflation)^(Benefits_Mitigation!Q$1-Benefits_Mitigation!$D$1),0)</f>
        <v>0</v>
      </c>
      <c r="R26" s="8">
        <f>IF(R$1&lt;=Lifetime_UG,SUMIFS('Mitigation Projects'!$AG:$AG,'Mitigation Projects'!$H:$H,Benefits_Mitigation!$B26,'Mitigation Projects'!$G:$G,Benefits_Mitigation!$A26)*(1+Inflation)^(Benefits_Mitigation!R$1-Benefits_Mitigation!$D$1),0)</f>
        <v>0</v>
      </c>
      <c r="S26" s="8">
        <f>IF(S$1&lt;=Lifetime_UG,SUMIFS('Mitigation Projects'!$AG:$AG,'Mitigation Projects'!$H:$H,Benefits_Mitigation!$B26,'Mitigation Projects'!$G:$G,Benefits_Mitigation!$A26)*(1+Inflation)^(Benefits_Mitigation!S$1-Benefits_Mitigation!$D$1),0)</f>
        <v>0</v>
      </c>
      <c r="T26" s="8">
        <f>IF(T$1&lt;=Lifetime_UG,SUMIFS('Mitigation Projects'!$AG:$AG,'Mitigation Projects'!$H:$H,Benefits_Mitigation!$B26,'Mitigation Projects'!$G:$G,Benefits_Mitigation!$A26)*(1+Inflation)^(Benefits_Mitigation!T$1-Benefits_Mitigation!$D$1),0)</f>
        <v>0</v>
      </c>
      <c r="U26" s="8">
        <f>IF(U$1&lt;=Lifetime_UG,SUMIFS('Mitigation Projects'!$AG:$AG,'Mitigation Projects'!$H:$H,Benefits_Mitigation!$B26,'Mitigation Projects'!$G:$G,Benefits_Mitigation!$A26)*(1+Inflation)^(Benefits_Mitigation!U$1-Benefits_Mitigation!$D$1),0)</f>
        <v>0</v>
      </c>
      <c r="V26" s="8">
        <f>IF(V$1&lt;=Lifetime_UG,SUMIFS('Mitigation Projects'!$AG:$AG,'Mitigation Projects'!$H:$H,Benefits_Mitigation!$B26,'Mitigation Projects'!$G:$G,Benefits_Mitigation!$A26)*(1+Inflation)^(Benefits_Mitigation!V$1-Benefits_Mitigation!$D$1),0)</f>
        <v>0</v>
      </c>
      <c r="W26" s="8">
        <f>IF(W$1&lt;=Lifetime_UG,SUMIFS('Mitigation Projects'!$AG:$AG,'Mitigation Projects'!$H:$H,Benefits_Mitigation!$B26,'Mitigation Projects'!$G:$G,Benefits_Mitigation!$A26)*(1+Inflation)^(Benefits_Mitigation!W$1-Benefits_Mitigation!$D$1),0)</f>
        <v>0</v>
      </c>
      <c r="X26" s="8">
        <f>IF(X$1&lt;=Lifetime_UG,SUMIFS('Mitigation Projects'!$AG:$AG,'Mitigation Projects'!$H:$H,Benefits_Mitigation!$B26,'Mitigation Projects'!$G:$G,Benefits_Mitigation!$A26)*(1+Inflation)^(Benefits_Mitigation!X$1-Benefits_Mitigation!$D$1),0)</f>
        <v>0</v>
      </c>
      <c r="Y26" s="8">
        <f>IF(Y$1&lt;=Lifetime_UG,SUMIFS('Mitigation Projects'!$AG:$AG,'Mitigation Projects'!$H:$H,Benefits_Mitigation!$B26,'Mitigation Projects'!$G:$G,Benefits_Mitigation!$A26)*(1+Inflation)^(Benefits_Mitigation!Y$1-Benefits_Mitigation!$D$1),0)</f>
        <v>0</v>
      </c>
      <c r="Z26" s="8">
        <f>IF(Z$1&lt;=Lifetime_UG,SUMIFS('Mitigation Projects'!$AG:$AG,'Mitigation Projects'!$H:$H,Benefits_Mitigation!$B26,'Mitigation Projects'!$G:$G,Benefits_Mitigation!$A26)*(1+Inflation)^(Benefits_Mitigation!Z$1-Benefits_Mitigation!$D$1),0)</f>
        <v>0</v>
      </c>
      <c r="AA26" s="8">
        <f>IF(AA$1&lt;=Lifetime_UG,SUMIFS('Mitigation Projects'!$AG:$AG,'Mitigation Projects'!$H:$H,Benefits_Mitigation!$B26,'Mitigation Projects'!$G:$G,Benefits_Mitigation!$A26)*(1+Inflation)^(Benefits_Mitigation!AA$1-Benefits_Mitigation!$D$1),0)</f>
        <v>0</v>
      </c>
      <c r="AB26" s="8">
        <f>IF(AB$1&lt;=Lifetime_UG,SUMIFS('Mitigation Projects'!$AG:$AG,'Mitigation Projects'!$H:$H,Benefits_Mitigation!$B26,'Mitigation Projects'!$G:$G,Benefits_Mitigation!$A26)*(1+Inflation)^(Benefits_Mitigation!AB$1-Benefits_Mitigation!$D$1),0)</f>
        <v>0</v>
      </c>
      <c r="AC26" s="8">
        <f>IF(AC$1&lt;=Lifetime_UG,SUMIFS('Mitigation Projects'!$AG:$AG,'Mitigation Projects'!$H:$H,Benefits_Mitigation!$B26,'Mitigation Projects'!$G:$G,Benefits_Mitigation!$A26)*(1+Inflation)^(Benefits_Mitigation!AC$1-Benefits_Mitigation!$D$1),0)</f>
        <v>0</v>
      </c>
      <c r="AD26" s="8">
        <f>IF(AD$1&lt;=Lifetime_UG,SUMIFS('Mitigation Projects'!$AG:$AG,'Mitigation Projects'!$H:$H,Benefits_Mitigation!$B26,'Mitigation Projects'!$G:$G,Benefits_Mitigation!$A26)*(1+Inflation)^(Benefits_Mitigation!AD$1-Benefits_Mitigation!$D$1),0)</f>
        <v>0</v>
      </c>
      <c r="AE26" s="8">
        <f>IF(AE$1&lt;=Lifetime_UG,SUMIFS('Mitigation Projects'!$AG:$AG,'Mitigation Projects'!$H:$H,Benefits_Mitigation!$B26,'Mitigation Projects'!$G:$G,Benefits_Mitigation!$A26)*(1+Inflation)^(Benefits_Mitigation!AE$1-Benefits_Mitigation!$D$1),0)</f>
        <v>0</v>
      </c>
      <c r="AF26" s="8">
        <f>IF(AF$1&lt;=Lifetime_UG,SUMIFS('Mitigation Projects'!$AG:$AG,'Mitigation Projects'!$H:$H,Benefits_Mitigation!$B26,'Mitigation Projects'!$G:$G,Benefits_Mitigation!$A26)*(1+Inflation)^(Benefits_Mitigation!AF$1-Benefits_Mitigation!$D$1),0)</f>
        <v>0</v>
      </c>
      <c r="AG26" s="8">
        <f>IF(AG$1&lt;=Lifetime_UG,SUMIFS('Mitigation Projects'!$AG:$AG,'Mitigation Projects'!$H:$H,Benefits_Mitigation!$B26,'Mitigation Projects'!$G:$G,Benefits_Mitigation!$A26)*(1+Inflation)^(Benefits_Mitigation!AG$1-Benefits_Mitigation!$D$1),0)</f>
        <v>0</v>
      </c>
      <c r="AH26" s="8">
        <f>IF(AH$1&lt;=Lifetime_UG,SUMIFS('Mitigation Projects'!$AG:$AG,'Mitigation Projects'!$H:$H,Benefits_Mitigation!$B26,'Mitigation Projects'!$G:$G,Benefits_Mitigation!$A26)*(1+Inflation)^(Benefits_Mitigation!AH$1-Benefits_Mitigation!$D$1),0)</f>
        <v>0</v>
      </c>
      <c r="AI26" s="8">
        <f>IF(AI$1&lt;=Lifetime_UG,SUMIFS('Mitigation Projects'!$AG:$AG,'Mitigation Projects'!$H:$H,Benefits_Mitigation!$B26,'Mitigation Projects'!$G:$G,Benefits_Mitigation!$A26)*(1+Inflation)^(Benefits_Mitigation!AI$1-Benefits_Mitigation!$D$1),0)</f>
        <v>0</v>
      </c>
      <c r="AJ26" s="8">
        <f>IF(AJ$1&lt;=Lifetime_UG,SUMIFS('Mitigation Projects'!$AG:$AG,'Mitigation Projects'!$H:$H,Benefits_Mitigation!$B26,'Mitigation Projects'!$G:$G,Benefits_Mitigation!$A26)*(1+Inflation)^(Benefits_Mitigation!AJ$1-Benefits_Mitigation!$D$1),0)</f>
        <v>0</v>
      </c>
      <c r="AK26" s="8">
        <f>IF(AK$1&lt;=Lifetime_UG,SUMIFS('Mitigation Projects'!$AG:$AG,'Mitigation Projects'!$H:$H,Benefits_Mitigation!$B26,'Mitigation Projects'!$G:$G,Benefits_Mitigation!$A26)*(1+Inflation)^(Benefits_Mitigation!AK$1-Benefits_Mitigation!$D$1),0)</f>
        <v>0</v>
      </c>
      <c r="AL26" s="8">
        <f>IF(AL$1&lt;=Lifetime_UG,SUMIFS('Mitigation Projects'!$AG:$AG,'Mitigation Projects'!$H:$H,Benefits_Mitigation!$B26,'Mitigation Projects'!$G:$G,Benefits_Mitigation!$A26)*(1+Inflation)^(Benefits_Mitigation!AL$1-Benefits_Mitigation!$D$1),0)</f>
        <v>0</v>
      </c>
      <c r="AM26" s="8">
        <f>IF(AM$1&lt;=Lifetime_UG,SUMIFS('Mitigation Projects'!$AG:$AG,'Mitigation Projects'!$H:$H,Benefits_Mitigation!$B26,'Mitigation Projects'!$G:$G,Benefits_Mitigation!$A26)*(1+Inflation)^(Benefits_Mitigation!AM$1-Benefits_Mitigation!$D$1),0)</f>
        <v>0</v>
      </c>
      <c r="AN26" s="8">
        <f>IF(AN$1&lt;=Lifetime_UG,SUMIFS('Mitigation Projects'!$AG:$AG,'Mitigation Projects'!$H:$H,Benefits_Mitigation!$B26,'Mitigation Projects'!$G:$G,Benefits_Mitigation!$A26)*(1+Inflation)^(Benefits_Mitigation!AN$1-Benefits_Mitigation!$D$1),0)</f>
        <v>0</v>
      </c>
      <c r="AO26" s="8">
        <f>IF(AO$1&lt;=Lifetime_UG,SUMIFS('Mitigation Projects'!$AG:$AG,'Mitigation Projects'!$H:$H,Benefits_Mitigation!$B26,'Mitigation Projects'!$G:$G,Benefits_Mitigation!$A26)*(1+Inflation)^(Benefits_Mitigation!AO$1-Benefits_Mitigation!$D$1),0)</f>
        <v>0</v>
      </c>
      <c r="AP26" s="8">
        <f>IF(AP$1&lt;=Lifetime_UG,SUMIFS('Mitigation Projects'!$AG:$AG,'Mitigation Projects'!$H:$H,Benefits_Mitigation!$B26,'Mitigation Projects'!$G:$G,Benefits_Mitigation!$A26)*(1+Inflation)^(Benefits_Mitigation!AP$1-Benefits_Mitigation!$D$1),0)</f>
        <v>0</v>
      </c>
      <c r="AQ26" s="8">
        <f>IF(AQ$1&lt;=Lifetime_UG,SUMIFS('Mitigation Projects'!$AG:$AG,'Mitigation Projects'!$H:$H,Benefits_Mitigation!$B26,'Mitigation Projects'!$G:$G,Benefits_Mitigation!$A26)*(1+Inflation)^(Benefits_Mitigation!AQ$1-Benefits_Mitigation!$D$1),0)</f>
        <v>0</v>
      </c>
      <c r="AR26" s="8">
        <f>IF(AR$1&lt;=Lifetime_UG,SUMIFS('Mitigation Projects'!$AG:$AG,'Mitigation Projects'!$H:$H,Benefits_Mitigation!$B26,'Mitigation Projects'!$G:$G,Benefits_Mitigation!$A26)*(1+Inflation)^(Benefits_Mitigation!AR$1-Benefits_Mitigation!$D$1),0)</f>
        <v>0</v>
      </c>
      <c r="AS26" s="8">
        <f>IF(AS$1&lt;=Lifetime_UG,SUMIFS('Mitigation Projects'!$AG:$AG,'Mitigation Projects'!$H:$H,Benefits_Mitigation!$B26,'Mitigation Projects'!$G:$G,Benefits_Mitigation!$A26)*(1+Inflation)^(Benefits_Mitigation!AS$1-Benefits_Mitigation!$D$1),0)</f>
        <v>0</v>
      </c>
      <c r="AT26" s="8">
        <f>IF(AT$1&lt;=Lifetime_UG,SUMIFS('Mitigation Projects'!$AG:$AG,'Mitigation Projects'!$H:$H,Benefits_Mitigation!$B26,'Mitigation Projects'!$G:$G,Benefits_Mitigation!$A26)*(1+Inflation)^(Benefits_Mitigation!AT$1-Benefits_Mitigation!$D$1),0)</f>
        <v>0</v>
      </c>
      <c r="AU26" s="8">
        <f>IF(AU$1&lt;=Lifetime_UG,SUMIFS('Mitigation Projects'!$AG:$AG,'Mitigation Projects'!$H:$H,Benefits_Mitigation!$B26,'Mitigation Projects'!$G:$G,Benefits_Mitigation!$A26)*(1+Inflation)^(Benefits_Mitigation!AU$1-Benefits_Mitigation!$D$1),0)</f>
        <v>0</v>
      </c>
      <c r="AV26" s="8">
        <f>IF(AV$1&lt;=Lifetime_UG,SUMIFS('Mitigation Projects'!$AG:$AG,'Mitigation Projects'!$H:$H,Benefits_Mitigation!$B26,'Mitigation Projects'!$G:$G,Benefits_Mitigation!$A26)*(1+Inflation)^(Benefits_Mitigation!AV$1-Benefits_Mitigation!$D$1),0)</f>
        <v>0</v>
      </c>
      <c r="AW26" s="8">
        <f>IF(AW$1&lt;=Lifetime_UG,SUMIFS('Mitigation Projects'!$AG:$AG,'Mitigation Projects'!$H:$H,Benefits_Mitigation!$B26,'Mitigation Projects'!$G:$G,Benefits_Mitigation!$A26)*(1+Inflation)^(Benefits_Mitigation!AW$1-Benefits_Mitigation!$D$1),0)</f>
        <v>0</v>
      </c>
      <c r="AX26" s="8">
        <f>IF(AX$1&lt;=Lifetime_UG,SUMIFS('Mitigation Projects'!$AG:$AG,'Mitigation Projects'!$H:$H,Benefits_Mitigation!$B26,'Mitigation Projects'!$G:$G,Benefits_Mitigation!$A26)*(1+Inflation)^(Benefits_Mitigation!AX$1-Benefits_Mitigation!$D$1),0)</f>
        <v>0</v>
      </c>
      <c r="AY26" s="8">
        <f>IF(AY$1&lt;=Lifetime_UG,SUMIFS('Mitigation Projects'!$AG:$AG,'Mitigation Projects'!$H:$H,Benefits_Mitigation!$B26,'Mitigation Projects'!$G:$G,Benefits_Mitigation!$A26)*(1+Inflation)^(Benefits_Mitigation!AY$1-Benefits_Mitigation!$D$1),0)</f>
        <v>0</v>
      </c>
      <c r="AZ26" s="8">
        <f>IF(AZ$1&lt;=Lifetime_UG,SUMIFS('Mitigation Projects'!$AG:$AG,'Mitigation Projects'!$H:$H,Benefits_Mitigation!$B26,'Mitigation Projects'!$G:$G,Benefits_Mitigation!$A26)*(1+Inflation)^(Benefits_Mitigation!AZ$1-Benefits_Mitigation!$D$1),0)</f>
        <v>0</v>
      </c>
      <c r="BA26" s="8">
        <f>IF(BA$1&lt;=Lifetime_UG,SUMIFS('Mitigation Projects'!$AG:$AG,'Mitigation Projects'!$H:$H,Benefits_Mitigation!$B26,'Mitigation Projects'!$G:$G,Benefits_Mitigation!$A26)*(1+Inflation)^(Benefits_Mitigation!BA$1-Benefits_Mitigation!$D$1),0)</f>
        <v>0</v>
      </c>
      <c r="BB26" s="8">
        <f>IF(BB$1&lt;=Lifetime_UG,SUMIFS('Mitigation Projects'!$AG:$AG,'Mitigation Projects'!$H:$H,Benefits_Mitigation!$B26,'Mitigation Projects'!$G:$G,Benefits_Mitigation!$A26)*(1+Inflation)^(Benefits_Mitigation!BB$1-Benefits_Mitigation!$D$1),0)</f>
        <v>0</v>
      </c>
      <c r="BC26" s="8">
        <f>IF(BC$1&lt;=Lifetime_UG,SUMIFS('Mitigation Projects'!$AG:$AG,'Mitigation Projects'!$H:$H,Benefits_Mitigation!$B26,'Mitigation Projects'!$G:$G,Benefits_Mitigation!$A26)*(1+Inflation)^(Benefits_Mitigation!BC$1-Benefits_Mitigation!$D$1),0)</f>
        <v>0</v>
      </c>
      <c r="BD26" s="8">
        <f>IF(BD$1&lt;=Lifetime_UG,SUMIFS('Mitigation Projects'!$AG:$AG,'Mitigation Projects'!$H:$H,Benefits_Mitigation!$B26,'Mitigation Projects'!$G:$G,Benefits_Mitigation!$A26)*(1+Inflation)^(Benefits_Mitigation!BD$1-Benefits_Mitigation!$D$1),0)</f>
        <v>0</v>
      </c>
      <c r="BE26" s="8">
        <f>IF(BE$1&lt;=Lifetime_UG,SUMIFS('Mitigation Projects'!$AG:$AG,'Mitigation Projects'!$H:$H,Benefits_Mitigation!$B26,'Mitigation Projects'!$G:$G,Benefits_Mitigation!$A26)*(1+Inflation)^(Benefits_Mitigation!BE$1-Benefits_Mitigation!$D$1),0)</f>
        <v>0</v>
      </c>
      <c r="BF26" s="8">
        <f>IF(BF$1&lt;=Lifetime_UG,SUMIFS('Mitigation Projects'!$AG:$AG,'Mitigation Projects'!$H:$H,Benefits_Mitigation!$B26,'Mitigation Projects'!$G:$G,Benefits_Mitigation!$A26)*(1+Inflation)^(Benefits_Mitigation!BF$1-Benefits_Mitigation!$D$1),0)</f>
        <v>0</v>
      </c>
      <c r="BG26" s="8">
        <f>IF(BG$1&lt;=Lifetime_UG,SUMIFS('Mitigation Projects'!$AG:$AG,'Mitigation Projects'!$H:$H,Benefits_Mitigation!$B26,'Mitigation Projects'!$G:$G,Benefits_Mitigation!$A26)*(1+Inflation)^(Benefits_Mitigation!BG$1-Benefits_Mitigation!$D$1),0)</f>
        <v>0</v>
      </c>
      <c r="BH26" s="8">
        <f>IF(BH$1&lt;=Lifetime_UG,SUMIFS('Mitigation Projects'!$AG:$AG,'Mitigation Projects'!$H:$H,Benefits_Mitigation!$B26,'Mitigation Projects'!$G:$G,Benefits_Mitigation!$A26)*(1+Inflation)^(Benefits_Mitigation!BH$1-Benefits_Mitigation!$D$1),0)</f>
        <v>0</v>
      </c>
      <c r="BI26" s="8">
        <f>IF(BI$1&lt;=Lifetime_UG,SUMIFS('Mitigation Projects'!$AG:$AG,'Mitigation Projects'!$H:$H,Benefits_Mitigation!$B26,'Mitigation Projects'!$G:$G,Benefits_Mitigation!$A26)*(1+Inflation)^(Benefits_Mitigation!BI$1-Benefits_Mitigation!$D$1),0)</f>
        <v>0</v>
      </c>
      <c r="BJ26" s="8">
        <f>IF(BJ$1&lt;=Lifetime_UG,SUMIFS('Mitigation Projects'!$AG:$AG,'Mitigation Projects'!$H:$H,Benefits_Mitigation!$B26,'Mitigation Projects'!$G:$G,Benefits_Mitigation!$A26)*(1+Inflation)^(Benefits_Mitigation!BJ$1-Benefits_Mitigation!$D$1),0)</f>
        <v>0</v>
      </c>
      <c r="BK26" s="8">
        <f>IF(BK$1&lt;=Lifetime_UG,SUMIFS('Mitigation Projects'!$AG:$AG,'Mitigation Projects'!$H:$H,Benefits_Mitigation!$B26,'Mitigation Projects'!$G:$G,Benefits_Mitigation!$A26)*(1+Inflation)^(Benefits_Mitigation!BK$1-Benefits_Mitigation!$D$1),0)</f>
        <v>0</v>
      </c>
      <c r="BL26" s="8">
        <f>IF(BL$1&lt;=Lifetime_UG,SUMIFS('Mitigation Projects'!$AG:$AG,'Mitigation Projects'!$H:$H,Benefits_Mitigation!$B26,'Mitigation Projects'!$G:$G,Benefits_Mitigation!$A26)*(1+Inflation)^(Benefits_Mitigation!BL$1-Benefits_Mitigation!$D$1),0)</f>
        <v>0</v>
      </c>
      <c r="BM26" s="8">
        <f>IF(BM$1&lt;=Lifetime_UG,SUMIFS('Mitigation Projects'!$AG:$AG,'Mitigation Projects'!$H:$H,Benefits_Mitigation!$B26,'Mitigation Projects'!$G:$G,Benefits_Mitigation!$A26)*(1+Inflation)^(Benefits_Mitigation!BM$1-Benefits_Mitigation!$D$1),0)</f>
        <v>0</v>
      </c>
      <c r="BN26" s="8">
        <f>IF(BN$1&lt;=Lifetime_UG,SUMIFS('Mitigation Projects'!$AG:$AG,'Mitigation Projects'!$H:$H,Benefits_Mitigation!$B26,'Mitigation Projects'!$G:$G,Benefits_Mitigation!$A26)*(1+Inflation)^(Benefits_Mitigation!BN$1-Benefits_Mitigation!$D$1),0)</f>
        <v>0</v>
      </c>
      <c r="BO26" s="8">
        <f>IF(BO$1&lt;=Lifetime_UG,SUMIFS('Mitigation Projects'!$AG:$AG,'Mitigation Projects'!$H:$H,Benefits_Mitigation!$B26,'Mitigation Projects'!$G:$G,Benefits_Mitigation!$A26)*(1+Inflation)^(Benefits_Mitigation!BO$1-Benefits_Mitigation!$D$1),0)</f>
        <v>0</v>
      </c>
    </row>
    <row r="27" spans="1:67" x14ac:dyDescent="0.4">
      <c r="A27" t="s">
        <v>37</v>
      </c>
      <c r="B27" t="s">
        <v>16</v>
      </c>
      <c r="C27" t="s">
        <v>321</v>
      </c>
      <c r="D27" s="8"/>
      <c r="E27" s="8">
        <f>IF(E$1&lt;=Lifetime_UG,SUMIFS('Mitigation Projects'!$AH:$AH,'Mitigation Projects'!$H:$H,Benefits_Mitigation!$B27,'Mitigation Projects'!$G:$G,Benefits_Mitigation!$A27)*(1+Inflation)^(Benefits_Mitigation!E$1-Benefits_Mitigation!$D$1),0)</f>
        <v>0</v>
      </c>
      <c r="F27" s="8">
        <f>IF(F$1&lt;=Lifetime_UG,SUMIFS('Mitigation Projects'!$AH:$AH,'Mitigation Projects'!$H:$H,Benefits_Mitigation!$B27,'Mitigation Projects'!$G:$G,Benefits_Mitigation!$A27)*(1+Inflation)^(Benefits_Mitigation!F$1-Benefits_Mitigation!$D$1),0)</f>
        <v>0</v>
      </c>
      <c r="G27" s="8">
        <f>IF(G$1&lt;=Lifetime_UG,SUMIFS('Mitigation Projects'!$AH:$AH,'Mitigation Projects'!$H:$H,Benefits_Mitigation!$B27,'Mitigation Projects'!$G:$G,Benefits_Mitigation!$A27)*(1+Inflation)^(Benefits_Mitigation!G$1-Benefits_Mitigation!$D$1),0)</f>
        <v>0</v>
      </c>
      <c r="H27" s="8">
        <f>IF(H$1&lt;=Lifetime_UG,SUMIFS('Mitigation Projects'!$AH:$AH,'Mitigation Projects'!$H:$H,Benefits_Mitigation!$B27,'Mitigation Projects'!$G:$G,Benefits_Mitigation!$A27)*(1+Inflation)^(Benefits_Mitigation!H$1-Benefits_Mitigation!$D$1),0)</f>
        <v>0</v>
      </c>
      <c r="I27" s="8">
        <f>IF(I$1&lt;=Lifetime_UG,SUMIFS('Mitigation Projects'!$AH:$AH,'Mitigation Projects'!$H:$H,Benefits_Mitigation!$B27,'Mitigation Projects'!$G:$G,Benefits_Mitigation!$A27)*(1+Inflation)^(Benefits_Mitigation!I$1-Benefits_Mitigation!$D$1),0)</f>
        <v>0</v>
      </c>
      <c r="J27" s="8">
        <f>IF(J$1&lt;=Lifetime_UG,SUMIFS('Mitigation Projects'!$AH:$AH,'Mitigation Projects'!$H:$H,Benefits_Mitigation!$B27,'Mitigation Projects'!$G:$G,Benefits_Mitigation!$A27)*(1+Inflation)^(Benefits_Mitigation!J$1-Benefits_Mitigation!$D$1),0)</f>
        <v>0</v>
      </c>
      <c r="K27" s="8">
        <f>IF(K$1&lt;=Lifetime_UG,SUMIFS('Mitigation Projects'!$AH:$AH,'Mitigation Projects'!$H:$H,Benefits_Mitigation!$B27,'Mitigation Projects'!$G:$G,Benefits_Mitigation!$A27)*(1+Inflation)^(Benefits_Mitigation!K$1-Benefits_Mitigation!$D$1),0)</f>
        <v>0</v>
      </c>
      <c r="L27" s="8">
        <f>IF(L$1&lt;=Lifetime_UG,SUMIFS('Mitigation Projects'!$AH:$AH,'Mitigation Projects'!$H:$H,Benefits_Mitigation!$B27,'Mitigation Projects'!$G:$G,Benefits_Mitigation!$A27)*(1+Inflation)^(Benefits_Mitigation!L$1-Benefits_Mitigation!$D$1),0)</f>
        <v>0</v>
      </c>
      <c r="M27" s="8">
        <f>IF(M$1&lt;=Lifetime_UG,SUMIFS('Mitigation Projects'!$AH:$AH,'Mitigation Projects'!$H:$H,Benefits_Mitigation!$B27,'Mitigation Projects'!$G:$G,Benefits_Mitigation!$A27)*(1+Inflation)^(Benefits_Mitigation!M$1-Benefits_Mitigation!$D$1),0)</f>
        <v>0</v>
      </c>
      <c r="N27" s="8">
        <f>IF(N$1&lt;=Lifetime_UG,SUMIFS('Mitigation Projects'!$AH:$AH,'Mitigation Projects'!$H:$H,Benefits_Mitigation!$B27,'Mitigation Projects'!$G:$G,Benefits_Mitigation!$A27)*(1+Inflation)^(Benefits_Mitigation!N$1-Benefits_Mitigation!$D$1),0)</f>
        <v>0</v>
      </c>
      <c r="O27" s="8">
        <f>IF(O$1&lt;=Lifetime_UG,SUMIFS('Mitigation Projects'!$AH:$AH,'Mitigation Projects'!$H:$H,Benefits_Mitigation!$B27,'Mitigation Projects'!$G:$G,Benefits_Mitigation!$A27)*(1+Inflation)^(Benefits_Mitigation!O$1-Benefits_Mitigation!$D$1),0)</f>
        <v>0</v>
      </c>
      <c r="P27" s="8">
        <f>IF(P$1&lt;=Lifetime_UG,SUMIFS('Mitigation Projects'!$AH:$AH,'Mitigation Projects'!$H:$H,Benefits_Mitigation!$B27,'Mitigation Projects'!$G:$G,Benefits_Mitigation!$A27)*(1+Inflation)^(Benefits_Mitigation!P$1-Benefits_Mitigation!$D$1),0)</f>
        <v>0</v>
      </c>
      <c r="Q27" s="8">
        <f>IF(Q$1&lt;=Lifetime_UG,SUMIFS('Mitigation Projects'!$AH:$AH,'Mitigation Projects'!$H:$H,Benefits_Mitigation!$B27,'Mitigation Projects'!$G:$G,Benefits_Mitigation!$A27)*(1+Inflation)^(Benefits_Mitigation!Q$1-Benefits_Mitigation!$D$1),0)</f>
        <v>0</v>
      </c>
      <c r="R27" s="8">
        <f>IF(R$1&lt;=Lifetime_UG,SUMIFS('Mitigation Projects'!$AH:$AH,'Mitigation Projects'!$H:$H,Benefits_Mitigation!$B27,'Mitigation Projects'!$G:$G,Benefits_Mitigation!$A27)*(1+Inflation)^(Benefits_Mitigation!R$1-Benefits_Mitigation!$D$1),0)</f>
        <v>0</v>
      </c>
      <c r="S27" s="8">
        <f>IF(S$1&lt;=Lifetime_UG,SUMIFS('Mitigation Projects'!$AH:$AH,'Mitigation Projects'!$H:$H,Benefits_Mitigation!$B27,'Mitigation Projects'!$G:$G,Benefits_Mitigation!$A27)*(1+Inflation)^(Benefits_Mitigation!S$1-Benefits_Mitigation!$D$1),0)</f>
        <v>0</v>
      </c>
      <c r="T27" s="8">
        <f>IF(T$1&lt;=Lifetime_UG,SUMIFS('Mitigation Projects'!$AH:$AH,'Mitigation Projects'!$H:$H,Benefits_Mitigation!$B27,'Mitigation Projects'!$G:$G,Benefits_Mitigation!$A27)*(1+Inflation)^(Benefits_Mitigation!T$1-Benefits_Mitigation!$D$1),0)</f>
        <v>0</v>
      </c>
      <c r="U27" s="8">
        <f>IF(U$1&lt;=Lifetime_UG,SUMIFS('Mitigation Projects'!$AH:$AH,'Mitigation Projects'!$H:$H,Benefits_Mitigation!$B27,'Mitigation Projects'!$G:$G,Benefits_Mitigation!$A27)*(1+Inflation)^(Benefits_Mitigation!U$1-Benefits_Mitigation!$D$1),0)</f>
        <v>0</v>
      </c>
      <c r="V27" s="8">
        <f>IF(V$1&lt;=Lifetime_UG,SUMIFS('Mitigation Projects'!$AH:$AH,'Mitigation Projects'!$H:$H,Benefits_Mitigation!$B27,'Mitigation Projects'!$G:$G,Benefits_Mitigation!$A27)*(1+Inflation)^(Benefits_Mitigation!V$1-Benefits_Mitigation!$D$1),0)</f>
        <v>0</v>
      </c>
      <c r="W27" s="8">
        <f>IF(W$1&lt;=Lifetime_UG,SUMIFS('Mitigation Projects'!$AH:$AH,'Mitigation Projects'!$H:$H,Benefits_Mitigation!$B27,'Mitigation Projects'!$G:$G,Benefits_Mitigation!$A27)*(1+Inflation)^(Benefits_Mitigation!W$1-Benefits_Mitigation!$D$1),0)</f>
        <v>0</v>
      </c>
      <c r="X27" s="8">
        <f>IF(X$1&lt;=Lifetime_UG,SUMIFS('Mitigation Projects'!$AH:$AH,'Mitigation Projects'!$H:$H,Benefits_Mitigation!$B27,'Mitigation Projects'!$G:$G,Benefits_Mitigation!$A27)*(1+Inflation)^(Benefits_Mitigation!X$1-Benefits_Mitigation!$D$1),0)</f>
        <v>0</v>
      </c>
      <c r="Y27" s="8">
        <f>IF(Y$1&lt;=Lifetime_UG,SUMIFS('Mitigation Projects'!$AH:$AH,'Mitigation Projects'!$H:$H,Benefits_Mitigation!$B27,'Mitigation Projects'!$G:$G,Benefits_Mitigation!$A27)*(1+Inflation)^(Benefits_Mitigation!Y$1-Benefits_Mitigation!$D$1),0)</f>
        <v>0</v>
      </c>
      <c r="Z27" s="8">
        <f>IF(Z$1&lt;=Lifetime_UG,SUMIFS('Mitigation Projects'!$AH:$AH,'Mitigation Projects'!$H:$H,Benefits_Mitigation!$B27,'Mitigation Projects'!$G:$G,Benefits_Mitigation!$A27)*(1+Inflation)^(Benefits_Mitigation!Z$1-Benefits_Mitigation!$D$1),0)</f>
        <v>0</v>
      </c>
      <c r="AA27" s="8">
        <f>IF(AA$1&lt;=Lifetime_UG,SUMIFS('Mitigation Projects'!$AH:$AH,'Mitigation Projects'!$H:$H,Benefits_Mitigation!$B27,'Mitigation Projects'!$G:$G,Benefits_Mitigation!$A27)*(1+Inflation)^(Benefits_Mitigation!AA$1-Benefits_Mitigation!$D$1),0)</f>
        <v>0</v>
      </c>
      <c r="AB27" s="8">
        <f>IF(AB$1&lt;=Lifetime_UG,SUMIFS('Mitigation Projects'!$AH:$AH,'Mitigation Projects'!$H:$H,Benefits_Mitigation!$B27,'Mitigation Projects'!$G:$G,Benefits_Mitigation!$A27)*(1+Inflation)^(Benefits_Mitigation!AB$1-Benefits_Mitigation!$D$1),0)</f>
        <v>0</v>
      </c>
      <c r="AC27" s="8">
        <f>IF(AC$1&lt;=Lifetime_UG,SUMIFS('Mitigation Projects'!$AH:$AH,'Mitigation Projects'!$H:$H,Benefits_Mitigation!$B27,'Mitigation Projects'!$G:$G,Benefits_Mitigation!$A27)*(1+Inflation)^(Benefits_Mitigation!AC$1-Benefits_Mitigation!$D$1),0)</f>
        <v>0</v>
      </c>
      <c r="AD27" s="8">
        <f>IF(AD$1&lt;=Lifetime_UG,SUMIFS('Mitigation Projects'!$AH:$AH,'Mitigation Projects'!$H:$H,Benefits_Mitigation!$B27,'Mitigation Projects'!$G:$G,Benefits_Mitigation!$A27)*(1+Inflation)^(Benefits_Mitigation!AD$1-Benefits_Mitigation!$D$1),0)</f>
        <v>0</v>
      </c>
      <c r="AE27" s="8">
        <f>IF(AE$1&lt;=Lifetime_UG,SUMIFS('Mitigation Projects'!$AH:$AH,'Mitigation Projects'!$H:$H,Benefits_Mitigation!$B27,'Mitigation Projects'!$G:$G,Benefits_Mitigation!$A27)*(1+Inflation)^(Benefits_Mitigation!AE$1-Benefits_Mitigation!$D$1),0)</f>
        <v>0</v>
      </c>
      <c r="AF27" s="8">
        <f>IF(AF$1&lt;=Lifetime_UG,SUMIFS('Mitigation Projects'!$AH:$AH,'Mitigation Projects'!$H:$H,Benefits_Mitigation!$B27,'Mitigation Projects'!$G:$G,Benefits_Mitigation!$A27)*(1+Inflation)^(Benefits_Mitigation!AF$1-Benefits_Mitigation!$D$1),0)</f>
        <v>0</v>
      </c>
      <c r="AG27" s="8">
        <f>IF(AG$1&lt;=Lifetime_UG,SUMIFS('Mitigation Projects'!$AH:$AH,'Mitigation Projects'!$H:$H,Benefits_Mitigation!$B27,'Mitigation Projects'!$G:$G,Benefits_Mitigation!$A27)*(1+Inflation)^(Benefits_Mitigation!AG$1-Benefits_Mitigation!$D$1),0)</f>
        <v>0</v>
      </c>
      <c r="AH27" s="8">
        <f>IF(AH$1&lt;=Lifetime_UG,SUMIFS('Mitigation Projects'!$AH:$AH,'Mitigation Projects'!$H:$H,Benefits_Mitigation!$B27,'Mitigation Projects'!$G:$G,Benefits_Mitigation!$A27)*(1+Inflation)^(Benefits_Mitigation!AH$1-Benefits_Mitigation!$D$1),0)</f>
        <v>0</v>
      </c>
      <c r="AI27" s="8">
        <f>IF(AI$1&lt;=Lifetime_UG,SUMIFS('Mitigation Projects'!$AH:$AH,'Mitigation Projects'!$H:$H,Benefits_Mitigation!$B27,'Mitigation Projects'!$G:$G,Benefits_Mitigation!$A27)*(1+Inflation)^(Benefits_Mitigation!AI$1-Benefits_Mitigation!$D$1),0)</f>
        <v>0</v>
      </c>
      <c r="AJ27" s="8">
        <f>IF(AJ$1&lt;=Lifetime_UG,SUMIFS('Mitigation Projects'!$AH:$AH,'Mitigation Projects'!$H:$H,Benefits_Mitigation!$B27,'Mitigation Projects'!$G:$G,Benefits_Mitigation!$A27)*(1+Inflation)^(Benefits_Mitigation!AJ$1-Benefits_Mitigation!$D$1),0)</f>
        <v>0</v>
      </c>
      <c r="AK27" s="8">
        <f>IF(AK$1&lt;=Lifetime_UG,SUMIFS('Mitigation Projects'!$AH:$AH,'Mitigation Projects'!$H:$H,Benefits_Mitigation!$B27,'Mitigation Projects'!$G:$G,Benefits_Mitigation!$A27)*(1+Inflation)^(Benefits_Mitigation!AK$1-Benefits_Mitigation!$D$1),0)</f>
        <v>0</v>
      </c>
      <c r="AL27" s="8">
        <f>IF(AL$1&lt;=Lifetime_UG,SUMIFS('Mitigation Projects'!$AH:$AH,'Mitigation Projects'!$H:$H,Benefits_Mitigation!$B27,'Mitigation Projects'!$G:$G,Benefits_Mitigation!$A27)*(1+Inflation)^(Benefits_Mitigation!AL$1-Benefits_Mitigation!$D$1),0)</f>
        <v>0</v>
      </c>
      <c r="AM27" s="8">
        <f>IF(AM$1&lt;=Lifetime_UG,SUMIFS('Mitigation Projects'!$AH:$AH,'Mitigation Projects'!$H:$H,Benefits_Mitigation!$B27,'Mitigation Projects'!$G:$G,Benefits_Mitigation!$A27)*(1+Inflation)^(Benefits_Mitigation!AM$1-Benefits_Mitigation!$D$1),0)</f>
        <v>0</v>
      </c>
      <c r="AN27" s="8">
        <f>IF(AN$1&lt;=Lifetime_UG,SUMIFS('Mitigation Projects'!$AH:$AH,'Mitigation Projects'!$H:$H,Benefits_Mitigation!$B27,'Mitigation Projects'!$G:$G,Benefits_Mitigation!$A27)*(1+Inflation)^(Benefits_Mitigation!AN$1-Benefits_Mitigation!$D$1),0)</f>
        <v>0</v>
      </c>
      <c r="AO27" s="8">
        <f>IF(AO$1&lt;=Lifetime_UG,SUMIFS('Mitigation Projects'!$AH:$AH,'Mitigation Projects'!$H:$H,Benefits_Mitigation!$B27,'Mitigation Projects'!$G:$G,Benefits_Mitigation!$A27)*(1+Inflation)^(Benefits_Mitigation!AO$1-Benefits_Mitigation!$D$1),0)</f>
        <v>0</v>
      </c>
      <c r="AP27" s="8">
        <f>IF(AP$1&lt;=Lifetime_UG,SUMIFS('Mitigation Projects'!$AH:$AH,'Mitigation Projects'!$H:$H,Benefits_Mitigation!$B27,'Mitigation Projects'!$G:$G,Benefits_Mitigation!$A27)*(1+Inflation)^(Benefits_Mitigation!AP$1-Benefits_Mitigation!$D$1),0)</f>
        <v>0</v>
      </c>
      <c r="AQ27" s="8">
        <f>IF(AQ$1&lt;=Lifetime_UG,SUMIFS('Mitigation Projects'!$AH:$AH,'Mitigation Projects'!$H:$H,Benefits_Mitigation!$B27,'Mitigation Projects'!$G:$G,Benefits_Mitigation!$A27)*(1+Inflation)^(Benefits_Mitigation!AQ$1-Benefits_Mitigation!$D$1),0)</f>
        <v>0</v>
      </c>
      <c r="AR27" s="8">
        <f>IF(AR$1&lt;=Lifetime_UG,SUMIFS('Mitigation Projects'!$AH:$AH,'Mitigation Projects'!$H:$H,Benefits_Mitigation!$B27,'Mitigation Projects'!$G:$G,Benefits_Mitigation!$A27)*(1+Inflation)^(Benefits_Mitigation!AR$1-Benefits_Mitigation!$D$1),0)</f>
        <v>0</v>
      </c>
      <c r="AS27" s="8">
        <f>IF(AS$1&lt;=Lifetime_UG,SUMIFS('Mitigation Projects'!$AH:$AH,'Mitigation Projects'!$H:$H,Benefits_Mitigation!$B27,'Mitigation Projects'!$G:$G,Benefits_Mitigation!$A27)*(1+Inflation)^(Benefits_Mitigation!AS$1-Benefits_Mitigation!$D$1),0)</f>
        <v>0</v>
      </c>
      <c r="AT27" s="8">
        <f>IF(AT$1&lt;=Lifetime_UG,SUMIFS('Mitigation Projects'!$AH:$AH,'Mitigation Projects'!$H:$H,Benefits_Mitigation!$B27,'Mitigation Projects'!$G:$G,Benefits_Mitigation!$A27)*(1+Inflation)^(Benefits_Mitigation!AT$1-Benefits_Mitigation!$D$1),0)</f>
        <v>0</v>
      </c>
      <c r="AU27" s="8">
        <f>IF(AU$1&lt;=Lifetime_UG,SUMIFS('Mitigation Projects'!$AH:$AH,'Mitigation Projects'!$H:$H,Benefits_Mitigation!$B27,'Mitigation Projects'!$G:$G,Benefits_Mitigation!$A27)*(1+Inflation)^(Benefits_Mitigation!AU$1-Benefits_Mitigation!$D$1),0)</f>
        <v>0</v>
      </c>
      <c r="AV27" s="8">
        <f>IF(AV$1&lt;=Lifetime_UG,SUMIFS('Mitigation Projects'!$AH:$AH,'Mitigation Projects'!$H:$H,Benefits_Mitigation!$B27,'Mitigation Projects'!$G:$G,Benefits_Mitigation!$A27)*(1+Inflation)^(Benefits_Mitigation!AV$1-Benefits_Mitigation!$D$1),0)</f>
        <v>0</v>
      </c>
      <c r="AW27" s="8">
        <f>IF(AW$1&lt;=Lifetime_UG,SUMIFS('Mitigation Projects'!$AH:$AH,'Mitigation Projects'!$H:$H,Benefits_Mitigation!$B27,'Mitigation Projects'!$G:$G,Benefits_Mitigation!$A27)*(1+Inflation)^(Benefits_Mitigation!AW$1-Benefits_Mitigation!$D$1),0)</f>
        <v>0</v>
      </c>
      <c r="AX27" s="8">
        <f>IF(AX$1&lt;=Lifetime_UG,SUMIFS('Mitigation Projects'!$AH:$AH,'Mitigation Projects'!$H:$H,Benefits_Mitigation!$B27,'Mitigation Projects'!$G:$G,Benefits_Mitigation!$A27)*(1+Inflation)^(Benefits_Mitigation!AX$1-Benefits_Mitigation!$D$1),0)</f>
        <v>0</v>
      </c>
      <c r="AY27" s="8">
        <f>IF(AY$1&lt;=Lifetime_UG,SUMIFS('Mitigation Projects'!$AH:$AH,'Mitigation Projects'!$H:$H,Benefits_Mitigation!$B27,'Mitigation Projects'!$G:$G,Benefits_Mitigation!$A27)*(1+Inflation)^(Benefits_Mitigation!AY$1-Benefits_Mitigation!$D$1),0)</f>
        <v>0</v>
      </c>
      <c r="AZ27" s="8">
        <f>IF(AZ$1&lt;=Lifetime_UG,SUMIFS('Mitigation Projects'!$AH:$AH,'Mitigation Projects'!$H:$H,Benefits_Mitigation!$B27,'Mitigation Projects'!$G:$G,Benefits_Mitigation!$A27)*(1+Inflation)^(Benefits_Mitigation!AZ$1-Benefits_Mitigation!$D$1),0)</f>
        <v>0</v>
      </c>
      <c r="BA27" s="8">
        <f>IF(BA$1&lt;=Lifetime_UG,SUMIFS('Mitigation Projects'!$AH:$AH,'Mitigation Projects'!$H:$H,Benefits_Mitigation!$B27,'Mitigation Projects'!$G:$G,Benefits_Mitigation!$A27)*(1+Inflation)^(Benefits_Mitigation!BA$1-Benefits_Mitigation!$D$1),0)</f>
        <v>0</v>
      </c>
      <c r="BB27" s="8">
        <f>IF(BB$1&lt;=Lifetime_UG,SUMIFS('Mitigation Projects'!$AH:$AH,'Mitigation Projects'!$H:$H,Benefits_Mitigation!$B27,'Mitigation Projects'!$G:$G,Benefits_Mitigation!$A27)*(1+Inflation)^(Benefits_Mitigation!BB$1-Benefits_Mitigation!$D$1),0)</f>
        <v>0</v>
      </c>
      <c r="BC27" s="8">
        <f>IF(BC$1&lt;=Lifetime_UG,SUMIFS('Mitigation Projects'!$AH:$AH,'Mitigation Projects'!$H:$H,Benefits_Mitigation!$B27,'Mitigation Projects'!$G:$G,Benefits_Mitigation!$A27)*(1+Inflation)^(Benefits_Mitigation!BC$1-Benefits_Mitigation!$D$1),0)</f>
        <v>0</v>
      </c>
      <c r="BD27" s="8">
        <f>IF(BD$1&lt;=Lifetime_UG,SUMIFS('Mitigation Projects'!$AH:$AH,'Mitigation Projects'!$H:$H,Benefits_Mitigation!$B27,'Mitigation Projects'!$G:$G,Benefits_Mitigation!$A27)*(1+Inflation)^(Benefits_Mitigation!BD$1-Benefits_Mitigation!$D$1),0)</f>
        <v>0</v>
      </c>
      <c r="BE27" s="8">
        <f>IF(BE$1&lt;=Lifetime_UG,SUMIFS('Mitigation Projects'!$AH:$AH,'Mitigation Projects'!$H:$H,Benefits_Mitigation!$B27,'Mitigation Projects'!$G:$G,Benefits_Mitigation!$A27)*(1+Inflation)^(Benefits_Mitigation!BE$1-Benefits_Mitigation!$D$1),0)</f>
        <v>0</v>
      </c>
      <c r="BF27" s="8">
        <f>IF(BF$1&lt;=Lifetime_UG,SUMIFS('Mitigation Projects'!$AH:$AH,'Mitigation Projects'!$H:$H,Benefits_Mitigation!$B27,'Mitigation Projects'!$G:$G,Benefits_Mitigation!$A27)*(1+Inflation)^(Benefits_Mitigation!BF$1-Benefits_Mitigation!$D$1),0)</f>
        <v>0</v>
      </c>
      <c r="BG27" s="8">
        <f>IF(BG$1&lt;=Lifetime_UG,SUMIFS('Mitigation Projects'!$AH:$AH,'Mitigation Projects'!$H:$H,Benefits_Mitigation!$B27,'Mitigation Projects'!$G:$G,Benefits_Mitigation!$A27)*(1+Inflation)^(Benefits_Mitigation!BG$1-Benefits_Mitigation!$D$1),0)</f>
        <v>0</v>
      </c>
      <c r="BH27" s="8">
        <f>IF(BH$1&lt;=Lifetime_UG,SUMIFS('Mitigation Projects'!$AH:$AH,'Mitigation Projects'!$H:$H,Benefits_Mitigation!$B27,'Mitigation Projects'!$G:$G,Benefits_Mitigation!$A27)*(1+Inflation)^(Benefits_Mitigation!BH$1-Benefits_Mitigation!$D$1),0)</f>
        <v>0</v>
      </c>
      <c r="BI27" s="8">
        <f>IF(BI$1&lt;=Lifetime_UG,SUMIFS('Mitigation Projects'!$AH:$AH,'Mitigation Projects'!$H:$H,Benefits_Mitigation!$B27,'Mitigation Projects'!$G:$G,Benefits_Mitigation!$A27)*(1+Inflation)^(Benefits_Mitigation!BI$1-Benefits_Mitigation!$D$1),0)</f>
        <v>0</v>
      </c>
      <c r="BJ27" s="8">
        <f>IF(BJ$1&lt;=Lifetime_UG,SUMIFS('Mitigation Projects'!$AH:$AH,'Mitigation Projects'!$H:$H,Benefits_Mitigation!$B27,'Mitigation Projects'!$G:$G,Benefits_Mitigation!$A27)*(1+Inflation)^(Benefits_Mitigation!BJ$1-Benefits_Mitigation!$D$1),0)</f>
        <v>0</v>
      </c>
      <c r="BK27" s="8">
        <f>IF(BK$1&lt;=Lifetime_UG,SUMIFS('Mitigation Projects'!$AH:$AH,'Mitigation Projects'!$H:$H,Benefits_Mitigation!$B27,'Mitigation Projects'!$G:$G,Benefits_Mitigation!$A27)*(1+Inflation)^(Benefits_Mitigation!BK$1-Benefits_Mitigation!$D$1),0)</f>
        <v>0</v>
      </c>
      <c r="BL27" s="8">
        <f>IF(BL$1&lt;=Lifetime_UG,SUMIFS('Mitigation Projects'!$AH:$AH,'Mitigation Projects'!$H:$H,Benefits_Mitigation!$B27,'Mitigation Projects'!$G:$G,Benefits_Mitigation!$A27)*(1+Inflation)^(Benefits_Mitigation!BL$1-Benefits_Mitigation!$D$1),0)</f>
        <v>0</v>
      </c>
      <c r="BM27" s="8">
        <f>IF(BM$1&lt;=Lifetime_UG,SUMIFS('Mitigation Projects'!$AH:$AH,'Mitigation Projects'!$H:$H,Benefits_Mitigation!$B27,'Mitigation Projects'!$G:$G,Benefits_Mitigation!$A27)*(1+Inflation)^(Benefits_Mitigation!BM$1-Benefits_Mitigation!$D$1),0)</f>
        <v>0</v>
      </c>
      <c r="BN27" s="8">
        <f>IF(BN$1&lt;=Lifetime_UG,SUMIFS('Mitigation Projects'!$AH:$AH,'Mitigation Projects'!$H:$H,Benefits_Mitigation!$B27,'Mitigation Projects'!$G:$G,Benefits_Mitigation!$A27)*(1+Inflation)^(Benefits_Mitigation!BN$1-Benefits_Mitigation!$D$1),0)</f>
        <v>0</v>
      </c>
      <c r="BO27" s="8">
        <f>IF(BO$1&lt;=Lifetime_UG,SUMIFS('Mitigation Projects'!$AH:$AH,'Mitigation Projects'!$H:$H,Benefits_Mitigation!$B27,'Mitigation Projects'!$G:$G,Benefits_Mitigation!$A27)*(1+Inflation)^(Benefits_Mitigation!BO$1-Benefits_Mitigation!$D$1),0)</f>
        <v>0</v>
      </c>
    </row>
    <row r="28" spans="1:67" x14ac:dyDescent="0.4">
      <c r="A28" t="s">
        <v>37</v>
      </c>
      <c r="B28" t="s">
        <v>16</v>
      </c>
      <c r="C28" t="s">
        <v>175</v>
      </c>
      <c r="D28" s="8"/>
      <c r="E28" s="8">
        <f>Line_Loss_Reduction_Per_Mile_1PH_UG*Distance_UG_1PH*VLOOKUP(E22,'Loss Reduction Calculation'!$A$10:$D$41,4,0)</f>
        <v>10282.027514588133</v>
      </c>
      <c r="F28" s="8">
        <f>Line_Loss_Reduction_Per_Mile_1PH_UG*Distance_UG_1PH*VLOOKUP(F22,'Loss Reduction Calculation'!$A$10:$D$41,4,0)</f>
        <v>10451.424215431975</v>
      </c>
      <c r="G28" s="8">
        <f>Line_Loss_Reduction_Per_Mile_1PH_UG*Distance_UG_1PH*VLOOKUP(G22,'Loss Reduction Calculation'!$A$10:$D$41,4,0)</f>
        <v>10270.413640555176</v>
      </c>
      <c r="H28" s="8">
        <f>Line_Loss_Reduction_Per_Mile_1PH_UG*Distance_UG_1PH*VLOOKUP(H22,'Loss Reduction Calculation'!$A$10:$D$41,4,0)</f>
        <v>10409.154566909318</v>
      </c>
      <c r="I28" s="8">
        <f>Line_Loss_Reduction_Per_Mile_1PH_UG*Distance_UG_1PH*VLOOKUP(I22,'Loss Reduction Calculation'!$A$10:$D$41,4,0)</f>
        <v>10692.571036480673</v>
      </c>
      <c r="J28" s="8">
        <f>Line_Loss_Reduction_Per_Mile_1PH_UG*Distance_UG_1PH*VLOOKUP(J22,'Loss Reduction Calculation'!$A$10:$D$41,4,0)</f>
        <v>10919.139213229733</v>
      </c>
      <c r="K28" s="8">
        <f>Line_Loss_Reduction_Per_Mile_1PH_UG*Distance_UG_1PH*VLOOKUP(K22,'Loss Reduction Calculation'!$A$10:$D$41,4,0)</f>
        <v>11137.521997494328</v>
      </c>
      <c r="L28" s="8">
        <f>Line_Loss_Reduction_Per_Mile_1PH_UG*Distance_UG_1PH*VLOOKUP(L22,'Loss Reduction Calculation'!$A$10:$D$41,4,0)</f>
        <v>11360.272437444219</v>
      </c>
      <c r="M28" s="8">
        <f>Line_Loss_Reduction_Per_Mile_1PH_UG*Distance_UG_1PH*VLOOKUP(M22,'Loss Reduction Calculation'!$A$10:$D$41,4,0)</f>
        <v>11587.477886193097</v>
      </c>
      <c r="N28" s="8">
        <f>Line_Loss_Reduction_Per_Mile_1PH_UG*Distance_UG_1PH*VLOOKUP(N22,'Loss Reduction Calculation'!$A$10:$D$41,4,0)</f>
        <v>11819.22744391696</v>
      </c>
      <c r="O28" s="8">
        <f t="shared" ref="O28:AT28" si="8">IF(O$1&lt;=Lifetime_UG,N28*(1+Inflation),0)</f>
        <v>12079.250447683133</v>
      </c>
      <c r="P28" s="8">
        <f t="shared" si="8"/>
        <v>12344.993957532162</v>
      </c>
      <c r="Q28" s="8">
        <f t="shared" si="8"/>
        <v>12616.58382459787</v>
      </c>
      <c r="R28" s="8">
        <f t="shared" si="8"/>
        <v>12894.148668739024</v>
      </c>
      <c r="S28" s="8">
        <f t="shared" si="8"/>
        <v>13177.819939451283</v>
      </c>
      <c r="T28" s="8">
        <f t="shared" si="8"/>
        <v>13467.731978119211</v>
      </c>
      <c r="U28" s="8">
        <f t="shared" si="8"/>
        <v>13764.022081637833</v>
      </c>
      <c r="V28" s="8">
        <f t="shared" si="8"/>
        <v>14066.830567433866</v>
      </c>
      <c r="W28" s="8">
        <f t="shared" si="8"/>
        <v>14376.300839917412</v>
      </c>
      <c r="X28" s="8">
        <f t="shared" si="8"/>
        <v>14692.579458395596</v>
      </c>
      <c r="Y28" s="8">
        <f t="shared" si="8"/>
        <v>15015.8162064803</v>
      </c>
      <c r="Z28" s="8">
        <f t="shared" si="8"/>
        <v>15346.164163022868</v>
      </c>
      <c r="AA28" s="8">
        <f t="shared" si="8"/>
        <v>15683.779774609371</v>
      </c>
      <c r="AB28" s="8">
        <f t="shared" si="8"/>
        <v>16028.822929650778</v>
      </c>
      <c r="AC28" s="8">
        <f t="shared" si="8"/>
        <v>16381.457034103096</v>
      </c>
      <c r="AD28" s="8">
        <f t="shared" si="8"/>
        <v>16741.849088853363</v>
      </c>
      <c r="AE28" s="8">
        <f t="shared" si="8"/>
        <v>17110.169768808137</v>
      </c>
      <c r="AF28" s="8">
        <f t="shared" si="8"/>
        <v>17486.593503721917</v>
      </c>
      <c r="AG28" s="8">
        <f t="shared" si="8"/>
        <v>17871.2985608038</v>
      </c>
      <c r="AH28" s="8">
        <f t="shared" si="8"/>
        <v>18264.467129141485</v>
      </c>
      <c r="AI28" s="8">
        <f t="shared" si="8"/>
        <v>18666.285405982599</v>
      </c>
      <c r="AJ28" s="8">
        <f t="shared" si="8"/>
        <v>19076.943684914215</v>
      </c>
      <c r="AK28" s="8">
        <f t="shared" si="8"/>
        <v>19496.636445982327</v>
      </c>
      <c r="AL28" s="8">
        <f t="shared" si="8"/>
        <v>19925.562447793938</v>
      </c>
      <c r="AM28" s="8">
        <f t="shared" si="8"/>
        <v>20363.924821645403</v>
      </c>
      <c r="AN28" s="8">
        <f t="shared" si="8"/>
        <v>20811.931167721603</v>
      </c>
      <c r="AO28" s="8">
        <f t="shared" si="8"/>
        <v>21269.793653411478</v>
      </c>
      <c r="AP28" s="8">
        <f t="shared" si="8"/>
        <v>21737.729113786532</v>
      </c>
      <c r="AQ28" s="8">
        <f t="shared" si="8"/>
        <v>22215.959154289838</v>
      </c>
      <c r="AR28" s="8">
        <f t="shared" si="8"/>
        <v>22704.710255684215</v>
      </c>
      <c r="AS28" s="8">
        <f t="shared" si="8"/>
        <v>23204.213881309268</v>
      </c>
      <c r="AT28" s="8">
        <f t="shared" si="8"/>
        <v>23714.706586698074</v>
      </c>
      <c r="AU28" s="8">
        <f t="shared" ref="AU28:BO28" si="9">IF(AU$1&lt;=Lifetime_UG,AT28*(1+Inflation),0)</f>
        <v>24236.430131605433</v>
      </c>
      <c r="AV28" s="8">
        <f t="shared" si="9"/>
        <v>24769.631594500752</v>
      </c>
      <c r="AW28" s="8">
        <f t="shared" si="9"/>
        <v>25314.56348957977</v>
      </c>
      <c r="AX28" s="8">
        <f t="shared" si="9"/>
        <v>25871.483886350525</v>
      </c>
      <c r="AY28" s="8">
        <f t="shared" si="9"/>
        <v>26440.656531850236</v>
      </c>
      <c r="AZ28" s="8">
        <f t="shared" si="9"/>
        <v>27022.35097555094</v>
      </c>
      <c r="BA28" s="8">
        <f t="shared" si="9"/>
        <v>27616.84269701306</v>
      </c>
      <c r="BB28" s="8">
        <f t="shared" si="9"/>
        <v>28224.413236347347</v>
      </c>
      <c r="BC28" s="8">
        <f t="shared" si="9"/>
        <v>28845.350327546988</v>
      </c>
      <c r="BD28" s="8">
        <f t="shared" si="9"/>
        <v>29479.948034753023</v>
      </c>
      <c r="BE28" s="8">
        <f t="shared" si="9"/>
        <v>30128.506891517591</v>
      </c>
      <c r="BF28" s="8">
        <f t="shared" si="9"/>
        <v>30791.334043130977</v>
      </c>
      <c r="BG28" s="8">
        <f t="shared" si="9"/>
        <v>31468.743392079858</v>
      </c>
      <c r="BH28" s="8">
        <f t="shared" si="9"/>
        <v>32161.055746705613</v>
      </c>
      <c r="BI28" s="8">
        <f t="shared" si="9"/>
        <v>0</v>
      </c>
      <c r="BJ28" s="8">
        <f t="shared" si="9"/>
        <v>0</v>
      </c>
      <c r="BK28" s="8">
        <f t="shared" si="9"/>
        <v>0</v>
      </c>
      <c r="BL28" s="8">
        <f t="shared" si="9"/>
        <v>0</v>
      </c>
      <c r="BM28" s="8">
        <f t="shared" si="9"/>
        <v>0</v>
      </c>
      <c r="BN28" s="8">
        <f t="shared" si="9"/>
        <v>0</v>
      </c>
      <c r="BO28" s="8">
        <f t="shared" si="9"/>
        <v>0</v>
      </c>
    </row>
    <row r="29" spans="1:67" x14ac:dyDescent="0.4">
      <c r="C29" s="14"/>
      <c r="D29" s="15"/>
      <c r="E29" s="15">
        <f t="shared" ref="E29:AJ29" si="10">SUM(E24:E28)</f>
        <v>663956.224824365</v>
      </c>
      <c r="F29" s="15">
        <f t="shared" si="10"/>
        <v>678506.45386602404</v>
      </c>
      <c r="G29" s="15">
        <f t="shared" si="10"/>
        <v>693022.6539434602</v>
      </c>
      <c r="H29" s="15">
        <f t="shared" si="10"/>
        <v>708181.94415647828</v>
      </c>
      <c r="I29" s="15">
        <f t="shared" si="10"/>
        <v>723816.3619970202</v>
      </c>
      <c r="J29" s="15">
        <f t="shared" si="10"/>
        <v>739731.65357490105</v>
      </c>
      <c r="K29" s="15">
        <f t="shared" si="10"/>
        <v>755983.91167512233</v>
      </c>
      <c r="L29" s="15">
        <f t="shared" si="10"/>
        <v>772593.28268798022</v>
      </c>
      <c r="M29" s="15">
        <f t="shared" si="10"/>
        <v>789567.61436224077</v>
      </c>
      <c r="N29" s="15">
        <f t="shared" si="10"/>
        <v>806914.92692243773</v>
      </c>
      <c r="O29" s="15">
        <f t="shared" si="10"/>
        <v>824667.05531473155</v>
      </c>
      <c r="P29" s="15">
        <f t="shared" si="10"/>
        <v>842809.73053165548</v>
      </c>
      <c r="Q29" s="15">
        <f t="shared" si="10"/>
        <v>861351.54460335209</v>
      </c>
      <c r="R29" s="15">
        <f t="shared" si="10"/>
        <v>880301.27858462569</v>
      </c>
      <c r="S29" s="15">
        <f t="shared" si="10"/>
        <v>899667.90671348746</v>
      </c>
      <c r="T29" s="15">
        <f t="shared" si="10"/>
        <v>919460.60066118429</v>
      </c>
      <c r="U29" s="15">
        <f t="shared" si="10"/>
        <v>939688.73387573031</v>
      </c>
      <c r="V29" s="15">
        <f t="shared" si="10"/>
        <v>960361.88602099626</v>
      </c>
      <c r="W29" s="15">
        <f t="shared" si="10"/>
        <v>981489.84751345834</v>
      </c>
      <c r="X29" s="15">
        <f t="shared" si="10"/>
        <v>1003082.6241587544</v>
      </c>
      <c r="Y29" s="15">
        <f t="shared" si="10"/>
        <v>1025150.4418902469</v>
      </c>
      <c r="Z29" s="15">
        <f t="shared" si="10"/>
        <v>1047703.7516118324</v>
      </c>
      <c r="AA29" s="15">
        <f t="shared" si="10"/>
        <v>1070753.2341472926</v>
      </c>
      <c r="AB29" s="15">
        <f t="shared" si="10"/>
        <v>1094309.8052985333</v>
      </c>
      <c r="AC29" s="15">
        <f t="shared" si="10"/>
        <v>1118384.621015101</v>
      </c>
      <c r="AD29" s="15">
        <f t="shared" si="10"/>
        <v>1142989.0826774335</v>
      </c>
      <c r="AE29" s="15">
        <f t="shared" si="10"/>
        <v>1168134.8424963369</v>
      </c>
      <c r="AF29" s="15">
        <f t="shared" si="10"/>
        <v>1193833.8090312562</v>
      </c>
      <c r="AG29" s="15">
        <f t="shared" si="10"/>
        <v>1220098.1528299439</v>
      </c>
      <c r="AH29" s="15">
        <f t="shared" si="10"/>
        <v>1246940.3121922025</v>
      </c>
      <c r="AI29" s="15">
        <f t="shared" si="10"/>
        <v>1274372.999060431</v>
      </c>
      <c r="AJ29" s="15">
        <f t="shared" si="10"/>
        <v>1302409.2050397603</v>
      </c>
      <c r="AK29" s="15">
        <f t="shared" ref="AK29:BO29" si="11">SUM(AK24:AK28)</f>
        <v>1331062.2075506356</v>
      </c>
      <c r="AL29" s="15">
        <f t="shared" si="11"/>
        <v>1360345.5761167491</v>
      </c>
      <c r="AM29" s="15">
        <f t="shared" si="11"/>
        <v>1390273.1787913176</v>
      </c>
      <c r="AN29" s="15">
        <f t="shared" si="11"/>
        <v>1420859.1887247264</v>
      </c>
      <c r="AO29" s="15">
        <f t="shared" si="11"/>
        <v>1452118.0908766708</v>
      </c>
      <c r="AP29" s="15">
        <f t="shared" si="11"/>
        <v>1484064.6888759574</v>
      </c>
      <c r="AQ29" s="15">
        <f t="shared" si="11"/>
        <v>1516714.1120312284</v>
      </c>
      <c r="AR29" s="15">
        <f t="shared" si="11"/>
        <v>1550081.8224959159</v>
      </c>
      <c r="AS29" s="15">
        <f t="shared" si="11"/>
        <v>1584183.6225908259</v>
      </c>
      <c r="AT29" s="15">
        <f t="shared" si="11"/>
        <v>1619035.6622878239</v>
      </c>
      <c r="AU29" s="15">
        <f t="shared" si="11"/>
        <v>1654654.446858156</v>
      </c>
      <c r="AV29" s="15">
        <f t="shared" si="11"/>
        <v>1691056.8446890356</v>
      </c>
      <c r="AW29" s="15">
        <f t="shared" si="11"/>
        <v>1728260.0952721946</v>
      </c>
      <c r="AX29" s="15">
        <f t="shared" si="11"/>
        <v>1766281.8173681824</v>
      </c>
      <c r="AY29" s="15">
        <f t="shared" si="11"/>
        <v>1805140.0173502828</v>
      </c>
      <c r="AZ29" s="15">
        <f t="shared" si="11"/>
        <v>1844853.0977319889</v>
      </c>
      <c r="BA29" s="15">
        <f t="shared" si="11"/>
        <v>1885439.8658820931</v>
      </c>
      <c r="BB29" s="15">
        <f t="shared" si="11"/>
        <v>1926919.5429314985</v>
      </c>
      <c r="BC29" s="15">
        <f t="shared" si="11"/>
        <v>1969311.7728759916</v>
      </c>
      <c r="BD29" s="15">
        <f t="shared" si="11"/>
        <v>2012636.6318792636</v>
      </c>
      <c r="BE29" s="15">
        <f t="shared" si="11"/>
        <v>2056914.6377806074</v>
      </c>
      <c r="BF29" s="15">
        <f t="shared" si="11"/>
        <v>2102166.7598117804</v>
      </c>
      <c r="BG29" s="15">
        <f t="shared" si="11"/>
        <v>2148414.4285276397</v>
      </c>
      <c r="BH29" s="15">
        <f t="shared" si="11"/>
        <v>2195679.5459552482</v>
      </c>
      <c r="BI29" s="15">
        <f t="shared" si="11"/>
        <v>0</v>
      </c>
      <c r="BJ29" s="15">
        <f t="shared" si="11"/>
        <v>0</v>
      </c>
      <c r="BK29" s="15">
        <f t="shared" si="11"/>
        <v>0</v>
      </c>
      <c r="BL29" s="15">
        <f t="shared" si="11"/>
        <v>0</v>
      </c>
      <c r="BM29" s="15">
        <f t="shared" si="11"/>
        <v>0</v>
      </c>
      <c r="BN29" s="15">
        <f t="shared" si="11"/>
        <v>0</v>
      </c>
      <c r="BO29" s="15">
        <f t="shared" si="11"/>
        <v>0</v>
      </c>
    </row>
    <row r="30" spans="1:67" x14ac:dyDescent="0.4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</row>
    <row r="31" spans="1:67" x14ac:dyDescent="0.4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</row>
    <row r="32" spans="1:67" x14ac:dyDescent="0.4">
      <c r="B32" s="11" t="s">
        <v>421</v>
      </c>
    </row>
    <row r="33" spans="3:67" x14ac:dyDescent="0.4">
      <c r="C33" s="5" t="s">
        <v>179</v>
      </c>
      <c r="D33" s="5">
        <v>2027</v>
      </c>
      <c r="E33" s="5">
        <v>2028</v>
      </c>
      <c r="F33" s="5">
        <v>2029</v>
      </c>
      <c r="G33" s="5">
        <v>2030</v>
      </c>
      <c r="H33" s="5">
        <v>2031</v>
      </c>
      <c r="I33" s="5">
        <v>2032</v>
      </c>
      <c r="J33" s="5">
        <v>2033</v>
      </c>
      <c r="K33" s="5">
        <v>2034</v>
      </c>
      <c r="L33" s="5">
        <v>2035</v>
      </c>
      <c r="M33" s="5">
        <v>2036</v>
      </c>
      <c r="N33" s="5">
        <v>2037</v>
      </c>
      <c r="O33" s="5">
        <v>2038</v>
      </c>
      <c r="P33" s="5">
        <v>2039</v>
      </c>
      <c r="Q33" s="5">
        <v>2040</v>
      </c>
      <c r="R33" s="5">
        <v>2041</v>
      </c>
      <c r="S33" s="5">
        <v>2042</v>
      </c>
      <c r="T33" s="5">
        <v>2043</v>
      </c>
      <c r="U33" s="5">
        <v>2044</v>
      </c>
      <c r="V33" s="5">
        <v>2045</v>
      </c>
      <c r="W33" s="5">
        <v>2046</v>
      </c>
      <c r="X33" s="5">
        <v>2047</v>
      </c>
      <c r="Y33" s="5">
        <v>2048</v>
      </c>
      <c r="Z33" s="5">
        <v>2049</v>
      </c>
      <c r="AA33" s="5">
        <v>2050</v>
      </c>
      <c r="AB33" s="5">
        <v>2051</v>
      </c>
      <c r="AC33" s="5">
        <v>2052</v>
      </c>
      <c r="AD33" s="5">
        <v>2053</v>
      </c>
      <c r="AE33" s="5">
        <v>2054</v>
      </c>
      <c r="AF33" s="5">
        <v>2055</v>
      </c>
      <c r="AG33" s="5">
        <v>2056</v>
      </c>
      <c r="AH33" s="5">
        <v>2057</v>
      </c>
      <c r="AI33" s="5">
        <v>2058</v>
      </c>
      <c r="AJ33" s="5">
        <v>2059</v>
      </c>
      <c r="AK33" s="5">
        <v>2060</v>
      </c>
      <c r="AL33" s="5">
        <v>2061</v>
      </c>
      <c r="AM33" s="5">
        <v>2062</v>
      </c>
      <c r="AN33" s="5">
        <v>2063</v>
      </c>
      <c r="AO33" s="5">
        <v>2064</v>
      </c>
      <c r="AP33" s="5">
        <v>2065</v>
      </c>
      <c r="AQ33" s="5">
        <v>2066</v>
      </c>
      <c r="AR33" s="5">
        <v>2067</v>
      </c>
      <c r="AS33" s="5">
        <v>2068</v>
      </c>
      <c r="AT33" s="5">
        <v>2069</v>
      </c>
      <c r="AU33" s="5">
        <v>2070</v>
      </c>
      <c r="AV33" s="5">
        <v>2071</v>
      </c>
      <c r="AW33" s="5">
        <v>2072</v>
      </c>
      <c r="AX33" s="5">
        <v>2073</v>
      </c>
      <c r="AY33" s="5">
        <v>2074</v>
      </c>
      <c r="AZ33" s="5">
        <v>2075</v>
      </c>
      <c r="BA33" s="5">
        <v>2076</v>
      </c>
      <c r="BB33" s="5">
        <v>2077</v>
      </c>
      <c r="BC33" s="5">
        <v>2078</v>
      </c>
      <c r="BD33" s="5">
        <v>2079</v>
      </c>
      <c r="BE33" s="5">
        <v>2080</v>
      </c>
      <c r="BF33" s="5">
        <v>2081</v>
      </c>
      <c r="BG33" s="5">
        <v>2082</v>
      </c>
      <c r="BH33" s="5">
        <v>2083</v>
      </c>
      <c r="BI33" s="5">
        <v>2084</v>
      </c>
      <c r="BJ33" s="5">
        <v>2085</v>
      </c>
      <c r="BK33" s="5">
        <v>2086</v>
      </c>
      <c r="BL33" s="5">
        <v>2087</v>
      </c>
      <c r="BM33" s="5">
        <v>2088</v>
      </c>
      <c r="BN33" s="5">
        <v>2089</v>
      </c>
      <c r="BO33" s="5">
        <v>2090</v>
      </c>
    </row>
    <row r="34" spans="3:67" x14ac:dyDescent="0.4">
      <c r="C34" s="135" t="s">
        <v>180</v>
      </c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5"/>
      <c r="BC34" s="135"/>
      <c r="BD34" s="135"/>
      <c r="BE34" s="135"/>
      <c r="BF34" s="135"/>
      <c r="BG34" s="135"/>
      <c r="BH34" s="135"/>
      <c r="BI34" s="135"/>
      <c r="BJ34" s="135"/>
      <c r="BK34" s="135"/>
      <c r="BL34" s="135"/>
      <c r="BM34" s="135"/>
      <c r="BN34" s="135"/>
      <c r="BO34" s="135"/>
    </row>
    <row r="35" spans="3:67" x14ac:dyDescent="0.4">
      <c r="C35" t="s">
        <v>181</v>
      </c>
      <c r="D35" s="8">
        <f>-1*'BESS Full Program'!C12</f>
        <v>591280.5980840103</v>
      </c>
      <c r="E35" s="8">
        <f>-1*'BESS Full Program'!D12</f>
        <v>839770.49185028463</v>
      </c>
      <c r="F35" s="8">
        <f>-1*'BESS Full Program'!E12</f>
        <v>769357.90589667554</v>
      </c>
      <c r="G35" s="8">
        <f>-1*'BESS Full Program'!F12</f>
        <v>709315.19309872668</v>
      </c>
      <c r="H35" s="8">
        <f>-1*'BESS Full Program'!G12</f>
        <v>658184.17220448633</v>
      </c>
      <c r="I35" s="8">
        <f>-1*'BESS Full Program'!H12</f>
        <v>611809.4148300899</v>
      </c>
      <c r="J35" s="8">
        <f>-1*'BESS Full Program'!I12</f>
        <v>572569.05273545906</v>
      </c>
      <c r="K35" s="8">
        <f>-1*'BESS Full Program'!J12</f>
        <v>539036.20686464082</v>
      </c>
      <c r="L35" s="8">
        <f>-1*'BESS Full Program'!K12</f>
        <v>507130.24004977586</v>
      </c>
      <c r="M35" s="8">
        <f>-1*'BESS Full Program'!L12</f>
        <v>475324.27323491091</v>
      </c>
      <c r="N35" s="8">
        <f>-1*'BESS Full Program'!M12</f>
        <v>443318.3064200459</v>
      </c>
      <c r="O35" s="8">
        <f>-1*'BESS Full Program'!N12</f>
        <v>411212.3396051809</v>
      </c>
      <c r="P35" s="8">
        <f>-1*'BESS Full Program'!O12</f>
        <v>379306.37279031595</v>
      </c>
      <c r="Q35" s="8">
        <f>-1*'BESS Full Program'!P12</f>
        <v>347300.40597545094</v>
      </c>
      <c r="R35" s="8">
        <f>-1*'BESS Full Program'!Q12</f>
        <v>315194.43916058593</v>
      </c>
      <c r="S35" s="8">
        <f>-1*'BESS Full Program'!R12</f>
        <v>283088.47234572098</v>
      </c>
      <c r="T35" s="8">
        <f>-1*'BESS Full Program'!S12</f>
        <v>90795.494469144236</v>
      </c>
      <c r="U35" s="8">
        <f>-1*'BESS Full Program'!T12</f>
        <v>2.4835422124235997E-11</v>
      </c>
      <c r="V35" s="8">
        <f>-1*'BESS Full Program'!U12</f>
        <v>1.2017139737533544E-11</v>
      </c>
      <c r="W35" s="8">
        <f>-1*'BESS Full Program'!V12</f>
        <v>1.2017139737533544E-11</v>
      </c>
      <c r="X35" s="8">
        <f>-1*'BESS Full Program'!W12</f>
        <v>1.2017139737533544E-11</v>
      </c>
      <c r="Y35" s="8">
        <f>-1*'BESS Full Program'!X12</f>
        <v>1.2017139737533544E-11</v>
      </c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</row>
    <row r="36" spans="3:67" x14ac:dyDescent="0.4">
      <c r="C36" t="s">
        <v>182</v>
      </c>
      <c r="D36" s="8">
        <f>-1*'BESS Full Program'!C36</f>
        <v>0</v>
      </c>
      <c r="E36" s="8">
        <f>-1*'BESS Full Program'!D36</f>
        <v>0</v>
      </c>
      <c r="F36" s="8">
        <f>-1*'BESS Full Program'!E36</f>
        <v>0</v>
      </c>
      <c r="G36" s="8">
        <f>-1*'BESS Full Program'!F36</f>
        <v>0</v>
      </c>
      <c r="H36" s="8">
        <f>-1*'BESS Full Program'!G36</f>
        <v>0</v>
      </c>
      <c r="I36" s="8">
        <f>-1*'BESS Full Program'!H36</f>
        <v>0</v>
      </c>
      <c r="J36" s="8">
        <f>-1*'BESS Full Program'!I36</f>
        <v>0</v>
      </c>
      <c r="K36" s="8">
        <f>-1*'BESS Full Program'!J36</f>
        <v>0</v>
      </c>
      <c r="L36" s="8">
        <f>-1*'BESS Full Program'!K36</f>
        <v>0</v>
      </c>
      <c r="M36" s="8">
        <f>-1*'BESS Full Program'!L36</f>
        <v>0</v>
      </c>
      <c r="N36" s="8">
        <f>-1*'BESS Full Program'!M36</f>
        <v>600</v>
      </c>
      <c r="O36" s="8">
        <f>-1*'BESS Full Program'!N36</f>
        <v>900</v>
      </c>
      <c r="P36" s="8">
        <f>-1*'BESS Full Program'!O36</f>
        <v>900</v>
      </c>
      <c r="Q36" s="8">
        <f>-1*'BESS Full Program'!P36</f>
        <v>2100</v>
      </c>
      <c r="R36" s="8">
        <f>-1*'BESS Full Program'!Q36</f>
        <v>2700</v>
      </c>
      <c r="S36" s="8">
        <f>-1*'BESS Full Program'!R36</f>
        <v>3900</v>
      </c>
      <c r="T36" s="8">
        <f>-1*'BESS Full Program'!S36</f>
        <v>8100</v>
      </c>
      <c r="U36" s="8">
        <f>-1*'BESS Full Program'!T36</f>
        <v>15300</v>
      </c>
      <c r="V36" s="8">
        <f>-1*'BESS Full Program'!U36</f>
        <v>21000</v>
      </c>
      <c r="W36" s="8">
        <f>-1*'BESS Full Program'!V36</f>
        <v>25500</v>
      </c>
      <c r="X36" s="8">
        <f>-1*'BESS Full Program'!W36</f>
        <v>9000</v>
      </c>
      <c r="Y36" s="8">
        <f>-1*'BESS Full Program'!X36</f>
        <v>0</v>
      </c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</row>
    <row r="37" spans="3:67" x14ac:dyDescent="0.4">
      <c r="C37" t="s">
        <v>136</v>
      </c>
      <c r="D37" s="8">
        <f>-1*'BESS Full Program'!C16</f>
        <v>600</v>
      </c>
      <c r="E37" s="8">
        <f>-1*'BESS Full Program'!D16</f>
        <v>918</v>
      </c>
      <c r="F37" s="8">
        <f>-1*'BESS Full Program'!E16</f>
        <v>936.36</v>
      </c>
      <c r="G37" s="8">
        <f>-1*'BESS Full Program'!F16</f>
        <v>955.08719999999994</v>
      </c>
      <c r="H37" s="8">
        <f>-1*'BESS Full Program'!G16</f>
        <v>974.18894399999999</v>
      </c>
      <c r="I37" s="8">
        <f>-1*'BESS Full Program'!H16</f>
        <v>993.67272288000004</v>
      </c>
      <c r="J37" s="8">
        <f>-1*'BESS Full Program'!I16</f>
        <v>1013.5461773376001</v>
      </c>
      <c r="K37" s="8">
        <f>-1*'BESS Full Program'!J16</f>
        <v>1033.8171008843519</v>
      </c>
      <c r="L37" s="8">
        <f>-1*'BESS Full Program'!K16</f>
        <v>1054.4934429020389</v>
      </c>
      <c r="M37" s="8">
        <f>-1*'BESS Full Program'!L16</f>
        <v>1075.5833117600796</v>
      </c>
      <c r="N37" s="8">
        <f>-1*'BESS Full Program'!M16</f>
        <v>1089.7810114753129</v>
      </c>
      <c r="O37" s="8">
        <f>-1*'BESS Full Program'!N16</f>
        <v>1100.3862629292671</v>
      </c>
      <c r="P37" s="8">
        <f>-1*'BESS Full Program'!O16</f>
        <v>1110.9798120367896</v>
      </c>
      <c r="Q37" s="8">
        <f>-1*'BESS Full Program'!P16</f>
        <v>1106.0336690379957</v>
      </c>
      <c r="R37" s="8">
        <f>-1*'BESS Full Program'!Q16</f>
        <v>1092.5284158160582</v>
      </c>
      <c r="S37" s="8">
        <f>-1*'BESS Full Program'!R16</f>
        <v>1061.890118937738</v>
      </c>
      <c r="T37" s="8">
        <f>-1*'BESS Full Program'!S16</f>
        <v>971.93227920415325</v>
      </c>
      <c r="U37" s="8">
        <f>-1*'BESS Full Program'!T16</f>
        <v>777.13398765179556</v>
      </c>
      <c r="V37" s="8">
        <f>-1*'BESS Full Program'!U16</f>
        <v>492.74495541381413</v>
      </c>
      <c r="W37" s="8">
        <f>-1*'BESS Full Program'!V16</f>
        <v>131.11300552750185</v>
      </c>
      <c r="X37" s="8">
        <f>-1*'BESS Full Program'!W16</f>
        <v>0</v>
      </c>
      <c r="Y37" s="8">
        <f>-1*'BESS Full Program'!X16</f>
        <v>0</v>
      </c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</row>
    <row r="38" spans="3:67" x14ac:dyDescent="0.4">
      <c r="C38" t="s">
        <v>183</v>
      </c>
      <c r="D38" s="8">
        <f>-1*'BESS Full Program'!C20</f>
        <v>0</v>
      </c>
      <c r="E38" s="8">
        <f>-1*'BESS Full Program'!D20</f>
        <v>7200</v>
      </c>
      <c r="F38" s="8">
        <f>-1*'BESS Full Program'!E20</f>
        <v>7200</v>
      </c>
      <c r="G38" s="8">
        <f>-1*'BESS Full Program'!F20</f>
        <v>7200</v>
      </c>
      <c r="H38" s="8">
        <f>-1*'BESS Full Program'!G20</f>
        <v>7200</v>
      </c>
      <c r="I38" s="8">
        <f>-1*'BESS Full Program'!H20</f>
        <v>7200</v>
      </c>
      <c r="J38" s="8">
        <f>-1*'BESS Full Program'!I20</f>
        <v>7200</v>
      </c>
      <c r="K38" s="8">
        <f>-1*'BESS Full Program'!J20</f>
        <v>7200</v>
      </c>
      <c r="L38" s="8">
        <f>-1*'BESS Full Program'!K20</f>
        <v>7200</v>
      </c>
      <c r="M38" s="8">
        <f>-1*'BESS Full Program'!L20</f>
        <v>7200</v>
      </c>
      <c r="N38" s="8">
        <f>-1*'BESS Full Program'!M20</f>
        <v>7152</v>
      </c>
      <c r="O38" s="8">
        <f>-1*'BESS Full Program'!N20</f>
        <v>7080</v>
      </c>
      <c r="P38" s="8">
        <f>-1*'BESS Full Program'!O20</f>
        <v>7008</v>
      </c>
      <c r="Q38" s="8">
        <f>-1*'BESS Full Program'!P20</f>
        <v>6840</v>
      </c>
      <c r="R38" s="8">
        <f>-1*'BESS Full Program'!Q20</f>
        <v>6624</v>
      </c>
      <c r="S38" s="8">
        <f>-1*'BESS Full Program'!R20</f>
        <v>6312</v>
      </c>
      <c r="T38" s="8">
        <f>-1*'BESS Full Program'!S20</f>
        <v>5664</v>
      </c>
      <c r="U38" s="8">
        <f>-1*'BESS Full Program'!T20</f>
        <v>4440</v>
      </c>
      <c r="V38" s="8">
        <f>-1*'BESS Full Program'!U20</f>
        <v>2760.0000000000005</v>
      </c>
      <c r="W38" s="8">
        <f>-1*'BESS Full Program'!V20</f>
        <v>720.00000000000011</v>
      </c>
      <c r="X38" s="8">
        <f>-1*'BESS Full Program'!W20</f>
        <v>0</v>
      </c>
      <c r="Y38" s="8">
        <f>-1*'BESS Full Program'!X20</f>
        <v>0</v>
      </c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</row>
    <row r="39" spans="3:67" x14ac:dyDescent="0.4">
      <c r="C39" t="s">
        <v>184</v>
      </c>
      <c r="D39" s="8">
        <f>-1*'BESS Full Program'!C28</f>
        <v>13489.792747200003</v>
      </c>
      <c r="E39" s="8">
        <f>-1*'BESS Full Program'!D28</f>
        <v>20639.38290321601</v>
      </c>
      <c r="F39" s="8">
        <f>-1*'BESS Full Program'!E28</f>
        <v>20778.0906751851</v>
      </c>
      <c r="G39" s="8">
        <f>-1*'BESS Full Program'!F28</f>
        <v>21053.871746780223</v>
      </c>
      <c r="H39" s="8">
        <f>-1*'BESS Full Program'!G28</f>
        <v>21474.949181715827</v>
      </c>
      <c r="I39" s="8">
        <f>-1*'BESS Full Program'!H28</f>
        <v>21904.44816535015</v>
      </c>
      <c r="J39" s="8">
        <f>-1*'BESS Full Program'!I28</f>
        <v>22048.787131086508</v>
      </c>
      <c r="K39" s="8">
        <f>-1*'BESS Full Program'!J28</f>
        <v>22339.950374947206</v>
      </c>
      <c r="L39" s="8">
        <f>-1*'BESS Full Program'!K28</f>
        <v>22484.172855097746</v>
      </c>
      <c r="M39" s="8">
        <f>-1*'BESS Full Program'!L28</f>
        <v>22779.542283252013</v>
      </c>
      <c r="N39" s="8">
        <f>-1*'BESS Full Program'!M28</f>
        <v>22773.214632617775</v>
      </c>
      <c r="O39" s="8">
        <f>-1*'BESS Full Program'!N28</f>
        <v>22686.525818928731</v>
      </c>
      <c r="P39" s="8">
        <f>-1*'BESS Full Program'!O28</f>
        <v>22827.550168613976</v>
      </c>
      <c r="Q39" s="8">
        <f>-1*'BESS Full Program'!P28</f>
        <v>22410.317851148553</v>
      </c>
      <c r="R39" s="8">
        <f>-1*'BESS Full Program'!Q28</f>
        <v>21816.581664954749</v>
      </c>
      <c r="S39" s="8">
        <f>-1*'BESS Full Program'!R28</f>
        <v>21115.903129729923</v>
      </c>
      <c r="T39" s="8">
        <f>-1*'BESS Full Program'!S28</f>
        <v>19005.832323433759</v>
      </c>
      <c r="U39" s="8">
        <f>-1*'BESS Full Program'!T28</f>
        <v>15129.344436744403</v>
      </c>
      <c r="V39" s="8">
        <f>-1*'BESS Full Program'!U28</f>
        <v>9495.2899568136436</v>
      </c>
      <c r="W39" s="8">
        <f>-1*'BESS Full Program'!V28</f>
        <v>2494.5570564075565</v>
      </c>
      <c r="X39" s="8">
        <f>-1*'BESS Full Program'!W28</f>
        <v>0</v>
      </c>
      <c r="Y39" s="8">
        <f>-1*'BESS Full Program'!X28</f>
        <v>0</v>
      </c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</row>
    <row r="40" spans="3:67" x14ac:dyDescent="0.4">
      <c r="C40" s="58" t="s">
        <v>185</v>
      </c>
      <c r="D40" s="59">
        <f t="shared" ref="D40:Y40" si="12">SUM(D35:D39)</f>
        <v>605370.3908312103</v>
      </c>
      <c r="E40" s="59">
        <f t="shared" si="12"/>
        <v>868527.87475350068</v>
      </c>
      <c r="F40" s="59">
        <f t="shared" si="12"/>
        <v>798272.35657186061</v>
      </c>
      <c r="G40" s="59">
        <f t="shared" si="12"/>
        <v>738524.15204550687</v>
      </c>
      <c r="H40" s="59">
        <f t="shared" si="12"/>
        <v>687833.31033020222</v>
      </c>
      <c r="I40" s="59">
        <f t="shared" si="12"/>
        <v>641907.53571832005</v>
      </c>
      <c r="J40" s="59">
        <f t="shared" si="12"/>
        <v>602831.38604388316</v>
      </c>
      <c r="K40" s="59">
        <f t="shared" si="12"/>
        <v>569609.97434047237</v>
      </c>
      <c r="L40" s="59">
        <f t="shared" si="12"/>
        <v>537868.90634777572</v>
      </c>
      <c r="M40" s="59">
        <f t="shared" si="12"/>
        <v>506379.39882992301</v>
      </c>
      <c r="N40" s="59">
        <f t="shared" si="12"/>
        <v>474933.30206413899</v>
      </c>
      <c r="O40" s="59">
        <f t="shared" si="12"/>
        <v>442979.25168703886</v>
      </c>
      <c r="P40" s="59">
        <f t="shared" si="12"/>
        <v>411152.9027709667</v>
      </c>
      <c r="Q40" s="59">
        <f t="shared" si="12"/>
        <v>379756.75749563746</v>
      </c>
      <c r="R40" s="59">
        <f t="shared" si="12"/>
        <v>347427.54924135678</v>
      </c>
      <c r="S40" s="59">
        <f t="shared" si="12"/>
        <v>315478.26559438865</v>
      </c>
      <c r="T40" s="59">
        <f t="shared" si="12"/>
        <v>124537.25907178214</v>
      </c>
      <c r="U40" s="59">
        <f t="shared" si="12"/>
        <v>35646.47842439622</v>
      </c>
      <c r="V40" s="59">
        <f t="shared" si="12"/>
        <v>33748.034912227471</v>
      </c>
      <c r="W40" s="59">
        <f t="shared" si="12"/>
        <v>28845.67006193507</v>
      </c>
      <c r="X40" s="59">
        <f t="shared" si="12"/>
        <v>9000.0000000000127</v>
      </c>
      <c r="Y40" s="59">
        <f t="shared" si="12"/>
        <v>1.2017139737533544E-11</v>
      </c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</row>
    <row r="41" spans="3:67" x14ac:dyDescent="0.4">
      <c r="C41" s="135" t="s">
        <v>572</v>
      </c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35"/>
      <c r="BD41" s="135"/>
      <c r="BE41" s="135"/>
      <c r="BF41" s="135"/>
      <c r="BG41" s="135"/>
      <c r="BH41" s="135"/>
      <c r="BI41" s="135"/>
      <c r="BJ41" s="135"/>
      <c r="BK41" s="135"/>
      <c r="BL41" s="135"/>
      <c r="BM41" s="135"/>
      <c r="BN41" s="135"/>
      <c r="BO41" s="135"/>
    </row>
    <row r="42" spans="3:67" x14ac:dyDescent="0.4">
      <c r="C42" t="s">
        <v>187</v>
      </c>
      <c r="D42" s="8">
        <f>'BESS Monthly Value (1)'!C55</f>
        <v>27420.063522352946</v>
      </c>
      <c r="E42" s="8">
        <f>'BESS Monthly Value (1)'!D55</f>
        <v>42654.062318823526</v>
      </c>
      <c r="F42" s="8">
        <f>'BESS Monthly Value (1)'!E55</f>
        <v>42322.678206433717</v>
      </c>
      <c r="G42" s="8">
        <f>'BESS Monthly Value (1)'!F55</f>
        <v>42276.325800886349</v>
      </c>
      <c r="H42" s="8">
        <f>'BESS Monthly Value (1)'!G55</f>
        <v>43215.944426222806</v>
      </c>
      <c r="I42" s="8">
        <f>'BESS Monthly Value (1)'!H55</f>
        <v>44214.249559263146</v>
      </c>
      <c r="J42" s="8">
        <f>'BESS Monthly Value (1)'!I55</f>
        <v>45319.624962730173</v>
      </c>
      <c r="K42" s="8">
        <f>'BESS Monthly Value (1)'!J55</f>
        <v>46114.161146891049</v>
      </c>
      <c r="L42" s="8">
        <f>'BESS Monthly Value (1)'!K55</f>
        <v>46629.32381179255</v>
      </c>
      <c r="M42" s="8">
        <f>'BESS Monthly Value (1)'!L55</f>
        <v>47406.744285820321</v>
      </c>
      <c r="N42" s="8">
        <f>'BESS Monthly Value (1)'!M55</f>
        <v>47732.257075874382</v>
      </c>
      <c r="O42" s="8">
        <f>'BESS Monthly Value (1)'!N55</f>
        <v>47745.498805038631</v>
      </c>
      <c r="P42" s="8">
        <f>'BESS Monthly Value (1)'!O55</f>
        <v>48063.954318956137</v>
      </c>
      <c r="Q42" s="8">
        <f>'BESS Monthly Value (1)'!P55</f>
        <v>47553.022417157968</v>
      </c>
      <c r="R42" s="8">
        <f>'BESS Monthly Value (1)'!Q55</f>
        <v>46831.111853213035</v>
      </c>
      <c r="S42" s="8">
        <f>'BESS Monthly Value (1)'!R55</f>
        <v>45566.760269129387</v>
      </c>
      <c r="T42" s="8">
        <f>'BESS Monthly Value (1)'!S55</f>
        <v>41471.179504956955</v>
      </c>
      <c r="U42" s="8">
        <f>'BESS Monthly Value (1)'!T55</f>
        <v>33510.761258814193</v>
      </c>
      <c r="V42" s="8">
        <f>'BESS Monthly Value (1)'!U55</f>
        <v>21804.270140428653</v>
      </c>
      <c r="W42" s="8">
        <f>'BESS Monthly Value (1)'!V55</f>
        <v>7063.9436165350153</v>
      </c>
      <c r="X42" s="8">
        <f>'BESS Monthly Value (1)'!W55</f>
        <v>591.72389479665537</v>
      </c>
      <c r="Y42" s="8">
        <f>'BESS Monthly Value (1)'!X55</f>
        <v>0</v>
      </c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</row>
    <row r="43" spans="3:67" x14ac:dyDescent="0.4">
      <c r="C43" t="s">
        <v>188</v>
      </c>
      <c r="D43" s="8">
        <f>'BESS Monthly Value (1)'!C56</f>
        <v>1285.1999999999998</v>
      </c>
      <c r="E43" s="8">
        <f>'BESS Monthly Value (1)'!D56</f>
        <v>1966.3560000000007</v>
      </c>
      <c r="F43" s="8">
        <f>'BESS Monthly Value (1)'!E56</f>
        <v>1992.9486240000003</v>
      </c>
      <c r="G43" s="8">
        <f>'BESS Monthly Value (1)'!F56</f>
        <v>2026.3130035199997</v>
      </c>
      <c r="H43" s="8">
        <f>'BESS Monthly Value (1)'!G56</f>
        <v>2066.8392635904002</v>
      </c>
      <c r="I43" s="8">
        <f>'BESS Monthly Value (1)'!H56</f>
        <v>2108.1760488622085</v>
      </c>
      <c r="J43" s="8">
        <f>'BESS Monthly Value (1)'!I56</f>
        <v>2136.5553418276609</v>
      </c>
      <c r="K43" s="8">
        <f>'BESS Monthly Value (1)'!J56</f>
        <v>2172.2564923782011</v>
      </c>
      <c r="L43" s="8">
        <f>'BESS Monthly Value (1)'!K56</f>
        <v>2201.3605114022971</v>
      </c>
      <c r="M43" s="8">
        <f>'BESS Monthly Value (1)'!L56</f>
        <v>2238.0737551103748</v>
      </c>
      <c r="N43" s="8">
        <f>'BESS Monthly Value (1)'!M56</f>
        <v>2252.9942468111094</v>
      </c>
      <c r="O43" s="8">
        <f>'BESS Monthly Value (1)'!N56</f>
        <v>2252.3974271430807</v>
      </c>
      <c r="P43" s="8">
        <f>'BESS Monthly Value (1)'!O56</f>
        <v>2266.3988165550509</v>
      </c>
      <c r="Q43" s="8">
        <f>'BESS Monthly Value (1)'!P56</f>
        <v>2240.4749396807565</v>
      </c>
      <c r="R43" s="8">
        <f>'BESS Monthly Value (1)'!Q56</f>
        <v>2204.5323381749236</v>
      </c>
      <c r="S43" s="8">
        <f>'BESS Monthly Value (1)'!R56</f>
        <v>2141.5456999413545</v>
      </c>
      <c r="T43" s="8">
        <f>'BESS Monthly Value (1)'!S56</f>
        <v>1940.7346070007002</v>
      </c>
      <c r="U43" s="8">
        <f>'BESS Monthly Value (1)'!T56</f>
        <v>1551.0754248678322</v>
      </c>
      <c r="V43" s="8">
        <f>'BESS Monthly Value (1)'!U56</f>
        <v>978.97710793868032</v>
      </c>
      <c r="W43" s="8">
        <f>'BESS Monthly Value (1)'!V56</f>
        <v>258.5548469002336</v>
      </c>
      <c r="X43" s="8">
        <f>'BESS Monthly Value (1)'!W56</f>
        <v>0</v>
      </c>
      <c r="Y43" s="8">
        <f>'BESS Monthly Value (1)'!X56</f>
        <v>0</v>
      </c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</row>
    <row r="44" spans="3:67" x14ac:dyDescent="0.4">
      <c r="C44" t="s">
        <v>177</v>
      </c>
      <c r="D44" s="8">
        <f>'BESS Monthly Value (1)'!C57</f>
        <v>13489.792747200003</v>
      </c>
      <c r="E44" s="8">
        <f>'BESS Monthly Value (1)'!D57</f>
        <v>20639.38290321601</v>
      </c>
      <c r="F44" s="8">
        <f>'BESS Monthly Value (1)'!E57</f>
        <v>20778.0906751851</v>
      </c>
      <c r="G44" s="8">
        <f>'BESS Monthly Value (1)'!F57</f>
        <v>21053.871746780223</v>
      </c>
      <c r="H44" s="8">
        <f>'BESS Monthly Value (1)'!G57</f>
        <v>21474.949181715827</v>
      </c>
      <c r="I44" s="8">
        <f>'BESS Monthly Value (1)'!H57</f>
        <v>21904.44816535015</v>
      </c>
      <c r="J44" s="8">
        <f>'BESS Monthly Value (1)'!I57</f>
        <v>22048.787131086508</v>
      </c>
      <c r="K44" s="8">
        <f>'BESS Monthly Value (1)'!J57</f>
        <v>22339.950374947206</v>
      </c>
      <c r="L44" s="8">
        <f>'BESS Monthly Value (1)'!K57</f>
        <v>22484.172855097746</v>
      </c>
      <c r="M44" s="8">
        <f>'BESS Monthly Value (1)'!L57</f>
        <v>22779.542283252013</v>
      </c>
      <c r="N44" s="8">
        <f>'BESS Monthly Value (1)'!M57</f>
        <v>22773.214632617775</v>
      </c>
      <c r="O44" s="8">
        <f>'BESS Monthly Value (1)'!N57</f>
        <v>22686.525818928731</v>
      </c>
      <c r="P44" s="8">
        <f>'BESS Monthly Value (1)'!O57</f>
        <v>22827.550168613976</v>
      </c>
      <c r="Q44" s="8">
        <f>'BESS Monthly Value (1)'!P57</f>
        <v>22410.317851148553</v>
      </c>
      <c r="R44" s="8">
        <f>'BESS Monthly Value (1)'!Q57</f>
        <v>21816.581664954749</v>
      </c>
      <c r="S44" s="8">
        <f>'BESS Monthly Value (1)'!R57</f>
        <v>21115.903129729923</v>
      </c>
      <c r="T44" s="8">
        <f>'BESS Monthly Value (1)'!S57</f>
        <v>19005.832323433759</v>
      </c>
      <c r="U44" s="8">
        <f>'BESS Monthly Value (1)'!T57</f>
        <v>15129.344436744403</v>
      </c>
      <c r="V44" s="8">
        <f>'BESS Monthly Value (1)'!U57</f>
        <v>9495.2899568136436</v>
      </c>
      <c r="W44" s="8">
        <f>'BESS Monthly Value (1)'!V57</f>
        <v>2494.5570564075565</v>
      </c>
      <c r="X44" s="8">
        <f>'BESS Monthly Value (1)'!W57</f>
        <v>0</v>
      </c>
      <c r="Y44" s="8">
        <f>'BESS Monthly Value (1)'!X57</f>
        <v>0</v>
      </c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</row>
    <row r="45" spans="3:67" x14ac:dyDescent="0.4">
      <c r="C45" t="s">
        <v>189</v>
      </c>
      <c r="D45" s="8">
        <f>'BESS Monthly Value (1)'!C58</f>
        <v>38211.941250000003</v>
      </c>
      <c r="E45" s="8">
        <f>'BESS Monthly Value (1)'!D58</f>
        <v>48720.225093749999</v>
      </c>
      <c r="F45" s="8">
        <f>'BESS Monthly Value (1)'!E58</f>
        <v>41149.256781562501</v>
      </c>
      <c r="G45" s="8">
        <f>'BESS Monthly Value (1)'!F58</f>
        <v>34865.121081374986</v>
      </c>
      <c r="H45" s="8">
        <f>'BESS Monthly Value (1)'!G58</f>
        <v>29635.352919168734</v>
      </c>
      <c r="I45" s="8">
        <f>'BESS Monthly Value (1)'!H58</f>
        <v>25190.049981293429</v>
      </c>
      <c r="J45" s="8">
        <f>'BESS Monthly Value (1)'!I58</f>
        <v>7137.1808280331397</v>
      </c>
      <c r="K45" s="8">
        <f>'BESS Monthly Value (1)'!J58</f>
        <v>0</v>
      </c>
      <c r="L45" s="8">
        <f>'BESS Monthly Value (1)'!K58</f>
        <v>0</v>
      </c>
      <c r="M45" s="8">
        <f>'BESS Monthly Value (1)'!L58</f>
        <v>0</v>
      </c>
      <c r="N45" s="8">
        <f>'BESS Monthly Value (1)'!M58</f>
        <v>0</v>
      </c>
      <c r="O45" s="8">
        <f>'BESS Monthly Value (1)'!N58</f>
        <v>0</v>
      </c>
      <c r="P45" s="8">
        <f>'BESS Monthly Value (1)'!O58</f>
        <v>0</v>
      </c>
      <c r="Q45" s="8">
        <f>'BESS Monthly Value (1)'!P58</f>
        <v>0</v>
      </c>
      <c r="R45" s="8">
        <f>'BESS Monthly Value (1)'!Q58</f>
        <v>0</v>
      </c>
      <c r="S45" s="8">
        <f>'BESS Monthly Value (1)'!R58</f>
        <v>0</v>
      </c>
      <c r="T45" s="8">
        <f>'BESS Monthly Value (1)'!S58</f>
        <v>0</v>
      </c>
      <c r="U45" s="8">
        <f>'BESS Monthly Value (1)'!T58</f>
        <v>0</v>
      </c>
      <c r="V45" s="8">
        <f>'BESS Monthly Value (1)'!U58</f>
        <v>0</v>
      </c>
      <c r="W45" s="8">
        <f>'BESS Monthly Value (1)'!V58</f>
        <v>0</v>
      </c>
      <c r="X45" s="8">
        <f>'BESS Monthly Value (1)'!W58</f>
        <v>0</v>
      </c>
      <c r="Y45" s="8">
        <f>'BESS Monthly Value (1)'!X58</f>
        <v>0</v>
      </c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</row>
    <row r="46" spans="3:67" x14ac:dyDescent="0.4">
      <c r="C46" t="s">
        <v>190</v>
      </c>
      <c r="D46" s="8">
        <f>'BESS Monthly Value (1)'!C59</f>
        <v>0</v>
      </c>
      <c r="E46" s="8">
        <f>'BESS Monthly Value (1)'!D59</f>
        <v>0</v>
      </c>
      <c r="F46" s="8">
        <f>'BESS Monthly Value (1)'!E59</f>
        <v>0</v>
      </c>
      <c r="G46" s="8">
        <f>'BESS Monthly Value (1)'!F59</f>
        <v>0</v>
      </c>
      <c r="H46" s="8">
        <f>'BESS Monthly Value (1)'!G59</f>
        <v>0</v>
      </c>
      <c r="I46" s="8">
        <f>'BESS Monthly Value (1)'!H59</f>
        <v>0</v>
      </c>
      <c r="J46" s="8">
        <f>'BESS Monthly Value (1)'!I59</f>
        <v>149349.99999999997</v>
      </c>
      <c r="K46" s="8">
        <f>'BESS Monthly Value (1)'!J59</f>
        <v>224024.99999999994</v>
      </c>
      <c r="L46" s="8">
        <f>'BESS Monthly Value (1)'!K59</f>
        <v>74674.999999999985</v>
      </c>
      <c r="M46" s="8">
        <f>'BESS Monthly Value (1)'!L59</f>
        <v>0</v>
      </c>
      <c r="N46" s="8">
        <f>'BESS Monthly Value (1)'!M59</f>
        <v>0</v>
      </c>
      <c r="O46" s="8">
        <f>'BESS Monthly Value (1)'!N59</f>
        <v>0</v>
      </c>
      <c r="P46" s="8">
        <f>'BESS Monthly Value (1)'!O59</f>
        <v>0</v>
      </c>
      <c r="Q46" s="8">
        <f>'BESS Monthly Value (1)'!P59</f>
        <v>0</v>
      </c>
      <c r="R46" s="8">
        <f>'BESS Monthly Value (1)'!Q59</f>
        <v>0</v>
      </c>
      <c r="S46" s="8">
        <f>'BESS Monthly Value (1)'!R59</f>
        <v>0</v>
      </c>
      <c r="T46" s="8">
        <f>'BESS Monthly Value (1)'!S59</f>
        <v>0</v>
      </c>
      <c r="U46" s="8">
        <f>'BESS Monthly Value (1)'!T59</f>
        <v>0</v>
      </c>
      <c r="V46" s="8">
        <f>'BESS Monthly Value (1)'!U59</f>
        <v>0</v>
      </c>
      <c r="W46" s="8">
        <f>'BESS Monthly Value (1)'!V59</f>
        <v>0</v>
      </c>
      <c r="X46" s="8">
        <f>'BESS Monthly Value (1)'!W59</f>
        <v>0</v>
      </c>
      <c r="Y46" s="8">
        <f>'BESS Monthly Value (1)'!X59</f>
        <v>0</v>
      </c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</row>
    <row r="47" spans="3:67" x14ac:dyDescent="0.4">
      <c r="C47" t="s">
        <v>191</v>
      </c>
      <c r="D47" s="8">
        <f>'BESS Monthly Value (1)'!C60</f>
        <v>0</v>
      </c>
      <c r="E47" s="8">
        <f>'BESS Monthly Value (1)'!D60</f>
        <v>0</v>
      </c>
      <c r="F47" s="8">
        <f>'BESS Monthly Value (1)'!E60</f>
        <v>0</v>
      </c>
      <c r="G47" s="8">
        <f>'BESS Monthly Value (1)'!F60</f>
        <v>0</v>
      </c>
      <c r="H47" s="8">
        <f>'BESS Monthly Value (1)'!G60</f>
        <v>0</v>
      </c>
      <c r="I47" s="8">
        <f>'BESS Monthly Value (1)'!H60</f>
        <v>0</v>
      </c>
      <c r="J47" s="8">
        <f>'BESS Monthly Value (1)'!I60</f>
        <v>0</v>
      </c>
      <c r="K47" s="8">
        <f>'BESS Monthly Value (1)'!J60</f>
        <v>0</v>
      </c>
      <c r="L47" s="8">
        <f>'BESS Monthly Value (1)'!K60</f>
        <v>0</v>
      </c>
      <c r="M47" s="8">
        <f>'BESS Monthly Value (1)'!L60</f>
        <v>0</v>
      </c>
      <c r="N47" s="8">
        <f>'BESS Monthly Value (1)'!M60</f>
        <v>0</v>
      </c>
      <c r="O47" s="8">
        <f>'BESS Monthly Value (1)'!N60</f>
        <v>0</v>
      </c>
      <c r="P47" s="8">
        <f>'BESS Monthly Value (1)'!O60</f>
        <v>0</v>
      </c>
      <c r="Q47" s="8">
        <f>'BESS Monthly Value (1)'!P60</f>
        <v>0</v>
      </c>
      <c r="R47" s="8">
        <f>'BESS Monthly Value (1)'!Q60</f>
        <v>0</v>
      </c>
      <c r="S47" s="8">
        <f>'BESS Monthly Value (1)'!R60</f>
        <v>0</v>
      </c>
      <c r="T47" s="8">
        <f>'BESS Monthly Value (1)'!S60</f>
        <v>0</v>
      </c>
      <c r="U47" s="8">
        <f>'BESS Monthly Value (1)'!T60</f>
        <v>0</v>
      </c>
      <c r="V47" s="8">
        <f>'BESS Monthly Value (1)'!U60</f>
        <v>0</v>
      </c>
      <c r="W47" s="8">
        <f>'BESS Monthly Value (1)'!V60</f>
        <v>0</v>
      </c>
      <c r="X47" s="8">
        <f>'BESS Monthly Value (1)'!W60</f>
        <v>0</v>
      </c>
      <c r="Y47" s="8">
        <f>'BESS Monthly Value (1)'!X60</f>
        <v>0</v>
      </c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</row>
    <row r="48" spans="3:67" x14ac:dyDescent="0.4">
      <c r="C48" t="s">
        <v>192</v>
      </c>
      <c r="D48" s="8">
        <f>'BESS Monthly Value (1)'!C61</f>
        <v>64434.000000000015</v>
      </c>
      <c r="E48" s="8">
        <f>'BESS Monthly Value (1)'!D61</f>
        <v>100240.00000000001</v>
      </c>
      <c r="F48" s="8">
        <f>'BESS Monthly Value (1)'!E61</f>
        <v>155333.99999999997</v>
      </c>
      <c r="G48" s="8">
        <f>'BESS Monthly Value (1)'!F61</f>
        <v>184673.99999999997</v>
      </c>
      <c r="H48" s="8">
        <f>'BESS Monthly Value (1)'!G61</f>
        <v>188879.99999999997</v>
      </c>
      <c r="I48" s="8">
        <f>'BESS Monthly Value (1)'!H61</f>
        <v>186609</v>
      </c>
      <c r="J48" s="8">
        <f>'BESS Monthly Value (1)'!I61</f>
        <v>189108.99999999997</v>
      </c>
      <c r="K48" s="8">
        <f>'BESS Monthly Value (1)'!J61</f>
        <v>188551.99999999997</v>
      </c>
      <c r="L48" s="8">
        <f>'BESS Monthly Value (1)'!K61</f>
        <v>185972.99999999997</v>
      </c>
      <c r="M48" s="8">
        <f>'BESS Monthly Value (1)'!L61</f>
        <v>189719.00000000003</v>
      </c>
      <c r="N48" s="8">
        <f>'BESS Monthly Value (1)'!M61</f>
        <v>230694.00000000003</v>
      </c>
      <c r="O48" s="8">
        <f>'BESS Monthly Value (1)'!N61</f>
        <v>256089.99999999997</v>
      </c>
      <c r="P48" s="8">
        <f>'BESS Monthly Value (1)'!O61</f>
        <v>253922</v>
      </c>
      <c r="Q48" s="8">
        <f>'BESS Monthly Value (1)'!P61</f>
        <v>248434</v>
      </c>
      <c r="R48" s="8">
        <f>'BESS Monthly Value (1)'!Q61</f>
        <v>236317</v>
      </c>
      <c r="S48" s="8">
        <f>'BESS Monthly Value (1)'!R61</f>
        <v>219752.99999999997</v>
      </c>
      <c r="T48" s="8">
        <f>'BESS Monthly Value (1)'!S61</f>
        <v>195378.99999999994</v>
      </c>
      <c r="U48" s="8">
        <f>'BESS Monthly Value (1)'!T61</f>
        <v>157426</v>
      </c>
      <c r="V48" s="8">
        <f>'BESS Monthly Value (1)'!U61</f>
        <v>106461</v>
      </c>
      <c r="W48" s="8">
        <f>'BESS Monthly Value (1)'!V61</f>
        <v>46472</v>
      </c>
      <c r="X48" s="8">
        <f>'BESS Monthly Value (1)'!W61</f>
        <v>8505.0000000000018</v>
      </c>
      <c r="Y48" s="8">
        <f>'BESS Monthly Value (1)'!X61</f>
        <v>0</v>
      </c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</row>
    <row r="49" spans="3:67" x14ac:dyDescent="0.4">
      <c r="C49" t="s">
        <v>178</v>
      </c>
      <c r="D49" s="8">
        <f>'BESS Monthly Value (1)'!C62</f>
        <v>248622.00000000003</v>
      </c>
      <c r="E49" s="8">
        <f>'BESS Monthly Value (1)'!D62</f>
        <v>391174</v>
      </c>
      <c r="F49" s="8">
        <f>'BESS Monthly Value (1)'!E62</f>
        <v>396312.00000000006</v>
      </c>
      <c r="G49" s="8">
        <f>'BESS Monthly Value (1)'!F62</f>
        <v>388903</v>
      </c>
      <c r="H49" s="8">
        <f>'BESS Monthly Value (1)'!G62</f>
        <v>375482.99999999988</v>
      </c>
      <c r="I49" s="8">
        <f>'BESS Monthly Value (1)'!H62</f>
        <v>359319</v>
      </c>
      <c r="J49" s="8">
        <f>'BESS Monthly Value (1)'!I62</f>
        <v>341926</v>
      </c>
      <c r="K49" s="8">
        <f>'BESS Monthly Value (1)'!J62</f>
        <v>326224</v>
      </c>
      <c r="L49" s="8">
        <f>'BESS Monthly Value (1)'!K62</f>
        <v>310248</v>
      </c>
      <c r="M49" s="8">
        <f>'BESS Monthly Value (1)'!L62</f>
        <v>295941.00000000006</v>
      </c>
      <c r="N49" s="8">
        <f>'BESS Monthly Value (1)'!M62</f>
        <v>279853</v>
      </c>
      <c r="O49" s="8">
        <f>'BESS Monthly Value (1)'!N62</f>
        <v>262650.00000000006</v>
      </c>
      <c r="P49" s="8">
        <f>'BESS Monthly Value (1)'!O62</f>
        <v>247851.99999999997</v>
      </c>
      <c r="Q49" s="8">
        <f>'BESS Monthly Value (1)'!P62</f>
        <v>230290.99999999997</v>
      </c>
      <c r="R49" s="8">
        <f>'BESS Monthly Value (1)'!Q62</f>
        <v>212797.99999999997</v>
      </c>
      <c r="S49" s="8">
        <f>'BESS Monthly Value (1)'!R62</f>
        <v>194120.99999999994</v>
      </c>
      <c r="T49" s="8">
        <f>'BESS Monthly Value (1)'!S62</f>
        <v>166194</v>
      </c>
      <c r="U49" s="8">
        <f>'BESS Monthly Value (1)'!T62</f>
        <v>126168.00000000003</v>
      </c>
      <c r="V49" s="8">
        <f>'BESS Monthly Value (1)'!U62</f>
        <v>76794.000000000015</v>
      </c>
      <c r="W49" s="8">
        <f>'BESS Monthly Value (1)'!V62</f>
        <v>22425.999999999996</v>
      </c>
      <c r="X49" s="8">
        <f>'BESS Monthly Value (1)'!W62</f>
        <v>1442</v>
      </c>
      <c r="Y49" s="8">
        <f>'BESS Monthly Value (1)'!X62</f>
        <v>0</v>
      </c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</row>
    <row r="50" spans="3:67" x14ac:dyDescent="0.4">
      <c r="C50" s="61" t="s">
        <v>193</v>
      </c>
      <c r="D50" s="59">
        <f>SUM(D42:D49)</f>
        <v>393462.997519553</v>
      </c>
      <c r="E50" s="59">
        <f t="shared" ref="E50:Y50" si="13">SUM(E42:E49)</f>
        <v>605394.02631578955</v>
      </c>
      <c r="F50" s="59">
        <f t="shared" si="13"/>
        <v>657888.97428718139</v>
      </c>
      <c r="G50" s="59">
        <f t="shared" si="13"/>
        <v>673798.63163256156</v>
      </c>
      <c r="H50" s="59">
        <f t="shared" si="13"/>
        <v>660756.0857906976</v>
      </c>
      <c r="I50" s="59">
        <f t="shared" si="13"/>
        <v>639344.92375476891</v>
      </c>
      <c r="J50" s="59">
        <f t="shared" si="13"/>
        <v>757027.14826367749</v>
      </c>
      <c r="K50" s="59">
        <f t="shared" si="13"/>
        <v>809427.36801421642</v>
      </c>
      <c r="L50" s="59">
        <f t="shared" si="13"/>
        <v>642210.85717829259</v>
      </c>
      <c r="M50" s="59">
        <f t="shared" si="13"/>
        <v>558084.36032418278</v>
      </c>
      <c r="N50" s="59">
        <f t="shared" si="13"/>
        <v>583305.46595530328</v>
      </c>
      <c r="O50" s="59">
        <f t="shared" si="13"/>
        <v>591424.42205111054</v>
      </c>
      <c r="P50" s="59">
        <f t="shared" si="13"/>
        <v>574931.90330412518</v>
      </c>
      <c r="Q50" s="59">
        <f t="shared" si="13"/>
        <v>550928.81520798721</v>
      </c>
      <c r="R50" s="59">
        <f t="shared" si="13"/>
        <v>519967.2258563427</v>
      </c>
      <c r="S50" s="59">
        <f t="shared" si="13"/>
        <v>482698.20909880061</v>
      </c>
      <c r="T50" s="59">
        <f t="shared" si="13"/>
        <v>423990.74643539137</v>
      </c>
      <c r="U50" s="59">
        <f t="shared" si="13"/>
        <v>333785.18112042645</v>
      </c>
      <c r="V50" s="59">
        <f t="shared" si="13"/>
        <v>215533.53720518097</v>
      </c>
      <c r="W50" s="59">
        <f t="shared" si="13"/>
        <v>78715.055519842805</v>
      </c>
      <c r="X50" s="59">
        <f t="shared" si="13"/>
        <v>10538.723894796658</v>
      </c>
      <c r="Y50" s="59">
        <f t="shared" si="13"/>
        <v>0</v>
      </c>
      <c r="Z50" s="59"/>
      <c r="AA50" s="59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</row>
    <row r="51" spans="3:67" x14ac:dyDescent="0.4">
      <c r="C51" s="62" t="s">
        <v>194</v>
      </c>
      <c r="D51" s="63">
        <f>'BESS Full Program'!C35</f>
        <v>96999.999999999985</v>
      </c>
      <c r="E51" s="63">
        <f>'BESS Full Program'!D35</f>
        <v>48499.999999999993</v>
      </c>
      <c r="F51" s="63">
        <f>'BESS Full Program'!E35</f>
        <v>0</v>
      </c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59"/>
      <c r="AA51" s="59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</row>
    <row r="52" spans="3:67" x14ac:dyDescent="0.4">
      <c r="C52" s="61" t="s">
        <v>195</v>
      </c>
      <c r="D52" s="59">
        <f t="shared" ref="D52:Y52" si="14">SUM(D51,D50)</f>
        <v>490462.997519553</v>
      </c>
      <c r="E52" s="59">
        <f t="shared" si="14"/>
        <v>653894.02631578955</v>
      </c>
      <c r="F52" s="59">
        <f t="shared" si="14"/>
        <v>657888.97428718139</v>
      </c>
      <c r="G52" s="59">
        <f t="shared" si="14"/>
        <v>673798.63163256156</v>
      </c>
      <c r="H52" s="59">
        <f t="shared" si="14"/>
        <v>660756.0857906976</v>
      </c>
      <c r="I52" s="59">
        <f t="shared" si="14"/>
        <v>639344.92375476891</v>
      </c>
      <c r="J52" s="59">
        <f t="shared" si="14"/>
        <v>757027.14826367749</v>
      </c>
      <c r="K52" s="59">
        <f t="shared" si="14"/>
        <v>809427.36801421642</v>
      </c>
      <c r="L52" s="59">
        <f t="shared" si="14"/>
        <v>642210.85717829259</v>
      </c>
      <c r="M52" s="59">
        <f t="shared" si="14"/>
        <v>558084.36032418278</v>
      </c>
      <c r="N52" s="59">
        <f t="shared" si="14"/>
        <v>583305.46595530328</v>
      </c>
      <c r="O52" s="59">
        <f t="shared" si="14"/>
        <v>591424.42205111054</v>
      </c>
      <c r="P52" s="59">
        <f t="shared" si="14"/>
        <v>574931.90330412518</v>
      </c>
      <c r="Q52" s="59">
        <f t="shared" si="14"/>
        <v>550928.81520798721</v>
      </c>
      <c r="R52" s="59">
        <f t="shared" si="14"/>
        <v>519967.2258563427</v>
      </c>
      <c r="S52" s="59">
        <f t="shared" si="14"/>
        <v>482698.20909880061</v>
      </c>
      <c r="T52" s="59">
        <f t="shared" si="14"/>
        <v>423990.74643539137</v>
      </c>
      <c r="U52" s="59">
        <f t="shared" si="14"/>
        <v>333785.18112042645</v>
      </c>
      <c r="V52" s="59">
        <f t="shared" si="14"/>
        <v>215533.53720518097</v>
      </c>
      <c r="W52" s="59">
        <f t="shared" si="14"/>
        <v>78715.055519842805</v>
      </c>
      <c r="X52" s="59">
        <f t="shared" si="14"/>
        <v>10538.723894796658</v>
      </c>
      <c r="Y52" s="59">
        <f t="shared" si="14"/>
        <v>0</v>
      </c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</row>
    <row r="53" spans="3:67" x14ac:dyDescent="0.4">
      <c r="C53" s="135" t="s">
        <v>422</v>
      </c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  <c r="AN53" s="135"/>
      <c r="AO53" s="135"/>
      <c r="AP53" s="135"/>
      <c r="AQ53" s="135"/>
      <c r="AR53" s="135"/>
      <c r="AS53" s="135"/>
      <c r="AT53" s="135"/>
      <c r="AU53" s="135"/>
      <c r="AV53" s="135"/>
      <c r="AW53" s="135"/>
      <c r="AX53" s="135"/>
      <c r="AY53" s="135"/>
      <c r="AZ53" s="135"/>
      <c r="BA53" s="135"/>
      <c r="BB53" s="135"/>
      <c r="BC53" s="135"/>
      <c r="BD53" s="135"/>
      <c r="BE53" s="135"/>
      <c r="BF53" s="135"/>
      <c r="BG53" s="135"/>
      <c r="BH53" s="135"/>
      <c r="BI53" s="135"/>
      <c r="BJ53" s="135"/>
      <c r="BK53" s="135"/>
      <c r="BL53" s="135"/>
      <c r="BM53" s="135"/>
      <c r="BN53" s="135"/>
      <c r="BO53" s="135"/>
    </row>
    <row r="54" spans="3:67" x14ac:dyDescent="0.4">
      <c r="C54" t="s">
        <v>573</v>
      </c>
      <c r="D54" s="8">
        <f>200*'Pre_Post mitigation outages'!$I$47*ICE_VALUE_RES_WTD</f>
        <v>5382.3859027008957</v>
      </c>
      <c r="E54" s="8">
        <f>300*'Pre_Post mitigation outages'!$I$47*ICE_VALUE_RES_WTD</f>
        <v>8073.5788540513431</v>
      </c>
      <c r="F54" s="8">
        <f>E54*(1+Assumptions!$B$5)</f>
        <v>8235.0504311323693</v>
      </c>
      <c r="G54" s="8">
        <f>F54*(1+Assumptions!$B$5)</f>
        <v>8399.7514397550167</v>
      </c>
      <c r="H54" s="8">
        <f>G54*(1+Assumptions!$B$5)</f>
        <v>8567.7464685501163</v>
      </c>
      <c r="I54" s="8">
        <f>H54*(1+Assumptions!$B$5)</f>
        <v>8739.1013979211184</v>
      </c>
      <c r="J54" s="8">
        <f>I54*(1+Assumptions!$B$5)</f>
        <v>8913.8834258795414</v>
      </c>
      <c r="K54" s="8">
        <f>J54*(1+Assumptions!$B$5)</f>
        <v>9092.1610943971318</v>
      </c>
      <c r="L54" s="8">
        <f>K54*(1+Assumptions!$B$5)</f>
        <v>9274.0043162850743</v>
      </c>
      <c r="M54" s="8">
        <f>L54*(1+Assumptions!$B$5)</f>
        <v>9459.4844026107767</v>
      </c>
      <c r="N54" s="8">
        <f>M54*(1+Assumptions!$B$5)</f>
        <v>9648.674090662993</v>
      </c>
      <c r="O54" s="8">
        <f>N54*(1+Assumptions!$B$5)</f>
        <v>9841.6475724762531</v>
      </c>
      <c r="P54" s="8">
        <f>O54*(1+Assumptions!$B$5)</f>
        <v>10038.480523925778</v>
      </c>
      <c r="Q54" s="8">
        <f>P54*(1+Assumptions!$B$5)</f>
        <v>10239.250134404294</v>
      </c>
      <c r="R54" s="8">
        <f>Q54*(1+Assumptions!$B$5)</f>
        <v>10444.03513709238</v>
      </c>
      <c r="S54" s="8">
        <f>R54*(1+Assumptions!$B$5)</f>
        <v>10652.915839834228</v>
      </c>
      <c r="T54" s="8">
        <f>S54*(1+Assumptions!$B$5)</f>
        <v>10865.974156630913</v>
      </c>
      <c r="U54" s="8">
        <f>T54*(1+Assumptions!$B$5)</f>
        <v>11083.293639763531</v>
      </c>
      <c r="V54" s="8">
        <f>U54*(1+Assumptions!$B$5)</f>
        <v>11304.959512558802</v>
      </c>
      <c r="W54" s="8">
        <f>V54*(1+Assumptions!$B$5)</f>
        <v>11531.058702809978</v>
      </c>
      <c r="X54" s="8">
        <f>W54*(1+Assumptions!$B$5)</f>
        <v>11761.679876866177</v>
      </c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</row>
    <row r="55" spans="3:67" x14ac:dyDescent="0.4">
      <c r="C55" s="14" t="s">
        <v>176</v>
      </c>
      <c r="D55" s="15">
        <f t="shared" ref="D55:AI55" si="15">D52+D54</f>
        <v>495845.38342225389</v>
      </c>
      <c r="E55" s="15">
        <f t="shared" si="15"/>
        <v>661967.60516984086</v>
      </c>
      <c r="F55" s="15">
        <f t="shared" si="15"/>
        <v>666124.02471831371</v>
      </c>
      <c r="G55" s="15">
        <f t="shared" si="15"/>
        <v>682198.38307231653</v>
      </c>
      <c r="H55" s="15">
        <f t="shared" si="15"/>
        <v>669323.83225924766</v>
      </c>
      <c r="I55" s="15">
        <f t="shared" si="15"/>
        <v>648084.02515269001</v>
      </c>
      <c r="J55" s="15">
        <f t="shared" si="15"/>
        <v>765941.03168955701</v>
      </c>
      <c r="K55" s="15">
        <f t="shared" si="15"/>
        <v>818519.5291086135</v>
      </c>
      <c r="L55" s="15">
        <f t="shared" si="15"/>
        <v>651484.86149457761</v>
      </c>
      <c r="M55" s="15">
        <f t="shared" si="15"/>
        <v>567543.84472679358</v>
      </c>
      <c r="N55" s="15">
        <f t="shared" si="15"/>
        <v>592954.14004596625</v>
      </c>
      <c r="O55" s="15">
        <f t="shared" si="15"/>
        <v>601266.06962358684</v>
      </c>
      <c r="P55" s="15">
        <f t="shared" si="15"/>
        <v>584970.38382805092</v>
      </c>
      <c r="Q55" s="15">
        <f t="shared" si="15"/>
        <v>561168.06534239149</v>
      </c>
      <c r="R55" s="15">
        <f t="shared" si="15"/>
        <v>530411.26099343505</v>
      </c>
      <c r="S55" s="15">
        <f t="shared" si="15"/>
        <v>493351.12493863486</v>
      </c>
      <c r="T55" s="15">
        <f t="shared" si="15"/>
        <v>434856.72059202229</v>
      </c>
      <c r="U55" s="15">
        <f t="shared" si="15"/>
        <v>344868.47476019</v>
      </c>
      <c r="V55" s="15">
        <f t="shared" si="15"/>
        <v>226838.49671773976</v>
      </c>
      <c r="W55" s="15">
        <f t="shared" si="15"/>
        <v>90246.114222652788</v>
      </c>
      <c r="X55" s="15">
        <f t="shared" si="15"/>
        <v>22300.403771662837</v>
      </c>
      <c r="Y55" s="15">
        <f t="shared" si="15"/>
        <v>0</v>
      </c>
      <c r="Z55" s="15">
        <f t="shared" si="15"/>
        <v>0</v>
      </c>
      <c r="AA55" s="15">
        <f t="shared" si="15"/>
        <v>0</v>
      </c>
      <c r="AB55" s="15">
        <f t="shared" si="15"/>
        <v>0</v>
      </c>
      <c r="AC55" s="15">
        <f t="shared" si="15"/>
        <v>0</v>
      </c>
      <c r="AD55" s="15">
        <f t="shared" si="15"/>
        <v>0</v>
      </c>
      <c r="AE55" s="15">
        <f t="shared" si="15"/>
        <v>0</v>
      </c>
      <c r="AF55" s="15">
        <f t="shared" si="15"/>
        <v>0</v>
      </c>
      <c r="AG55" s="15">
        <f t="shared" si="15"/>
        <v>0</v>
      </c>
      <c r="AH55" s="15">
        <f t="shared" si="15"/>
        <v>0</v>
      </c>
      <c r="AI55" s="15">
        <f t="shared" si="15"/>
        <v>0</v>
      </c>
      <c r="AJ55" s="15">
        <f t="shared" ref="AJ55:BO55" si="16">AJ52+AJ54</f>
        <v>0</v>
      </c>
      <c r="AK55" s="15">
        <f t="shared" si="16"/>
        <v>0</v>
      </c>
      <c r="AL55" s="15">
        <f t="shared" si="16"/>
        <v>0</v>
      </c>
      <c r="AM55" s="15">
        <f t="shared" si="16"/>
        <v>0</v>
      </c>
      <c r="AN55" s="15">
        <f t="shared" si="16"/>
        <v>0</v>
      </c>
      <c r="AO55" s="15">
        <f t="shared" si="16"/>
        <v>0</v>
      </c>
      <c r="AP55" s="15">
        <f t="shared" si="16"/>
        <v>0</v>
      </c>
      <c r="AQ55" s="15">
        <f t="shared" si="16"/>
        <v>0</v>
      </c>
      <c r="AR55" s="15">
        <f t="shared" si="16"/>
        <v>0</v>
      </c>
      <c r="AS55" s="15">
        <f t="shared" si="16"/>
        <v>0</v>
      </c>
      <c r="AT55" s="15">
        <f t="shared" si="16"/>
        <v>0</v>
      </c>
      <c r="AU55" s="15">
        <f t="shared" si="16"/>
        <v>0</v>
      </c>
      <c r="AV55" s="15">
        <f t="shared" si="16"/>
        <v>0</v>
      </c>
      <c r="AW55" s="15">
        <f t="shared" si="16"/>
        <v>0</v>
      </c>
      <c r="AX55" s="15">
        <f t="shared" si="16"/>
        <v>0</v>
      </c>
      <c r="AY55" s="15">
        <f t="shared" si="16"/>
        <v>0</v>
      </c>
      <c r="AZ55" s="15">
        <f t="shared" si="16"/>
        <v>0</v>
      </c>
      <c r="BA55" s="15">
        <f t="shared" si="16"/>
        <v>0</v>
      </c>
      <c r="BB55" s="15">
        <f t="shared" si="16"/>
        <v>0</v>
      </c>
      <c r="BC55" s="15">
        <f t="shared" si="16"/>
        <v>0</v>
      </c>
      <c r="BD55" s="15">
        <f t="shared" si="16"/>
        <v>0</v>
      </c>
      <c r="BE55" s="15">
        <f t="shared" si="16"/>
        <v>0</v>
      </c>
      <c r="BF55" s="15">
        <f t="shared" si="16"/>
        <v>0</v>
      </c>
      <c r="BG55" s="15">
        <f t="shared" si="16"/>
        <v>0</v>
      </c>
      <c r="BH55" s="15">
        <f t="shared" si="16"/>
        <v>0</v>
      </c>
      <c r="BI55" s="15">
        <f t="shared" si="16"/>
        <v>0</v>
      </c>
      <c r="BJ55" s="15">
        <f t="shared" si="16"/>
        <v>0</v>
      </c>
      <c r="BK55" s="15">
        <f t="shared" si="16"/>
        <v>0</v>
      </c>
      <c r="BL55" s="15">
        <f t="shared" si="16"/>
        <v>0</v>
      </c>
      <c r="BM55" s="15">
        <f t="shared" si="16"/>
        <v>0</v>
      </c>
      <c r="BN55" s="15">
        <f t="shared" si="16"/>
        <v>0</v>
      </c>
      <c r="BO55" s="15">
        <f t="shared" si="16"/>
        <v>0</v>
      </c>
    </row>
    <row r="57" spans="3:67" x14ac:dyDescent="0.4">
      <c r="D57" t="s">
        <v>582</v>
      </c>
    </row>
    <row r="58" spans="3:67" x14ac:dyDescent="0.4">
      <c r="C58" s="57"/>
      <c r="D58" t="s">
        <v>585</v>
      </c>
      <c r="E58" t="s">
        <v>583</v>
      </c>
      <c r="F58" t="s">
        <v>584</v>
      </c>
    </row>
    <row r="59" spans="3:67" x14ac:dyDescent="0.4">
      <c r="C59" s="57"/>
      <c r="D59" s="56">
        <f t="shared" ref="D59:D64" si="17">AVG_POST_TAX_RATE</f>
        <v>6.4600000000000005E-2</v>
      </c>
      <c r="E59" t="s">
        <v>181</v>
      </c>
      <c r="F59" s="24">
        <f>NPV(D59,Benefits_Mitigation!D35:Y35)</f>
        <v>5614596.5995169161</v>
      </c>
      <c r="I59" s="1"/>
      <c r="J59" s="1"/>
    </row>
    <row r="60" spans="3:67" x14ac:dyDescent="0.4">
      <c r="C60" s="1"/>
      <c r="D60" s="56">
        <f t="shared" si="17"/>
        <v>6.4600000000000005E-2</v>
      </c>
      <c r="E60" t="s">
        <v>182</v>
      </c>
      <c r="F60" s="24">
        <f>NPV(D60,Benefits_Mitigation!D36:Y36)</f>
        <v>28341.43068557711</v>
      </c>
      <c r="I60" s="1"/>
      <c r="J60" s="1"/>
    </row>
    <row r="61" spans="3:67" x14ac:dyDescent="0.4">
      <c r="C61" s="60"/>
      <c r="D61" s="56">
        <f t="shared" si="17"/>
        <v>6.4600000000000005E-2</v>
      </c>
      <c r="E61" t="s">
        <v>136</v>
      </c>
      <c r="F61" s="24">
        <f>NPV(D61,Benefits_Mitigation!D37:Y37)</f>
        <v>10355.195189159142</v>
      </c>
    </row>
    <row r="62" spans="3:67" x14ac:dyDescent="0.4">
      <c r="C62" s="1"/>
      <c r="D62" s="56">
        <f t="shared" si="17"/>
        <v>6.4600000000000005E-2</v>
      </c>
      <c r="E62" t="s">
        <v>183</v>
      </c>
      <c r="F62" s="24">
        <f>NPV(D62,Benefits_Mitigation!D38:Y38)</f>
        <v>67326.943412187597</v>
      </c>
    </row>
    <row r="63" spans="3:67" x14ac:dyDescent="0.4">
      <c r="C63" s="1"/>
      <c r="D63" s="56">
        <f t="shared" si="17"/>
        <v>6.4600000000000005E-2</v>
      </c>
      <c r="E63" t="s">
        <v>184</v>
      </c>
      <c r="F63" s="24">
        <f>NPV(D63,Benefits_Mitigation!D39:Y39)</f>
        <v>220926.00012778252</v>
      </c>
    </row>
    <row r="64" spans="3:67" x14ac:dyDescent="0.4">
      <c r="D64" s="56">
        <f t="shared" si="17"/>
        <v>6.4600000000000005E-2</v>
      </c>
      <c r="E64" t="s">
        <v>586</v>
      </c>
      <c r="F64" s="24">
        <f>SUM(F59:F63)</f>
        <v>5941546.1689316221</v>
      </c>
    </row>
    <row r="65" spans="4:6" x14ac:dyDescent="0.4">
      <c r="D65" s="56"/>
      <c r="F65" s="24"/>
    </row>
    <row r="66" spans="4:6" x14ac:dyDescent="0.4">
      <c r="D66" s="56"/>
      <c r="E66" t="s">
        <v>172</v>
      </c>
      <c r="F66" s="24" t="s">
        <v>587</v>
      </c>
    </row>
    <row r="67" spans="4:6" x14ac:dyDescent="0.4">
      <c r="D67" s="56">
        <f t="shared" ref="D67:D74" si="18">AVG_POST_TAX_RATE</f>
        <v>6.4600000000000005E-2</v>
      </c>
      <c r="E67" t="s">
        <v>187</v>
      </c>
      <c r="F67" s="24">
        <f>NPV(D67,Benefits_Mitigation!D42:Y42)</f>
        <v>459063.74237102212</v>
      </c>
    </row>
    <row r="68" spans="4:6" x14ac:dyDescent="0.4">
      <c r="D68" s="56">
        <f t="shared" si="18"/>
        <v>6.4600000000000005E-2</v>
      </c>
      <c r="E68" t="s">
        <v>188</v>
      </c>
      <c r="F68" s="24">
        <f>NPV(D68,Benefits_Mitigation!D43:Y43)</f>
        <v>21599.958487819997</v>
      </c>
    </row>
    <row r="69" spans="4:6" x14ac:dyDescent="0.4">
      <c r="D69" s="56">
        <f t="shared" si="18"/>
        <v>6.4600000000000005E-2</v>
      </c>
      <c r="E69" t="s">
        <v>177</v>
      </c>
      <c r="F69" s="24">
        <f>NPV(D69,Benefits_Mitigation!D44:Y44)</f>
        <v>220926.00012778252</v>
      </c>
    </row>
    <row r="70" spans="4:6" x14ac:dyDescent="0.4">
      <c r="D70" s="56">
        <f t="shared" si="18"/>
        <v>6.4600000000000005E-2</v>
      </c>
      <c r="E70" t="s">
        <v>189</v>
      </c>
      <c r="F70" s="24">
        <f>NPV(D70,Benefits_Mitigation!D45:Y45)</f>
        <v>183704.57776381608</v>
      </c>
    </row>
    <row r="71" spans="4:6" x14ac:dyDescent="0.4">
      <c r="D71" s="56">
        <f t="shared" si="18"/>
        <v>6.4600000000000005E-2</v>
      </c>
      <c r="E71" t="s">
        <v>190</v>
      </c>
      <c r="F71" s="24">
        <f>NPV(D71,Benefits_Mitigation!D46:Y46)</f>
        <v>274641.59923947277</v>
      </c>
    </row>
    <row r="72" spans="4:6" x14ac:dyDescent="0.4">
      <c r="D72" s="56">
        <f t="shared" si="18"/>
        <v>6.4600000000000005E-2</v>
      </c>
      <c r="E72" t="s">
        <v>192</v>
      </c>
      <c r="F72" s="24">
        <f>NPV(D72,Benefits_Mitigation!D48:Y48)</f>
        <v>1923548.71820258</v>
      </c>
    </row>
    <row r="73" spans="4:6" x14ac:dyDescent="0.4">
      <c r="D73" s="56">
        <f t="shared" si="18"/>
        <v>6.4600000000000005E-2</v>
      </c>
      <c r="E73" t="s">
        <v>178</v>
      </c>
      <c r="F73" s="24">
        <f>NPV(D73,Benefits_Mitigation!D49:Y49)</f>
        <v>3237562.817118193</v>
      </c>
    </row>
    <row r="74" spans="4:6" x14ac:dyDescent="0.4">
      <c r="D74" s="56">
        <f t="shared" si="18"/>
        <v>6.4600000000000005E-2</v>
      </c>
      <c r="E74" s="62" t="s">
        <v>194</v>
      </c>
      <c r="F74" s="24">
        <f>NPV(D74,Benefits_Mitigation!D51:Y51)</f>
        <v>133906.64730405295</v>
      </c>
    </row>
    <row r="75" spans="4:6" x14ac:dyDescent="0.4">
      <c r="E75" t="s">
        <v>298</v>
      </c>
      <c r="F75" s="24">
        <f>SUM(F67:F74)</f>
        <v>6454954.0606147386</v>
      </c>
    </row>
  </sheetData>
  <mergeCells count="3">
    <mergeCell ref="C4:BO4"/>
    <mergeCell ref="C23:BO23"/>
    <mergeCell ref="C13:BO13"/>
  </mergeCells>
  <pageMargins left="0.7" right="0.7" top="0.75" bottom="0.75" header="0.3" footer="0.3"/>
  <pageSetup scale="10" orientation="portrait" r:id="rId1"/>
  <colBreaks count="3" manualBreakCount="3">
    <brk id="16" max="1048575" man="1"/>
    <brk id="32" max="1048575" man="1"/>
    <brk id="5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FA287-87EC-45F3-80C4-96745E231132}">
  <sheetPr>
    <tabColor rgb="FFFFC000"/>
  </sheetPr>
  <dimension ref="A1:DG196"/>
  <sheetViews>
    <sheetView view="pageBreakPreview" topLeftCell="A3" zoomScale="55" zoomScaleNormal="70" zoomScaleSheetLayoutView="55" workbookViewId="0">
      <selection activeCell="EU76" sqref="EU76"/>
    </sheetView>
  </sheetViews>
  <sheetFormatPr defaultRowHeight="18.75" x14ac:dyDescent="0.4"/>
  <cols>
    <col min="1" max="1" width="26.109375" bestFit="1" customWidth="1"/>
    <col min="2" max="3" width="10.77734375" customWidth="1"/>
    <col min="4" max="4" width="21.77734375" customWidth="1"/>
    <col min="5" max="5" width="13.5546875" customWidth="1"/>
    <col min="6" max="67" width="13.77734375" customWidth="1"/>
    <col min="68" max="68" width="17.77734375" customWidth="1"/>
    <col min="69" max="105" width="13.77734375" customWidth="1"/>
  </cols>
  <sheetData>
    <row r="1" spans="1:105" x14ac:dyDescent="0.4">
      <c r="A1" t="s">
        <v>196</v>
      </c>
      <c r="B1" t="s">
        <v>1</v>
      </c>
      <c r="E1" t="s">
        <v>200</v>
      </c>
    </row>
    <row r="2" spans="1:105" x14ac:dyDescent="0.4">
      <c r="A2" t="s">
        <v>197</v>
      </c>
      <c r="B2">
        <f>Lifetime_OH</f>
        <v>47</v>
      </c>
      <c r="E2">
        <v>0</v>
      </c>
      <c r="F2">
        <v>1</v>
      </c>
      <c r="G2">
        <v>2</v>
      </c>
      <c r="H2">
        <v>3</v>
      </c>
      <c r="I2">
        <v>4</v>
      </c>
      <c r="J2">
        <v>5</v>
      </c>
      <c r="K2">
        <v>6</v>
      </c>
      <c r="L2">
        <v>7</v>
      </c>
      <c r="M2">
        <v>8</v>
      </c>
      <c r="N2">
        <v>9</v>
      </c>
      <c r="O2">
        <v>10</v>
      </c>
    </row>
    <row r="3" spans="1:105" x14ac:dyDescent="0.4">
      <c r="A3" t="s">
        <v>198</v>
      </c>
      <c r="B3">
        <f>BOOK_DEP_PERIOD_OH</f>
        <v>50</v>
      </c>
      <c r="D3" s="5"/>
      <c r="E3" s="5">
        <v>2027</v>
      </c>
      <c r="F3" s="5">
        <v>2028</v>
      </c>
      <c r="G3" s="5">
        <v>2029</v>
      </c>
      <c r="H3" s="5">
        <v>2030</v>
      </c>
      <c r="I3" s="5">
        <v>2031</v>
      </c>
      <c r="J3" s="5">
        <v>2032</v>
      </c>
      <c r="K3" s="5">
        <v>2033</v>
      </c>
      <c r="L3" s="5">
        <v>2034</v>
      </c>
      <c r="M3" s="5">
        <v>2035</v>
      </c>
      <c r="N3" s="5">
        <v>2036</v>
      </c>
      <c r="O3" s="5">
        <v>2037</v>
      </c>
    </row>
    <row r="4" spans="1:105" ht="68.099999999999994" customHeight="1" x14ac:dyDescent="0.4">
      <c r="A4" t="s">
        <v>199</v>
      </c>
      <c r="B4">
        <f>MACRS_DEP_PERIOD_OH</f>
        <v>20</v>
      </c>
      <c r="D4" s="27" t="s">
        <v>436</v>
      </c>
      <c r="F4" s="8">
        <f>Costs_Mitigation!$G$5*BASELINE_CAP_SPEND</f>
        <v>1003129.1000000001</v>
      </c>
      <c r="G4" s="8">
        <f>F4</f>
        <v>1003129.1000000001</v>
      </c>
      <c r="H4" s="8">
        <f t="shared" ref="H4:O4" si="0">G4</f>
        <v>1003129.1000000001</v>
      </c>
      <c r="I4" s="8">
        <f t="shared" si="0"/>
        <v>1003129.1000000001</v>
      </c>
      <c r="J4" s="8">
        <f t="shared" si="0"/>
        <v>1003129.1000000001</v>
      </c>
      <c r="K4" s="8">
        <f t="shared" si="0"/>
        <v>1003129.1000000001</v>
      </c>
      <c r="L4" s="8">
        <f t="shared" si="0"/>
        <v>1003129.1000000001</v>
      </c>
      <c r="M4" s="8">
        <f t="shared" si="0"/>
        <v>1003129.1000000001</v>
      </c>
      <c r="N4" s="8">
        <f t="shared" si="0"/>
        <v>1003129.1000000001</v>
      </c>
      <c r="O4" s="8">
        <f t="shared" si="0"/>
        <v>1003129.1000000001</v>
      </c>
    </row>
    <row r="5" spans="1:105" x14ac:dyDescent="0.4">
      <c r="D5" s="27" t="s">
        <v>201</v>
      </c>
      <c r="F5" s="25">
        <f t="shared" ref="F5:N5" si="1">F4/F6</f>
        <v>1.9950000000000001</v>
      </c>
      <c r="G5" s="25">
        <f t="shared" si="1"/>
        <v>1.9950000000000001</v>
      </c>
      <c r="H5" s="25">
        <f t="shared" si="1"/>
        <v>1.9950000000000001</v>
      </c>
      <c r="I5" s="25">
        <f t="shared" si="1"/>
        <v>1.9950000000000001</v>
      </c>
      <c r="J5" s="25">
        <f t="shared" si="1"/>
        <v>1.9950000000000001</v>
      </c>
      <c r="K5" s="25">
        <f t="shared" si="1"/>
        <v>1.9950000000000001</v>
      </c>
      <c r="L5" s="25">
        <f t="shared" si="1"/>
        <v>1.9950000000000001</v>
      </c>
      <c r="M5" s="25">
        <f t="shared" si="1"/>
        <v>1.9950000000000001</v>
      </c>
      <c r="N5" s="25">
        <f t="shared" si="1"/>
        <v>1.9950000000000001</v>
      </c>
      <c r="O5" s="25">
        <f>O4/O6</f>
        <v>1.9950000000000001</v>
      </c>
    </row>
    <row r="6" spans="1:105" x14ac:dyDescent="0.4">
      <c r="D6" s="27" t="s">
        <v>202</v>
      </c>
      <c r="F6" s="8">
        <f>Total_All_In_Cost_Per_Mile_OH1PH</f>
        <v>502821.6040100251</v>
      </c>
      <c r="G6" s="8">
        <f>F6</f>
        <v>502821.6040100251</v>
      </c>
      <c r="H6" s="8">
        <f t="shared" ref="H6:O6" si="2">G6</f>
        <v>502821.6040100251</v>
      </c>
      <c r="I6" s="8">
        <f t="shared" si="2"/>
        <v>502821.6040100251</v>
      </c>
      <c r="J6" s="8">
        <f t="shared" si="2"/>
        <v>502821.6040100251</v>
      </c>
      <c r="K6" s="8">
        <f t="shared" si="2"/>
        <v>502821.6040100251</v>
      </c>
      <c r="L6" s="8">
        <f t="shared" si="2"/>
        <v>502821.6040100251</v>
      </c>
      <c r="M6" s="8">
        <f t="shared" si="2"/>
        <v>502821.6040100251</v>
      </c>
      <c r="N6" s="8">
        <f t="shared" si="2"/>
        <v>502821.6040100251</v>
      </c>
      <c r="O6" s="8">
        <f t="shared" si="2"/>
        <v>502821.6040100251</v>
      </c>
    </row>
    <row r="7" spans="1:105" x14ac:dyDescent="0.4">
      <c r="D7" s="107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05" x14ac:dyDescent="0.4">
      <c r="D8" s="27" t="s">
        <v>203</v>
      </c>
      <c r="F8" s="34">
        <v>1</v>
      </c>
      <c r="G8" s="34">
        <f t="shared" ref="G8:O8" si="3">F8*(1+Inflation)</f>
        <v>1.022</v>
      </c>
      <c r="H8" s="34">
        <f t="shared" si="3"/>
        <v>1.044484</v>
      </c>
      <c r="I8" s="34">
        <f t="shared" si="3"/>
        <v>1.067462648</v>
      </c>
      <c r="J8" s="34">
        <f t="shared" si="3"/>
        <v>1.090946826256</v>
      </c>
      <c r="K8" s="34">
        <f t="shared" si="3"/>
        <v>1.114947656433632</v>
      </c>
      <c r="L8" s="34">
        <f t="shared" si="3"/>
        <v>1.139476504875172</v>
      </c>
      <c r="M8" s="34">
        <f t="shared" si="3"/>
        <v>1.1645449879824259</v>
      </c>
      <c r="N8" s="34">
        <f t="shared" si="3"/>
        <v>1.1901649777180392</v>
      </c>
      <c r="O8" s="34">
        <f t="shared" si="3"/>
        <v>1.216348607227836</v>
      </c>
    </row>
    <row r="9" spans="1:105" x14ac:dyDescent="0.4">
      <c r="D9" s="27" t="s">
        <v>204</v>
      </c>
      <c r="F9" s="8">
        <f>F4*F8</f>
        <v>1003129.1000000001</v>
      </c>
      <c r="G9" s="8">
        <f t="shared" ref="G9:O9" si="4">G4*G8</f>
        <v>1025197.9402000001</v>
      </c>
      <c r="H9" s="8">
        <f t="shared" si="4"/>
        <v>1047752.2948844001</v>
      </c>
      <c r="I9" s="8">
        <f t="shared" si="4"/>
        <v>1070802.8453718568</v>
      </c>
      <c r="J9" s="8">
        <f t="shared" si="4"/>
        <v>1094360.5079700379</v>
      </c>
      <c r="K9" s="8">
        <f t="shared" si="4"/>
        <v>1118436.4391453785</v>
      </c>
      <c r="L9" s="8">
        <f t="shared" si="4"/>
        <v>1143042.0408065771</v>
      </c>
      <c r="M9" s="8">
        <f t="shared" si="4"/>
        <v>1168188.9657043219</v>
      </c>
      <c r="N9" s="8">
        <f t="shared" si="4"/>
        <v>1193889.1229498168</v>
      </c>
      <c r="O9" s="8">
        <f t="shared" si="4"/>
        <v>1220154.6836547127</v>
      </c>
    </row>
    <row r="10" spans="1:105" x14ac:dyDescent="0.4">
      <c r="D10" s="27" t="s">
        <v>205</v>
      </c>
      <c r="F10" s="8">
        <f>F9/F5</f>
        <v>502821.6040100251</v>
      </c>
      <c r="G10" s="8">
        <f t="shared" ref="G10:O10" si="5">G9/G5</f>
        <v>513883.67929824564</v>
      </c>
      <c r="H10" s="8">
        <f t="shared" si="5"/>
        <v>525189.12024280708</v>
      </c>
      <c r="I10" s="8">
        <f t="shared" si="5"/>
        <v>536743.2808881487</v>
      </c>
      <c r="J10" s="8">
        <f t="shared" si="5"/>
        <v>548551.63306768809</v>
      </c>
      <c r="K10" s="8">
        <f t="shared" si="5"/>
        <v>560619.76899517723</v>
      </c>
      <c r="L10" s="8">
        <f t="shared" si="5"/>
        <v>572953.40391307115</v>
      </c>
      <c r="M10" s="8">
        <f t="shared" si="5"/>
        <v>585558.37879915885</v>
      </c>
      <c r="N10" s="8">
        <f t="shared" si="5"/>
        <v>598440.66313274018</v>
      </c>
      <c r="O10" s="8">
        <f t="shared" si="5"/>
        <v>611606.35772166052</v>
      </c>
    </row>
    <row r="11" spans="1:105" x14ac:dyDescent="0.4">
      <c r="F11" s="8"/>
      <c r="G11" s="8"/>
      <c r="H11" s="8"/>
      <c r="I11" s="8"/>
      <c r="J11" s="8"/>
      <c r="K11" s="8"/>
      <c r="L11" s="8"/>
      <c r="M11" s="8"/>
      <c r="N11" s="8"/>
      <c r="O11" s="8"/>
      <c r="BD11" s="85"/>
    </row>
    <row r="12" spans="1:105" x14ac:dyDescent="0.4">
      <c r="E12" s="84"/>
    </row>
    <row r="13" spans="1:105" x14ac:dyDescent="0.4">
      <c r="C13" s="137" t="s">
        <v>206</v>
      </c>
      <c r="E13">
        <f>IF(E14&lt;$C14,"",E14-$C14)</f>
        <v>0</v>
      </c>
      <c r="F13">
        <f>IF(F14&lt;$C14,"",F14-$C14)</f>
        <v>1</v>
      </c>
      <c r="G13">
        <f t="shared" ref="G13:BR13" si="6">IF(G14&lt;$C14,"",G14-$C14)</f>
        <v>2</v>
      </c>
      <c r="H13">
        <f t="shared" si="6"/>
        <v>3</v>
      </c>
      <c r="I13">
        <f t="shared" si="6"/>
        <v>4</v>
      </c>
      <c r="J13">
        <f t="shared" si="6"/>
        <v>5</v>
      </c>
      <c r="K13">
        <f t="shared" si="6"/>
        <v>6</v>
      </c>
      <c r="L13">
        <f t="shared" si="6"/>
        <v>7</v>
      </c>
      <c r="M13">
        <f t="shared" si="6"/>
        <v>8</v>
      </c>
      <c r="N13">
        <f t="shared" si="6"/>
        <v>9</v>
      </c>
      <c r="O13">
        <f t="shared" si="6"/>
        <v>10</v>
      </c>
      <c r="P13">
        <f t="shared" si="6"/>
        <v>11</v>
      </c>
      <c r="Q13">
        <f t="shared" si="6"/>
        <v>12</v>
      </c>
      <c r="R13">
        <f t="shared" si="6"/>
        <v>13</v>
      </c>
      <c r="S13">
        <f t="shared" si="6"/>
        <v>14</v>
      </c>
      <c r="T13">
        <f t="shared" si="6"/>
        <v>15</v>
      </c>
      <c r="U13">
        <f t="shared" si="6"/>
        <v>16</v>
      </c>
      <c r="V13">
        <f t="shared" si="6"/>
        <v>17</v>
      </c>
      <c r="W13">
        <f t="shared" si="6"/>
        <v>18</v>
      </c>
      <c r="X13">
        <f t="shared" si="6"/>
        <v>19</v>
      </c>
      <c r="Y13">
        <f t="shared" si="6"/>
        <v>20</v>
      </c>
      <c r="Z13">
        <f t="shared" si="6"/>
        <v>21</v>
      </c>
      <c r="AA13">
        <f t="shared" si="6"/>
        <v>22</v>
      </c>
      <c r="AB13">
        <f t="shared" si="6"/>
        <v>23</v>
      </c>
      <c r="AC13">
        <f t="shared" si="6"/>
        <v>24</v>
      </c>
      <c r="AD13">
        <f t="shared" si="6"/>
        <v>25</v>
      </c>
      <c r="AE13">
        <f t="shared" si="6"/>
        <v>26</v>
      </c>
      <c r="AF13">
        <f t="shared" si="6"/>
        <v>27</v>
      </c>
      <c r="AG13">
        <f t="shared" si="6"/>
        <v>28</v>
      </c>
      <c r="AH13">
        <f t="shared" si="6"/>
        <v>29</v>
      </c>
      <c r="AI13">
        <f t="shared" si="6"/>
        <v>30</v>
      </c>
      <c r="AJ13">
        <f t="shared" si="6"/>
        <v>31</v>
      </c>
      <c r="AK13">
        <f t="shared" si="6"/>
        <v>32</v>
      </c>
      <c r="AL13">
        <f t="shared" si="6"/>
        <v>33</v>
      </c>
      <c r="AM13">
        <f t="shared" si="6"/>
        <v>34</v>
      </c>
      <c r="AN13">
        <f t="shared" si="6"/>
        <v>35</v>
      </c>
      <c r="AO13">
        <f t="shared" si="6"/>
        <v>36</v>
      </c>
      <c r="AP13">
        <f t="shared" si="6"/>
        <v>37</v>
      </c>
      <c r="AQ13">
        <f t="shared" si="6"/>
        <v>38</v>
      </c>
      <c r="AR13">
        <f t="shared" si="6"/>
        <v>39</v>
      </c>
      <c r="AS13">
        <f t="shared" si="6"/>
        <v>40</v>
      </c>
      <c r="AT13">
        <f t="shared" si="6"/>
        <v>41</v>
      </c>
      <c r="AU13">
        <f t="shared" si="6"/>
        <v>42</v>
      </c>
      <c r="AV13">
        <f t="shared" si="6"/>
        <v>43</v>
      </c>
      <c r="AW13">
        <f t="shared" si="6"/>
        <v>44</v>
      </c>
      <c r="AX13">
        <f t="shared" si="6"/>
        <v>45</v>
      </c>
      <c r="AY13">
        <f t="shared" si="6"/>
        <v>46</v>
      </c>
      <c r="AZ13">
        <f t="shared" si="6"/>
        <v>47</v>
      </c>
      <c r="BA13">
        <f t="shared" si="6"/>
        <v>48</v>
      </c>
      <c r="BB13">
        <f t="shared" si="6"/>
        <v>49</v>
      </c>
      <c r="BC13">
        <f t="shared" si="6"/>
        <v>50</v>
      </c>
      <c r="BD13">
        <f t="shared" si="6"/>
        <v>51</v>
      </c>
      <c r="BE13">
        <f t="shared" si="6"/>
        <v>52</v>
      </c>
      <c r="BF13">
        <f t="shared" si="6"/>
        <v>53</v>
      </c>
      <c r="BG13">
        <f t="shared" si="6"/>
        <v>54</v>
      </c>
      <c r="BH13">
        <f t="shared" si="6"/>
        <v>55</v>
      </c>
      <c r="BI13">
        <f t="shared" si="6"/>
        <v>56</v>
      </c>
      <c r="BJ13">
        <f t="shared" si="6"/>
        <v>57</v>
      </c>
      <c r="BK13">
        <f t="shared" si="6"/>
        <v>58</v>
      </c>
      <c r="BL13">
        <f t="shared" si="6"/>
        <v>59</v>
      </c>
      <c r="BM13">
        <f t="shared" si="6"/>
        <v>60</v>
      </c>
      <c r="BN13">
        <f t="shared" si="6"/>
        <v>61</v>
      </c>
      <c r="BO13">
        <f t="shared" si="6"/>
        <v>62</v>
      </c>
      <c r="BP13">
        <f t="shared" si="6"/>
        <v>63</v>
      </c>
      <c r="BQ13">
        <f t="shared" si="6"/>
        <v>64</v>
      </c>
      <c r="BR13">
        <f t="shared" si="6"/>
        <v>65</v>
      </c>
      <c r="BS13">
        <f t="shared" ref="BS13:DA13" si="7">IF(BS14&lt;$C14,"",BS14-$C14)</f>
        <v>66</v>
      </c>
      <c r="BT13">
        <f t="shared" si="7"/>
        <v>67</v>
      </c>
      <c r="BU13">
        <f t="shared" si="7"/>
        <v>68</v>
      </c>
      <c r="BV13">
        <f t="shared" si="7"/>
        <v>69</v>
      </c>
      <c r="BW13">
        <f t="shared" si="7"/>
        <v>70</v>
      </c>
      <c r="BX13">
        <f t="shared" si="7"/>
        <v>71</v>
      </c>
      <c r="BY13">
        <f t="shared" si="7"/>
        <v>72</v>
      </c>
      <c r="BZ13">
        <f t="shared" si="7"/>
        <v>73</v>
      </c>
      <c r="CA13">
        <f t="shared" si="7"/>
        <v>74</v>
      </c>
      <c r="CB13">
        <f t="shared" si="7"/>
        <v>75</v>
      </c>
      <c r="CC13">
        <f t="shared" si="7"/>
        <v>76</v>
      </c>
      <c r="CD13">
        <f t="shared" si="7"/>
        <v>77</v>
      </c>
      <c r="CE13">
        <f t="shared" si="7"/>
        <v>78</v>
      </c>
      <c r="CF13">
        <f t="shared" si="7"/>
        <v>79</v>
      </c>
      <c r="CG13">
        <f t="shared" si="7"/>
        <v>80</v>
      </c>
      <c r="CH13">
        <f t="shared" si="7"/>
        <v>81</v>
      </c>
      <c r="CI13">
        <f t="shared" si="7"/>
        <v>82</v>
      </c>
      <c r="CJ13">
        <f t="shared" si="7"/>
        <v>83</v>
      </c>
      <c r="CK13">
        <f t="shared" si="7"/>
        <v>84</v>
      </c>
      <c r="CL13">
        <f t="shared" si="7"/>
        <v>85</v>
      </c>
      <c r="CM13">
        <f t="shared" si="7"/>
        <v>86</v>
      </c>
      <c r="CN13">
        <f t="shared" si="7"/>
        <v>87</v>
      </c>
      <c r="CO13">
        <f t="shared" si="7"/>
        <v>88</v>
      </c>
      <c r="CP13">
        <f t="shared" si="7"/>
        <v>89</v>
      </c>
      <c r="CQ13">
        <f t="shared" si="7"/>
        <v>90</v>
      </c>
      <c r="CR13">
        <f t="shared" si="7"/>
        <v>91</v>
      </c>
      <c r="CS13">
        <f t="shared" si="7"/>
        <v>92</v>
      </c>
      <c r="CT13">
        <f t="shared" si="7"/>
        <v>93</v>
      </c>
      <c r="CU13">
        <f t="shared" si="7"/>
        <v>94</v>
      </c>
      <c r="CV13">
        <f t="shared" si="7"/>
        <v>95</v>
      </c>
      <c r="CW13">
        <f t="shared" si="7"/>
        <v>96</v>
      </c>
      <c r="CX13">
        <f t="shared" si="7"/>
        <v>97</v>
      </c>
      <c r="CY13">
        <f t="shared" si="7"/>
        <v>98</v>
      </c>
      <c r="CZ13">
        <f t="shared" si="7"/>
        <v>99</v>
      </c>
      <c r="DA13">
        <f t="shared" si="7"/>
        <v>100</v>
      </c>
    </row>
    <row r="14" spans="1:105" x14ac:dyDescent="0.4">
      <c r="A14" s="54" t="s">
        <v>186</v>
      </c>
      <c r="C14">
        <v>2027</v>
      </c>
      <c r="D14" s="5" t="s">
        <v>434</v>
      </c>
      <c r="E14" s="5">
        <v>2027</v>
      </c>
      <c r="F14" s="5">
        <v>2028</v>
      </c>
      <c r="G14" s="5">
        <v>2029</v>
      </c>
      <c r="H14" s="5">
        <v>2030</v>
      </c>
      <c r="I14" s="5">
        <v>2031</v>
      </c>
      <c r="J14" s="5">
        <v>2032</v>
      </c>
      <c r="K14" s="5">
        <v>2033</v>
      </c>
      <c r="L14" s="5">
        <v>2034</v>
      </c>
      <c r="M14" s="5">
        <v>2035</v>
      </c>
      <c r="N14" s="5">
        <v>2036</v>
      </c>
      <c r="O14" s="5">
        <v>2037</v>
      </c>
      <c r="P14" s="5">
        <v>2038</v>
      </c>
      <c r="Q14" s="5">
        <v>2039</v>
      </c>
      <c r="R14" s="5">
        <v>2040</v>
      </c>
      <c r="S14" s="5">
        <v>2041</v>
      </c>
      <c r="T14" s="5">
        <v>2042</v>
      </c>
      <c r="U14" s="5">
        <v>2043</v>
      </c>
      <c r="V14" s="5">
        <v>2044</v>
      </c>
      <c r="W14" s="5">
        <v>2045</v>
      </c>
      <c r="X14" s="5">
        <v>2046</v>
      </c>
      <c r="Y14" s="5">
        <v>2047</v>
      </c>
      <c r="Z14" s="5">
        <v>2048</v>
      </c>
      <c r="AA14" s="5">
        <v>2049</v>
      </c>
      <c r="AB14" s="5">
        <v>2050</v>
      </c>
      <c r="AC14" s="5">
        <v>2051</v>
      </c>
      <c r="AD14" s="5">
        <v>2052</v>
      </c>
      <c r="AE14" s="5">
        <v>2053</v>
      </c>
      <c r="AF14" s="5">
        <v>2054</v>
      </c>
      <c r="AG14" s="5">
        <v>2055</v>
      </c>
      <c r="AH14" s="5">
        <v>2056</v>
      </c>
      <c r="AI14" s="5">
        <v>2057</v>
      </c>
      <c r="AJ14" s="5">
        <v>2058</v>
      </c>
      <c r="AK14" s="5">
        <v>2059</v>
      </c>
      <c r="AL14" s="5">
        <v>2060</v>
      </c>
      <c r="AM14" s="5">
        <v>2061</v>
      </c>
      <c r="AN14" s="5">
        <v>2062</v>
      </c>
      <c r="AO14" s="5">
        <v>2063</v>
      </c>
      <c r="AP14" s="5">
        <v>2064</v>
      </c>
      <c r="AQ14" s="5">
        <v>2065</v>
      </c>
      <c r="AR14" s="5">
        <v>2066</v>
      </c>
      <c r="AS14" s="5">
        <v>2067</v>
      </c>
      <c r="AT14" s="5">
        <v>2068</v>
      </c>
      <c r="AU14" s="5">
        <v>2069</v>
      </c>
      <c r="AV14" s="5">
        <v>2070</v>
      </c>
      <c r="AW14" s="5">
        <v>2071</v>
      </c>
      <c r="AX14" s="5">
        <v>2072</v>
      </c>
      <c r="AY14" s="5">
        <v>2073</v>
      </c>
      <c r="AZ14" s="5">
        <v>2074</v>
      </c>
      <c r="BA14" s="5">
        <v>2075</v>
      </c>
      <c r="BB14" s="5">
        <v>2076</v>
      </c>
      <c r="BC14" s="5">
        <v>2077</v>
      </c>
      <c r="BD14" s="5">
        <v>2078</v>
      </c>
      <c r="BE14" s="5">
        <v>2079</v>
      </c>
      <c r="BF14" s="5">
        <v>2080</v>
      </c>
      <c r="BG14" s="5">
        <v>2081</v>
      </c>
      <c r="BH14" s="5">
        <v>2082</v>
      </c>
      <c r="BI14" s="5">
        <v>2083</v>
      </c>
      <c r="BJ14" s="5">
        <v>2084</v>
      </c>
      <c r="BK14" s="5">
        <v>2085</v>
      </c>
      <c r="BL14" s="5">
        <v>2086</v>
      </c>
      <c r="BM14" s="5">
        <v>2087</v>
      </c>
      <c r="BN14" s="5">
        <v>2088</v>
      </c>
      <c r="BO14" s="5">
        <v>2089</v>
      </c>
      <c r="BP14" s="5">
        <v>2090</v>
      </c>
      <c r="BQ14" s="5">
        <v>2091</v>
      </c>
      <c r="BR14" s="5">
        <v>2092</v>
      </c>
      <c r="BS14" s="5">
        <v>2093</v>
      </c>
      <c r="BT14" s="5">
        <v>2094</v>
      </c>
      <c r="BU14" s="5">
        <v>2095</v>
      </c>
      <c r="BV14" s="5">
        <v>2096</v>
      </c>
      <c r="BW14" s="5">
        <v>2097</v>
      </c>
      <c r="BX14" s="5">
        <v>2098</v>
      </c>
      <c r="BY14" s="5">
        <v>2099</v>
      </c>
      <c r="BZ14" s="5">
        <v>2100</v>
      </c>
      <c r="CA14" s="5">
        <v>2101</v>
      </c>
      <c r="CB14" s="5">
        <v>2102</v>
      </c>
      <c r="CC14" s="5">
        <v>2103</v>
      </c>
      <c r="CD14" s="5">
        <v>2104</v>
      </c>
      <c r="CE14" s="5">
        <v>2105</v>
      </c>
      <c r="CF14" s="5">
        <v>2106</v>
      </c>
      <c r="CG14" s="5">
        <v>2107</v>
      </c>
      <c r="CH14" s="5">
        <v>2108</v>
      </c>
      <c r="CI14" s="5">
        <v>2109</v>
      </c>
      <c r="CJ14" s="5">
        <v>2110</v>
      </c>
      <c r="CK14" s="5">
        <v>2111</v>
      </c>
      <c r="CL14" s="5">
        <v>2112</v>
      </c>
      <c r="CM14" s="5">
        <v>2113</v>
      </c>
      <c r="CN14" s="5">
        <v>2114</v>
      </c>
      <c r="CO14" s="5">
        <v>2115</v>
      </c>
      <c r="CP14" s="5">
        <v>2116</v>
      </c>
      <c r="CQ14" s="5">
        <v>2117</v>
      </c>
      <c r="CR14" s="5">
        <v>2118</v>
      </c>
      <c r="CS14" s="5">
        <v>2119</v>
      </c>
      <c r="CT14" s="5">
        <v>2120</v>
      </c>
      <c r="CU14" s="5">
        <v>2121</v>
      </c>
      <c r="CV14" s="5">
        <v>2122</v>
      </c>
      <c r="CW14" s="5">
        <v>2123</v>
      </c>
      <c r="CX14" s="5">
        <v>2124</v>
      </c>
      <c r="CY14" s="5">
        <v>2125</v>
      </c>
      <c r="CZ14" s="5">
        <v>2126</v>
      </c>
      <c r="DA14" s="5">
        <v>2127</v>
      </c>
    </row>
    <row r="15" spans="1:105" x14ac:dyDescent="0.4">
      <c r="A15" s="45">
        <f>SUM(F15:DA15)</f>
        <v>1003129.1000000011</v>
      </c>
      <c r="D15" t="s">
        <v>207</v>
      </c>
      <c r="E15" s="8"/>
      <c r="F15" s="8">
        <f>IF(F$13&lt;=$B$3,F16/$B$3,0)</f>
        <v>20062.582000000002</v>
      </c>
      <c r="G15" s="8">
        <f>IF(G13&lt;=$B$3,F15,0)</f>
        <v>20062.582000000002</v>
      </c>
      <c r="H15" s="8">
        <f t="shared" ref="H15:BS15" si="8">IF(H13&lt;=$B$3,G15,0)</f>
        <v>20062.582000000002</v>
      </c>
      <c r="I15" s="8">
        <f t="shared" si="8"/>
        <v>20062.582000000002</v>
      </c>
      <c r="J15" s="8">
        <f t="shared" si="8"/>
        <v>20062.582000000002</v>
      </c>
      <c r="K15" s="8">
        <f t="shared" si="8"/>
        <v>20062.582000000002</v>
      </c>
      <c r="L15" s="8">
        <f t="shared" si="8"/>
        <v>20062.582000000002</v>
      </c>
      <c r="M15" s="8">
        <f t="shared" si="8"/>
        <v>20062.582000000002</v>
      </c>
      <c r="N15" s="8">
        <f t="shared" si="8"/>
        <v>20062.582000000002</v>
      </c>
      <c r="O15" s="8">
        <f t="shared" si="8"/>
        <v>20062.582000000002</v>
      </c>
      <c r="P15" s="8">
        <f t="shared" si="8"/>
        <v>20062.582000000002</v>
      </c>
      <c r="Q15" s="8">
        <f t="shared" si="8"/>
        <v>20062.582000000002</v>
      </c>
      <c r="R15" s="8">
        <f t="shared" si="8"/>
        <v>20062.582000000002</v>
      </c>
      <c r="S15" s="8">
        <f t="shared" si="8"/>
        <v>20062.582000000002</v>
      </c>
      <c r="T15" s="8">
        <f t="shared" si="8"/>
        <v>20062.582000000002</v>
      </c>
      <c r="U15" s="8">
        <f t="shared" si="8"/>
        <v>20062.582000000002</v>
      </c>
      <c r="V15" s="8">
        <f t="shared" si="8"/>
        <v>20062.582000000002</v>
      </c>
      <c r="W15" s="8">
        <f t="shared" si="8"/>
        <v>20062.582000000002</v>
      </c>
      <c r="X15" s="8">
        <f t="shared" si="8"/>
        <v>20062.582000000002</v>
      </c>
      <c r="Y15" s="8">
        <f t="shared" si="8"/>
        <v>20062.582000000002</v>
      </c>
      <c r="Z15" s="8">
        <f t="shared" si="8"/>
        <v>20062.582000000002</v>
      </c>
      <c r="AA15" s="8">
        <f t="shared" si="8"/>
        <v>20062.582000000002</v>
      </c>
      <c r="AB15" s="8">
        <f t="shared" si="8"/>
        <v>20062.582000000002</v>
      </c>
      <c r="AC15" s="8">
        <f t="shared" si="8"/>
        <v>20062.582000000002</v>
      </c>
      <c r="AD15" s="8">
        <f t="shared" si="8"/>
        <v>20062.582000000002</v>
      </c>
      <c r="AE15" s="8">
        <f t="shared" si="8"/>
        <v>20062.582000000002</v>
      </c>
      <c r="AF15" s="8">
        <f t="shared" si="8"/>
        <v>20062.582000000002</v>
      </c>
      <c r="AG15" s="8">
        <f t="shared" si="8"/>
        <v>20062.582000000002</v>
      </c>
      <c r="AH15" s="8">
        <f t="shared" si="8"/>
        <v>20062.582000000002</v>
      </c>
      <c r="AI15" s="8">
        <f t="shared" si="8"/>
        <v>20062.582000000002</v>
      </c>
      <c r="AJ15" s="8">
        <f t="shared" si="8"/>
        <v>20062.582000000002</v>
      </c>
      <c r="AK15" s="8">
        <f t="shared" si="8"/>
        <v>20062.582000000002</v>
      </c>
      <c r="AL15" s="8">
        <f t="shared" si="8"/>
        <v>20062.582000000002</v>
      </c>
      <c r="AM15" s="8">
        <f t="shared" si="8"/>
        <v>20062.582000000002</v>
      </c>
      <c r="AN15" s="8">
        <f t="shared" si="8"/>
        <v>20062.582000000002</v>
      </c>
      <c r="AO15" s="8">
        <f t="shared" si="8"/>
        <v>20062.582000000002</v>
      </c>
      <c r="AP15" s="8">
        <f t="shared" si="8"/>
        <v>20062.582000000002</v>
      </c>
      <c r="AQ15" s="8">
        <f t="shared" si="8"/>
        <v>20062.582000000002</v>
      </c>
      <c r="AR15" s="8">
        <f t="shared" si="8"/>
        <v>20062.582000000002</v>
      </c>
      <c r="AS15" s="8">
        <f t="shared" si="8"/>
        <v>20062.582000000002</v>
      </c>
      <c r="AT15" s="8">
        <f t="shared" si="8"/>
        <v>20062.582000000002</v>
      </c>
      <c r="AU15" s="8">
        <f t="shared" si="8"/>
        <v>20062.582000000002</v>
      </c>
      <c r="AV15" s="8">
        <f t="shared" si="8"/>
        <v>20062.582000000002</v>
      </c>
      <c r="AW15" s="8">
        <f t="shared" si="8"/>
        <v>20062.582000000002</v>
      </c>
      <c r="AX15" s="8">
        <f t="shared" si="8"/>
        <v>20062.582000000002</v>
      </c>
      <c r="AY15" s="8">
        <f t="shared" si="8"/>
        <v>20062.582000000002</v>
      </c>
      <c r="AZ15" s="8">
        <f t="shared" si="8"/>
        <v>20062.582000000002</v>
      </c>
      <c r="BA15" s="8">
        <f t="shared" si="8"/>
        <v>20062.582000000002</v>
      </c>
      <c r="BB15" s="8">
        <f t="shared" si="8"/>
        <v>20062.582000000002</v>
      </c>
      <c r="BC15" s="8">
        <f t="shared" si="8"/>
        <v>20062.582000000002</v>
      </c>
      <c r="BD15" s="8">
        <f t="shared" si="8"/>
        <v>0</v>
      </c>
      <c r="BE15" s="8">
        <f t="shared" si="8"/>
        <v>0</v>
      </c>
      <c r="BF15" s="8">
        <f t="shared" si="8"/>
        <v>0</v>
      </c>
      <c r="BG15" s="8">
        <f t="shared" si="8"/>
        <v>0</v>
      </c>
      <c r="BH15" s="8">
        <f t="shared" si="8"/>
        <v>0</v>
      </c>
      <c r="BI15" s="8">
        <f t="shared" si="8"/>
        <v>0</v>
      </c>
      <c r="BJ15" s="8">
        <f t="shared" si="8"/>
        <v>0</v>
      </c>
      <c r="BK15" s="8">
        <f t="shared" si="8"/>
        <v>0</v>
      </c>
      <c r="BL15" s="8">
        <f t="shared" si="8"/>
        <v>0</v>
      </c>
      <c r="BM15" s="8">
        <f t="shared" si="8"/>
        <v>0</v>
      </c>
      <c r="BN15" s="8">
        <f t="shared" si="8"/>
        <v>0</v>
      </c>
      <c r="BO15" s="8">
        <f t="shared" si="8"/>
        <v>0</v>
      </c>
      <c r="BP15" s="8">
        <f t="shared" si="8"/>
        <v>0</v>
      </c>
      <c r="BQ15" s="8">
        <f t="shared" si="8"/>
        <v>0</v>
      </c>
      <c r="BR15" s="8">
        <f t="shared" si="8"/>
        <v>0</v>
      </c>
      <c r="BS15" s="8">
        <f t="shared" si="8"/>
        <v>0</v>
      </c>
      <c r="BT15" s="8">
        <f t="shared" ref="BT15:DA15" si="9">IF(BT13&lt;=$B$3,BS15,0)</f>
        <v>0</v>
      </c>
      <c r="BU15" s="8">
        <f t="shared" si="9"/>
        <v>0</v>
      </c>
      <c r="BV15" s="8">
        <f t="shared" si="9"/>
        <v>0</v>
      </c>
      <c r="BW15" s="8">
        <f t="shared" si="9"/>
        <v>0</v>
      </c>
      <c r="BX15" s="8">
        <f t="shared" si="9"/>
        <v>0</v>
      </c>
      <c r="BY15" s="8">
        <f t="shared" si="9"/>
        <v>0</v>
      </c>
      <c r="BZ15" s="8">
        <f t="shared" si="9"/>
        <v>0</v>
      </c>
      <c r="CA15" s="8">
        <f t="shared" si="9"/>
        <v>0</v>
      </c>
      <c r="CB15" s="8">
        <f t="shared" si="9"/>
        <v>0</v>
      </c>
      <c r="CC15" s="8">
        <f t="shared" si="9"/>
        <v>0</v>
      </c>
      <c r="CD15" s="8">
        <f t="shared" si="9"/>
        <v>0</v>
      </c>
      <c r="CE15" s="8">
        <f t="shared" si="9"/>
        <v>0</v>
      </c>
      <c r="CF15" s="8">
        <f t="shared" si="9"/>
        <v>0</v>
      </c>
      <c r="CG15" s="8">
        <f t="shared" si="9"/>
        <v>0</v>
      </c>
      <c r="CH15" s="8">
        <f t="shared" si="9"/>
        <v>0</v>
      </c>
      <c r="CI15" s="8">
        <f t="shared" si="9"/>
        <v>0</v>
      </c>
      <c r="CJ15" s="8">
        <f t="shared" si="9"/>
        <v>0</v>
      </c>
      <c r="CK15" s="8">
        <f t="shared" si="9"/>
        <v>0</v>
      </c>
      <c r="CL15" s="8">
        <f t="shared" si="9"/>
        <v>0</v>
      </c>
      <c r="CM15" s="8">
        <f t="shared" si="9"/>
        <v>0</v>
      </c>
      <c r="CN15" s="8">
        <f t="shared" si="9"/>
        <v>0</v>
      </c>
      <c r="CO15" s="8">
        <f t="shared" si="9"/>
        <v>0</v>
      </c>
      <c r="CP15" s="8">
        <f t="shared" si="9"/>
        <v>0</v>
      </c>
      <c r="CQ15" s="8">
        <f t="shared" si="9"/>
        <v>0</v>
      </c>
      <c r="CR15" s="8">
        <f t="shared" si="9"/>
        <v>0</v>
      </c>
      <c r="CS15" s="8">
        <f t="shared" si="9"/>
        <v>0</v>
      </c>
      <c r="CT15" s="8">
        <f t="shared" si="9"/>
        <v>0</v>
      </c>
      <c r="CU15" s="8">
        <f t="shared" si="9"/>
        <v>0</v>
      </c>
      <c r="CV15" s="8">
        <f t="shared" si="9"/>
        <v>0</v>
      </c>
      <c r="CW15" s="8">
        <f t="shared" si="9"/>
        <v>0</v>
      </c>
      <c r="CX15" s="8">
        <f t="shared" si="9"/>
        <v>0</v>
      </c>
      <c r="CY15" s="8">
        <f t="shared" si="9"/>
        <v>0</v>
      </c>
      <c r="CZ15" s="8">
        <f t="shared" si="9"/>
        <v>0</v>
      </c>
      <c r="DA15" s="8">
        <f t="shared" si="9"/>
        <v>0</v>
      </c>
    </row>
    <row r="16" spans="1:105" x14ac:dyDescent="0.4">
      <c r="A16" s="82"/>
      <c r="B16" s="54"/>
      <c r="C16" s="54"/>
      <c r="D16" t="s">
        <v>154</v>
      </c>
      <c r="E16" s="8">
        <f>HLOOKUP(F14,$F$3:$O$10,7,0)</f>
        <v>1003129.1000000001</v>
      </c>
      <c r="F16" s="8">
        <f>IF(ROUND(E17,4)=-ROUND(E16,4),0,E16)</f>
        <v>1003129.1000000001</v>
      </c>
      <c r="G16" s="8">
        <f t="shared" ref="G16:BR16" si="10">IF(ROUND(F17,4)=-ROUND(F16,4),0,F16)</f>
        <v>1003129.1000000001</v>
      </c>
      <c r="H16" s="8">
        <f t="shared" si="10"/>
        <v>1003129.1000000001</v>
      </c>
      <c r="I16" s="8">
        <f t="shared" si="10"/>
        <v>1003129.1000000001</v>
      </c>
      <c r="J16" s="8">
        <f t="shared" si="10"/>
        <v>1003129.1000000001</v>
      </c>
      <c r="K16" s="8">
        <f t="shared" si="10"/>
        <v>1003129.1000000001</v>
      </c>
      <c r="L16" s="8">
        <f t="shared" si="10"/>
        <v>1003129.1000000001</v>
      </c>
      <c r="M16" s="8">
        <f t="shared" si="10"/>
        <v>1003129.1000000001</v>
      </c>
      <c r="N16" s="8">
        <f t="shared" si="10"/>
        <v>1003129.1000000001</v>
      </c>
      <c r="O16" s="8">
        <f t="shared" si="10"/>
        <v>1003129.1000000001</v>
      </c>
      <c r="P16" s="8">
        <f t="shared" si="10"/>
        <v>1003129.1000000001</v>
      </c>
      <c r="Q16" s="8">
        <f t="shared" si="10"/>
        <v>1003129.1000000001</v>
      </c>
      <c r="R16" s="8">
        <f t="shared" si="10"/>
        <v>1003129.1000000001</v>
      </c>
      <c r="S16" s="8">
        <f t="shared" si="10"/>
        <v>1003129.1000000001</v>
      </c>
      <c r="T16" s="8">
        <f t="shared" si="10"/>
        <v>1003129.1000000001</v>
      </c>
      <c r="U16" s="8">
        <f t="shared" si="10"/>
        <v>1003129.1000000001</v>
      </c>
      <c r="V16" s="8">
        <f t="shared" si="10"/>
        <v>1003129.1000000001</v>
      </c>
      <c r="W16" s="8">
        <f t="shared" si="10"/>
        <v>1003129.1000000001</v>
      </c>
      <c r="X16" s="8">
        <f t="shared" si="10"/>
        <v>1003129.1000000001</v>
      </c>
      <c r="Y16" s="8">
        <f t="shared" si="10"/>
        <v>1003129.1000000001</v>
      </c>
      <c r="Z16" s="8">
        <f t="shared" si="10"/>
        <v>1003129.1000000001</v>
      </c>
      <c r="AA16" s="8">
        <f t="shared" si="10"/>
        <v>1003129.1000000001</v>
      </c>
      <c r="AB16" s="8">
        <f t="shared" si="10"/>
        <v>1003129.1000000001</v>
      </c>
      <c r="AC16" s="8">
        <f t="shared" si="10"/>
        <v>1003129.1000000001</v>
      </c>
      <c r="AD16" s="8">
        <f t="shared" si="10"/>
        <v>1003129.1000000001</v>
      </c>
      <c r="AE16" s="8">
        <f t="shared" si="10"/>
        <v>1003129.1000000001</v>
      </c>
      <c r="AF16" s="8">
        <f t="shared" si="10"/>
        <v>1003129.1000000001</v>
      </c>
      <c r="AG16" s="8">
        <f t="shared" si="10"/>
        <v>1003129.1000000001</v>
      </c>
      <c r="AH16" s="8">
        <f t="shared" si="10"/>
        <v>1003129.1000000001</v>
      </c>
      <c r="AI16" s="8">
        <f t="shared" si="10"/>
        <v>1003129.1000000001</v>
      </c>
      <c r="AJ16" s="8">
        <f t="shared" si="10"/>
        <v>1003129.1000000001</v>
      </c>
      <c r="AK16" s="8">
        <f t="shared" si="10"/>
        <v>1003129.1000000001</v>
      </c>
      <c r="AL16" s="8">
        <f t="shared" si="10"/>
        <v>1003129.1000000001</v>
      </c>
      <c r="AM16" s="8">
        <f t="shared" si="10"/>
        <v>1003129.1000000001</v>
      </c>
      <c r="AN16" s="8">
        <f t="shared" si="10"/>
        <v>1003129.1000000001</v>
      </c>
      <c r="AO16" s="8">
        <f t="shared" si="10"/>
        <v>1003129.1000000001</v>
      </c>
      <c r="AP16" s="8">
        <f t="shared" si="10"/>
        <v>1003129.1000000001</v>
      </c>
      <c r="AQ16" s="8">
        <f t="shared" si="10"/>
        <v>1003129.1000000001</v>
      </c>
      <c r="AR16" s="8">
        <f t="shared" si="10"/>
        <v>1003129.1000000001</v>
      </c>
      <c r="AS16" s="8">
        <f t="shared" si="10"/>
        <v>1003129.1000000001</v>
      </c>
      <c r="AT16" s="8">
        <f t="shared" si="10"/>
        <v>1003129.1000000001</v>
      </c>
      <c r="AU16" s="8">
        <f t="shared" si="10"/>
        <v>1003129.1000000001</v>
      </c>
      <c r="AV16" s="8">
        <f t="shared" si="10"/>
        <v>1003129.1000000001</v>
      </c>
      <c r="AW16" s="8">
        <f t="shared" si="10"/>
        <v>1003129.1000000001</v>
      </c>
      <c r="AX16" s="8">
        <f t="shared" si="10"/>
        <v>1003129.1000000001</v>
      </c>
      <c r="AY16" s="8">
        <f t="shared" si="10"/>
        <v>1003129.1000000001</v>
      </c>
      <c r="AZ16" s="8">
        <f t="shared" si="10"/>
        <v>1003129.1000000001</v>
      </c>
      <c r="BA16" s="8">
        <f t="shared" si="10"/>
        <v>1003129.1000000001</v>
      </c>
      <c r="BB16" s="8">
        <f t="shared" si="10"/>
        <v>1003129.1000000001</v>
      </c>
      <c r="BC16" s="8">
        <f t="shared" si="10"/>
        <v>1003129.1000000001</v>
      </c>
      <c r="BD16" s="8">
        <f t="shared" si="10"/>
        <v>0</v>
      </c>
      <c r="BE16" s="8">
        <f t="shared" si="10"/>
        <v>0</v>
      </c>
      <c r="BF16" s="8">
        <f t="shared" si="10"/>
        <v>0</v>
      </c>
      <c r="BG16" s="8">
        <f t="shared" si="10"/>
        <v>0</v>
      </c>
      <c r="BH16" s="8">
        <f t="shared" si="10"/>
        <v>0</v>
      </c>
      <c r="BI16" s="8">
        <f t="shared" si="10"/>
        <v>0</v>
      </c>
      <c r="BJ16" s="8">
        <f t="shared" si="10"/>
        <v>0</v>
      </c>
      <c r="BK16" s="8">
        <f t="shared" si="10"/>
        <v>0</v>
      </c>
      <c r="BL16" s="8">
        <f t="shared" si="10"/>
        <v>0</v>
      </c>
      <c r="BM16" s="8">
        <f t="shared" si="10"/>
        <v>0</v>
      </c>
      <c r="BN16" s="8">
        <f t="shared" si="10"/>
        <v>0</v>
      </c>
      <c r="BO16" s="8">
        <f t="shared" si="10"/>
        <v>0</v>
      </c>
      <c r="BP16" s="8">
        <f t="shared" si="10"/>
        <v>0</v>
      </c>
      <c r="BQ16" s="8">
        <f t="shared" si="10"/>
        <v>0</v>
      </c>
      <c r="BR16" s="8">
        <f t="shared" si="10"/>
        <v>0</v>
      </c>
      <c r="BS16" s="8">
        <f t="shared" ref="BS16:DA16" si="11">IF(ROUND(BR17,4)=-ROUND(BR16,4),0,BR16)</f>
        <v>0</v>
      </c>
      <c r="BT16" s="8">
        <f t="shared" si="11"/>
        <v>0</v>
      </c>
      <c r="BU16" s="8">
        <f t="shared" si="11"/>
        <v>0</v>
      </c>
      <c r="BV16" s="8">
        <f t="shared" si="11"/>
        <v>0</v>
      </c>
      <c r="BW16" s="8">
        <f t="shared" si="11"/>
        <v>0</v>
      </c>
      <c r="BX16" s="8">
        <f t="shared" si="11"/>
        <v>0</v>
      </c>
      <c r="BY16" s="8">
        <f t="shared" si="11"/>
        <v>0</v>
      </c>
      <c r="BZ16" s="8">
        <f t="shared" si="11"/>
        <v>0</v>
      </c>
      <c r="CA16" s="8">
        <f t="shared" si="11"/>
        <v>0</v>
      </c>
      <c r="CB16" s="8">
        <f t="shared" si="11"/>
        <v>0</v>
      </c>
      <c r="CC16" s="8">
        <f t="shared" si="11"/>
        <v>0</v>
      </c>
      <c r="CD16" s="8">
        <f t="shared" si="11"/>
        <v>0</v>
      </c>
      <c r="CE16" s="8">
        <f t="shared" si="11"/>
        <v>0</v>
      </c>
      <c r="CF16" s="8">
        <f t="shared" si="11"/>
        <v>0</v>
      </c>
      <c r="CG16" s="8">
        <f t="shared" si="11"/>
        <v>0</v>
      </c>
      <c r="CH16" s="8">
        <f t="shared" si="11"/>
        <v>0</v>
      </c>
      <c r="CI16" s="8">
        <f t="shared" si="11"/>
        <v>0</v>
      </c>
      <c r="CJ16" s="8">
        <f t="shared" si="11"/>
        <v>0</v>
      </c>
      <c r="CK16" s="8">
        <f t="shared" si="11"/>
        <v>0</v>
      </c>
      <c r="CL16" s="8">
        <f t="shared" si="11"/>
        <v>0</v>
      </c>
      <c r="CM16" s="8">
        <f t="shared" si="11"/>
        <v>0</v>
      </c>
      <c r="CN16" s="8">
        <f t="shared" si="11"/>
        <v>0</v>
      </c>
      <c r="CO16" s="8">
        <f t="shared" si="11"/>
        <v>0</v>
      </c>
      <c r="CP16" s="8">
        <f t="shared" si="11"/>
        <v>0</v>
      </c>
      <c r="CQ16" s="8">
        <f t="shared" si="11"/>
        <v>0</v>
      </c>
      <c r="CR16" s="8">
        <f t="shared" si="11"/>
        <v>0</v>
      </c>
      <c r="CS16" s="8">
        <f t="shared" si="11"/>
        <v>0</v>
      </c>
      <c r="CT16" s="8">
        <f t="shared" si="11"/>
        <v>0</v>
      </c>
      <c r="CU16" s="8">
        <f t="shared" si="11"/>
        <v>0</v>
      </c>
      <c r="CV16" s="8">
        <f t="shared" si="11"/>
        <v>0</v>
      </c>
      <c r="CW16" s="8">
        <f t="shared" si="11"/>
        <v>0</v>
      </c>
      <c r="CX16" s="8">
        <f t="shared" si="11"/>
        <v>0</v>
      </c>
      <c r="CY16" s="8">
        <f t="shared" si="11"/>
        <v>0</v>
      </c>
      <c r="CZ16" s="8">
        <f t="shared" si="11"/>
        <v>0</v>
      </c>
      <c r="DA16" s="8">
        <f t="shared" si="11"/>
        <v>0</v>
      </c>
    </row>
    <row r="17" spans="1:106" x14ac:dyDescent="0.4">
      <c r="D17" t="s">
        <v>208</v>
      </c>
      <c r="E17" s="8"/>
      <c r="F17" s="8">
        <f>IF(F13&lt;=$B$3,-SUM($E15:F15),0)</f>
        <v>-20062.582000000002</v>
      </c>
      <c r="G17" s="8">
        <f>IF(G13&lt;=$B$3,-SUM($E15:G15),0)</f>
        <v>-40125.164000000004</v>
      </c>
      <c r="H17" s="8">
        <f>IF(H13&lt;=$B$3,-SUM($E15:H15),0)</f>
        <v>-60187.746000000006</v>
      </c>
      <c r="I17" s="8">
        <f>IF(I13&lt;=$B$3,-SUM($E15:I15),0)</f>
        <v>-80250.328000000009</v>
      </c>
      <c r="J17" s="8">
        <f>IF(J13&lt;=$B$3,-SUM($E15:J15),0)</f>
        <v>-100312.91</v>
      </c>
      <c r="K17" s="8">
        <f>IF(K13&lt;=$B$3,-SUM($E15:K15),0)</f>
        <v>-120375.492</v>
      </c>
      <c r="L17" s="8">
        <f>IF(L13&lt;=$B$3,-SUM($E15:L15),0)</f>
        <v>-140438.07399999999</v>
      </c>
      <c r="M17" s="8">
        <f>IF(M13&lt;=$B$3,-SUM($E15:M15),0)</f>
        <v>-160500.65599999999</v>
      </c>
      <c r="N17" s="8">
        <f>IF(N13&lt;=$B$3,-SUM($E15:N15),0)</f>
        <v>-180563.23799999998</v>
      </c>
      <c r="O17" s="8">
        <f>IF(O13&lt;=$B$3,-SUM($E15:O15),0)</f>
        <v>-200625.81999999998</v>
      </c>
      <c r="P17" s="8">
        <f>IF(P13&lt;=$B$3,-SUM($E15:P15),0)</f>
        <v>-220688.40199999997</v>
      </c>
      <c r="Q17" s="8">
        <f>IF(Q13&lt;=$B$3,-SUM($E15:Q15),0)</f>
        <v>-240750.98399999997</v>
      </c>
      <c r="R17" s="8">
        <f>IF(R13&lt;=$B$3,-SUM($E15:R15),0)</f>
        <v>-260813.56599999996</v>
      </c>
      <c r="S17" s="8">
        <f>IF(S13&lt;=$B$3,-SUM($E15:S15),0)</f>
        <v>-280876.14799999999</v>
      </c>
      <c r="T17" s="8">
        <f>IF(T13&lt;=$B$3,-SUM($E15:T15),0)</f>
        <v>-300938.73</v>
      </c>
      <c r="U17" s="8">
        <f>IF(U13&lt;=$B$3,-SUM($E15:U15),0)</f>
        <v>-321001.31199999998</v>
      </c>
      <c r="V17" s="8">
        <f>IF(V13&lt;=$B$3,-SUM($E15:V15),0)</f>
        <v>-341063.89399999997</v>
      </c>
      <c r="W17" s="8">
        <f>IF(W13&lt;=$B$3,-SUM($E15:W15),0)</f>
        <v>-361126.47599999997</v>
      </c>
      <c r="X17" s="8">
        <f>IF(X13&lt;=$B$3,-SUM($E15:X15),0)</f>
        <v>-381189.05799999996</v>
      </c>
      <c r="Y17" s="8">
        <f>IF(Y13&lt;=$B$3,-SUM($E15:Y15),0)</f>
        <v>-401251.63999999996</v>
      </c>
      <c r="Z17" s="8">
        <f>IF(Z13&lt;=$B$3,-SUM($E15:Z15),0)</f>
        <v>-421314.22199999995</v>
      </c>
      <c r="AA17" s="8">
        <f>IF(AA13&lt;=$B$3,-SUM($E15:AA15),0)</f>
        <v>-441376.80399999995</v>
      </c>
      <c r="AB17" s="8">
        <f>IF(AB13&lt;=$B$3,-SUM($E15:AB15),0)</f>
        <v>-461439.38599999994</v>
      </c>
      <c r="AC17" s="8">
        <f>IF(AC13&lt;=$B$3,-SUM($E15:AC15),0)</f>
        <v>-481501.96799999994</v>
      </c>
      <c r="AD17" s="8">
        <f>IF(AD13&lt;=$B$3,-SUM($E15:AD15),0)</f>
        <v>-501564.54999999993</v>
      </c>
      <c r="AE17" s="8">
        <f>IF(AE13&lt;=$B$3,-SUM($E15:AE15),0)</f>
        <v>-521627.13199999993</v>
      </c>
      <c r="AF17" s="8">
        <f>IF(AF13&lt;=$B$3,-SUM($E15:AF15),0)</f>
        <v>-541689.71399999992</v>
      </c>
      <c r="AG17" s="8">
        <f>IF(AG13&lt;=$B$3,-SUM($E15:AG15),0)</f>
        <v>-561752.29599999997</v>
      </c>
      <c r="AH17" s="8">
        <f>IF(AH13&lt;=$B$3,-SUM($E15:AH15),0)</f>
        <v>-581814.87800000003</v>
      </c>
      <c r="AI17" s="8">
        <f>IF(AI13&lt;=$B$3,-SUM($E15:AI15),0)</f>
        <v>-601877.46000000008</v>
      </c>
      <c r="AJ17" s="8">
        <f>IF(AJ13&lt;=$B$3,-SUM($E15:AJ15),0)</f>
        <v>-621940.04200000013</v>
      </c>
      <c r="AK17" s="8">
        <f>IF(AK13&lt;=$B$3,-SUM($E15:AK15),0)</f>
        <v>-642002.62400000019</v>
      </c>
      <c r="AL17" s="8">
        <f>IF(AL13&lt;=$B$3,-SUM($E15:AL15),0)</f>
        <v>-662065.20600000024</v>
      </c>
      <c r="AM17" s="8">
        <f>IF(AM13&lt;=$B$3,-SUM($E15:AM15),0)</f>
        <v>-682127.78800000029</v>
      </c>
      <c r="AN17" s="8">
        <f>IF(AN13&lt;=$B$3,-SUM($E15:AN15),0)</f>
        <v>-702190.37000000034</v>
      </c>
      <c r="AO17" s="8">
        <f>IF(AO13&lt;=$B$3,-SUM($E15:AO15),0)</f>
        <v>-722252.9520000004</v>
      </c>
      <c r="AP17" s="8">
        <f>IF(AP13&lt;=$B$3,-SUM($E15:AP15),0)</f>
        <v>-742315.53400000045</v>
      </c>
      <c r="AQ17" s="8">
        <f>IF(AQ13&lt;=$B$3,-SUM($E15:AQ15),0)</f>
        <v>-762378.1160000005</v>
      </c>
      <c r="AR17" s="8">
        <f>IF(AR13&lt;=$B$3,-SUM($E15:AR15),0)</f>
        <v>-782440.69800000056</v>
      </c>
      <c r="AS17" s="8">
        <f>IF(AS13&lt;=$B$3,-SUM($E15:AS15),0)</f>
        <v>-802503.28000000061</v>
      </c>
      <c r="AT17" s="8">
        <f>IF(AT13&lt;=$B$3,-SUM($E15:AT15),0)</f>
        <v>-822565.86200000066</v>
      </c>
      <c r="AU17" s="8">
        <f>IF(AU13&lt;=$B$3,-SUM($E15:AU15),0)</f>
        <v>-842628.44400000072</v>
      </c>
      <c r="AV17" s="8">
        <f>IF(AV13&lt;=$B$3,-SUM($E15:AV15),0)</f>
        <v>-862691.02600000077</v>
      </c>
      <c r="AW17" s="8">
        <f>IF(AW13&lt;=$B$3,-SUM($E15:AW15),0)</f>
        <v>-882753.60800000082</v>
      </c>
      <c r="AX17" s="8">
        <f>IF(AX13&lt;=$B$3,-SUM($E15:AX15),0)</f>
        <v>-902816.19000000088</v>
      </c>
      <c r="AY17" s="8">
        <f>IF(AY13&lt;=$B$3,-SUM($E15:AY15),0)</f>
        <v>-922878.77200000093</v>
      </c>
      <c r="AZ17" s="8">
        <f>IF(AZ13&lt;=$B$3,-SUM($E15:AZ15),0)</f>
        <v>-942941.35400000098</v>
      </c>
      <c r="BA17" s="8">
        <f>IF(BA13&lt;=$B$3,-SUM($E15:BA15),0)</f>
        <v>-963003.93600000103</v>
      </c>
      <c r="BB17" s="8">
        <f>IF(BB13&lt;=$B$3,-SUM($E15:BB15),0)</f>
        <v>-983066.51800000109</v>
      </c>
      <c r="BC17" s="8">
        <f>IF(BC13&lt;=$B$3,-SUM($E15:BC15),0)</f>
        <v>-1003129.1000000011</v>
      </c>
      <c r="BD17" s="8">
        <f>IF(BD13&lt;=$B$3,-SUM($E15:BD15),0)</f>
        <v>0</v>
      </c>
      <c r="BE17" s="8">
        <f>IF(BE13&lt;=$B$3,-SUM($E15:BE15),0)</f>
        <v>0</v>
      </c>
      <c r="BF17" s="8">
        <f>IF(BF13&lt;=$B$3,-SUM($E15:BF15),0)</f>
        <v>0</v>
      </c>
      <c r="BG17" s="8">
        <f>IF(BG13&lt;=$B$3,-SUM($E15:BG15),0)</f>
        <v>0</v>
      </c>
      <c r="BH17" s="8">
        <f>IF(BH13&lt;=$B$3,-SUM($E15:BH15),0)</f>
        <v>0</v>
      </c>
      <c r="BI17" s="8">
        <f>IF(BI13&lt;=$B$3,-SUM($E15:BI15),0)</f>
        <v>0</v>
      </c>
      <c r="BJ17" s="8">
        <f>IF(BJ13&lt;=$B$3,-SUM($E15:BJ15),0)</f>
        <v>0</v>
      </c>
      <c r="BK17" s="8">
        <f>IF(BK13&lt;=$B$3,-SUM($E15:BK15),0)</f>
        <v>0</v>
      </c>
      <c r="BL17" s="8">
        <f>IF(BL13&lt;=$B$3,-SUM($E15:BL15),0)</f>
        <v>0</v>
      </c>
      <c r="BM17" s="8">
        <f>IF(BM13&lt;=$B$3,-SUM($E15:BM15),0)</f>
        <v>0</v>
      </c>
      <c r="BN17" s="8">
        <f>IF(BN13&lt;=$B$3,-SUM($E15:BN15),0)</f>
        <v>0</v>
      </c>
      <c r="BO17" s="8">
        <f>IF(BO13&lt;=$B$3,-SUM($E15:BO15),0)</f>
        <v>0</v>
      </c>
      <c r="BP17" s="8">
        <f>IF(BP13&lt;=$B$3,-SUM($E15:BP15),0)</f>
        <v>0</v>
      </c>
      <c r="BQ17" s="8">
        <f>IF(BQ13&lt;=$B$3,-SUM($E15:BQ15),0)</f>
        <v>0</v>
      </c>
      <c r="BR17" s="8">
        <f>IF(BR13&lt;=$B$3,-SUM($E15:BR15),0)</f>
        <v>0</v>
      </c>
      <c r="BS17" s="8">
        <f>IF(BS13&lt;=$B$3,-SUM($E15:BS15),0)</f>
        <v>0</v>
      </c>
      <c r="BT17" s="8">
        <f>IF(BT13&lt;=$B$3,-SUM($E15:BT15),0)</f>
        <v>0</v>
      </c>
      <c r="BU17" s="8">
        <f>IF(BU13&lt;=$B$3,-SUM($E15:BU15),0)</f>
        <v>0</v>
      </c>
      <c r="BV17" s="8">
        <f>IF(BV13&lt;=$B$3,-SUM($E15:BV15),0)</f>
        <v>0</v>
      </c>
      <c r="BW17" s="8">
        <f>IF(BW13&lt;=$B$3,-SUM($E15:BW15),0)</f>
        <v>0</v>
      </c>
      <c r="BX17" s="8">
        <f>IF(BX13&lt;=$B$3,-SUM($E15:BX15),0)</f>
        <v>0</v>
      </c>
      <c r="BY17" s="8">
        <f>IF(BY13&lt;=$B$3,-SUM($E15:BY15),0)</f>
        <v>0</v>
      </c>
      <c r="BZ17" s="8">
        <f>IF(BZ13&lt;=$B$3,-SUM($E15:BZ15),0)</f>
        <v>0</v>
      </c>
      <c r="CA17" s="8">
        <f>IF(CA13&lt;=$B$3,-SUM($E15:CA15),0)</f>
        <v>0</v>
      </c>
      <c r="CB17" s="8">
        <f>IF(CB13&lt;=$B$3,-SUM($E15:CB15),0)</f>
        <v>0</v>
      </c>
      <c r="CC17" s="8">
        <f>IF(CC13&lt;=$B$3,-SUM($E15:CC15),0)</f>
        <v>0</v>
      </c>
      <c r="CD17" s="8">
        <f>IF(CD13&lt;=$B$3,-SUM($E15:CD15),0)</f>
        <v>0</v>
      </c>
      <c r="CE17" s="8">
        <f>IF(CE13&lt;=$B$3,-SUM($E15:CE15),0)</f>
        <v>0</v>
      </c>
      <c r="CF17" s="8">
        <f>IF(CF13&lt;=$B$3,-SUM($E15:CF15),0)</f>
        <v>0</v>
      </c>
      <c r="CG17" s="8">
        <f>IF(CG13&lt;=$B$3,-SUM($E15:CG15),0)</f>
        <v>0</v>
      </c>
      <c r="CH17" s="8">
        <f>IF(CH13&lt;=$B$3,-SUM($E15:CH15),0)</f>
        <v>0</v>
      </c>
      <c r="CI17" s="8">
        <f>IF(CI13&lt;=$B$3,-SUM($E15:CI15),0)</f>
        <v>0</v>
      </c>
      <c r="CJ17" s="8">
        <f>IF(CJ13&lt;=$B$3,-SUM($E15:CJ15),0)</f>
        <v>0</v>
      </c>
      <c r="CK17" s="8">
        <f>IF(CK13&lt;=$B$3,-SUM($E15:CK15),0)</f>
        <v>0</v>
      </c>
      <c r="CL17" s="8">
        <f>IF(CL13&lt;=$B$3,-SUM($E15:CL15),0)</f>
        <v>0</v>
      </c>
      <c r="CM17" s="8">
        <f>IF(CM13&lt;=$B$3,-SUM($E15:CM15),0)</f>
        <v>0</v>
      </c>
      <c r="CN17" s="8">
        <f>IF(CN13&lt;=$B$3,-SUM($E15:CN15),0)</f>
        <v>0</v>
      </c>
      <c r="CO17" s="8">
        <f>IF(CO13&lt;=$B$3,-SUM($E15:CO15),0)</f>
        <v>0</v>
      </c>
      <c r="CP17" s="8">
        <f>IF(CP13&lt;=$B$3,-SUM($E15:CP15),0)</f>
        <v>0</v>
      </c>
      <c r="CQ17" s="8">
        <f>IF(CQ13&lt;=$B$3,-SUM($E15:CQ15),0)</f>
        <v>0</v>
      </c>
      <c r="CR17" s="8">
        <f>IF(CR13&lt;=$B$3,-SUM($E15:CR15),0)</f>
        <v>0</v>
      </c>
      <c r="CS17" s="8">
        <f>IF(CS13&lt;=$B$3,-SUM($E15:CS15),0)</f>
        <v>0</v>
      </c>
      <c r="CT17" s="8">
        <f>IF(CT13&lt;=$B$3,-SUM($E15:CT15),0)</f>
        <v>0</v>
      </c>
      <c r="CU17" s="8">
        <f>IF(CU13&lt;=$B$3,-SUM($E15:CU15),0)</f>
        <v>0</v>
      </c>
      <c r="CV17" s="8">
        <f>IF(CV13&lt;=$B$3,-SUM($E15:CV15),0)</f>
        <v>0</v>
      </c>
      <c r="CW17" s="8">
        <f>IF(CW13&lt;=$B$3,-SUM($E15:CW15),0)</f>
        <v>0</v>
      </c>
      <c r="CX17" s="8">
        <f>IF(CX13&lt;=$B$3,-SUM($E15:CX15),0)</f>
        <v>0</v>
      </c>
      <c r="CY17" s="8">
        <f>IF(CY13&lt;=$B$3,-SUM($E15:CY15),0)</f>
        <v>0</v>
      </c>
      <c r="CZ17" s="8">
        <f>IF(CZ13&lt;=$B$3,-SUM($E15:CZ15),0)</f>
        <v>0</v>
      </c>
      <c r="DA17" s="8">
        <f>IF(DA13&lt;=$B$3,-SUM($E15:DA15),0)</f>
        <v>0</v>
      </c>
    </row>
    <row r="18" spans="1:106" x14ac:dyDescent="0.4">
      <c r="D18" t="s">
        <v>167</v>
      </c>
      <c r="E18" s="8"/>
      <c r="F18" s="8">
        <f>E19</f>
        <v>1003129.1000000001</v>
      </c>
      <c r="G18" s="8">
        <f t="shared" ref="G18:BR18" si="12">F19</f>
        <v>983066.51800000004</v>
      </c>
      <c r="H18" s="8">
        <f t="shared" si="12"/>
        <v>963003.9360000001</v>
      </c>
      <c r="I18" s="8">
        <f t="shared" si="12"/>
        <v>942941.35400000005</v>
      </c>
      <c r="J18" s="8">
        <f t="shared" si="12"/>
        <v>922878.77200000011</v>
      </c>
      <c r="K18" s="8">
        <f t="shared" si="12"/>
        <v>902816.19000000006</v>
      </c>
      <c r="L18" s="8">
        <f t="shared" si="12"/>
        <v>882753.60800000012</v>
      </c>
      <c r="M18" s="8">
        <f t="shared" si="12"/>
        <v>862691.02600000007</v>
      </c>
      <c r="N18" s="8">
        <f t="shared" si="12"/>
        <v>842628.44400000013</v>
      </c>
      <c r="O18" s="8">
        <f t="shared" si="12"/>
        <v>822565.86200000008</v>
      </c>
      <c r="P18" s="8">
        <f t="shared" si="12"/>
        <v>802503.28000000014</v>
      </c>
      <c r="Q18" s="8">
        <f t="shared" si="12"/>
        <v>782440.69800000009</v>
      </c>
      <c r="R18" s="8">
        <f t="shared" si="12"/>
        <v>762378.11600000015</v>
      </c>
      <c r="S18" s="8">
        <f t="shared" si="12"/>
        <v>742315.5340000001</v>
      </c>
      <c r="T18" s="8">
        <f t="shared" si="12"/>
        <v>722252.95200000005</v>
      </c>
      <c r="U18" s="8">
        <f t="shared" si="12"/>
        <v>702190.37000000011</v>
      </c>
      <c r="V18" s="8">
        <f t="shared" si="12"/>
        <v>682127.78800000018</v>
      </c>
      <c r="W18" s="8">
        <f t="shared" si="12"/>
        <v>662065.20600000012</v>
      </c>
      <c r="X18" s="8">
        <f t="shared" si="12"/>
        <v>642002.62400000007</v>
      </c>
      <c r="Y18" s="8">
        <f t="shared" si="12"/>
        <v>621940.04200000013</v>
      </c>
      <c r="Z18" s="8">
        <f t="shared" si="12"/>
        <v>601877.4600000002</v>
      </c>
      <c r="AA18" s="8">
        <f t="shared" si="12"/>
        <v>581814.87800000014</v>
      </c>
      <c r="AB18" s="8">
        <f t="shared" si="12"/>
        <v>561752.29600000009</v>
      </c>
      <c r="AC18" s="8">
        <f t="shared" si="12"/>
        <v>541689.71400000015</v>
      </c>
      <c r="AD18" s="8">
        <f t="shared" si="12"/>
        <v>521627.13200000016</v>
      </c>
      <c r="AE18" s="8">
        <f t="shared" si="12"/>
        <v>501564.55000000016</v>
      </c>
      <c r="AF18" s="8">
        <f t="shared" si="12"/>
        <v>481501.96800000017</v>
      </c>
      <c r="AG18" s="8">
        <f t="shared" si="12"/>
        <v>461439.38600000017</v>
      </c>
      <c r="AH18" s="8">
        <f t="shared" si="12"/>
        <v>441376.80400000012</v>
      </c>
      <c r="AI18" s="8">
        <f t="shared" si="12"/>
        <v>421314.22200000007</v>
      </c>
      <c r="AJ18" s="8">
        <f t="shared" si="12"/>
        <v>401251.64</v>
      </c>
      <c r="AK18" s="8">
        <f t="shared" si="12"/>
        <v>381189.05799999996</v>
      </c>
      <c r="AL18" s="8">
        <f t="shared" si="12"/>
        <v>361126.47599999991</v>
      </c>
      <c r="AM18" s="8">
        <f t="shared" si="12"/>
        <v>341063.89399999985</v>
      </c>
      <c r="AN18" s="8">
        <f t="shared" si="12"/>
        <v>321001.3119999998</v>
      </c>
      <c r="AO18" s="8">
        <f t="shared" si="12"/>
        <v>300938.72999999975</v>
      </c>
      <c r="AP18" s="8">
        <f t="shared" si="12"/>
        <v>280876.1479999997</v>
      </c>
      <c r="AQ18" s="8">
        <f t="shared" si="12"/>
        <v>260813.56599999964</v>
      </c>
      <c r="AR18" s="8">
        <f t="shared" si="12"/>
        <v>240750.98399999959</v>
      </c>
      <c r="AS18" s="8">
        <f t="shared" si="12"/>
        <v>220688.40199999954</v>
      </c>
      <c r="AT18" s="8">
        <f t="shared" si="12"/>
        <v>200625.81999999948</v>
      </c>
      <c r="AU18" s="8">
        <f t="shared" si="12"/>
        <v>180563.23799999943</v>
      </c>
      <c r="AV18" s="8">
        <f t="shared" si="12"/>
        <v>160500.65599999938</v>
      </c>
      <c r="AW18" s="8">
        <f t="shared" si="12"/>
        <v>140438.07399999932</v>
      </c>
      <c r="AX18" s="8">
        <f t="shared" si="12"/>
        <v>120375.49199999927</v>
      </c>
      <c r="AY18" s="8">
        <f t="shared" si="12"/>
        <v>100312.90999999922</v>
      </c>
      <c r="AZ18" s="8">
        <f t="shared" si="12"/>
        <v>80250.327999999165</v>
      </c>
      <c r="BA18" s="8">
        <f t="shared" si="12"/>
        <v>60187.745999999112</v>
      </c>
      <c r="BB18" s="8">
        <f t="shared" si="12"/>
        <v>40125.163999999058</v>
      </c>
      <c r="BC18" s="8">
        <f t="shared" si="12"/>
        <v>20062.581999999005</v>
      </c>
      <c r="BD18" s="8">
        <f t="shared" si="12"/>
        <v>-1.0477378964424133E-9</v>
      </c>
      <c r="BE18" s="8">
        <f t="shared" si="12"/>
        <v>0</v>
      </c>
      <c r="BF18" s="8">
        <f t="shared" si="12"/>
        <v>0</v>
      </c>
      <c r="BG18" s="8">
        <f t="shared" si="12"/>
        <v>0</v>
      </c>
      <c r="BH18" s="8">
        <f t="shared" si="12"/>
        <v>0</v>
      </c>
      <c r="BI18" s="8">
        <f t="shared" si="12"/>
        <v>0</v>
      </c>
      <c r="BJ18" s="8">
        <f t="shared" si="12"/>
        <v>0</v>
      </c>
      <c r="BK18" s="8">
        <f t="shared" si="12"/>
        <v>0</v>
      </c>
      <c r="BL18" s="8">
        <f t="shared" si="12"/>
        <v>0</v>
      </c>
      <c r="BM18" s="8">
        <f t="shared" si="12"/>
        <v>0</v>
      </c>
      <c r="BN18" s="8">
        <f t="shared" si="12"/>
        <v>0</v>
      </c>
      <c r="BO18" s="8">
        <f t="shared" si="12"/>
        <v>0</v>
      </c>
      <c r="BP18" s="8">
        <f t="shared" si="12"/>
        <v>0</v>
      </c>
      <c r="BQ18" s="8">
        <f t="shared" si="12"/>
        <v>0</v>
      </c>
      <c r="BR18" s="8">
        <f t="shared" si="12"/>
        <v>0</v>
      </c>
      <c r="BS18" s="8">
        <f t="shared" ref="BS18:DA18" si="13">BR19</f>
        <v>0</v>
      </c>
      <c r="BT18" s="8">
        <f t="shared" si="13"/>
        <v>0</v>
      </c>
      <c r="BU18" s="8">
        <f t="shared" si="13"/>
        <v>0</v>
      </c>
      <c r="BV18" s="8">
        <f t="shared" si="13"/>
        <v>0</v>
      </c>
      <c r="BW18" s="8">
        <f t="shared" si="13"/>
        <v>0</v>
      </c>
      <c r="BX18" s="8">
        <f t="shared" si="13"/>
        <v>0</v>
      </c>
      <c r="BY18" s="8">
        <f t="shared" si="13"/>
        <v>0</v>
      </c>
      <c r="BZ18" s="8">
        <f t="shared" si="13"/>
        <v>0</v>
      </c>
      <c r="CA18" s="8">
        <f t="shared" si="13"/>
        <v>0</v>
      </c>
      <c r="CB18" s="8">
        <f t="shared" si="13"/>
        <v>0</v>
      </c>
      <c r="CC18" s="8">
        <f t="shared" si="13"/>
        <v>0</v>
      </c>
      <c r="CD18" s="8">
        <f t="shared" si="13"/>
        <v>0</v>
      </c>
      <c r="CE18" s="8">
        <f t="shared" si="13"/>
        <v>0</v>
      </c>
      <c r="CF18" s="8">
        <f t="shared" si="13"/>
        <v>0</v>
      </c>
      <c r="CG18" s="8">
        <f t="shared" si="13"/>
        <v>0</v>
      </c>
      <c r="CH18" s="8">
        <f t="shared" si="13"/>
        <v>0</v>
      </c>
      <c r="CI18" s="8">
        <f t="shared" si="13"/>
        <v>0</v>
      </c>
      <c r="CJ18" s="8">
        <f t="shared" si="13"/>
        <v>0</v>
      </c>
      <c r="CK18" s="8">
        <f t="shared" si="13"/>
        <v>0</v>
      </c>
      <c r="CL18" s="8">
        <f t="shared" si="13"/>
        <v>0</v>
      </c>
      <c r="CM18" s="8">
        <f t="shared" si="13"/>
        <v>0</v>
      </c>
      <c r="CN18" s="8">
        <f t="shared" si="13"/>
        <v>0</v>
      </c>
      <c r="CO18" s="8">
        <f t="shared" si="13"/>
        <v>0</v>
      </c>
      <c r="CP18" s="8">
        <f t="shared" si="13"/>
        <v>0</v>
      </c>
      <c r="CQ18" s="8">
        <f t="shared" si="13"/>
        <v>0</v>
      </c>
      <c r="CR18" s="8">
        <f t="shared" si="13"/>
        <v>0</v>
      </c>
      <c r="CS18" s="8">
        <f t="shared" si="13"/>
        <v>0</v>
      </c>
      <c r="CT18" s="8">
        <f t="shared" si="13"/>
        <v>0</v>
      </c>
      <c r="CU18" s="8">
        <f t="shared" si="13"/>
        <v>0</v>
      </c>
      <c r="CV18" s="8">
        <f t="shared" si="13"/>
        <v>0</v>
      </c>
      <c r="CW18" s="8">
        <f t="shared" si="13"/>
        <v>0</v>
      </c>
      <c r="CX18" s="8">
        <f t="shared" si="13"/>
        <v>0</v>
      </c>
      <c r="CY18" s="8">
        <f t="shared" si="13"/>
        <v>0</v>
      </c>
      <c r="CZ18" s="8">
        <f t="shared" si="13"/>
        <v>0</v>
      </c>
      <c r="DA18" s="8">
        <f t="shared" si="13"/>
        <v>0</v>
      </c>
    </row>
    <row r="19" spans="1:106" x14ac:dyDescent="0.4">
      <c r="D19" t="s">
        <v>168</v>
      </c>
      <c r="E19" s="8">
        <f>E16+E17</f>
        <v>1003129.1000000001</v>
      </c>
      <c r="F19" s="8">
        <f t="shared" ref="F19:BQ19" si="14">F16+F17</f>
        <v>983066.51800000004</v>
      </c>
      <c r="G19" s="8">
        <f t="shared" si="14"/>
        <v>963003.9360000001</v>
      </c>
      <c r="H19" s="8">
        <f t="shared" si="14"/>
        <v>942941.35400000005</v>
      </c>
      <c r="I19" s="8">
        <f t="shared" si="14"/>
        <v>922878.77200000011</v>
      </c>
      <c r="J19" s="8">
        <f t="shared" si="14"/>
        <v>902816.19000000006</v>
      </c>
      <c r="K19" s="8">
        <f t="shared" si="14"/>
        <v>882753.60800000012</v>
      </c>
      <c r="L19" s="8">
        <f t="shared" si="14"/>
        <v>862691.02600000007</v>
      </c>
      <c r="M19" s="8">
        <f t="shared" si="14"/>
        <v>842628.44400000013</v>
      </c>
      <c r="N19" s="8">
        <f t="shared" si="14"/>
        <v>822565.86200000008</v>
      </c>
      <c r="O19" s="8">
        <f t="shared" si="14"/>
        <v>802503.28000000014</v>
      </c>
      <c r="P19" s="8">
        <f t="shared" si="14"/>
        <v>782440.69800000009</v>
      </c>
      <c r="Q19" s="8">
        <f t="shared" si="14"/>
        <v>762378.11600000015</v>
      </c>
      <c r="R19" s="8">
        <f t="shared" si="14"/>
        <v>742315.5340000001</v>
      </c>
      <c r="S19" s="8">
        <f t="shared" si="14"/>
        <v>722252.95200000005</v>
      </c>
      <c r="T19" s="8">
        <f t="shared" si="14"/>
        <v>702190.37000000011</v>
      </c>
      <c r="U19" s="8">
        <f t="shared" si="14"/>
        <v>682127.78800000018</v>
      </c>
      <c r="V19" s="8">
        <f t="shared" si="14"/>
        <v>662065.20600000012</v>
      </c>
      <c r="W19" s="8">
        <f t="shared" si="14"/>
        <v>642002.62400000007</v>
      </c>
      <c r="X19" s="8">
        <f t="shared" si="14"/>
        <v>621940.04200000013</v>
      </c>
      <c r="Y19" s="8">
        <f t="shared" si="14"/>
        <v>601877.4600000002</v>
      </c>
      <c r="Z19" s="8">
        <f t="shared" si="14"/>
        <v>581814.87800000014</v>
      </c>
      <c r="AA19" s="8">
        <f t="shared" si="14"/>
        <v>561752.29600000009</v>
      </c>
      <c r="AB19" s="8">
        <f t="shared" si="14"/>
        <v>541689.71400000015</v>
      </c>
      <c r="AC19" s="8">
        <f t="shared" si="14"/>
        <v>521627.13200000016</v>
      </c>
      <c r="AD19" s="8">
        <f t="shared" si="14"/>
        <v>501564.55000000016</v>
      </c>
      <c r="AE19" s="8">
        <f t="shared" si="14"/>
        <v>481501.96800000017</v>
      </c>
      <c r="AF19" s="8">
        <f t="shared" si="14"/>
        <v>461439.38600000017</v>
      </c>
      <c r="AG19" s="8">
        <f t="shared" si="14"/>
        <v>441376.80400000012</v>
      </c>
      <c r="AH19" s="8">
        <f t="shared" si="14"/>
        <v>421314.22200000007</v>
      </c>
      <c r="AI19" s="8">
        <f t="shared" si="14"/>
        <v>401251.64</v>
      </c>
      <c r="AJ19" s="8">
        <f t="shared" si="14"/>
        <v>381189.05799999996</v>
      </c>
      <c r="AK19" s="8">
        <f t="shared" si="14"/>
        <v>361126.47599999991</v>
      </c>
      <c r="AL19" s="8">
        <f t="shared" si="14"/>
        <v>341063.89399999985</v>
      </c>
      <c r="AM19" s="8">
        <f t="shared" si="14"/>
        <v>321001.3119999998</v>
      </c>
      <c r="AN19" s="8">
        <f t="shared" si="14"/>
        <v>300938.72999999975</v>
      </c>
      <c r="AO19" s="8">
        <f t="shared" si="14"/>
        <v>280876.1479999997</v>
      </c>
      <c r="AP19" s="8">
        <f t="shared" si="14"/>
        <v>260813.56599999964</v>
      </c>
      <c r="AQ19" s="8">
        <f t="shared" si="14"/>
        <v>240750.98399999959</v>
      </c>
      <c r="AR19" s="8">
        <f t="shared" si="14"/>
        <v>220688.40199999954</v>
      </c>
      <c r="AS19" s="8">
        <f t="shared" si="14"/>
        <v>200625.81999999948</v>
      </c>
      <c r="AT19" s="8">
        <f t="shared" si="14"/>
        <v>180563.23799999943</v>
      </c>
      <c r="AU19" s="8">
        <f t="shared" si="14"/>
        <v>160500.65599999938</v>
      </c>
      <c r="AV19" s="8">
        <f t="shared" si="14"/>
        <v>140438.07399999932</v>
      </c>
      <c r="AW19" s="8">
        <f t="shared" si="14"/>
        <v>120375.49199999927</v>
      </c>
      <c r="AX19" s="8">
        <f t="shared" si="14"/>
        <v>100312.90999999922</v>
      </c>
      <c r="AY19" s="8">
        <f t="shared" si="14"/>
        <v>80250.327999999165</v>
      </c>
      <c r="AZ19" s="8">
        <f t="shared" si="14"/>
        <v>60187.745999999112</v>
      </c>
      <c r="BA19" s="8">
        <f t="shared" si="14"/>
        <v>40125.163999999058</v>
      </c>
      <c r="BB19" s="8">
        <f t="shared" si="14"/>
        <v>20062.581999999005</v>
      </c>
      <c r="BC19" s="8">
        <f t="shared" si="14"/>
        <v>-1.0477378964424133E-9</v>
      </c>
      <c r="BD19" s="8">
        <f t="shared" si="14"/>
        <v>0</v>
      </c>
      <c r="BE19" s="8">
        <f t="shared" si="14"/>
        <v>0</v>
      </c>
      <c r="BF19" s="8">
        <f t="shared" si="14"/>
        <v>0</v>
      </c>
      <c r="BG19" s="8">
        <f t="shared" si="14"/>
        <v>0</v>
      </c>
      <c r="BH19" s="8">
        <f t="shared" si="14"/>
        <v>0</v>
      </c>
      <c r="BI19" s="8">
        <f t="shared" si="14"/>
        <v>0</v>
      </c>
      <c r="BJ19" s="8">
        <f t="shared" si="14"/>
        <v>0</v>
      </c>
      <c r="BK19" s="8">
        <f t="shared" si="14"/>
        <v>0</v>
      </c>
      <c r="BL19" s="8">
        <f t="shared" si="14"/>
        <v>0</v>
      </c>
      <c r="BM19" s="8">
        <f t="shared" si="14"/>
        <v>0</v>
      </c>
      <c r="BN19" s="8">
        <f t="shared" si="14"/>
        <v>0</v>
      </c>
      <c r="BO19" s="8">
        <f t="shared" si="14"/>
        <v>0</v>
      </c>
      <c r="BP19" s="8">
        <f t="shared" si="14"/>
        <v>0</v>
      </c>
      <c r="BQ19" s="8">
        <f t="shared" si="14"/>
        <v>0</v>
      </c>
      <c r="BR19" s="8">
        <f t="shared" ref="BR19:DA19" si="15">BR16+BR17</f>
        <v>0</v>
      </c>
      <c r="BS19" s="8">
        <f t="shared" si="15"/>
        <v>0</v>
      </c>
      <c r="BT19" s="8">
        <f t="shared" si="15"/>
        <v>0</v>
      </c>
      <c r="BU19" s="8">
        <f t="shared" si="15"/>
        <v>0</v>
      </c>
      <c r="BV19" s="8">
        <f t="shared" si="15"/>
        <v>0</v>
      </c>
      <c r="BW19" s="8">
        <f t="shared" si="15"/>
        <v>0</v>
      </c>
      <c r="BX19" s="8">
        <f t="shared" si="15"/>
        <v>0</v>
      </c>
      <c r="BY19" s="8">
        <f t="shared" si="15"/>
        <v>0</v>
      </c>
      <c r="BZ19" s="8">
        <f t="shared" si="15"/>
        <v>0</v>
      </c>
      <c r="CA19" s="8">
        <f t="shared" si="15"/>
        <v>0</v>
      </c>
      <c r="CB19" s="8">
        <f t="shared" si="15"/>
        <v>0</v>
      </c>
      <c r="CC19" s="8">
        <f t="shared" si="15"/>
        <v>0</v>
      </c>
      <c r="CD19" s="8">
        <f t="shared" si="15"/>
        <v>0</v>
      </c>
      <c r="CE19" s="8">
        <f t="shared" si="15"/>
        <v>0</v>
      </c>
      <c r="CF19" s="8">
        <f t="shared" si="15"/>
        <v>0</v>
      </c>
      <c r="CG19" s="8">
        <f t="shared" si="15"/>
        <v>0</v>
      </c>
      <c r="CH19" s="8">
        <f t="shared" si="15"/>
        <v>0</v>
      </c>
      <c r="CI19" s="8">
        <f t="shared" si="15"/>
        <v>0</v>
      </c>
      <c r="CJ19" s="8">
        <f t="shared" si="15"/>
        <v>0</v>
      </c>
      <c r="CK19" s="8">
        <f t="shared" si="15"/>
        <v>0</v>
      </c>
      <c r="CL19" s="8">
        <f t="shared" si="15"/>
        <v>0</v>
      </c>
      <c r="CM19" s="8">
        <f t="shared" si="15"/>
        <v>0</v>
      </c>
      <c r="CN19" s="8">
        <f t="shared" si="15"/>
        <v>0</v>
      </c>
      <c r="CO19" s="8">
        <f t="shared" si="15"/>
        <v>0</v>
      </c>
      <c r="CP19" s="8">
        <f t="shared" si="15"/>
        <v>0</v>
      </c>
      <c r="CQ19" s="8">
        <f t="shared" si="15"/>
        <v>0</v>
      </c>
      <c r="CR19" s="8">
        <f t="shared" si="15"/>
        <v>0</v>
      </c>
      <c r="CS19" s="8">
        <f t="shared" si="15"/>
        <v>0</v>
      </c>
      <c r="CT19" s="8">
        <f t="shared" si="15"/>
        <v>0</v>
      </c>
      <c r="CU19" s="8">
        <f t="shared" si="15"/>
        <v>0</v>
      </c>
      <c r="CV19" s="8">
        <f t="shared" si="15"/>
        <v>0</v>
      </c>
      <c r="CW19" s="8">
        <f t="shared" si="15"/>
        <v>0</v>
      </c>
      <c r="CX19" s="8">
        <f t="shared" si="15"/>
        <v>0</v>
      </c>
      <c r="CY19" s="8">
        <f t="shared" si="15"/>
        <v>0</v>
      </c>
      <c r="CZ19" s="8">
        <f t="shared" si="15"/>
        <v>0</v>
      </c>
      <c r="DA19" s="8">
        <f t="shared" si="15"/>
        <v>0</v>
      </c>
    </row>
    <row r="20" spans="1:106" x14ac:dyDescent="0.4"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</row>
    <row r="21" spans="1:106" x14ac:dyDescent="0.4">
      <c r="D21" t="s">
        <v>169</v>
      </c>
      <c r="E21" s="8"/>
      <c r="F21" s="8">
        <f>IF(F13&lt;=$B$4+1,F16*VLOOKUP(F13,Assumptions!$A$70:$B$90,2,0),0)</f>
        <v>37617.341250000005</v>
      </c>
      <c r="G21" s="8">
        <f>IF(G13&lt;=$B$4+1,G16*VLOOKUP(G13,Assumptions!$A$70:$B$90,2,0),0)</f>
        <v>72415.889729000017</v>
      </c>
      <c r="H21" s="8">
        <f>IF(H13&lt;=$B$4+1,H16*VLOOKUP(H13,Assumptions!$A$70:$B$90,2,0),0)</f>
        <v>66978.930007000003</v>
      </c>
      <c r="I21" s="8">
        <f>IF(I13&lt;=$B$4+1,I16*VLOOKUP(I13,Assumptions!$A$70:$B$90,2,0),0)</f>
        <v>61963.284507000004</v>
      </c>
      <c r="J21" s="8">
        <f>IF(J13&lt;=$B$4+1,J16*VLOOKUP(J13,Assumptions!$A$70:$B$90,2,0),0)</f>
        <v>57308.765483000003</v>
      </c>
      <c r="K21" s="8">
        <f>IF(K13&lt;=$B$4+1,K16*VLOOKUP(K13,Assumptions!$A$70:$B$90,2,0),0)</f>
        <v>53015.372935000007</v>
      </c>
      <c r="L21" s="8">
        <f>IF(L13&lt;=$B$4+1,L16*VLOOKUP(L13,Assumptions!$A$70:$B$90,2,0),0)</f>
        <v>49032.950408000004</v>
      </c>
      <c r="M21" s="8">
        <f>IF(M13&lt;=$B$4+1,M16*VLOOKUP(M13,Assumptions!$A$70:$B$90,2,0),0)</f>
        <v>45361.49790200001</v>
      </c>
      <c r="N21" s="8">
        <f>IF(N13&lt;=$B$4+1,N16*VLOOKUP(N13,Assumptions!$A$70:$B$90,2,0),0)</f>
        <v>44759.620442000007</v>
      </c>
      <c r="O21" s="8">
        <f>IF(O13&lt;=$B$4+1,O16*VLOOKUP(O13,Assumptions!$A$70:$B$90,2,0),0)</f>
        <v>44749.589151</v>
      </c>
      <c r="P21" s="8">
        <f>IF(P13&lt;=$B$4+1,P16*VLOOKUP(P13,Assumptions!$A$70:$B$90,2,0),0)</f>
        <v>44759.620442000007</v>
      </c>
      <c r="Q21" s="8">
        <f>IF(Q13&lt;=$B$4+1,Q16*VLOOKUP(Q13,Assumptions!$A$70:$B$90,2,0),0)</f>
        <v>44749.589151</v>
      </c>
      <c r="R21" s="8">
        <f>IF(R13&lt;=$B$4+1,R16*VLOOKUP(R13,Assumptions!$A$70:$B$90,2,0),0)</f>
        <v>44759.620442000007</v>
      </c>
      <c r="S21" s="8">
        <f>IF(S13&lt;=$B$4+1,S16*VLOOKUP(S13,Assumptions!$A$70:$B$90,2,0),0)</f>
        <v>44749.589151</v>
      </c>
      <c r="T21" s="8">
        <f>IF(T13&lt;=$B$4+1,T16*VLOOKUP(T13,Assumptions!$A$70:$B$90,2,0),0)</f>
        <v>44759.620442000007</v>
      </c>
      <c r="U21" s="8">
        <f>IF(U13&lt;=$B$4+1,U16*VLOOKUP(U13,Assumptions!$A$70:$B$90,2,0),0)</f>
        <v>44749.589151</v>
      </c>
      <c r="V21" s="8">
        <f>IF(V13&lt;=$B$4+1,V16*VLOOKUP(V13,Assumptions!$A$70:$B$90,2,0),0)</f>
        <v>44759.620442000007</v>
      </c>
      <c r="W21" s="8">
        <f>IF(W13&lt;=$B$4+1,W16*VLOOKUP(W13,Assumptions!$A$70:$B$90,2,0),0)</f>
        <v>44749.589151</v>
      </c>
      <c r="X21" s="8">
        <f>IF(X13&lt;=$B$4+1,X16*VLOOKUP(X13,Assumptions!$A$70:$B$90,2,0),0)</f>
        <v>44759.620442000007</v>
      </c>
      <c r="Y21" s="8">
        <f>IF(Y13&lt;=$B$4+1,Y16*VLOOKUP(Y13,Assumptions!$A$70:$B$90,2,0),0)</f>
        <v>44749.589151</v>
      </c>
      <c r="Z21" s="8">
        <f>IF(Z13&lt;=$B$4+1,Z16*VLOOKUP(Z13,Assumptions!$A$70:$B$90,2,0),0)</f>
        <v>22379.810221000003</v>
      </c>
      <c r="AA21" s="8">
        <f>IF(AA13&lt;=$B$4+1,AA16*VLOOKUP(AA13,Assumptions!$A$70:$B$90,2,0),0)</f>
        <v>0</v>
      </c>
      <c r="AB21" s="8">
        <f>IF(AB13&lt;=$B$4+1,AB16*VLOOKUP(AB13,Assumptions!$A$70:$B$90,2,0),0)</f>
        <v>0</v>
      </c>
      <c r="AC21" s="8">
        <f>IF(AC13&lt;=$B$4+1,AC16*VLOOKUP(AC13,Assumptions!$A$70:$B$90,2,0),0)</f>
        <v>0</v>
      </c>
      <c r="AD21" s="8">
        <f>IF(AD13&lt;=$B$4+1,AD16*VLOOKUP(AD13,Assumptions!$A$70:$B$90,2,0),0)</f>
        <v>0</v>
      </c>
      <c r="AE21" s="8">
        <f>IF(AE13&lt;=$B$4+1,AE16*VLOOKUP(AE13,Assumptions!$A$70:$B$90,2,0),0)</f>
        <v>0</v>
      </c>
      <c r="AF21" s="8">
        <f>IF(AF13&lt;=$B$4+1,AF16*VLOOKUP(AF13,Assumptions!$A$70:$B$90,2,0),0)</f>
        <v>0</v>
      </c>
      <c r="AG21" s="8">
        <f>IF(AG13&lt;=$B$4+1,AG16*VLOOKUP(AG13,Assumptions!$A$70:$B$90,2,0),0)</f>
        <v>0</v>
      </c>
      <c r="AH21" s="8">
        <f>IF(AH13&lt;=$B$4+1,AH16*VLOOKUP(AH13,Assumptions!$A$70:$B$90,2,0),0)</f>
        <v>0</v>
      </c>
      <c r="AI21" s="8">
        <f>IF(AI13&lt;=$B$4+1,AI16*VLOOKUP(AI13,Assumptions!$A$70:$B$90,2,0),0)</f>
        <v>0</v>
      </c>
      <c r="AJ21" s="8">
        <f>IF(AJ13&lt;=$B$4+1,AJ16*VLOOKUP(AJ13,Assumptions!$A$70:$B$90,2,0),0)</f>
        <v>0</v>
      </c>
      <c r="AK21" s="8">
        <f>IF(AK13&lt;=$B$4+1,AK16*VLOOKUP(AK13,Assumptions!$A$70:$B$90,2,0),0)</f>
        <v>0</v>
      </c>
      <c r="AL21" s="8">
        <f>IF(AL13&lt;=$B$4+1,AL16*VLOOKUP(AL13,Assumptions!$A$70:$B$90,2,0),0)</f>
        <v>0</v>
      </c>
      <c r="AM21" s="8">
        <f>IF(AM13&lt;=$B$4+1,AM16*VLOOKUP(AM13,Assumptions!$A$70:$B$90,2,0),0)</f>
        <v>0</v>
      </c>
      <c r="AN21" s="8">
        <f>IF(AN13&lt;=$B$4+1,AN16*VLOOKUP(AN13,Assumptions!$A$70:$B$90,2,0),0)</f>
        <v>0</v>
      </c>
      <c r="AO21" s="8">
        <f>IF(AO13&lt;=$B$4+1,AO16*VLOOKUP(AO13,Assumptions!$A$70:$B$90,2,0),0)</f>
        <v>0</v>
      </c>
      <c r="AP21" s="8">
        <f>IF(AP13&lt;=$B$4+1,AP16*VLOOKUP(AP13,Assumptions!$A$70:$B$90,2,0),0)</f>
        <v>0</v>
      </c>
      <c r="AQ21" s="8">
        <f>IF(AQ13&lt;=$B$4+1,AQ16*VLOOKUP(AQ13,Assumptions!$A$70:$B$90,2,0),0)</f>
        <v>0</v>
      </c>
      <c r="AR21" s="8">
        <f>IF(AR13&lt;=$B$4+1,AR16*VLOOKUP(AR13,Assumptions!$A$70:$B$90,2,0),0)</f>
        <v>0</v>
      </c>
      <c r="AS21" s="8">
        <f>IF(AS13&lt;=$B$4+1,AS16*VLOOKUP(AS13,Assumptions!$A$70:$B$90,2,0),0)</f>
        <v>0</v>
      </c>
      <c r="AT21" s="8">
        <f>IF(AT13&lt;=$B$4+1,AT16*VLOOKUP(AT13,Assumptions!$A$70:$B$90,2,0),0)</f>
        <v>0</v>
      </c>
      <c r="AU21" s="8">
        <f>IF(AU13&lt;=$B$4+1,AU16*VLOOKUP(AU13,Assumptions!$A$70:$B$90,2,0),0)</f>
        <v>0</v>
      </c>
      <c r="AV21" s="8">
        <f>IF(AV13&lt;=$B$4+1,AV16*VLOOKUP(AV13,Assumptions!$A$70:$B$90,2,0),0)</f>
        <v>0</v>
      </c>
      <c r="AW21" s="8">
        <f>IF(AW13&lt;=$B$4+1,AW16*VLOOKUP(AW13,Assumptions!$A$70:$B$90,2,0),0)</f>
        <v>0</v>
      </c>
      <c r="AX21" s="8">
        <f>IF(AX13&lt;=$B$4+1,AX16*VLOOKUP(AX13,Assumptions!$A$70:$B$90,2,0),0)</f>
        <v>0</v>
      </c>
      <c r="AY21" s="8">
        <f>IF(AY13&lt;=$B$4+1,AY16*VLOOKUP(AY13,Assumptions!$A$70:$B$90,2,0),0)</f>
        <v>0</v>
      </c>
      <c r="AZ21" s="8">
        <f>IF(AZ13&lt;=$B$4+1,AZ16*VLOOKUP(AZ13,Assumptions!$A$70:$B$90,2,0),0)</f>
        <v>0</v>
      </c>
      <c r="BA21" s="8">
        <f>IF(BA13&lt;=$B$4+1,BA16*VLOOKUP(BA13,Assumptions!$A$70:$B$90,2,0),0)</f>
        <v>0</v>
      </c>
      <c r="BB21" s="8">
        <f>IF(BB13&lt;=$B$4+1,BB16*VLOOKUP(BB13,Assumptions!$A$70:$B$90,2,0),0)</f>
        <v>0</v>
      </c>
      <c r="BC21" s="8">
        <f>IF(BC13&lt;=$B$4+1,BC16*VLOOKUP(BC13,Assumptions!$A$70:$B$90,2,0),0)</f>
        <v>0</v>
      </c>
      <c r="BD21" s="8">
        <f>IF(BD13&lt;=$B$4+1,BD16*VLOOKUP(BD13,Assumptions!$A$70:$B$90,2,0),0)</f>
        <v>0</v>
      </c>
      <c r="BE21" s="8">
        <f>IF(BE13&lt;=$B$4+1,BE16*VLOOKUP(BE13,Assumptions!$A$70:$B$90,2,0),0)</f>
        <v>0</v>
      </c>
      <c r="BF21" s="8">
        <f>IF(BF13&lt;=$B$4+1,BF16*VLOOKUP(BF13,Assumptions!$A$70:$B$90,2,0),0)</f>
        <v>0</v>
      </c>
      <c r="BG21" s="8">
        <f>IF(BG13&lt;=$B$4+1,BG16*VLOOKUP(BG13,Assumptions!$A$70:$B$90,2,0),0)</f>
        <v>0</v>
      </c>
      <c r="BH21" s="8">
        <f>IF(BH13&lt;=$B$4+1,BH16*VLOOKUP(BH13,Assumptions!$A$70:$B$90,2,0),0)</f>
        <v>0</v>
      </c>
      <c r="BI21" s="8">
        <f>IF(BI13&lt;=$B$4+1,BI16*VLOOKUP(BI13,Assumptions!$A$70:$B$90,2,0),0)</f>
        <v>0</v>
      </c>
      <c r="BJ21" s="8">
        <f>IF(BJ13&lt;=$B$4+1,BJ16*VLOOKUP(BJ13,Assumptions!$A$70:$B$90,2,0),0)</f>
        <v>0</v>
      </c>
      <c r="BK21" s="8">
        <f>IF(BK13&lt;=$B$4+1,BK16*VLOOKUP(BK13,Assumptions!$A$70:$B$90,2,0),0)</f>
        <v>0</v>
      </c>
      <c r="BL21" s="8">
        <f>IF(BL13&lt;=$B$4+1,BL16*VLOOKUP(BL13,Assumptions!$A$70:$B$90,2,0),0)</f>
        <v>0</v>
      </c>
      <c r="BM21" s="8">
        <f>IF(BM13&lt;=$B$4+1,BM16*VLOOKUP(BM13,Assumptions!$A$70:$B$90,2,0),0)</f>
        <v>0</v>
      </c>
      <c r="BN21" s="8">
        <f>IF(BN13&lt;=$B$4+1,BN16*VLOOKUP(BN13,Assumptions!$A$70:$B$90,2,0),0)</f>
        <v>0</v>
      </c>
      <c r="BO21" s="8">
        <f>IF(BO13&lt;=$B$4+1,BO16*VLOOKUP(BO13,Assumptions!$A$70:$B$90,2,0),0)</f>
        <v>0</v>
      </c>
      <c r="BP21" s="8">
        <f>IF(BP13&lt;=$B$4+1,BP16*VLOOKUP(BP13,Assumptions!$A$70:$B$90,2,0),0)</f>
        <v>0</v>
      </c>
      <c r="BQ21" s="8">
        <f>IF(BQ13&lt;=$B$4+1,BQ16*VLOOKUP(BQ13,Assumptions!$A$70:$B$90,2,0),0)</f>
        <v>0</v>
      </c>
      <c r="BR21" s="8">
        <f>IF(BR13&lt;=$B$4+1,BR16*VLOOKUP(BR13,Assumptions!$A$70:$B$90,2,0),0)</f>
        <v>0</v>
      </c>
      <c r="BS21" s="8">
        <f>IF(BS13&lt;=$B$4+1,BS16*VLOOKUP(BS13,Assumptions!$A$70:$B$90,2,0),0)</f>
        <v>0</v>
      </c>
      <c r="BT21" s="8">
        <f>IF(BT13&lt;=$B$4+1,BT16*VLOOKUP(BT13,Assumptions!$A$70:$B$90,2,0),0)</f>
        <v>0</v>
      </c>
      <c r="BU21" s="8">
        <f>IF(BU13&lt;=$B$4+1,BU16*VLOOKUP(BU13,Assumptions!$A$70:$B$90,2,0),0)</f>
        <v>0</v>
      </c>
      <c r="BV21" s="8">
        <f>IF(BV13&lt;=$B$4+1,BV16*VLOOKUP(BV13,Assumptions!$A$70:$B$90,2,0),0)</f>
        <v>0</v>
      </c>
      <c r="BW21" s="8">
        <f>IF(BW13&lt;=$B$4+1,BW16*VLOOKUP(BW13,Assumptions!$A$70:$B$90,2,0),0)</f>
        <v>0</v>
      </c>
      <c r="BX21" s="8">
        <f>IF(BX13&lt;=$B$4+1,BX16*VLOOKUP(BX13,Assumptions!$A$70:$B$90,2,0),0)</f>
        <v>0</v>
      </c>
      <c r="BY21" s="8">
        <f>IF(BY13&lt;=$B$4+1,BY16*VLOOKUP(BY13,Assumptions!$A$70:$B$90,2,0),0)</f>
        <v>0</v>
      </c>
      <c r="BZ21" s="8">
        <f>IF(BZ13&lt;=$B$4+1,BZ16*VLOOKUP(BZ13,Assumptions!$A$70:$B$90,2,0),0)</f>
        <v>0</v>
      </c>
      <c r="CA21" s="8">
        <f>IF(CA13&lt;=$B$4+1,CA16*VLOOKUP(CA13,Assumptions!$A$70:$B$90,2,0),0)</f>
        <v>0</v>
      </c>
      <c r="CB21" s="8">
        <f>IF(CB13&lt;=$B$4+1,CB16*VLOOKUP(CB13,Assumptions!$A$70:$B$90,2,0),0)</f>
        <v>0</v>
      </c>
      <c r="CC21" s="8">
        <f>IF(CC13&lt;=$B$4+1,CC16*VLOOKUP(CC13,Assumptions!$A$70:$B$90,2,0),0)</f>
        <v>0</v>
      </c>
      <c r="CD21" s="8">
        <f>IF(CD13&lt;=$B$4+1,CD16*VLOOKUP(CD13,Assumptions!$A$70:$B$90,2,0),0)</f>
        <v>0</v>
      </c>
      <c r="CE21" s="8">
        <f>IF(CE13&lt;=$B$4+1,CE16*VLOOKUP(CE13,Assumptions!$A$70:$B$90,2,0),0)</f>
        <v>0</v>
      </c>
      <c r="CF21" s="8">
        <f>IF(CF13&lt;=$B$4+1,CF16*VLOOKUP(CF13,Assumptions!$A$70:$B$90,2,0),0)</f>
        <v>0</v>
      </c>
      <c r="CG21" s="8">
        <f>IF(CG13&lt;=$B$4+1,CG16*VLOOKUP(CG13,Assumptions!$A$70:$B$90,2,0),0)</f>
        <v>0</v>
      </c>
      <c r="CH21" s="8">
        <f>IF(CH13&lt;=$B$4+1,CH16*VLOOKUP(CH13,Assumptions!$A$70:$B$90,2,0),0)</f>
        <v>0</v>
      </c>
      <c r="CI21" s="8">
        <f>IF(CI13&lt;=$B$4+1,CI16*VLOOKUP(CI13,Assumptions!$A$70:$B$90,2,0),0)</f>
        <v>0</v>
      </c>
      <c r="CJ21" s="8">
        <f>IF(CJ13&lt;=$B$4+1,CJ16*VLOOKUP(CJ13,Assumptions!$A$70:$B$90,2,0),0)</f>
        <v>0</v>
      </c>
      <c r="CK21" s="8">
        <f>IF(CK13&lt;=$B$4+1,CK16*VLOOKUP(CK13,Assumptions!$A$70:$B$90,2,0),0)</f>
        <v>0</v>
      </c>
      <c r="CL21" s="8">
        <f>IF(CL13&lt;=$B$4+1,CL16*VLOOKUP(CL13,Assumptions!$A$70:$B$90,2,0),0)</f>
        <v>0</v>
      </c>
      <c r="CM21" s="8">
        <f>IF(CM13&lt;=$B$4+1,CM16*VLOOKUP(CM13,Assumptions!$A$70:$B$90,2,0),0)</f>
        <v>0</v>
      </c>
      <c r="CN21" s="8">
        <f>IF(CN13&lt;=$B$4+1,CN16*VLOOKUP(CN13,Assumptions!$A$70:$B$90,2,0),0)</f>
        <v>0</v>
      </c>
      <c r="CO21" s="8">
        <f>IF(CO13&lt;=$B$4+1,CO16*VLOOKUP(CO13,Assumptions!$A$70:$B$90,2,0),0)</f>
        <v>0</v>
      </c>
      <c r="CP21" s="8">
        <f>IF(CP13&lt;=$B$4+1,CP16*VLOOKUP(CP13,Assumptions!$A$70:$B$90,2,0),0)</f>
        <v>0</v>
      </c>
      <c r="CQ21" s="8">
        <f>IF(CQ13&lt;=$B$4+1,CQ16*VLOOKUP(CQ13,Assumptions!$A$70:$B$90,2,0),0)</f>
        <v>0</v>
      </c>
      <c r="CR21" s="8">
        <f>IF(CR13&lt;=$B$4+1,CR16*VLOOKUP(CR13,Assumptions!$A$70:$B$90,2,0),0)</f>
        <v>0</v>
      </c>
      <c r="CS21" s="8">
        <f>IF(CS13&lt;=$B$4+1,CS16*VLOOKUP(CS13,Assumptions!$A$70:$B$90,2,0),0)</f>
        <v>0</v>
      </c>
      <c r="CT21" s="8">
        <f>IF(CT13&lt;=$B$4+1,CT16*VLOOKUP(CT13,Assumptions!$A$70:$B$90,2,0),0)</f>
        <v>0</v>
      </c>
      <c r="CU21" s="8">
        <f>IF(CU13&lt;=$B$4+1,CU16*VLOOKUP(CU13,Assumptions!$A$70:$B$90,2,0),0)</f>
        <v>0</v>
      </c>
      <c r="CV21" s="8">
        <f>IF(CV13&lt;=$B$4+1,CV16*VLOOKUP(CV13,Assumptions!$A$70:$B$90,2,0),0)</f>
        <v>0</v>
      </c>
      <c r="CW21" s="8">
        <f>IF(CW13&lt;=$B$4+1,CW16*VLOOKUP(CW13,Assumptions!$A$70:$B$90,2,0),0)</f>
        <v>0</v>
      </c>
      <c r="CX21" s="8">
        <f>IF(CX13&lt;=$B$4+1,CX16*VLOOKUP(CX13,Assumptions!$A$70:$B$90,2,0),0)</f>
        <v>0</v>
      </c>
      <c r="CY21" s="8">
        <f>IF(CY13&lt;=$B$4+1,CY16*VLOOKUP(CY13,Assumptions!$A$70:$B$90,2,0),0)</f>
        <v>0</v>
      </c>
      <c r="CZ21" s="8">
        <f>IF(CZ13&lt;=$B$4+1,CZ16*VLOOKUP(CZ13,Assumptions!$A$70:$B$90,2,0),0)</f>
        <v>0</v>
      </c>
      <c r="DA21" s="8">
        <f>IF(DA13&lt;=$B$4+1,DA16*VLOOKUP(DA13,Assumptions!$A$70:$B$90,2,0),0)</f>
        <v>0</v>
      </c>
    </row>
    <row r="22" spans="1:106" x14ac:dyDescent="0.4">
      <c r="D22" t="s">
        <v>170</v>
      </c>
      <c r="E22" s="8"/>
      <c r="F22" s="8">
        <f>E23</f>
        <v>0</v>
      </c>
      <c r="G22" s="8">
        <f t="shared" ref="G22:BR22" si="16">F23</f>
        <v>-4865.3015261375012</v>
      </c>
      <c r="H22" s="8">
        <f t="shared" si="16"/>
        <v>-19375.020763229855</v>
      </c>
      <c r="I22" s="8">
        <f t="shared" si="16"/>
        <v>-32377.886613369905</v>
      </c>
      <c r="J22" s="8">
        <f t="shared" si="16"/>
        <v>-43990.666313184956</v>
      </c>
      <c r="K22" s="8">
        <f t="shared" si="16"/>
        <v>-54313.446065498407</v>
      </c>
      <c r="L22" s="8">
        <f t="shared" si="16"/>
        <v>-63446.31207313366</v>
      </c>
      <c r="M22" s="8">
        <f t="shared" si="16"/>
        <v>-71475.449677410856</v>
      </c>
      <c r="N22" s="8">
        <f t="shared" si="16"/>
        <v>-78487.044219650154</v>
      </c>
      <c r="O22" s="8">
        <f t="shared" si="16"/>
        <v>-85331.828423850457</v>
      </c>
      <c r="P22" s="8">
        <f t="shared" si="16"/>
        <v>-92173.832455750104</v>
      </c>
      <c r="Q22" s="8">
        <f t="shared" si="16"/>
        <v>-99018.616659950407</v>
      </c>
      <c r="R22" s="8">
        <f t="shared" si="16"/>
        <v>-105860.62069185005</v>
      </c>
      <c r="S22" s="8">
        <f t="shared" si="16"/>
        <v>-112705.40489605036</v>
      </c>
      <c r="T22" s="8">
        <f t="shared" si="16"/>
        <v>-119547.40892795</v>
      </c>
      <c r="U22" s="8">
        <f t="shared" si="16"/>
        <v>-126392.19313215031</v>
      </c>
      <c r="V22" s="8">
        <f t="shared" si="16"/>
        <v>-133234.19716404995</v>
      </c>
      <c r="W22" s="8">
        <f t="shared" si="16"/>
        <v>-140078.98136825024</v>
      </c>
      <c r="X22" s="8">
        <f t="shared" si="16"/>
        <v>-146920.98540014989</v>
      </c>
      <c r="Y22" s="8">
        <f t="shared" si="16"/>
        <v>-153765.76960435018</v>
      </c>
      <c r="Z22" s="8">
        <f t="shared" si="16"/>
        <v>-160607.77363624983</v>
      </c>
      <c r="AA22" s="8">
        <f t="shared" si="16"/>
        <v>-161249.99343769997</v>
      </c>
      <c r="AB22" s="8">
        <f t="shared" si="16"/>
        <v>-155689.64883639998</v>
      </c>
      <c r="AC22" s="8">
        <f t="shared" si="16"/>
        <v>-150129.30423509999</v>
      </c>
      <c r="AD22" s="8">
        <f t="shared" si="16"/>
        <v>-144568.9596338</v>
      </c>
      <c r="AE22" s="8">
        <f t="shared" si="16"/>
        <v>-139008.61503250001</v>
      </c>
      <c r="AF22" s="8">
        <f t="shared" si="16"/>
        <v>-133448.27043120001</v>
      </c>
      <c r="AG22" s="8">
        <f t="shared" si="16"/>
        <v>-127887.92582990001</v>
      </c>
      <c r="AH22" s="8">
        <f t="shared" si="16"/>
        <v>-122327.5812286</v>
      </c>
      <c r="AI22" s="8">
        <f t="shared" si="16"/>
        <v>-116767.23662729999</v>
      </c>
      <c r="AJ22" s="8">
        <f t="shared" si="16"/>
        <v>-111206.89202599999</v>
      </c>
      <c r="AK22" s="8">
        <f t="shared" si="16"/>
        <v>-105646.54742469998</v>
      </c>
      <c r="AL22" s="8">
        <f t="shared" si="16"/>
        <v>-100086.20282339997</v>
      </c>
      <c r="AM22" s="8">
        <f t="shared" si="16"/>
        <v>-94525.858222099967</v>
      </c>
      <c r="AN22" s="8">
        <f t="shared" si="16"/>
        <v>-88965.51362079996</v>
      </c>
      <c r="AO22" s="8">
        <f t="shared" si="16"/>
        <v>-83405.169019499954</v>
      </c>
      <c r="AP22" s="8">
        <f t="shared" si="16"/>
        <v>-77844.824418199947</v>
      </c>
      <c r="AQ22" s="8">
        <f t="shared" si="16"/>
        <v>-72284.47981689994</v>
      </c>
      <c r="AR22" s="8">
        <f t="shared" si="16"/>
        <v>-66724.135215599934</v>
      </c>
      <c r="AS22" s="8">
        <f t="shared" si="16"/>
        <v>-61163.790614299935</v>
      </c>
      <c r="AT22" s="8">
        <f t="shared" si="16"/>
        <v>-55603.446012999935</v>
      </c>
      <c r="AU22" s="8">
        <f t="shared" si="16"/>
        <v>-50043.101411699936</v>
      </c>
      <c r="AV22" s="8">
        <f t="shared" si="16"/>
        <v>-44482.756810399937</v>
      </c>
      <c r="AW22" s="8">
        <f t="shared" si="16"/>
        <v>-38922.412209099937</v>
      </c>
      <c r="AX22" s="8">
        <f t="shared" si="16"/>
        <v>-33362.067607799938</v>
      </c>
      <c r="AY22" s="8">
        <f t="shared" si="16"/>
        <v>-27801.723006499938</v>
      </c>
      <c r="AZ22" s="8">
        <f t="shared" si="16"/>
        <v>-22241.378405199939</v>
      </c>
      <c r="BA22" s="8">
        <f t="shared" si="16"/>
        <v>-16681.03380389994</v>
      </c>
      <c r="BB22" s="8">
        <f t="shared" si="16"/>
        <v>-11120.689202599939</v>
      </c>
      <c r="BC22" s="8">
        <f t="shared" si="16"/>
        <v>-5560.3446012999375</v>
      </c>
      <c r="BD22" s="8">
        <f t="shared" si="16"/>
        <v>6.3664629124104977E-11</v>
      </c>
      <c r="BE22" s="8">
        <f t="shared" si="16"/>
        <v>6.3664629124104977E-11</v>
      </c>
      <c r="BF22" s="8">
        <f t="shared" si="16"/>
        <v>6.3664629124104977E-11</v>
      </c>
      <c r="BG22" s="8">
        <f t="shared" si="16"/>
        <v>6.3664629124104977E-11</v>
      </c>
      <c r="BH22" s="8">
        <f t="shared" si="16"/>
        <v>6.3664629124104977E-11</v>
      </c>
      <c r="BI22" s="8">
        <f t="shared" si="16"/>
        <v>6.3664629124104977E-11</v>
      </c>
      <c r="BJ22" s="8">
        <f t="shared" si="16"/>
        <v>6.3664629124104977E-11</v>
      </c>
      <c r="BK22" s="8">
        <f t="shared" si="16"/>
        <v>6.3664629124104977E-11</v>
      </c>
      <c r="BL22" s="8">
        <f t="shared" si="16"/>
        <v>6.3664629124104977E-11</v>
      </c>
      <c r="BM22" s="8">
        <f t="shared" si="16"/>
        <v>6.3664629124104977E-11</v>
      </c>
      <c r="BN22" s="8">
        <f t="shared" si="16"/>
        <v>6.3664629124104977E-11</v>
      </c>
      <c r="BO22" s="8">
        <f t="shared" si="16"/>
        <v>6.3664629124104977E-11</v>
      </c>
      <c r="BP22" s="8">
        <f t="shared" si="16"/>
        <v>6.3664629124104977E-11</v>
      </c>
      <c r="BQ22" s="8">
        <f t="shared" si="16"/>
        <v>6.3664629124104977E-11</v>
      </c>
      <c r="BR22" s="8">
        <f t="shared" si="16"/>
        <v>6.3664629124104977E-11</v>
      </c>
      <c r="BS22" s="8">
        <f t="shared" ref="BS22:DA22" si="17">BR23</f>
        <v>6.3664629124104977E-11</v>
      </c>
      <c r="BT22" s="8">
        <f t="shared" si="17"/>
        <v>6.3664629124104977E-11</v>
      </c>
      <c r="BU22" s="8">
        <f t="shared" si="17"/>
        <v>6.3664629124104977E-11</v>
      </c>
      <c r="BV22" s="8">
        <f t="shared" si="17"/>
        <v>6.3664629124104977E-11</v>
      </c>
      <c r="BW22" s="8">
        <f t="shared" si="17"/>
        <v>6.3664629124104977E-11</v>
      </c>
      <c r="BX22" s="8">
        <f t="shared" si="17"/>
        <v>6.3664629124104977E-11</v>
      </c>
      <c r="BY22" s="8">
        <f t="shared" si="17"/>
        <v>6.3664629124104977E-11</v>
      </c>
      <c r="BZ22" s="8">
        <f t="shared" si="17"/>
        <v>6.3664629124104977E-11</v>
      </c>
      <c r="CA22" s="8">
        <f t="shared" si="17"/>
        <v>6.3664629124104977E-11</v>
      </c>
      <c r="CB22" s="8">
        <f t="shared" si="17"/>
        <v>6.3664629124104977E-11</v>
      </c>
      <c r="CC22" s="8">
        <f t="shared" si="17"/>
        <v>6.3664629124104977E-11</v>
      </c>
      <c r="CD22" s="8">
        <f t="shared" si="17"/>
        <v>6.3664629124104977E-11</v>
      </c>
      <c r="CE22" s="8">
        <f t="shared" si="17"/>
        <v>6.3664629124104977E-11</v>
      </c>
      <c r="CF22" s="8">
        <f t="shared" si="17"/>
        <v>6.3664629124104977E-11</v>
      </c>
      <c r="CG22" s="8">
        <f t="shared" si="17"/>
        <v>6.3664629124104977E-11</v>
      </c>
      <c r="CH22" s="8">
        <f t="shared" si="17"/>
        <v>6.3664629124104977E-11</v>
      </c>
      <c r="CI22" s="8">
        <f t="shared" si="17"/>
        <v>6.3664629124104977E-11</v>
      </c>
      <c r="CJ22" s="8">
        <f t="shared" si="17"/>
        <v>6.3664629124104977E-11</v>
      </c>
      <c r="CK22" s="8">
        <f t="shared" si="17"/>
        <v>6.3664629124104977E-11</v>
      </c>
      <c r="CL22" s="8">
        <f t="shared" si="17"/>
        <v>6.3664629124104977E-11</v>
      </c>
      <c r="CM22" s="8">
        <f t="shared" si="17"/>
        <v>6.3664629124104977E-11</v>
      </c>
      <c r="CN22" s="8">
        <f t="shared" si="17"/>
        <v>6.3664629124104977E-11</v>
      </c>
      <c r="CO22" s="8">
        <f t="shared" si="17"/>
        <v>6.3664629124104977E-11</v>
      </c>
      <c r="CP22" s="8">
        <f t="shared" si="17"/>
        <v>6.3664629124104977E-11</v>
      </c>
      <c r="CQ22" s="8">
        <f t="shared" si="17"/>
        <v>6.3664629124104977E-11</v>
      </c>
      <c r="CR22" s="8">
        <f t="shared" si="17"/>
        <v>6.3664629124104977E-11</v>
      </c>
      <c r="CS22" s="8">
        <f t="shared" si="17"/>
        <v>6.3664629124104977E-11</v>
      </c>
      <c r="CT22" s="8">
        <f t="shared" si="17"/>
        <v>6.3664629124104977E-11</v>
      </c>
      <c r="CU22" s="8">
        <f t="shared" si="17"/>
        <v>6.3664629124104977E-11</v>
      </c>
      <c r="CV22" s="8">
        <f t="shared" si="17"/>
        <v>6.3664629124104977E-11</v>
      </c>
      <c r="CW22" s="8">
        <f t="shared" si="17"/>
        <v>6.3664629124104977E-11</v>
      </c>
      <c r="CX22" s="8">
        <f t="shared" si="17"/>
        <v>6.3664629124104977E-11</v>
      </c>
      <c r="CY22" s="8">
        <f t="shared" si="17"/>
        <v>6.3664629124104977E-11</v>
      </c>
      <c r="CZ22" s="8">
        <f t="shared" si="17"/>
        <v>6.3664629124104977E-11</v>
      </c>
      <c r="DA22" s="8">
        <f t="shared" si="17"/>
        <v>6.3664629124104977E-11</v>
      </c>
    </row>
    <row r="23" spans="1:106" x14ac:dyDescent="0.4">
      <c r="D23" t="s">
        <v>171</v>
      </c>
      <c r="E23" s="8"/>
      <c r="F23" s="8">
        <f t="shared" ref="F23:AK23" si="18">E23+((F15-F21)*INC_TAX_RATE)</f>
        <v>-4865.3015261375012</v>
      </c>
      <c r="G23" s="8">
        <f t="shared" si="18"/>
        <v>-19375.020763229855</v>
      </c>
      <c r="H23" s="8">
        <f t="shared" si="18"/>
        <v>-32377.886613369905</v>
      </c>
      <c r="I23" s="8">
        <f t="shared" si="18"/>
        <v>-43990.666313184956</v>
      </c>
      <c r="J23" s="8">
        <f t="shared" si="18"/>
        <v>-54313.446065498407</v>
      </c>
      <c r="K23" s="8">
        <f t="shared" si="18"/>
        <v>-63446.31207313366</v>
      </c>
      <c r="L23" s="8">
        <f t="shared" si="18"/>
        <v>-71475.449677410856</v>
      </c>
      <c r="M23" s="8">
        <f t="shared" si="18"/>
        <v>-78487.044219650154</v>
      </c>
      <c r="N23" s="8">
        <f t="shared" si="18"/>
        <v>-85331.828423850457</v>
      </c>
      <c r="O23" s="8">
        <f t="shared" si="18"/>
        <v>-92173.832455750104</v>
      </c>
      <c r="P23" s="8">
        <f t="shared" si="18"/>
        <v>-99018.616659950407</v>
      </c>
      <c r="Q23" s="8">
        <f t="shared" si="18"/>
        <v>-105860.62069185005</v>
      </c>
      <c r="R23" s="8">
        <f t="shared" si="18"/>
        <v>-112705.40489605036</v>
      </c>
      <c r="S23" s="8">
        <f t="shared" si="18"/>
        <v>-119547.40892795</v>
      </c>
      <c r="T23" s="8">
        <f t="shared" si="18"/>
        <v>-126392.19313215031</v>
      </c>
      <c r="U23" s="8">
        <f t="shared" si="18"/>
        <v>-133234.19716404995</v>
      </c>
      <c r="V23" s="8">
        <f t="shared" si="18"/>
        <v>-140078.98136825024</v>
      </c>
      <c r="W23" s="8">
        <f t="shared" si="18"/>
        <v>-146920.98540014989</v>
      </c>
      <c r="X23" s="8">
        <f t="shared" si="18"/>
        <v>-153765.76960435018</v>
      </c>
      <c r="Y23" s="8">
        <f t="shared" si="18"/>
        <v>-160607.77363624983</v>
      </c>
      <c r="Z23" s="8">
        <f t="shared" si="18"/>
        <v>-161249.99343769997</v>
      </c>
      <c r="AA23" s="8">
        <f t="shared" si="18"/>
        <v>-155689.64883639998</v>
      </c>
      <c r="AB23" s="8">
        <f t="shared" si="18"/>
        <v>-150129.30423509999</v>
      </c>
      <c r="AC23" s="8">
        <f t="shared" si="18"/>
        <v>-144568.9596338</v>
      </c>
      <c r="AD23" s="8">
        <f t="shared" si="18"/>
        <v>-139008.61503250001</v>
      </c>
      <c r="AE23" s="8">
        <f t="shared" si="18"/>
        <v>-133448.27043120001</v>
      </c>
      <c r="AF23" s="8">
        <f t="shared" si="18"/>
        <v>-127887.92582990001</v>
      </c>
      <c r="AG23" s="8">
        <f t="shared" si="18"/>
        <v>-122327.5812286</v>
      </c>
      <c r="AH23" s="8">
        <f t="shared" si="18"/>
        <v>-116767.23662729999</v>
      </c>
      <c r="AI23" s="8">
        <f t="shared" si="18"/>
        <v>-111206.89202599999</v>
      </c>
      <c r="AJ23" s="8">
        <f t="shared" si="18"/>
        <v>-105646.54742469998</v>
      </c>
      <c r="AK23" s="8">
        <f t="shared" si="18"/>
        <v>-100086.20282339997</v>
      </c>
      <c r="AL23" s="8">
        <f t="shared" ref="AL23:BQ23" si="19">AK23+((AL15-AL21)*INC_TAX_RATE)</f>
        <v>-94525.858222099967</v>
      </c>
      <c r="AM23" s="8">
        <f t="shared" si="19"/>
        <v>-88965.51362079996</v>
      </c>
      <c r="AN23" s="8">
        <f t="shared" si="19"/>
        <v>-83405.169019499954</v>
      </c>
      <c r="AO23" s="8">
        <f t="shared" si="19"/>
        <v>-77844.824418199947</v>
      </c>
      <c r="AP23" s="8">
        <f t="shared" si="19"/>
        <v>-72284.47981689994</v>
      </c>
      <c r="AQ23" s="8">
        <f t="shared" si="19"/>
        <v>-66724.135215599934</v>
      </c>
      <c r="AR23" s="8">
        <f t="shared" si="19"/>
        <v>-61163.790614299935</v>
      </c>
      <c r="AS23" s="8">
        <f t="shared" si="19"/>
        <v>-55603.446012999935</v>
      </c>
      <c r="AT23" s="8">
        <f t="shared" si="19"/>
        <v>-50043.101411699936</v>
      </c>
      <c r="AU23" s="8">
        <f t="shared" si="19"/>
        <v>-44482.756810399937</v>
      </c>
      <c r="AV23" s="8">
        <f t="shared" si="19"/>
        <v>-38922.412209099937</v>
      </c>
      <c r="AW23" s="8">
        <f t="shared" si="19"/>
        <v>-33362.067607799938</v>
      </c>
      <c r="AX23" s="8">
        <f t="shared" si="19"/>
        <v>-27801.723006499938</v>
      </c>
      <c r="AY23" s="8">
        <f t="shared" si="19"/>
        <v>-22241.378405199939</v>
      </c>
      <c r="AZ23" s="8">
        <f t="shared" si="19"/>
        <v>-16681.03380389994</v>
      </c>
      <c r="BA23" s="8">
        <f t="shared" si="19"/>
        <v>-11120.689202599939</v>
      </c>
      <c r="BB23" s="8">
        <f t="shared" si="19"/>
        <v>-5560.3446012999375</v>
      </c>
      <c r="BC23" s="8">
        <f t="shared" si="19"/>
        <v>6.3664629124104977E-11</v>
      </c>
      <c r="BD23" s="8">
        <f t="shared" si="19"/>
        <v>6.3664629124104977E-11</v>
      </c>
      <c r="BE23" s="8">
        <f t="shared" si="19"/>
        <v>6.3664629124104977E-11</v>
      </c>
      <c r="BF23" s="8">
        <f t="shared" si="19"/>
        <v>6.3664629124104977E-11</v>
      </c>
      <c r="BG23" s="8">
        <f t="shared" si="19"/>
        <v>6.3664629124104977E-11</v>
      </c>
      <c r="BH23" s="8">
        <f t="shared" si="19"/>
        <v>6.3664629124104977E-11</v>
      </c>
      <c r="BI23" s="8">
        <f t="shared" si="19"/>
        <v>6.3664629124104977E-11</v>
      </c>
      <c r="BJ23" s="8">
        <f t="shared" si="19"/>
        <v>6.3664629124104977E-11</v>
      </c>
      <c r="BK23" s="8">
        <f t="shared" si="19"/>
        <v>6.3664629124104977E-11</v>
      </c>
      <c r="BL23" s="8">
        <f t="shared" si="19"/>
        <v>6.3664629124104977E-11</v>
      </c>
      <c r="BM23" s="8">
        <f t="shared" si="19"/>
        <v>6.3664629124104977E-11</v>
      </c>
      <c r="BN23" s="8">
        <f t="shared" si="19"/>
        <v>6.3664629124104977E-11</v>
      </c>
      <c r="BO23" s="8">
        <f t="shared" si="19"/>
        <v>6.3664629124104977E-11</v>
      </c>
      <c r="BP23" s="8">
        <f t="shared" si="19"/>
        <v>6.3664629124104977E-11</v>
      </c>
      <c r="BQ23" s="8">
        <f t="shared" si="19"/>
        <v>6.3664629124104977E-11</v>
      </c>
      <c r="BR23" s="8">
        <f t="shared" ref="BR23:DA23" si="20">BQ23+((BR15-BR21)*INC_TAX_RATE)</f>
        <v>6.3664629124104977E-11</v>
      </c>
      <c r="BS23" s="8">
        <f t="shared" si="20"/>
        <v>6.3664629124104977E-11</v>
      </c>
      <c r="BT23" s="8">
        <f t="shared" si="20"/>
        <v>6.3664629124104977E-11</v>
      </c>
      <c r="BU23" s="8">
        <f t="shared" si="20"/>
        <v>6.3664629124104977E-11</v>
      </c>
      <c r="BV23" s="8">
        <f t="shared" si="20"/>
        <v>6.3664629124104977E-11</v>
      </c>
      <c r="BW23" s="8">
        <f t="shared" si="20"/>
        <v>6.3664629124104977E-11</v>
      </c>
      <c r="BX23" s="8">
        <f t="shared" si="20"/>
        <v>6.3664629124104977E-11</v>
      </c>
      <c r="BY23" s="8">
        <f t="shared" si="20"/>
        <v>6.3664629124104977E-11</v>
      </c>
      <c r="BZ23" s="8">
        <f t="shared" si="20"/>
        <v>6.3664629124104977E-11</v>
      </c>
      <c r="CA23" s="8">
        <f t="shared" si="20"/>
        <v>6.3664629124104977E-11</v>
      </c>
      <c r="CB23" s="8">
        <f t="shared" si="20"/>
        <v>6.3664629124104977E-11</v>
      </c>
      <c r="CC23" s="8">
        <f t="shared" si="20"/>
        <v>6.3664629124104977E-11</v>
      </c>
      <c r="CD23" s="8">
        <f t="shared" si="20"/>
        <v>6.3664629124104977E-11</v>
      </c>
      <c r="CE23" s="8">
        <f t="shared" si="20"/>
        <v>6.3664629124104977E-11</v>
      </c>
      <c r="CF23" s="8">
        <f t="shared" si="20"/>
        <v>6.3664629124104977E-11</v>
      </c>
      <c r="CG23" s="8">
        <f t="shared" si="20"/>
        <v>6.3664629124104977E-11</v>
      </c>
      <c r="CH23" s="8">
        <f t="shared" si="20"/>
        <v>6.3664629124104977E-11</v>
      </c>
      <c r="CI23" s="8">
        <f t="shared" si="20"/>
        <v>6.3664629124104977E-11</v>
      </c>
      <c r="CJ23" s="8">
        <f t="shared" si="20"/>
        <v>6.3664629124104977E-11</v>
      </c>
      <c r="CK23" s="8">
        <f t="shared" si="20"/>
        <v>6.3664629124104977E-11</v>
      </c>
      <c r="CL23" s="8">
        <f t="shared" si="20"/>
        <v>6.3664629124104977E-11</v>
      </c>
      <c r="CM23" s="8">
        <f t="shared" si="20"/>
        <v>6.3664629124104977E-11</v>
      </c>
      <c r="CN23" s="8">
        <f t="shared" si="20"/>
        <v>6.3664629124104977E-11</v>
      </c>
      <c r="CO23" s="8">
        <f t="shared" si="20"/>
        <v>6.3664629124104977E-11</v>
      </c>
      <c r="CP23" s="8">
        <f t="shared" si="20"/>
        <v>6.3664629124104977E-11</v>
      </c>
      <c r="CQ23" s="8">
        <f t="shared" si="20"/>
        <v>6.3664629124104977E-11</v>
      </c>
      <c r="CR23" s="8">
        <f t="shared" si="20"/>
        <v>6.3664629124104977E-11</v>
      </c>
      <c r="CS23" s="8">
        <f t="shared" si="20"/>
        <v>6.3664629124104977E-11</v>
      </c>
      <c r="CT23" s="8">
        <f t="shared" si="20"/>
        <v>6.3664629124104977E-11</v>
      </c>
      <c r="CU23" s="8">
        <f t="shared" si="20"/>
        <v>6.3664629124104977E-11</v>
      </c>
      <c r="CV23" s="8">
        <f t="shared" si="20"/>
        <v>6.3664629124104977E-11</v>
      </c>
      <c r="CW23" s="8">
        <f t="shared" si="20"/>
        <v>6.3664629124104977E-11</v>
      </c>
      <c r="CX23" s="8">
        <f t="shared" si="20"/>
        <v>6.3664629124104977E-11</v>
      </c>
      <c r="CY23" s="8">
        <f t="shared" si="20"/>
        <v>6.3664629124104977E-11</v>
      </c>
      <c r="CZ23" s="8">
        <f t="shared" si="20"/>
        <v>6.3664629124104977E-11</v>
      </c>
      <c r="DA23" s="8">
        <f t="shared" si="20"/>
        <v>6.3664629124104977E-11</v>
      </c>
    </row>
    <row r="24" spans="1:106" x14ac:dyDescent="0.4"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</row>
    <row r="25" spans="1:106" x14ac:dyDescent="0.4">
      <c r="D25" t="s">
        <v>158</v>
      </c>
      <c r="E25" s="8"/>
      <c r="F25" s="8">
        <f>AVERAGE(F18:F19)+AVERAGE(F22:F23)</f>
        <v>990665.15823693143</v>
      </c>
      <c r="G25" s="8">
        <f t="shared" ref="G25:BR25" si="21">AVERAGE(G18:G19)+AVERAGE(G22:G23)</f>
        <v>960915.06585531635</v>
      </c>
      <c r="H25" s="8">
        <f t="shared" si="21"/>
        <v>927096.19131170015</v>
      </c>
      <c r="I25" s="8">
        <f t="shared" si="21"/>
        <v>894725.78653672268</v>
      </c>
      <c r="J25" s="8">
        <f t="shared" si="21"/>
        <v>863695.42481065844</v>
      </c>
      <c r="K25" s="8">
        <f t="shared" si="21"/>
        <v>833905.01993068401</v>
      </c>
      <c r="L25" s="8">
        <f t="shared" si="21"/>
        <v>805261.43612472783</v>
      </c>
      <c r="M25" s="8">
        <f t="shared" si="21"/>
        <v>777678.48805146955</v>
      </c>
      <c r="N25" s="8">
        <f t="shared" si="21"/>
        <v>750687.71667824988</v>
      </c>
      <c r="O25" s="8">
        <f t="shared" si="21"/>
        <v>723781.74056019983</v>
      </c>
      <c r="P25" s="8">
        <f t="shared" si="21"/>
        <v>696875.76444214978</v>
      </c>
      <c r="Q25" s="8">
        <f t="shared" si="21"/>
        <v>669969.78832409985</v>
      </c>
      <c r="R25" s="8">
        <f t="shared" si="21"/>
        <v>643063.81220604992</v>
      </c>
      <c r="S25" s="8">
        <f t="shared" si="21"/>
        <v>616157.83608799987</v>
      </c>
      <c r="T25" s="8">
        <f t="shared" si="21"/>
        <v>589251.85996994993</v>
      </c>
      <c r="U25" s="8">
        <f t="shared" si="21"/>
        <v>562345.8838519</v>
      </c>
      <c r="V25" s="8">
        <f t="shared" si="21"/>
        <v>535439.90773385018</v>
      </c>
      <c r="W25" s="8">
        <f t="shared" si="21"/>
        <v>508533.93161579996</v>
      </c>
      <c r="X25" s="8">
        <f t="shared" si="21"/>
        <v>481627.95549775008</v>
      </c>
      <c r="Y25" s="8">
        <f t="shared" si="21"/>
        <v>454721.97937970015</v>
      </c>
      <c r="Z25" s="8">
        <f t="shared" si="21"/>
        <v>430917.28546302533</v>
      </c>
      <c r="AA25" s="8">
        <f t="shared" si="21"/>
        <v>413313.76586295007</v>
      </c>
      <c r="AB25" s="8">
        <f t="shared" si="21"/>
        <v>398811.52846425015</v>
      </c>
      <c r="AC25" s="8">
        <f t="shared" si="21"/>
        <v>384309.29106555018</v>
      </c>
      <c r="AD25" s="8">
        <f t="shared" si="21"/>
        <v>369807.05366685014</v>
      </c>
      <c r="AE25" s="8">
        <f t="shared" si="21"/>
        <v>355304.81626815017</v>
      </c>
      <c r="AF25" s="8">
        <f t="shared" si="21"/>
        <v>340802.57886945014</v>
      </c>
      <c r="AG25" s="8">
        <f t="shared" si="21"/>
        <v>326300.34147075017</v>
      </c>
      <c r="AH25" s="8">
        <f t="shared" si="21"/>
        <v>311798.10407205008</v>
      </c>
      <c r="AI25" s="8">
        <f t="shared" si="21"/>
        <v>297295.86667335004</v>
      </c>
      <c r="AJ25" s="8">
        <f t="shared" si="21"/>
        <v>282793.62927465001</v>
      </c>
      <c r="AK25" s="8">
        <f t="shared" si="21"/>
        <v>268291.39187594992</v>
      </c>
      <c r="AL25" s="8">
        <f t="shared" si="21"/>
        <v>253789.15447724992</v>
      </c>
      <c r="AM25" s="8">
        <f t="shared" si="21"/>
        <v>239286.91707854986</v>
      </c>
      <c r="AN25" s="8">
        <f t="shared" si="21"/>
        <v>224784.67967984983</v>
      </c>
      <c r="AO25" s="8">
        <f t="shared" si="21"/>
        <v>210282.44228114976</v>
      </c>
      <c r="AP25" s="8">
        <f t="shared" si="21"/>
        <v>195780.20488244973</v>
      </c>
      <c r="AQ25" s="8">
        <f t="shared" si="21"/>
        <v>181277.96748374967</v>
      </c>
      <c r="AR25" s="8">
        <f t="shared" si="21"/>
        <v>166775.73008504964</v>
      </c>
      <c r="AS25" s="8">
        <f t="shared" si="21"/>
        <v>152273.49268634958</v>
      </c>
      <c r="AT25" s="8">
        <f t="shared" si="21"/>
        <v>137771.25528764952</v>
      </c>
      <c r="AU25" s="8">
        <f t="shared" si="21"/>
        <v>123269.01788894947</v>
      </c>
      <c r="AV25" s="8">
        <f t="shared" si="21"/>
        <v>108766.78049024941</v>
      </c>
      <c r="AW25" s="8">
        <f t="shared" si="21"/>
        <v>94264.543091549363</v>
      </c>
      <c r="AX25" s="8">
        <f t="shared" si="21"/>
        <v>79762.305692849302</v>
      </c>
      <c r="AY25" s="8">
        <f t="shared" si="21"/>
        <v>65260.068294149256</v>
      </c>
      <c r="AZ25" s="8">
        <f t="shared" si="21"/>
        <v>50757.830895449195</v>
      </c>
      <c r="BA25" s="8">
        <f t="shared" si="21"/>
        <v>36255.593496749148</v>
      </c>
      <c r="BB25" s="8">
        <f t="shared" si="21"/>
        <v>21753.356098049095</v>
      </c>
      <c r="BC25" s="8">
        <f t="shared" si="21"/>
        <v>7251.1186993490419</v>
      </c>
      <c r="BD25" s="8">
        <f t="shared" si="21"/>
        <v>-4.6020431909710169E-10</v>
      </c>
      <c r="BE25" s="8">
        <f t="shared" si="21"/>
        <v>6.3664629124104977E-11</v>
      </c>
      <c r="BF25" s="8">
        <f t="shared" si="21"/>
        <v>6.3664629124104977E-11</v>
      </c>
      <c r="BG25" s="8">
        <f t="shared" si="21"/>
        <v>6.3664629124104977E-11</v>
      </c>
      <c r="BH25" s="8">
        <f t="shared" si="21"/>
        <v>6.3664629124104977E-11</v>
      </c>
      <c r="BI25" s="8">
        <f t="shared" si="21"/>
        <v>6.3664629124104977E-11</v>
      </c>
      <c r="BJ25" s="8">
        <f t="shared" si="21"/>
        <v>6.3664629124104977E-11</v>
      </c>
      <c r="BK25" s="8">
        <f t="shared" si="21"/>
        <v>6.3664629124104977E-11</v>
      </c>
      <c r="BL25" s="8">
        <f t="shared" si="21"/>
        <v>6.3664629124104977E-11</v>
      </c>
      <c r="BM25" s="8">
        <f t="shared" si="21"/>
        <v>6.3664629124104977E-11</v>
      </c>
      <c r="BN25" s="8">
        <f t="shared" si="21"/>
        <v>6.3664629124104977E-11</v>
      </c>
      <c r="BO25" s="8">
        <f t="shared" si="21"/>
        <v>6.3664629124104977E-11</v>
      </c>
      <c r="BP25" s="8">
        <f t="shared" si="21"/>
        <v>6.3664629124104977E-11</v>
      </c>
      <c r="BQ25" s="8">
        <f t="shared" si="21"/>
        <v>6.3664629124104977E-11</v>
      </c>
      <c r="BR25" s="8">
        <f t="shared" si="21"/>
        <v>6.3664629124104977E-11</v>
      </c>
      <c r="BS25" s="8">
        <f t="shared" ref="BS25:DA25" si="22">AVERAGE(BS18:BS19)+AVERAGE(BS22:BS23)</f>
        <v>6.3664629124104977E-11</v>
      </c>
      <c r="BT25" s="8">
        <f t="shared" si="22"/>
        <v>6.3664629124104977E-11</v>
      </c>
      <c r="BU25" s="8">
        <f t="shared" si="22"/>
        <v>6.3664629124104977E-11</v>
      </c>
      <c r="BV25" s="8">
        <f t="shared" si="22"/>
        <v>6.3664629124104977E-11</v>
      </c>
      <c r="BW25" s="8">
        <f t="shared" si="22"/>
        <v>6.3664629124104977E-11</v>
      </c>
      <c r="BX25" s="8">
        <f t="shared" si="22"/>
        <v>6.3664629124104977E-11</v>
      </c>
      <c r="BY25" s="8">
        <f t="shared" si="22"/>
        <v>6.3664629124104977E-11</v>
      </c>
      <c r="BZ25" s="8">
        <f t="shared" si="22"/>
        <v>6.3664629124104977E-11</v>
      </c>
      <c r="CA25" s="8">
        <f t="shared" si="22"/>
        <v>6.3664629124104977E-11</v>
      </c>
      <c r="CB25" s="8">
        <f t="shared" si="22"/>
        <v>6.3664629124104977E-11</v>
      </c>
      <c r="CC25" s="8">
        <f t="shared" si="22"/>
        <v>6.3664629124104977E-11</v>
      </c>
      <c r="CD25" s="8">
        <f t="shared" si="22"/>
        <v>6.3664629124104977E-11</v>
      </c>
      <c r="CE25" s="8">
        <f t="shared" si="22"/>
        <v>6.3664629124104977E-11</v>
      </c>
      <c r="CF25" s="8">
        <f t="shared" si="22"/>
        <v>6.3664629124104977E-11</v>
      </c>
      <c r="CG25" s="8">
        <f t="shared" si="22"/>
        <v>6.3664629124104977E-11</v>
      </c>
      <c r="CH25" s="8">
        <f t="shared" si="22"/>
        <v>6.3664629124104977E-11</v>
      </c>
      <c r="CI25" s="8">
        <f t="shared" si="22"/>
        <v>6.3664629124104977E-11</v>
      </c>
      <c r="CJ25" s="8">
        <f t="shared" si="22"/>
        <v>6.3664629124104977E-11</v>
      </c>
      <c r="CK25" s="8">
        <f t="shared" si="22"/>
        <v>6.3664629124104977E-11</v>
      </c>
      <c r="CL25" s="8">
        <f t="shared" si="22"/>
        <v>6.3664629124104977E-11</v>
      </c>
      <c r="CM25" s="8">
        <f t="shared" si="22"/>
        <v>6.3664629124104977E-11</v>
      </c>
      <c r="CN25" s="8">
        <f t="shared" si="22"/>
        <v>6.3664629124104977E-11</v>
      </c>
      <c r="CO25" s="8">
        <f t="shared" si="22"/>
        <v>6.3664629124104977E-11</v>
      </c>
      <c r="CP25" s="8">
        <f t="shared" si="22"/>
        <v>6.3664629124104977E-11</v>
      </c>
      <c r="CQ25" s="8">
        <f t="shared" si="22"/>
        <v>6.3664629124104977E-11</v>
      </c>
      <c r="CR25" s="8">
        <f t="shared" si="22"/>
        <v>6.3664629124104977E-11</v>
      </c>
      <c r="CS25" s="8">
        <f t="shared" si="22"/>
        <v>6.3664629124104977E-11</v>
      </c>
      <c r="CT25" s="8">
        <f t="shared" si="22"/>
        <v>6.3664629124104977E-11</v>
      </c>
      <c r="CU25" s="8">
        <f t="shared" si="22"/>
        <v>6.3664629124104977E-11</v>
      </c>
      <c r="CV25" s="8">
        <f t="shared" si="22"/>
        <v>6.3664629124104977E-11</v>
      </c>
      <c r="CW25" s="8">
        <f t="shared" si="22"/>
        <v>6.3664629124104977E-11</v>
      </c>
      <c r="CX25" s="8">
        <f t="shared" si="22"/>
        <v>6.3664629124104977E-11</v>
      </c>
      <c r="CY25" s="8">
        <f t="shared" si="22"/>
        <v>6.3664629124104977E-11</v>
      </c>
      <c r="CZ25" s="8">
        <f t="shared" si="22"/>
        <v>6.3664629124104977E-11</v>
      </c>
      <c r="DA25" s="8">
        <f t="shared" si="22"/>
        <v>6.3664629124104977E-11</v>
      </c>
    </row>
    <row r="26" spans="1:106" ht="18" customHeight="1" x14ac:dyDescent="0.4"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</row>
    <row r="27" spans="1:106" x14ac:dyDescent="0.4">
      <c r="D27" t="s">
        <v>209</v>
      </c>
      <c r="E27" s="8"/>
      <c r="F27" s="8">
        <f t="shared" ref="F27:AK27" si="23">F25*AVG_PRE_TAX_RATE</f>
        <v>88466.398630557975</v>
      </c>
      <c r="G27" s="8">
        <f t="shared" si="23"/>
        <v>85809.715380879759</v>
      </c>
      <c r="H27" s="8">
        <f t="shared" si="23"/>
        <v>82789.68988413483</v>
      </c>
      <c r="I27" s="8">
        <f t="shared" si="23"/>
        <v>79899.012737729339</v>
      </c>
      <c r="J27" s="8">
        <f t="shared" si="23"/>
        <v>77128.001435591796</v>
      </c>
      <c r="K27" s="8">
        <f t="shared" si="23"/>
        <v>74467.718279810084</v>
      </c>
      <c r="L27" s="8">
        <f t="shared" si="23"/>
        <v>71909.846245938199</v>
      </c>
      <c r="M27" s="8">
        <f t="shared" si="23"/>
        <v>69446.688982996231</v>
      </c>
      <c r="N27" s="8">
        <f t="shared" si="23"/>
        <v>67036.413099367724</v>
      </c>
      <c r="O27" s="8">
        <f t="shared" si="23"/>
        <v>64633.709432025847</v>
      </c>
      <c r="P27" s="8">
        <f t="shared" si="23"/>
        <v>62231.005764683978</v>
      </c>
      <c r="Q27" s="8">
        <f t="shared" si="23"/>
        <v>59828.302097342123</v>
      </c>
      <c r="R27" s="8">
        <f t="shared" si="23"/>
        <v>57425.59843000026</v>
      </c>
      <c r="S27" s="8">
        <f t="shared" si="23"/>
        <v>55022.89476265839</v>
      </c>
      <c r="T27" s="8">
        <f t="shared" si="23"/>
        <v>52620.191095316528</v>
      </c>
      <c r="U27" s="8">
        <f t="shared" si="23"/>
        <v>50217.487427974673</v>
      </c>
      <c r="V27" s="8">
        <f t="shared" si="23"/>
        <v>47814.783760632825</v>
      </c>
      <c r="W27" s="8">
        <f t="shared" si="23"/>
        <v>45412.080093290941</v>
      </c>
      <c r="X27" s="8">
        <f t="shared" si="23"/>
        <v>43009.376425949085</v>
      </c>
      <c r="Y27" s="8">
        <f t="shared" si="23"/>
        <v>40606.672758607223</v>
      </c>
      <c r="Z27" s="8">
        <f t="shared" si="23"/>
        <v>38480.913591848162</v>
      </c>
      <c r="AA27" s="8">
        <f t="shared" si="23"/>
        <v>36908.91929156144</v>
      </c>
      <c r="AB27" s="8">
        <f t="shared" si="23"/>
        <v>35613.869491857542</v>
      </c>
      <c r="AC27" s="8">
        <f t="shared" si="23"/>
        <v>34318.819692153629</v>
      </c>
      <c r="AD27" s="8">
        <f t="shared" si="23"/>
        <v>33023.769892449716</v>
      </c>
      <c r="AE27" s="8">
        <f t="shared" si="23"/>
        <v>31728.720092745811</v>
      </c>
      <c r="AF27" s="8">
        <f t="shared" si="23"/>
        <v>30433.670293041898</v>
      </c>
      <c r="AG27" s="8">
        <f t="shared" si="23"/>
        <v>29138.620493337992</v>
      </c>
      <c r="AH27" s="8">
        <f t="shared" si="23"/>
        <v>27843.570693634072</v>
      </c>
      <c r="AI27" s="8">
        <f t="shared" si="23"/>
        <v>26548.520893930159</v>
      </c>
      <c r="AJ27" s="8">
        <f t="shared" si="23"/>
        <v>25253.471094226246</v>
      </c>
      <c r="AK27" s="8">
        <f t="shared" si="23"/>
        <v>23958.42129452233</v>
      </c>
      <c r="AL27" s="8">
        <f t="shared" ref="AL27:BQ27" si="24">AL25*AVG_PRE_TAX_RATE</f>
        <v>22663.371494818421</v>
      </c>
      <c r="AM27" s="8">
        <f t="shared" si="24"/>
        <v>21368.321695114504</v>
      </c>
      <c r="AN27" s="8">
        <f t="shared" si="24"/>
        <v>20073.271895410591</v>
      </c>
      <c r="AO27" s="8">
        <f t="shared" si="24"/>
        <v>18778.222095706675</v>
      </c>
      <c r="AP27" s="8">
        <f t="shared" si="24"/>
        <v>17483.172296002762</v>
      </c>
      <c r="AQ27" s="8">
        <f t="shared" si="24"/>
        <v>16188.122496298847</v>
      </c>
      <c r="AR27" s="8">
        <f t="shared" si="24"/>
        <v>14893.072696594934</v>
      </c>
      <c r="AS27" s="8">
        <f t="shared" si="24"/>
        <v>13598.022896891018</v>
      </c>
      <c r="AT27" s="8">
        <f t="shared" si="24"/>
        <v>12302.973097187103</v>
      </c>
      <c r="AU27" s="8">
        <f t="shared" si="24"/>
        <v>11007.923297483188</v>
      </c>
      <c r="AV27" s="8">
        <f t="shared" si="24"/>
        <v>9712.8734977792719</v>
      </c>
      <c r="AW27" s="8">
        <f t="shared" si="24"/>
        <v>8417.8236980753591</v>
      </c>
      <c r="AX27" s="8">
        <f t="shared" si="24"/>
        <v>7122.7738983714435</v>
      </c>
      <c r="AY27" s="8">
        <f t="shared" si="24"/>
        <v>5827.7240986675288</v>
      </c>
      <c r="AZ27" s="8">
        <f t="shared" si="24"/>
        <v>4532.6742989636132</v>
      </c>
      <c r="BA27" s="8">
        <f t="shared" si="24"/>
        <v>3237.624499259699</v>
      </c>
      <c r="BB27" s="8">
        <f t="shared" si="24"/>
        <v>1942.5746995557843</v>
      </c>
      <c r="BC27" s="8">
        <f t="shared" si="24"/>
        <v>647.52489985186946</v>
      </c>
      <c r="BD27" s="8">
        <f t="shared" si="24"/>
        <v>-4.1096245695371181E-11</v>
      </c>
      <c r="BE27" s="8">
        <f t="shared" si="24"/>
        <v>5.6852513807825747E-12</v>
      </c>
      <c r="BF27" s="8">
        <f t="shared" si="24"/>
        <v>5.6852513807825747E-12</v>
      </c>
      <c r="BG27" s="8">
        <f t="shared" si="24"/>
        <v>5.6852513807825747E-12</v>
      </c>
      <c r="BH27" s="8">
        <f t="shared" si="24"/>
        <v>5.6852513807825747E-12</v>
      </c>
      <c r="BI27" s="8">
        <f t="shared" si="24"/>
        <v>5.6852513807825747E-12</v>
      </c>
      <c r="BJ27" s="8">
        <f t="shared" si="24"/>
        <v>5.6852513807825747E-12</v>
      </c>
      <c r="BK27" s="8">
        <f t="shared" si="24"/>
        <v>5.6852513807825747E-12</v>
      </c>
      <c r="BL27" s="8">
        <f t="shared" si="24"/>
        <v>5.6852513807825747E-12</v>
      </c>
      <c r="BM27" s="8">
        <f t="shared" si="24"/>
        <v>5.6852513807825747E-12</v>
      </c>
      <c r="BN27" s="8">
        <f t="shared" si="24"/>
        <v>5.6852513807825747E-12</v>
      </c>
      <c r="BO27" s="8">
        <f t="shared" si="24"/>
        <v>5.6852513807825747E-12</v>
      </c>
      <c r="BP27" s="8">
        <f t="shared" si="24"/>
        <v>5.6852513807825747E-12</v>
      </c>
      <c r="BQ27" s="8">
        <f t="shared" si="24"/>
        <v>5.6852513807825747E-12</v>
      </c>
      <c r="BR27" s="8">
        <f t="shared" ref="BR27:DA27" si="25">BR25*AVG_PRE_TAX_RATE</f>
        <v>5.6852513807825747E-12</v>
      </c>
      <c r="BS27" s="8">
        <f t="shared" si="25"/>
        <v>5.6852513807825747E-12</v>
      </c>
      <c r="BT27" s="8">
        <f t="shared" si="25"/>
        <v>5.6852513807825747E-12</v>
      </c>
      <c r="BU27" s="8">
        <f t="shared" si="25"/>
        <v>5.6852513807825747E-12</v>
      </c>
      <c r="BV27" s="8">
        <f t="shared" si="25"/>
        <v>5.6852513807825747E-12</v>
      </c>
      <c r="BW27" s="8">
        <f t="shared" si="25"/>
        <v>5.6852513807825747E-12</v>
      </c>
      <c r="BX27" s="8">
        <f t="shared" si="25"/>
        <v>5.6852513807825747E-12</v>
      </c>
      <c r="BY27" s="8">
        <f t="shared" si="25"/>
        <v>5.6852513807825747E-12</v>
      </c>
      <c r="BZ27" s="8">
        <f t="shared" si="25"/>
        <v>5.6852513807825747E-12</v>
      </c>
      <c r="CA27" s="8">
        <f t="shared" si="25"/>
        <v>5.6852513807825747E-12</v>
      </c>
      <c r="CB27" s="8">
        <f t="shared" si="25"/>
        <v>5.6852513807825747E-12</v>
      </c>
      <c r="CC27" s="8">
        <f t="shared" si="25"/>
        <v>5.6852513807825747E-12</v>
      </c>
      <c r="CD27" s="8">
        <f t="shared" si="25"/>
        <v>5.6852513807825747E-12</v>
      </c>
      <c r="CE27" s="8">
        <f t="shared" si="25"/>
        <v>5.6852513807825747E-12</v>
      </c>
      <c r="CF27" s="8">
        <f t="shared" si="25"/>
        <v>5.6852513807825747E-12</v>
      </c>
      <c r="CG27" s="8">
        <f t="shared" si="25"/>
        <v>5.6852513807825747E-12</v>
      </c>
      <c r="CH27" s="8">
        <f t="shared" si="25"/>
        <v>5.6852513807825747E-12</v>
      </c>
      <c r="CI27" s="8">
        <f t="shared" si="25"/>
        <v>5.6852513807825747E-12</v>
      </c>
      <c r="CJ27" s="8">
        <f t="shared" si="25"/>
        <v>5.6852513807825747E-12</v>
      </c>
      <c r="CK27" s="8">
        <f t="shared" si="25"/>
        <v>5.6852513807825747E-12</v>
      </c>
      <c r="CL27" s="8">
        <f t="shared" si="25"/>
        <v>5.6852513807825747E-12</v>
      </c>
      <c r="CM27" s="8">
        <f t="shared" si="25"/>
        <v>5.6852513807825747E-12</v>
      </c>
      <c r="CN27" s="8">
        <f t="shared" si="25"/>
        <v>5.6852513807825747E-12</v>
      </c>
      <c r="CO27" s="8">
        <f t="shared" si="25"/>
        <v>5.6852513807825747E-12</v>
      </c>
      <c r="CP27" s="8">
        <f t="shared" si="25"/>
        <v>5.6852513807825747E-12</v>
      </c>
      <c r="CQ27" s="8">
        <f t="shared" si="25"/>
        <v>5.6852513807825747E-12</v>
      </c>
      <c r="CR27" s="8">
        <f t="shared" si="25"/>
        <v>5.6852513807825747E-12</v>
      </c>
      <c r="CS27" s="8">
        <f t="shared" si="25"/>
        <v>5.6852513807825747E-12</v>
      </c>
      <c r="CT27" s="8">
        <f t="shared" si="25"/>
        <v>5.6852513807825747E-12</v>
      </c>
      <c r="CU27" s="8">
        <f t="shared" si="25"/>
        <v>5.6852513807825747E-12</v>
      </c>
      <c r="CV27" s="8">
        <f t="shared" si="25"/>
        <v>5.6852513807825747E-12</v>
      </c>
      <c r="CW27" s="8">
        <f t="shared" si="25"/>
        <v>5.6852513807825747E-12</v>
      </c>
      <c r="CX27" s="8">
        <f t="shared" si="25"/>
        <v>5.6852513807825747E-12</v>
      </c>
      <c r="CY27" s="8">
        <f t="shared" si="25"/>
        <v>5.6852513807825747E-12</v>
      </c>
      <c r="CZ27" s="8">
        <f t="shared" si="25"/>
        <v>5.6852513807825747E-12</v>
      </c>
      <c r="DA27" s="8">
        <f t="shared" si="25"/>
        <v>5.6852513807825747E-12</v>
      </c>
    </row>
    <row r="30" spans="1:106" x14ac:dyDescent="0.4">
      <c r="C30" s="58" t="str">
        <f>C13</f>
        <v>Investment year in service</v>
      </c>
      <c r="E30" t="str">
        <f>IF(E31&lt;$C31,"",E31-$C31)</f>
        <v/>
      </c>
      <c r="F30">
        <f>IF(F31&lt;$C31,"",F31-$C31)</f>
        <v>0</v>
      </c>
      <c r="G30">
        <f t="shared" ref="G30:BR30" si="26">IF(G31&lt;$C31,"",G31-$C31)</f>
        <v>1</v>
      </c>
      <c r="H30">
        <f t="shared" si="26"/>
        <v>2</v>
      </c>
      <c r="I30">
        <f t="shared" si="26"/>
        <v>3</v>
      </c>
      <c r="J30">
        <f t="shared" si="26"/>
        <v>4</v>
      </c>
      <c r="K30">
        <f t="shared" si="26"/>
        <v>5</v>
      </c>
      <c r="L30">
        <f t="shared" si="26"/>
        <v>6</v>
      </c>
      <c r="M30">
        <f t="shared" si="26"/>
        <v>7</v>
      </c>
      <c r="N30">
        <f t="shared" si="26"/>
        <v>8</v>
      </c>
      <c r="O30">
        <f t="shared" si="26"/>
        <v>9</v>
      </c>
      <c r="P30">
        <f t="shared" si="26"/>
        <v>10</v>
      </c>
      <c r="Q30">
        <f t="shared" si="26"/>
        <v>11</v>
      </c>
      <c r="R30">
        <f t="shared" si="26"/>
        <v>12</v>
      </c>
      <c r="S30">
        <f t="shared" si="26"/>
        <v>13</v>
      </c>
      <c r="T30">
        <f t="shared" si="26"/>
        <v>14</v>
      </c>
      <c r="U30">
        <f t="shared" si="26"/>
        <v>15</v>
      </c>
      <c r="V30">
        <f t="shared" si="26"/>
        <v>16</v>
      </c>
      <c r="W30">
        <f t="shared" si="26"/>
        <v>17</v>
      </c>
      <c r="X30">
        <f t="shared" si="26"/>
        <v>18</v>
      </c>
      <c r="Y30">
        <f t="shared" si="26"/>
        <v>19</v>
      </c>
      <c r="Z30">
        <f t="shared" si="26"/>
        <v>20</v>
      </c>
      <c r="AA30">
        <f t="shared" si="26"/>
        <v>21</v>
      </c>
      <c r="AB30">
        <f t="shared" si="26"/>
        <v>22</v>
      </c>
      <c r="AC30">
        <f t="shared" si="26"/>
        <v>23</v>
      </c>
      <c r="AD30">
        <f t="shared" si="26"/>
        <v>24</v>
      </c>
      <c r="AE30">
        <f t="shared" si="26"/>
        <v>25</v>
      </c>
      <c r="AF30">
        <f t="shared" si="26"/>
        <v>26</v>
      </c>
      <c r="AG30">
        <f t="shared" si="26"/>
        <v>27</v>
      </c>
      <c r="AH30">
        <f t="shared" si="26"/>
        <v>28</v>
      </c>
      <c r="AI30">
        <f t="shared" si="26"/>
        <v>29</v>
      </c>
      <c r="AJ30">
        <f t="shared" si="26"/>
        <v>30</v>
      </c>
      <c r="AK30">
        <f t="shared" si="26"/>
        <v>31</v>
      </c>
      <c r="AL30">
        <f t="shared" si="26"/>
        <v>32</v>
      </c>
      <c r="AM30">
        <f t="shared" si="26"/>
        <v>33</v>
      </c>
      <c r="AN30">
        <f t="shared" si="26"/>
        <v>34</v>
      </c>
      <c r="AO30">
        <f t="shared" si="26"/>
        <v>35</v>
      </c>
      <c r="AP30">
        <f t="shared" si="26"/>
        <v>36</v>
      </c>
      <c r="AQ30">
        <f t="shared" si="26"/>
        <v>37</v>
      </c>
      <c r="AR30">
        <f t="shared" si="26"/>
        <v>38</v>
      </c>
      <c r="AS30">
        <f t="shared" si="26"/>
        <v>39</v>
      </c>
      <c r="AT30">
        <f t="shared" si="26"/>
        <v>40</v>
      </c>
      <c r="AU30">
        <f t="shared" si="26"/>
        <v>41</v>
      </c>
      <c r="AV30">
        <f t="shared" si="26"/>
        <v>42</v>
      </c>
      <c r="AW30">
        <f t="shared" si="26"/>
        <v>43</v>
      </c>
      <c r="AX30">
        <f t="shared" si="26"/>
        <v>44</v>
      </c>
      <c r="AY30">
        <f t="shared" si="26"/>
        <v>45</v>
      </c>
      <c r="AZ30">
        <f t="shared" si="26"/>
        <v>46</v>
      </c>
      <c r="BA30">
        <f t="shared" si="26"/>
        <v>47</v>
      </c>
      <c r="BB30">
        <f t="shared" si="26"/>
        <v>48</v>
      </c>
      <c r="BC30">
        <f t="shared" si="26"/>
        <v>49</v>
      </c>
      <c r="BD30">
        <f t="shared" si="26"/>
        <v>50</v>
      </c>
      <c r="BE30">
        <f t="shared" si="26"/>
        <v>51</v>
      </c>
      <c r="BF30">
        <f t="shared" si="26"/>
        <v>52</v>
      </c>
      <c r="BG30">
        <f t="shared" si="26"/>
        <v>53</v>
      </c>
      <c r="BH30">
        <f t="shared" si="26"/>
        <v>54</v>
      </c>
      <c r="BI30">
        <f t="shared" si="26"/>
        <v>55</v>
      </c>
      <c r="BJ30">
        <f t="shared" si="26"/>
        <v>56</v>
      </c>
      <c r="BK30">
        <f t="shared" si="26"/>
        <v>57</v>
      </c>
      <c r="BL30">
        <f t="shared" si="26"/>
        <v>58</v>
      </c>
      <c r="BM30">
        <f t="shared" si="26"/>
        <v>59</v>
      </c>
      <c r="BN30">
        <f t="shared" si="26"/>
        <v>60</v>
      </c>
      <c r="BO30">
        <f t="shared" si="26"/>
        <v>61</v>
      </c>
      <c r="BP30">
        <f t="shared" si="26"/>
        <v>62</v>
      </c>
      <c r="BQ30">
        <f t="shared" si="26"/>
        <v>63</v>
      </c>
      <c r="BR30">
        <f t="shared" si="26"/>
        <v>64</v>
      </c>
      <c r="BS30">
        <f t="shared" ref="BS30:DA30" si="27">IF(BS31&lt;$C31,"",BS31-$C31)</f>
        <v>65</v>
      </c>
      <c r="BT30">
        <f t="shared" si="27"/>
        <v>66</v>
      </c>
      <c r="BU30">
        <f t="shared" si="27"/>
        <v>67</v>
      </c>
      <c r="BV30">
        <f t="shared" si="27"/>
        <v>68</v>
      </c>
      <c r="BW30">
        <f t="shared" si="27"/>
        <v>69</v>
      </c>
      <c r="BX30">
        <f t="shared" si="27"/>
        <v>70</v>
      </c>
      <c r="BY30">
        <f t="shared" si="27"/>
        <v>71</v>
      </c>
      <c r="BZ30">
        <f t="shared" si="27"/>
        <v>72</v>
      </c>
      <c r="CA30">
        <f t="shared" si="27"/>
        <v>73</v>
      </c>
      <c r="CB30">
        <f t="shared" si="27"/>
        <v>74</v>
      </c>
      <c r="CC30">
        <f t="shared" si="27"/>
        <v>75</v>
      </c>
      <c r="CD30">
        <f t="shared" si="27"/>
        <v>76</v>
      </c>
      <c r="CE30">
        <f t="shared" si="27"/>
        <v>77</v>
      </c>
      <c r="CF30">
        <f t="shared" si="27"/>
        <v>78</v>
      </c>
      <c r="CG30">
        <f t="shared" si="27"/>
        <v>79</v>
      </c>
      <c r="CH30">
        <f t="shared" si="27"/>
        <v>80</v>
      </c>
      <c r="CI30">
        <f t="shared" si="27"/>
        <v>81</v>
      </c>
      <c r="CJ30">
        <f t="shared" si="27"/>
        <v>82</v>
      </c>
      <c r="CK30">
        <f t="shared" si="27"/>
        <v>83</v>
      </c>
      <c r="CL30">
        <f t="shared" si="27"/>
        <v>84</v>
      </c>
      <c r="CM30">
        <f t="shared" si="27"/>
        <v>85</v>
      </c>
      <c r="CN30">
        <f t="shared" si="27"/>
        <v>86</v>
      </c>
      <c r="CO30">
        <f t="shared" si="27"/>
        <v>87</v>
      </c>
      <c r="CP30">
        <f t="shared" si="27"/>
        <v>88</v>
      </c>
      <c r="CQ30">
        <f t="shared" si="27"/>
        <v>89</v>
      </c>
      <c r="CR30">
        <f t="shared" si="27"/>
        <v>90</v>
      </c>
      <c r="CS30">
        <f t="shared" si="27"/>
        <v>91</v>
      </c>
      <c r="CT30">
        <f t="shared" si="27"/>
        <v>92</v>
      </c>
      <c r="CU30">
        <f t="shared" si="27"/>
        <v>93</v>
      </c>
      <c r="CV30">
        <f t="shared" si="27"/>
        <v>94</v>
      </c>
      <c r="CW30">
        <f t="shared" si="27"/>
        <v>95</v>
      </c>
      <c r="CX30">
        <f t="shared" si="27"/>
        <v>96</v>
      </c>
      <c r="CY30">
        <f t="shared" si="27"/>
        <v>97</v>
      </c>
      <c r="CZ30">
        <f t="shared" si="27"/>
        <v>98</v>
      </c>
      <c r="DA30">
        <f t="shared" si="27"/>
        <v>99</v>
      </c>
    </row>
    <row r="31" spans="1:106" x14ac:dyDescent="0.4">
      <c r="A31" s="54" t="s">
        <v>186</v>
      </c>
      <c r="C31">
        <f>C14+1</f>
        <v>2028</v>
      </c>
      <c r="D31" s="5" t="s">
        <v>434</v>
      </c>
      <c r="E31" s="5">
        <v>2027</v>
      </c>
      <c r="F31" s="5">
        <v>2028</v>
      </c>
      <c r="G31" s="5">
        <v>2029</v>
      </c>
      <c r="H31" s="5">
        <v>2030</v>
      </c>
      <c r="I31" s="5">
        <v>2031</v>
      </c>
      <c r="J31" s="5">
        <v>2032</v>
      </c>
      <c r="K31" s="5">
        <v>2033</v>
      </c>
      <c r="L31" s="5">
        <v>2034</v>
      </c>
      <c r="M31" s="5">
        <v>2035</v>
      </c>
      <c r="N31" s="5">
        <v>2036</v>
      </c>
      <c r="O31" s="5">
        <v>2037</v>
      </c>
      <c r="P31" s="5">
        <v>2038</v>
      </c>
      <c r="Q31" s="5">
        <v>2039</v>
      </c>
      <c r="R31" s="5">
        <v>2040</v>
      </c>
      <c r="S31" s="5">
        <v>2041</v>
      </c>
      <c r="T31" s="5">
        <v>2042</v>
      </c>
      <c r="U31" s="5">
        <v>2043</v>
      </c>
      <c r="V31" s="5">
        <v>2044</v>
      </c>
      <c r="W31" s="5">
        <v>2045</v>
      </c>
      <c r="X31" s="5">
        <v>2046</v>
      </c>
      <c r="Y31" s="5">
        <v>2047</v>
      </c>
      <c r="Z31" s="5">
        <v>2048</v>
      </c>
      <c r="AA31" s="5">
        <v>2049</v>
      </c>
      <c r="AB31" s="5">
        <v>2050</v>
      </c>
      <c r="AC31" s="5">
        <v>2051</v>
      </c>
      <c r="AD31" s="5">
        <v>2052</v>
      </c>
      <c r="AE31" s="5">
        <v>2053</v>
      </c>
      <c r="AF31" s="5">
        <v>2054</v>
      </c>
      <c r="AG31" s="5">
        <v>2055</v>
      </c>
      <c r="AH31" s="5">
        <v>2056</v>
      </c>
      <c r="AI31" s="5">
        <v>2057</v>
      </c>
      <c r="AJ31" s="5">
        <v>2058</v>
      </c>
      <c r="AK31" s="5">
        <v>2059</v>
      </c>
      <c r="AL31" s="5">
        <v>2060</v>
      </c>
      <c r="AM31" s="5">
        <v>2061</v>
      </c>
      <c r="AN31" s="5">
        <v>2062</v>
      </c>
      <c r="AO31" s="5">
        <v>2063</v>
      </c>
      <c r="AP31" s="5">
        <v>2064</v>
      </c>
      <c r="AQ31" s="5">
        <v>2065</v>
      </c>
      <c r="AR31" s="5">
        <v>2066</v>
      </c>
      <c r="AS31" s="5">
        <v>2067</v>
      </c>
      <c r="AT31" s="5">
        <v>2068</v>
      </c>
      <c r="AU31" s="5">
        <v>2069</v>
      </c>
      <c r="AV31" s="5">
        <v>2070</v>
      </c>
      <c r="AW31" s="5">
        <v>2071</v>
      </c>
      <c r="AX31" s="5">
        <v>2072</v>
      </c>
      <c r="AY31" s="5">
        <v>2073</v>
      </c>
      <c r="AZ31" s="5">
        <v>2074</v>
      </c>
      <c r="BA31" s="5">
        <v>2075</v>
      </c>
      <c r="BB31" s="5">
        <v>2076</v>
      </c>
      <c r="BC31" s="5">
        <v>2077</v>
      </c>
      <c r="BD31" s="5">
        <v>2078</v>
      </c>
      <c r="BE31" s="5">
        <v>2079</v>
      </c>
      <c r="BF31" s="5">
        <v>2080</v>
      </c>
      <c r="BG31" s="5">
        <v>2081</v>
      </c>
      <c r="BH31" s="5">
        <v>2082</v>
      </c>
      <c r="BI31" s="5">
        <v>2083</v>
      </c>
      <c r="BJ31" s="5">
        <v>2084</v>
      </c>
      <c r="BK31" s="5">
        <v>2085</v>
      </c>
      <c r="BL31" s="5">
        <v>2086</v>
      </c>
      <c r="BM31" s="5">
        <v>2087</v>
      </c>
      <c r="BN31" s="5">
        <v>2088</v>
      </c>
      <c r="BO31" s="5">
        <v>2089</v>
      </c>
      <c r="BP31" s="5">
        <v>2090</v>
      </c>
      <c r="BQ31" s="5">
        <v>2091</v>
      </c>
      <c r="BR31" s="5">
        <v>2092</v>
      </c>
      <c r="BS31" s="5">
        <v>2093</v>
      </c>
      <c r="BT31" s="5">
        <v>2094</v>
      </c>
      <c r="BU31" s="5">
        <v>2095</v>
      </c>
      <c r="BV31" s="5">
        <v>2096</v>
      </c>
      <c r="BW31" s="5">
        <v>2097</v>
      </c>
      <c r="BX31" s="5">
        <v>2098</v>
      </c>
      <c r="BY31" s="5">
        <v>2099</v>
      </c>
      <c r="BZ31" s="5">
        <v>2100</v>
      </c>
      <c r="CA31" s="5">
        <v>2101</v>
      </c>
      <c r="CB31" s="5">
        <v>2102</v>
      </c>
      <c r="CC31" s="5">
        <v>2103</v>
      </c>
      <c r="CD31" s="5">
        <v>2104</v>
      </c>
      <c r="CE31" s="5">
        <v>2105</v>
      </c>
      <c r="CF31" s="5">
        <v>2106</v>
      </c>
      <c r="CG31" s="5">
        <v>2107</v>
      </c>
      <c r="CH31" s="5">
        <v>2108</v>
      </c>
      <c r="CI31" s="5">
        <v>2109</v>
      </c>
      <c r="CJ31" s="5">
        <v>2110</v>
      </c>
      <c r="CK31" s="5">
        <v>2111</v>
      </c>
      <c r="CL31" s="5">
        <v>2112</v>
      </c>
      <c r="CM31" s="5">
        <v>2113</v>
      </c>
      <c r="CN31" s="5">
        <v>2114</v>
      </c>
      <c r="CO31" s="5">
        <v>2115</v>
      </c>
      <c r="CP31" s="5">
        <v>2116</v>
      </c>
      <c r="CQ31" s="5">
        <v>2117</v>
      </c>
      <c r="CR31" s="5">
        <v>2118</v>
      </c>
      <c r="CS31" s="5">
        <v>2119</v>
      </c>
      <c r="CT31" s="5">
        <v>2120</v>
      </c>
      <c r="CU31" s="5">
        <v>2121</v>
      </c>
      <c r="CV31" s="5">
        <v>2122</v>
      </c>
      <c r="CW31" s="5">
        <v>2123</v>
      </c>
      <c r="CX31" s="5">
        <v>2124</v>
      </c>
      <c r="CY31" s="5">
        <v>2125</v>
      </c>
      <c r="CZ31" s="5">
        <v>2126</v>
      </c>
      <c r="DA31" s="5">
        <v>2127</v>
      </c>
    </row>
    <row r="32" spans="1:106" x14ac:dyDescent="0.4">
      <c r="A32" s="45">
        <f>SUM(F32:DA32)</f>
        <v>1025197.9402000012</v>
      </c>
      <c r="D32" t="s">
        <v>207</v>
      </c>
      <c r="G32" s="8">
        <f>IF(G$13&lt;=$B$3,G33/$B$3,0)</f>
        <v>20503.958804000002</v>
      </c>
      <c r="H32" s="8">
        <f>IF(H30&lt;=$B$3,G32,0)</f>
        <v>20503.958804000002</v>
      </c>
      <c r="I32" s="8">
        <f t="shared" ref="I32:BT32" si="28">IF(I30&lt;=$B$3,H32,0)</f>
        <v>20503.958804000002</v>
      </c>
      <c r="J32" s="8">
        <f t="shared" si="28"/>
        <v>20503.958804000002</v>
      </c>
      <c r="K32" s="8">
        <f t="shared" si="28"/>
        <v>20503.958804000002</v>
      </c>
      <c r="L32" s="8">
        <f t="shared" si="28"/>
        <v>20503.958804000002</v>
      </c>
      <c r="M32" s="8">
        <f t="shared" si="28"/>
        <v>20503.958804000002</v>
      </c>
      <c r="N32" s="8">
        <f t="shared" si="28"/>
        <v>20503.958804000002</v>
      </c>
      <c r="O32" s="8">
        <f t="shared" si="28"/>
        <v>20503.958804000002</v>
      </c>
      <c r="P32" s="8">
        <f t="shared" si="28"/>
        <v>20503.958804000002</v>
      </c>
      <c r="Q32" s="8">
        <f t="shared" si="28"/>
        <v>20503.958804000002</v>
      </c>
      <c r="R32" s="8">
        <f t="shared" si="28"/>
        <v>20503.958804000002</v>
      </c>
      <c r="S32" s="8">
        <f t="shared" si="28"/>
        <v>20503.958804000002</v>
      </c>
      <c r="T32" s="8">
        <f t="shared" si="28"/>
        <v>20503.958804000002</v>
      </c>
      <c r="U32" s="8">
        <f t="shared" si="28"/>
        <v>20503.958804000002</v>
      </c>
      <c r="V32" s="8">
        <f t="shared" si="28"/>
        <v>20503.958804000002</v>
      </c>
      <c r="W32" s="8">
        <f t="shared" si="28"/>
        <v>20503.958804000002</v>
      </c>
      <c r="X32" s="8">
        <f t="shared" si="28"/>
        <v>20503.958804000002</v>
      </c>
      <c r="Y32" s="8">
        <f t="shared" si="28"/>
        <v>20503.958804000002</v>
      </c>
      <c r="Z32" s="8">
        <f t="shared" si="28"/>
        <v>20503.958804000002</v>
      </c>
      <c r="AA32" s="8">
        <f t="shared" si="28"/>
        <v>20503.958804000002</v>
      </c>
      <c r="AB32" s="8">
        <f t="shared" si="28"/>
        <v>20503.958804000002</v>
      </c>
      <c r="AC32" s="8">
        <f t="shared" si="28"/>
        <v>20503.958804000002</v>
      </c>
      <c r="AD32" s="8">
        <f t="shared" si="28"/>
        <v>20503.958804000002</v>
      </c>
      <c r="AE32" s="8">
        <f t="shared" si="28"/>
        <v>20503.958804000002</v>
      </c>
      <c r="AF32" s="8">
        <f t="shared" si="28"/>
        <v>20503.958804000002</v>
      </c>
      <c r="AG32" s="8">
        <f t="shared" si="28"/>
        <v>20503.958804000002</v>
      </c>
      <c r="AH32" s="8">
        <f t="shared" si="28"/>
        <v>20503.958804000002</v>
      </c>
      <c r="AI32" s="8">
        <f t="shared" si="28"/>
        <v>20503.958804000002</v>
      </c>
      <c r="AJ32" s="8">
        <f t="shared" si="28"/>
        <v>20503.958804000002</v>
      </c>
      <c r="AK32" s="8">
        <f t="shared" si="28"/>
        <v>20503.958804000002</v>
      </c>
      <c r="AL32" s="8">
        <f t="shared" si="28"/>
        <v>20503.958804000002</v>
      </c>
      <c r="AM32" s="8">
        <f t="shared" si="28"/>
        <v>20503.958804000002</v>
      </c>
      <c r="AN32" s="8">
        <f t="shared" si="28"/>
        <v>20503.958804000002</v>
      </c>
      <c r="AO32" s="8">
        <f t="shared" si="28"/>
        <v>20503.958804000002</v>
      </c>
      <c r="AP32" s="8">
        <f t="shared" si="28"/>
        <v>20503.958804000002</v>
      </c>
      <c r="AQ32" s="8">
        <f t="shared" si="28"/>
        <v>20503.958804000002</v>
      </c>
      <c r="AR32" s="8">
        <f t="shared" si="28"/>
        <v>20503.958804000002</v>
      </c>
      <c r="AS32" s="8">
        <f t="shared" si="28"/>
        <v>20503.958804000002</v>
      </c>
      <c r="AT32" s="8">
        <f t="shared" si="28"/>
        <v>20503.958804000002</v>
      </c>
      <c r="AU32" s="8">
        <f t="shared" si="28"/>
        <v>20503.958804000002</v>
      </c>
      <c r="AV32" s="8">
        <f t="shared" si="28"/>
        <v>20503.958804000002</v>
      </c>
      <c r="AW32" s="8">
        <f t="shared" si="28"/>
        <v>20503.958804000002</v>
      </c>
      <c r="AX32" s="8">
        <f t="shared" si="28"/>
        <v>20503.958804000002</v>
      </c>
      <c r="AY32" s="8">
        <f t="shared" si="28"/>
        <v>20503.958804000002</v>
      </c>
      <c r="AZ32" s="8">
        <f t="shared" si="28"/>
        <v>20503.958804000002</v>
      </c>
      <c r="BA32" s="8">
        <f t="shared" si="28"/>
        <v>20503.958804000002</v>
      </c>
      <c r="BB32" s="8">
        <f t="shared" si="28"/>
        <v>20503.958804000002</v>
      </c>
      <c r="BC32" s="8">
        <f t="shared" si="28"/>
        <v>20503.958804000002</v>
      </c>
      <c r="BD32" s="8">
        <f t="shared" si="28"/>
        <v>20503.958804000002</v>
      </c>
      <c r="BE32" s="8">
        <f t="shared" si="28"/>
        <v>0</v>
      </c>
      <c r="BF32" s="8">
        <f t="shared" si="28"/>
        <v>0</v>
      </c>
      <c r="BG32" s="8">
        <f t="shared" si="28"/>
        <v>0</v>
      </c>
      <c r="BH32" s="8">
        <f t="shared" si="28"/>
        <v>0</v>
      </c>
      <c r="BI32" s="8">
        <f t="shared" si="28"/>
        <v>0</v>
      </c>
      <c r="BJ32" s="8">
        <f t="shared" si="28"/>
        <v>0</v>
      </c>
      <c r="BK32" s="8">
        <f t="shared" si="28"/>
        <v>0</v>
      </c>
      <c r="BL32" s="8">
        <f t="shared" si="28"/>
        <v>0</v>
      </c>
      <c r="BM32" s="8">
        <f t="shared" si="28"/>
        <v>0</v>
      </c>
      <c r="BN32" s="8">
        <f t="shared" si="28"/>
        <v>0</v>
      </c>
      <c r="BO32" s="8">
        <f t="shared" si="28"/>
        <v>0</v>
      </c>
      <c r="BP32" s="8">
        <f t="shared" si="28"/>
        <v>0</v>
      </c>
      <c r="BQ32" s="8">
        <f t="shared" si="28"/>
        <v>0</v>
      </c>
      <c r="BR32" s="8">
        <f t="shared" si="28"/>
        <v>0</v>
      </c>
      <c r="BS32" s="8">
        <f t="shared" si="28"/>
        <v>0</v>
      </c>
      <c r="BT32" s="8">
        <f t="shared" si="28"/>
        <v>0</v>
      </c>
      <c r="BU32" s="8">
        <f t="shared" ref="BU32:DA32" si="29">IF(BU30&lt;=$B$3,BT32,0)</f>
        <v>0</v>
      </c>
      <c r="BV32" s="8">
        <f t="shared" si="29"/>
        <v>0</v>
      </c>
      <c r="BW32" s="8">
        <f t="shared" si="29"/>
        <v>0</v>
      </c>
      <c r="BX32" s="8">
        <f t="shared" si="29"/>
        <v>0</v>
      </c>
      <c r="BY32" s="8">
        <f t="shared" si="29"/>
        <v>0</v>
      </c>
      <c r="BZ32" s="8">
        <f t="shared" si="29"/>
        <v>0</v>
      </c>
      <c r="CA32" s="8">
        <f t="shared" si="29"/>
        <v>0</v>
      </c>
      <c r="CB32" s="8">
        <f t="shared" si="29"/>
        <v>0</v>
      </c>
      <c r="CC32" s="8">
        <f t="shared" si="29"/>
        <v>0</v>
      </c>
      <c r="CD32" s="8">
        <f t="shared" si="29"/>
        <v>0</v>
      </c>
      <c r="CE32" s="8">
        <f t="shared" si="29"/>
        <v>0</v>
      </c>
      <c r="CF32" s="8">
        <f t="shared" si="29"/>
        <v>0</v>
      </c>
      <c r="CG32" s="8">
        <f t="shared" si="29"/>
        <v>0</v>
      </c>
      <c r="CH32" s="8">
        <f t="shared" si="29"/>
        <v>0</v>
      </c>
      <c r="CI32" s="8">
        <f t="shared" si="29"/>
        <v>0</v>
      </c>
      <c r="CJ32" s="8">
        <f t="shared" si="29"/>
        <v>0</v>
      </c>
      <c r="CK32" s="8">
        <f t="shared" si="29"/>
        <v>0</v>
      </c>
      <c r="CL32" s="8">
        <f t="shared" si="29"/>
        <v>0</v>
      </c>
      <c r="CM32" s="8">
        <f t="shared" si="29"/>
        <v>0</v>
      </c>
      <c r="CN32" s="8">
        <f t="shared" si="29"/>
        <v>0</v>
      </c>
      <c r="CO32" s="8">
        <f t="shared" si="29"/>
        <v>0</v>
      </c>
      <c r="CP32" s="8">
        <f t="shared" si="29"/>
        <v>0</v>
      </c>
      <c r="CQ32" s="8">
        <f t="shared" si="29"/>
        <v>0</v>
      </c>
      <c r="CR32" s="8">
        <f t="shared" si="29"/>
        <v>0</v>
      </c>
      <c r="CS32" s="8">
        <f t="shared" si="29"/>
        <v>0</v>
      </c>
      <c r="CT32" s="8">
        <f t="shared" si="29"/>
        <v>0</v>
      </c>
      <c r="CU32" s="8">
        <f t="shared" si="29"/>
        <v>0</v>
      </c>
      <c r="CV32" s="8">
        <f t="shared" si="29"/>
        <v>0</v>
      </c>
      <c r="CW32" s="8">
        <f t="shared" si="29"/>
        <v>0</v>
      </c>
      <c r="CX32" s="8">
        <f t="shared" si="29"/>
        <v>0</v>
      </c>
      <c r="CY32" s="8">
        <f t="shared" si="29"/>
        <v>0</v>
      </c>
      <c r="CZ32" s="8">
        <f t="shared" si="29"/>
        <v>0</v>
      </c>
      <c r="DA32" s="8">
        <f t="shared" si="29"/>
        <v>0</v>
      </c>
      <c r="DB32" s="8"/>
    </row>
    <row r="33" spans="1:106" x14ac:dyDescent="0.4">
      <c r="A33" s="82"/>
      <c r="D33" t="s">
        <v>154</v>
      </c>
      <c r="F33" s="8">
        <f>HLOOKUP(G31,$F$3:$O$10,7,0)</f>
        <v>1025197.9402000001</v>
      </c>
      <c r="G33" s="8">
        <f t="shared" ref="G33:BR33" si="30">IF(ROUND(F34,4)=-ROUND(F33,4),0,F33)</f>
        <v>1025197.9402000001</v>
      </c>
      <c r="H33" s="8">
        <f t="shared" si="30"/>
        <v>1025197.9402000001</v>
      </c>
      <c r="I33" s="8">
        <f t="shared" si="30"/>
        <v>1025197.9402000001</v>
      </c>
      <c r="J33" s="8">
        <f t="shared" si="30"/>
        <v>1025197.9402000001</v>
      </c>
      <c r="K33" s="8">
        <f t="shared" si="30"/>
        <v>1025197.9402000001</v>
      </c>
      <c r="L33" s="8">
        <f t="shared" si="30"/>
        <v>1025197.9402000001</v>
      </c>
      <c r="M33" s="8">
        <f t="shared" si="30"/>
        <v>1025197.9402000001</v>
      </c>
      <c r="N33" s="8">
        <f t="shared" si="30"/>
        <v>1025197.9402000001</v>
      </c>
      <c r="O33" s="8">
        <f t="shared" si="30"/>
        <v>1025197.9402000001</v>
      </c>
      <c r="P33" s="8">
        <f t="shared" si="30"/>
        <v>1025197.9402000001</v>
      </c>
      <c r="Q33" s="8">
        <f t="shared" si="30"/>
        <v>1025197.9402000001</v>
      </c>
      <c r="R33" s="8">
        <f t="shared" si="30"/>
        <v>1025197.9402000001</v>
      </c>
      <c r="S33" s="8">
        <f t="shared" si="30"/>
        <v>1025197.9402000001</v>
      </c>
      <c r="T33" s="8">
        <f t="shared" si="30"/>
        <v>1025197.9402000001</v>
      </c>
      <c r="U33" s="8">
        <f t="shared" si="30"/>
        <v>1025197.9402000001</v>
      </c>
      <c r="V33" s="8">
        <f t="shared" si="30"/>
        <v>1025197.9402000001</v>
      </c>
      <c r="W33" s="8">
        <f t="shared" si="30"/>
        <v>1025197.9402000001</v>
      </c>
      <c r="X33" s="8">
        <f t="shared" si="30"/>
        <v>1025197.9402000001</v>
      </c>
      <c r="Y33" s="8">
        <f t="shared" si="30"/>
        <v>1025197.9402000001</v>
      </c>
      <c r="Z33" s="8">
        <f t="shared" si="30"/>
        <v>1025197.9402000001</v>
      </c>
      <c r="AA33" s="8">
        <f t="shared" si="30"/>
        <v>1025197.9402000001</v>
      </c>
      <c r="AB33" s="8">
        <f t="shared" si="30"/>
        <v>1025197.9402000001</v>
      </c>
      <c r="AC33" s="8">
        <f t="shared" si="30"/>
        <v>1025197.9402000001</v>
      </c>
      <c r="AD33" s="8">
        <f t="shared" si="30"/>
        <v>1025197.9402000001</v>
      </c>
      <c r="AE33" s="8">
        <f t="shared" si="30"/>
        <v>1025197.9402000001</v>
      </c>
      <c r="AF33" s="8">
        <f t="shared" si="30"/>
        <v>1025197.9402000001</v>
      </c>
      <c r="AG33" s="8">
        <f t="shared" si="30"/>
        <v>1025197.9402000001</v>
      </c>
      <c r="AH33" s="8">
        <f t="shared" si="30"/>
        <v>1025197.9402000001</v>
      </c>
      <c r="AI33" s="8">
        <f t="shared" si="30"/>
        <v>1025197.9402000001</v>
      </c>
      <c r="AJ33" s="8">
        <f t="shared" si="30"/>
        <v>1025197.9402000001</v>
      </c>
      <c r="AK33" s="8">
        <f t="shared" si="30"/>
        <v>1025197.9402000001</v>
      </c>
      <c r="AL33" s="8">
        <f t="shared" si="30"/>
        <v>1025197.9402000001</v>
      </c>
      <c r="AM33" s="8">
        <f t="shared" si="30"/>
        <v>1025197.9402000001</v>
      </c>
      <c r="AN33" s="8">
        <f t="shared" si="30"/>
        <v>1025197.9402000001</v>
      </c>
      <c r="AO33" s="8">
        <f t="shared" si="30"/>
        <v>1025197.9402000001</v>
      </c>
      <c r="AP33" s="8">
        <f t="shared" si="30"/>
        <v>1025197.9402000001</v>
      </c>
      <c r="AQ33" s="8">
        <f t="shared" si="30"/>
        <v>1025197.9402000001</v>
      </c>
      <c r="AR33" s="8">
        <f t="shared" si="30"/>
        <v>1025197.9402000001</v>
      </c>
      <c r="AS33" s="8">
        <f t="shared" si="30"/>
        <v>1025197.9402000001</v>
      </c>
      <c r="AT33" s="8">
        <f t="shared" si="30"/>
        <v>1025197.9402000001</v>
      </c>
      <c r="AU33" s="8">
        <f t="shared" si="30"/>
        <v>1025197.9402000001</v>
      </c>
      <c r="AV33" s="8">
        <f t="shared" si="30"/>
        <v>1025197.9402000001</v>
      </c>
      <c r="AW33" s="8">
        <f t="shared" si="30"/>
        <v>1025197.9402000001</v>
      </c>
      <c r="AX33" s="8">
        <f t="shared" si="30"/>
        <v>1025197.9402000001</v>
      </c>
      <c r="AY33" s="8">
        <f t="shared" si="30"/>
        <v>1025197.9402000001</v>
      </c>
      <c r="AZ33" s="8">
        <f t="shared" si="30"/>
        <v>1025197.9402000001</v>
      </c>
      <c r="BA33" s="8">
        <f t="shared" si="30"/>
        <v>1025197.9402000001</v>
      </c>
      <c r="BB33" s="8">
        <f t="shared" si="30"/>
        <v>1025197.9402000001</v>
      </c>
      <c r="BC33" s="8">
        <f t="shared" si="30"/>
        <v>1025197.9402000001</v>
      </c>
      <c r="BD33" s="8">
        <f t="shared" si="30"/>
        <v>1025197.9402000001</v>
      </c>
      <c r="BE33" s="8">
        <f t="shared" si="30"/>
        <v>0</v>
      </c>
      <c r="BF33" s="8">
        <f t="shared" si="30"/>
        <v>0</v>
      </c>
      <c r="BG33" s="8">
        <f t="shared" si="30"/>
        <v>0</v>
      </c>
      <c r="BH33" s="8">
        <f t="shared" si="30"/>
        <v>0</v>
      </c>
      <c r="BI33" s="8">
        <f t="shared" si="30"/>
        <v>0</v>
      </c>
      <c r="BJ33" s="8">
        <f t="shared" si="30"/>
        <v>0</v>
      </c>
      <c r="BK33" s="8">
        <f t="shared" si="30"/>
        <v>0</v>
      </c>
      <c r="BL33" s="8">
        <f t="shared" si="30"/>
        <v>0</v>
      </c>
      <c r="BM33" s="8">
        <f t="shared" si="30"/>
        <v>0</v>
      </c>
      <c r="BN33" s="8">
        <f t="shared" si="30"/>
        <v>0</v>
      </c>
      <c r="BO33" s="8">
        <f t="shared" si="30"/>
        <v>0</v>
      </c>
      <c r="BP33" s="8">
        <f t="shared" si="30"/>
        <v>0</v>
      </c>
      <c r="BQ33" s="8">
        <f t="shared" si="30"/>
        <v>0</v>
      </c>
      <c r="BR33" s="8">
        <f t="shared" si="30"/>
        <v>0</v>
      </c>
      <c r="BS33" s="8">
        <f t="shared" ref="BS33:DA33" si="31">IF(ROUND(BR34,4)=-ROUND(BR33,4),0,BR33)</f>
        <v>0</v>
      </c>
      <c r="BT33" s="8">
        <f t="shared" si="31"/>
        <v>0</v>
      </c>
      <c r="BU33" s="8">
        <f t="shared" si="31"/>
        <v>0</v>
      </c>
      <c r="BV33" s="8">
        <f t="shared" si="31"/>
        <v>0</v>
      </c>
      <c r="BW33" s="8">
        <f t="shared" si="31"/>
        <v>0</v>
      </c>
      <c r="BX33" s="8">
        <f t="shared" si="31"/>
        <v>0</v>
      </c>
      <c r="BY33" s="8">
        <f t="shared" si="31"/>
        <v>0</v>
      </c>
      <c r="BZ33" s="8">
        <f t="shared" si="31"/>
        <v>0</v>
      </c>
      <c r="CA33" s="8">
        <f t="shared" si="31"/>
        <v>0</v>
      </c>
      <c r="CB33" s="8">
        <f t="shared" si="31"/>
        <v>0</v>
      </c>
      <c r="CC33" s="8">
        <f t="shared" si="31"/>
        <v>0</v>
      </c>
      <c r="CD33" s="8">
        <f t="shared" si="31"/>
        <v>0</v>
      </c>
      <c r="CE33" s="8">
        <f t="shared" si="31"/>
        <v>0</v>
      </c>
      <c r="CF33" s="8">
        <f t="shared" si="31"/>
        <v>0</v>
      </c>
      <c r="CG33" s="8">
        <f t="shared" si="31"/>
        <v>0</v>
      </c>
      <c r="CH33" s="8">
        <f t="shared" si="31"/>
        <v>0</v>
      </c>
      <c r="CI33" s="8">
        <f t="shared" si="31"/>
        <v>0</v>
      </c>
      <c r="CJ33" s="8">
        <f t="shared" si="31"/>
        <v>0</v>
      </c>
      <c r="CK33" s="8">
        <f t="shared" si="31"/>
        <v>0</v>
      </c>
      <c r="CL33" s="8">
        <f t="shared" si="31"/>
        <v>0</v>
      </c>
      <c r="CM33" s="8">
        <f t="shared" si="31"/>
        <v>0</v>
      </c>
      <c r="CN33" s="8">
        <f t="shared" si="31"/>
        <v>0</v>
      </c>
      <c r="CO33" s="8">
        <f t="shared" si="31"/>
        <v>0</v>
      </c>
      <c r="CP33" s="8">
        <f t="shared" si="31"/>
        <v>0</v>
      </c>
      <c r="CQ33" s="8">
        <f t="shared" si="31"/>
        <v>0</v>
      </c>
      <c r="CR33" s="8">
        <f t="shared" si="31"/>
        <v>0</v>
      </c>
      <c r="CS33" s="8">
        <f t="shared" si="31"/>
        <v>0</v>
      </c>
      <c r="CT33" s="8">
        <f t="shared" si="31"/>
        <v>0</v>
      </c>
      <c r="CU33" s="8">
        <f t="shared" si="31"/>
        <v>0</v>
      </c>
      <c r="CV33" s="8">
        <f t="shared" si="31"/>
        <v>0</v>
      </c>
      <c r="CW33" s="8">
        <f t="shared" si="31"/>
        <v>0</v>
      </c>
      <c r="CX33" s="8">
        <f t="shared" si="31"/>
        <v>0</v>
      </c>
      <c r="CY33" s="8">
        <f t="shared" si="31"/>
        <v>0</v>
      </c>
      <c r="CZ33" s="8">
        <f t="shared" si="31"/>
        <v>0</v>
      </c>
      <c r="DA33" s="8">
        <f t="shared" si="31"/>
        <v>0</v>
      </c>
      <c r="DB33" s="8"/>
    </row>
    <row r="34" spans="1:106" x14ac:dyDescent="0.4">
      <c r="D34" t="s">
        <v>208</v>
      </c>
      <c r="E34" s="8"/>
      <c r="F34" s="8"/>
      <c r="G34" s="8">
        <f>IF(G30&lt;=$B$3,-SUM($E32:G32),0)</f>
        <v>-20503.958804000002</v>
      </c>
      <c r="H34" s="8">
        <f>IF(H30&lt;=$B$3,-SUM($E32:H32),0)</f>
        <v>-41007.917608000003</v>
      </c>
      <c r="I34" s="8">
        <f>IF(I30&lt;=$B$3,-SUM($E32:I32),0)</f>
        <v>-61511.876412000005</v>
      </c>
      <c r="J34" s="8">
        <f>IF(J30&lt;=$B$3,-SUM($E32:J32),0)</f>
        <v>-82015.835216000007</v>
      </c>
      <c r="K34" s="8">
        <f>IF(K30&lt;=$B$3,-SUM($E32:K32),0)</f>
        <v>-102519.79402</v>
      </c>
      <c r="L34" s="8">
        <f>IF(L30&lt;=$B$3,-SUM($E32:L32),0)</f>
        <v>-123023.752824</v>
      </c>
      <c r="M34" s="8">
        <f>IF(M30&lt;=$B$3,-SUM($E32:M32),0)</f>
        <v>-143527.71162799999</v>
      </c>
      <c r="N34" s="8">
        <f>IF(N30&lt;=$B$3,-SUM($E32:N32),0)</f>
        <v>-164031.67043199998</v>
      </c>
      <c r="O34" s="8">
        <f>IF(O30&lt;=$B$3,-SUM($E32:O32),0)</f>
        <v>-184535.62923599998</v>
      </c>
      <c r="P34" s="8">
        <f>IF(P30&lt;=$B$3,-SUM($E32:P32),0)</f>
        <v>-205039.58803999997</v>
      </c>
      <c r="Q34" s="8">
        <f>IF(Q30&lt;=$B$3,-SUM($E32:Q32),0)</f>
        <v>-225543.54684399997</v>
      </c>
      <c r="R34" s="8">
        <f>IF(R30&lt;=$B$3,-SUM($E32:R32),0)</f>
        <v>-246047.50564799996</v>
      </c>
      <c r="S34" s="8">
        <f>IF(S30&lt;=$B$3,-SUM($E32:S32),0)</f>
        <v>-266551.46445199999</v>
      </c>
      <c r="T34" s="8">
        <f>IF(T30&lt;=$B$3,-SUM($E32:T32),0)</f>
        <v>-287055.42325599998</v>
      </c>
      <c r="U34" s="8">
        <f>IF(U30&lt;=$B$3,-SUM($E32:U32),0)</f>
        <v>-307559.38205999997</v>
      </c>
      <c r="V34" s="8">
        <f>IF(V30&lt;=$B$3,-SUM($E32:V32),0)</f>
        <v>-328063.34086399997</v>
      </c>
      <c r="W34" s="8">
        <f>IF(W30&lt;=$B$3,-SUM($E32:W32),0)</f>
        <v>-348567.29966799996</v>
      </c>
      <c r="X34" s="8">
        <f>IF(X30&lt;=$B$3,-SUM($E32:X32),0)</f>
        <v>-369071.25847199996</v>
      </c>
      <c r="Y34" s="8">
        <f>IF(Y30&lt;=$B$3,-SUM($E32:Y32),0)</f>
        <v>-389575.21727599995</v>
      </c>
      <c r="Z34" s="8">
        <f>IF(Z30&lt;=$B$3,-SUM($E32:Z32),0)</f>
        <v>-410079.17607999995</v>
      </c>
      <c r="AA34" s="8">
        <f>IF(AA30&lt;=$B$3,-SUM($E32:AA32),0)</f>
        <v>-430583.13488399994</v>
      </c>
      <c r="AB34" s="8">
        <f>IF(AB30&lt;=$B$3,-SUM($E32:AB32),0)</f>
        <v>-451087.09368799994</v>
      </c>
      <c r="AC34" s="8">
        <f>IF(AC30&lt;=$B$3,-SUM($E32:AC32),0)</f>
        <v>-471591.05249199993</v>
      </c>
      <c r="AD34" s="8">
        <f>IF(AD30&lt;=$B$3,-SUM($E32:AD32),0)</f>
        <v>-492095.01129599992</v>
      </c>
      <c r="AE34" s="8">
        <f>IF(AE30&lt;=$B$3,-SUM($E32:AE32),0)</f>
        <v>-512598.97009999992</v>
      </c>
      <c r="AF34" s="8">
        <f>IF(AF30&lt;=$B$3,-SUM($E32:AF32),0)</f>
        <v>-533102.92890399997</v>
      </c>
      <c r="AG34" s="8">
        <f>IF(AG30&lt;=$B$3,-SUM($E32:AG32),0)</f>
        <v>-553606.88770800002</v>
      </c>
      <c r="AH34" s="8">
        <f>IF(AH30&lt;=$B$3,-SUM($E32:AH32),0)</f>
        <v>-574110.84651200008</v>
      </c>
      <c r="AI34" s="8">
        <f>IF(AI30&lt;=$B$3,-SUM($E32:AI32),0)</f>
        <v>-594614.80531600013</v>
      </c>
      <c r="AJ34" s="8">
        <f>IF(AJ30&lt;=$B$3,-SUM($E32:AJ32),0)</f>
        <v>-615118.76412000018</v>
      </c>
      <c r="AK34" s="8">
        <f>IF(AK30&lt;=$B$3,-SUM($E32:AK32),0)</f>
        <v>-635622.72292400023</v>
      </c>
      <c r="AL34" s="8">
        <f>IF(AL30&lt;=$B$3,-SUM($E32:AL32),0)</f>
        <v>-656126.68172800029</v>
      </c>
      <c r="AM34" s="8">
        <f>IF(AM30&lt;=$B$3,-SUM($E32:AM32),0)</f>
        <v>-676630.64053200034</v>
      </c>
      <c r="AN34" s="8">
        <f>IF(AN30&lt;=$B$3,-SUM($E32:AN32),0)</f>
        <v>-697134.59933600039</v>
      </c>
      <c r="AO34" s="8">
        <f>IF(AO30&lt;=$B$3,-SUM($E32:AO32),0)</f>
        <v>-717638.55814000044</v>
      </c>
      <c r="AP34" s="8">
        <f>IF(AP30&lt;=$B$3,-SUM($E32:AP32),0)</f>
        <v>-738142.5169440005</v>
      </c>
      <c r="AQ34" s="8">
        <f>IF(AQ30&lt;=$B$3,-SUM($E32:AQ32),0)</f>
        <v>-758646.47574800055</v>
      </c>
      <c r="AR34" s="8">
        <f>IF(AR30&lt;=$B$3,-SUM($E32:AR32),0)</f>
        <v>-779150.4345520006</v>
      </c>
      <c r="AS34" s="8">
        <f>IF(AS30&lt;=$B$3,-SUM($E32:AS32),0)</f>
        <v>-799654.39335600066</v>
      </c>
      <c r="AT34" s="8">
        <f>IF(AT30&lt;=$B$3,-SUM($E32:AT32),0)</f>
        <v>-820158.35216000071</v>
      </c>
      <c r="AU34" s="8">
        <f>IF(AU30&lt;=$B$3,-SUM($E32:AU32),0)</f>
        <v>-840662.31096400076</v>
      </c>
      <c r="AV34" s="8">
        <f>IF(AV30&lt;=$B$3,-SUM($E32:AV32),0)</f>
        <v>-861166.26976800081</v>
      </c>
      <c r="AW34" s="8">
        <f>IF(AW30&lt;=$B$3,-SUM($E32:AW32),0)</f>
        <v>-881670.22857200087</v>
      </c>
      <c r="AX34" s="8">
        <f>IF(AX30&lt;=$B$3,-SUM($E32:AX32),0)</f>
        <v>-902174.18737600092</v>
      </c>
      <c r="AY34" s="8">
        <f>IF(AY30&lt;=$B$3,-SUM($E32:AY32),0)</f>
        <v>-922678.14618000097</v>
      </c>
      <c r="AZ34" s="8">
        <f>IF(AZ30&lt;=$B$3,-SUM($E32:AZ32),0)</f>
        <v>-943182.10498400102</v>
      </c>
      <c r="BA34" s="8">
        <f>IF(BA30&lt;=$B$3,-SUM($E32:BA32),0)</f>
        <v>-963686.06378800108</v>
      </c>
      <c r="BB34" s="8">
        <f>IF(BB30&lt;=$B$3,-SUM($E32:BB32),0)</f>
        <v>-984190.02259200113</v>
      </c>
      <c r="BC34" s="8">
        <f>IF(BC30&lt;=$B$3,-SUM($E32:BC32),0)</f>
        <v>-1004693.9813960012</v>
      </c>
      <c r="BD34" s="8">
        <f>IF(BD30&lt;=$B$3,-SUM($E32:BD32),0)</f>
        <v>-1025197.9402000012</v>
      </c>
      <c r="BE34" s="8">
        <f>IF(BE30&lt;=$B$3,-SUM($E32:BE32),0)</f>
        <v>0</v>
      </c>
      <c r="BF34" s="8">
        <f>IF(BF30&lt;=$B$3,-SUM($E32:BF32),0)</f>
        <v>0</v>
      </c>
      <c r="BG34" s="8">
        <f>IF(BG30&lt;=$B$3,-SUM($E32:BG32),0)</f>
        <v>0</v>
      </c>
      <c r="BH34" s="8">
        <f>IF(BH30&lt;=$B$3,-SUM($E32:BH32),0)</f>
        <v>0</v>
      </c>
      <c r="BI34" s="8">
        <f>IF(BI30&lt;=$B$3,-SUM($E32:BI32),0)</f>
        <v>0</v>
      </c>
      <c r="BJ34" s="8">
        <f>IF(BJ30&lt;=$B$3,-SUM($E32:BJ32),0)</f>
        <v>0</v>
      </c>
      <c r="BK34" s="8">
        <f>IF(BK30&lt;=$B$3,-SUM($E32:BK32),0)</f>
        <v>0</v>
      </c>
      <c r="BL34" s="8">
        <f>IF(BL30&lt;=$B$3,-SUM($E32:BL32),0)</f>
        <v>0</v>
      </c>
      <c r="BM34" s="8">
        <f>IF(BM30&lt;=$B$3,-SUM($E32:BM32),0)</f>
        <v>0</v>
      </c>
      <c r="BN34" s="8">
        <f>IF(BN30&lt;=$B$3,-SUM($E32:BN32),0)</f>
        <v>0</v>
      </c>
      <c r="BO34" s="8">
        <f>IF(BO30&lt;=$B$3,-SUM($E32:BO32),0)</f>
        <v>0</v>
      </c>
      <c r="BP34" s="8">
        <f>IF(BP30&lt;=$B$3,-SUM($E32:BP32),0)</f>
        <v>0</v>
      </c>
      <c r="BQ34" s="8">
        <f>IF(BQ30&lt;=$B$3,-SUM($E32:BQ32),0)</f>
        <v>0</v>
      </c>
      <c r="BR34" s="8">
        <f>IF(BR30&lt;=$B$3,-SUM($E32:BR32),0)</f>
        <v>0</v>
      </c>
      <c r="BS34" s="8">
        <f>IF(BS30&lt;=$B$3,-SUM($E32:BS32),0)</f>
        <v>0</v>
      </c>
      <c r="BT34" s="8">
        <f>IF(BT30&lt;=$B$3,-SUM($E32:BT32),0)</f>
        <v>0</v>
      </c>
      <c r="BU34" s="8">
        <f>IF(BU30&lt;=$B$3,-SUM($E32:BU32),0)</f>
        <v>0</v>
      </c>
      <c r="BV34" s="8">
        <f>IF(BV30&lt;=$B$3,-SUM($E32:BV32),0)</f>
        <v>0</v>
      </c>
      <c r="BW34" s="8">
        <f>IF(BW30&lt;=$B$3,-SUM($E32:BW32),0)</f>
        <v>0</v>
      </c>
      <c r="BX34" s="8">
        <f>IF(BX30&lt;=$B$3,-SUM($E32:BX32),0)</f>
        <v>0</v>
      </c>
      <c r="BY34" s="8">
        <f>IF(BY30&lt;=$B$3,-SUM($E32:BY32),0)</f>
        <v>0</v>
      </c>
      <c r="BZ34" s="8">
        <f>IF(BZ30&lt;=$B$3,-SUM($E32:BZ32),0)</f>
        <v>0</v>
      </c>
      <c r="CA34" s="8">
        <f>IF(CA30&lt;=$B$3,-SUM($E32:CA32),0)</f>
        <v>0</v>
      </c>
      <c r="CB34" s="8">
        <f>IF(CB30&lt;=$B$3,-SUM($E32:CB32),0)</f>
        <v>0</v>
      </c>
      <c r="CC34" s="8">
        <f>IF(CC30&lt;=$B$3,-SUM($E32:CC32),0)</f>
        <v>0</v>
      </c>
      <c r="CD34" s="8">
        <f>IF(CD30&lt;=$B$3,-SUM($E32:CD32),0)</f>
        <v>0</v>
      </c>
      <c r="CE34" s="8">
        <f>IF(CE30&lt;=$B$3,-SUM($E32:CE32),0)</f>
        <v>0</v>
      </c>
      <c r="CF34" s="8">
        <f>IF(CF30&lt;=$B$3,-SUM($E32:CF32),0)</f>
        <v>0</v>
      </c>
      <c r="CG34" s="8">
        <f>IF(CG30&lt;=$B$3,-SUM($E32:CG32),0)</f>
        <v>0</v>
      </c>
      <c r="CH34" s="8">
        <f>IF(CH30&lt;=$B$3,-SUM($E32:CH32),0)</f>
        <v>0</v>
      </c>
      <c r="CI34" s="8">
        <f>IF(CI30&lt;=$B$3,-SUM($E32:CI32),0)</f>
        <v>0</v>
      </c>
      <c r="CJ34" s="8">
        <f>IF(CJ30&lt;=$B$3,-SUM($E32:CJ32),0)</f>
        <v>0</v>
      </c>
      <c r="CK34" s="8">
        <f>IF(CK30&lt;=$B$3,-SUM($E32:CK32),0)</f>
        <v>0</v>
      </c>
      <c r="CL34" s="8">
        <f>IF(CL30&lt;=$B$3,-SUM($E32:CL32),0)</f>
        <v>0</v>
      </c>
      <c r="CM34" s="8">
        <f>IF(CM30&lt;=$B$3,-SUM($E32:CM32),0)</f>
        <v>0</v>
      </c>
      <c r="CN34" s="8">
        <f>IF(CN30&lt;=$B$3,-SUM($E32:CN32),0)</f>
        <v>0</v>
      </c>
      <c r="CO34" s="8">
        <f>IF(CO30&lt;=$B$3,-SUM($E32:CO32),0)</f>
        <v>0</v>
      </c>
      <c r="CP34" s="8">
        <f>IF(CP30&lt;=$B$3,-SUM($E32:CP32),0)</f>
        <v>0</v>
      </c>
      <c r="CQ34" s="8">
        <f>IF(CQ30&lt;=$B$3,-SUM($E32:CQ32),0)</f>
        <v>0</v>
      </c>
      <c r="CR34" s="8">
        <f>IF(CR30&lt;=$B$3,-SUM($E32:CR32),0)</f>
        <v>0</v>
      </c>
      <c r="CS34" s="8">
        <f>IF(CS30&lt;=$B$3,-SUM($E32:CS32),0)</f>
        <v>0</v>
      </c>
      <c r="CT34" s="8">
        <f>IF(CT30&lt;=$B$3,-SUM($E32:CT32),0)</f>
        <v>0</v>
      </c>
      <c r="CU34" s="8">
        <f>IF(CU30&lt;=$B$3,-SUM($E32:CU32),0)</f>
        <v>0</v>
      </c>
      <c r="CV34" s="8">
        <f>IF(CV30&lt;=$B$3,-SUM($E32:CV32),0)</f>
        <v>0</v>
      </c>
      <c r="CW34" s="8">
        <f>IF(CW30&lt;=$B$3,-SUM($E32:CW32),0)</f>
        <v>0</v>
      </c>
      <c r="CX34" s="8">
        <f>IF(CX30&lt;=$B$3,-SUM($E32:CX32),0)</f>
        <v>0</v>
      </c>
      <c r="CY34" s="8">
        <f>IF(CY30&lt;=$B$3,-SUM($E32:CY32),0)</f>
        <v>0</v>
      </c>
      <c r="CZ34" s="8">
        <f>IF(CZ30&lt;=$B$3,-SUM($E32:CZ32),0)</f>
        <v>0</v>
      </c>
      <c r="DA34" s="8">
        <f>IF(DA30&lt;=$B$3,-SUM($E32:DA32),0)</f>
        <v>0</v>
      </c>
      <c r="DB34" s="8"/>
    </row>
    <row r="35" spans="1:106" x14ac:dyDescent="0.4">
      <c r="D35" t="s">
        <v>167</v>
      </c>
      <c r="E35" s="8"/>
      <c r="F35" s="8"/>
      <c r="G35" s="8">
        <f>F36</f>
        <v>1025197.9402000001</v>
      </c>
      <c r="H35" s="8">
        <f t="shared" ref="H35:BS35" si="32">G36</f>
        <v>1004693.981396</v>
      </c>
      <c r="I35" s="8">
        <f t="shared" si="32"/>
        <v>984190.02259200008</v>
      </c>
      <c r="J35" s="8">
        <f t="shared" si="32"/>
        <v>963686.06378800003</v>
      </c>
      <c r="K35" s="8">
        <f t="shared" si="32"/>
        <v>943182.10498400009</v>
      </c>
      <c r="L35" s="8">
        <f t="shared" si="32"/>
        <v>922678.14618000004</v>
      </c>
      <c r="M35" s="8">
        <f t="shared" si="32"/>
        <v>902174.1873760001</v>
      </c>
      <c r="N35" s="8">
        <f t="shared" si="32"/>
        <v>881670.22857200005</v>
      </c>
      <c r="O35" s="8">
        <f t="shared" si="32"/>
        <v>861166.26976800011</v>
      </c>
      <c r="P35" s="8">
        <f t="shared" si="32"/>
        <v>840662.31096400006</v>
      </c>
      <c r="Q35" s="8">
        <f t="shared" si="32"/>
        <v>820158.35216000013</v>
      </c>
      <c r="R35" s="8">
        <f t="shared" si="32"/>
        <v>799654.39335600007</v>
      </c>
      <c r="S35" s="8">
        <f t="shared" si="32"/>
        <v>779150.43455200014</v>
      </c>
      <c r="T35" s="8">
        <f t="shared" si="32"/>
        <v>758646.47574800008</v>
      </c>
      <c r="U35" s="8">
        <f t="shared" si="32"/>
        <v>738142.51694400003</v>
      </c>
      <c r="V35" s="8">
        <f t="shared" si="32"/>
        <v>717638.5581400001</v>
      </c>
      <c r="W35" s="8">
        <f t="shared" si="32"/>
        <v>697134.59933600016</v>
      </c>
      <c r="X35" s="8">
        <f t="shared" si="32"/>
        <v>676630.64053200011</v>
      </c>
      <c r="Y35" s="8">
        <f t="shared" si="32"/>
        <v>656126.68172800005</v>
      </c>
      <c r="Z35" s="8">
        <f t="shared" si="32"/>
        <v>635622.72292400012</v>
      </c>
      <c r="AA35" s="8">
        <f t="shared" si="32"/>
        <v>615118.76412000018</v>
      </c>
      <c r="AB35" s="8">
        <f t="shared" si="32"/>
        <v>594614.80531600013</v>
      </c>
      <c r="AC35" s="8">
        <f t="shared" si="32"/>
        <v>574110.84651200008</v>
      </c>
      <c r="AD35" s="8">
        <f t="shared" si="32"/>
        <v>553606.88770800014</v>
      </c>
      <c r="AE35" s="8">
        <f t="shared" si="32"/>
        <v>533102.9289040002</v>
      </c>
      <c r="AF35" s="8">
        <f t="shared" si="32"/>
        <v>512598.97010000015</v>
      </c>
      <c r="AG35" s="8">
        <f t="shared" si="32"/>
        <v>492095.0112960001</v>
      </c>
      <c r="AH35" s="8">
        <f t="shared" si="32"/>
        <v>471591.05249200005</v>
      </c>
      <c r="AI35" s="8">
        <f t="shared" si="32"/>
        <v>451087.09368799999</v>
      </c>
      <c r="AJ35" s="8">
        <f t="shared" si="32"/>
        <v>430583.13488399994</v>
      </c>
      <c r="AK35" s="8">
        <f t="shared" si="32"/>
        <v>410079.17607999989</v>
      </c>
      <c r="AL35" s="8">
        <f t="shared" si="32"/>
        <v>389575.21727599984</v>
      </c>
      <c r="AM35" s="8">
        <f t="shared" si="32"/>
        <v>369071.25847199978</v>
      </c>
      <c r="AN35" s="8">
        <f t="shared" si="32"/>
        <v>348567.29966799973</v>
      </c>
      <c r="AO35" s="8">
        <f t="shared" si="32"/>
        <v>328063.34086399968</v>
      </c>
      <c r="AP35" s="8">
        <f t="shared" si="32"/>
        <v>307559.38205999963</v>
      </c>
      <c r="AQ35" s="8">
        <f t="shared" si="32"/>
        <v>287055.42325599957</v>
      </c>
      <c r="AR35" s="8">
        <f t="shared" si="32"/>
        <v>266551.46445199952</v>
      </c>
      <c r="AS35" s="8">
        <f t="shared" si="32"/>
        <v>246047.50564799947</v>
      </c>
      <c r="AT35" s="8">
        <f t="shared" si="32"/>
        <v>225543.54684399941</v>
      </c>
      <c r="AU35" s="8">
        <f t="shared" si="32"/>
        <v>205039.58803999936</v>
      </c>
      <c r="AV35" s="8">
        <f t="shared" si="32"/>
        <v>184535.62923599931</v>
      </c>
      <c r="AW35" s="8">
        <f t="shared" si="32"/>
        <v>164031.67043199926</v>
      </c>
      <c r="AX35" s="8">
        <f t="shared" si="32"/>
        <v>143527.7116279992</v>
      </c>
      <c r="AY35" s="8">
        <f t="shared" si="32"/>
        <v>123023.75282399915</v>
      </c>
      <c r="AZ35" s="8">
        <f t="shared" si="32"/>
        <v>102519.7940199991</v>
      </c>
      <c r="BA35" s="8">
        <f t="shared" si="32"/>
        <v>82015.835215999046</v>
      </c>
      <c r="BB35" s="8">
        <f t="shared" si="32"/>
        <v>61511.876411998994</v>
      </c>
      <c r="BC35" s="8">
        <f t="shared" si="32"/>
        <v>41007.917607998941</v>
      </c>
      <c r="BD35" s="8">
        <f t="shared" si="32"/>
        <v>20503.958803998888</v>
      </c>
      <c r="BE35" s="8">
        <f t="shared" si="32"/>
        <v>-1.1641532182693481E-9</v>
      </c>
      <c r="BF35" s="8">
        <f t="shared" si="32"/>
        <v>0</v>
      </c>
      <c r="BG35" s="8">
        <f t="shared" si="32"/>
        <v>0</v>
      </c>
      <c r="BH35" s="8">
        <f t="shared" si="32"/>
        <v>0</v>
      </c>
      <c r="BI35" s="8">
        <f t="shared" si="32"/>
        <v>0</v>
      </c>
      <c r="BJ35" s="8">
        <f t="shared" si="32"/>
        <v>0</v>
      </c>
      <c r="BK35" s="8">
        <f t="shared" si="32"/>
        <v>0</v>
      </c>
      <c r="BL35" s="8">
        <f t="shared" si="32"/>
        <v>0</v>
      </c>
      <c r="BM35" s="8">
        <f t="shared" si="32"/>
        <v>0</v>
      </c>
      <c r="BN35" s="8">
        <f t="shared" si="32"/>
        <v>0</v>
      </c>
      <c r="BO35" s="8">
        <f t="shared" si="32"/>
        <v>0</v>
      </c>
      <c r="BP35" s="8">
        <f t="shared" si="32"/>
        <v>0</v>
      </c>
      <c r="BQ35" s="8">
        <f t="shared" si="32"/>
        <v>0</v>
      </c>
      <c r="BR35" s="8">
        <f t="shared" si="32"/>
        <v>0</v>
      </c>
      <c r="BS35" s="8">
        <f t="shared" si="32"/>
        <v>0</v>
      </c>
      <c r="BT35" s="8">
        <f t="shared" ref="BT35:DA35" si="33">BS36</f>
        <v>0</v>
      </c>
      <c r="BU35" s="8">
        <f t="shared" si="33"/>
        <v>0</v>
      </c>
      <c r="BV35" s="8">
        <f t="shared" si="33"/>
        <v>0</v>
      </c>
      <c r="BW35" s="8">
        <f t="shared" si="33"/>
        <v>0</v>
      </c>
      <c r="BX35" s="8">
        <f t="shared" si="33"/>
        <v>0</v>
      </c>
      <c r="BY35" s="8">
        <f t="shared" si="33"/>
        <v>0</v>
      </c>
      <c r="BZ35" s="8">
        <f t="shared" si="33"/>
        <v>0</v>
      </c>
      <c r="CA35" s="8">
        <f t="shared" si="33"/>
        <v>0</v>
      </c>
      <c r="CB35" s="8">
        <f t="shared" si="33"/>
        <v>0</v>
      </c>
      <c r="CC35" s="8">
        <f t="shared" si="33"/>
        <v>0</v>
      </c>
      <c r="CD35" s="8">
        <f t="shared" si="33"/>
        <v>0</v>
      </c>
      <c r="CE35" s="8">
        <f t="shared" si="33"/>
        <v>0</v>
      </c>
      <c r="CF35" s="8">
        <f t="shared" si="33"/>
        <v>0</v>
      </c>
      <c r="CG35" s="8">
        <f t="shared" si="33"/>
        <v>0</v>
      </c>
      <c r="CH35" s="8">
        <f t="shared" si="33"/>
        <v>0</v>
      </c>
      <c r="CI35" s="8">
        <f t="shared" si="33"/>
        <v>0</v>
      </c>
      <c r="CJ35" s="8">
        <f t="shared" si="33"/>
        <v>0</v>
      </c>
      <c r="CK35" s="8">
        <f t="shared" si="33"/>
        <v>0</v>
      </c>
      <c r="CL35" s="8">
        <f t="shared" si="33"/>
        <v>0</v>
      </c>
      <c r="CM35" s="8">
        <f t="shared" si="33"/>
        <v>0</v>
      </c>
      <c r="CN35" s="8">
        <f t="shared" si="33"/>
        <v>0</v>
      </c>
      <c r="CO35" s="8">
        <f t="shared" si="33"/>
        <v>0</v>
      </c>
      <c r="CP35" s="8">
        <f t="shared" si="33"/>
        <v>0</v>
      </c>
      <c r="CQ35" s="8">
        <f t="shared" si="33"/>
        <v>0</v>
      </c>
      <c r="CR35" s="8">
        <f t="shared" si="33"/>
        <v>0</v>
      </c>
      <c r="CS35" s="8">
        <f t="shared" si="33"/>
        <v>0</v>
      </c>
      <c r="CT35" s="8">
        <f t="shared" si="33"/>
        <v>0</v>
      </c>
      <c r="CU35" s="8">
        <f t="shared" si="33"/>
        <v>0</v>
      </c>
      <c r="CV35" s="8">
        <f t="shared" si="33"/>
        <v>0</v>
      </c>
      <c r="CW35" s="8">
        <f t="shared" si="33"/>
        <v>0</v>
      </c>
      <c r="CX35" s="8">
        <f t="shared" si="33"/>
        <v>0</v>
      </c>
      <c r="CY35" s="8">
        <f t="shared" si="33"/>
        <v>0</v>
      </c>
      <c r="CZ35" s="8">
        <f t="shared" si="33"/>
        <v>0</v>
      </c>
      <c r="DA35" s="8">
        <f t="shared" si="33"/>
        <v>0</v>
      </c>
      <c r="DB35" s="8"/>
    </row>
    <row r="36" spans="1:106" x14ac:dyDescent="0.4">
      <c r="D36" t="s">
        <v>168</v>
      </c>
      <c r="E36" s="8"/>
      <c r="F36" s="8">
        <f>F33+F34</f>
        <v>1025197.9402000001</v>
      </c>
      <c r="G36" s="8">
        <f>G33+G34</f>
        <v>1004693.981396</v>
      </c>
      <c r="H36" s="8">
        <f t="shared" ref="H36:BS36" si="34">H33+H34</f>
        <v>984190.02259200008</v>
      </c>
      <c r="I36" s="8">
        <f t="shared" si="34"/>
        <v>963686.06378800003</v>
      </c>
      <c r="J36" s="8">
        <f t="shared" si="34"/>
        <v>943182.10498400009</v>
      </c>
      <c r="K36" s="8">
        <f t="shared" si="34"/>
        <v>922678.14618000004</v>
      </c>
      <c r="L36" s="8">
        <f t="shared" si="34"/>
        <v>902174.1873760001</v>
      </c>
      <c r="M36" s="8">
        <f t="shared" si="34"/>
        <v>881670.22857200005</v>
      </c>
      <c r="N36" s="8">
        <f t="shared" si="34"/>
        <v>861166.26976800011</v>
      </c>
      <c r="O36" s="8">
        <f t="shared" si="34"/>
        <v>840662.31096400006</v>
      </c>
      <c r="P36" s="8">
        <f t="shared" si="34"/>
        <v>820158.35216000013</v>
      </c>
      <c r="Q36" s="8">
        <f t="shared" si="34"/>
        <v>799654.39335600007</v>
      </c>
      <c r="R36" s="8">
        <f t="shared" si="34"/>
        <v>779150.43455200014</v>
      </c>
      <c r="S36" s="8">
        <f t="shared" si="34"/>
        <v>758646.47574800008</v>
      </c>
      <c r="T36" s="8">
        <f t="shared" si="34"/>
        <v>738142.51694400003</v>
      </c>
      <c r="U36" s="8">
        <f t="shared" si="34"/>
        <v>717638.5581400001</v>
      </c>
      <c r="V36" s="8">
        <f t="shared" si="34"/>
        <v>697134.59933600016</v>
      </c>
      <c r="W36" s="8">
        <f t="shared" si="34"/>
        <v>676630.64053200011</v>
      </c>
      <c r="X36" s="8">
        <f t="shared" si="34"/>
        <v>656126.68172800005</v>
      </c>
      <c r="Y36" s="8">
        <f t="shared" si="34"/>
        <v>635622.72292400012</v>
      </c>
      <c r="Z36" s="8">
        <f t="shared" si="34"/>
        <v>615118.76412000018</v>
      </c>
      <c r="AA36" s="8">
        <f t="shared" si="34"/>
        <v>594614.80531600013</v>
      </c>
      <c r="AB36" s="8">
        <f t="shared" si="34"/>
        <v>574110.84651200008</v>
      </c>
      <c r="AC36" s="8">
        <f t="shared" si="34"/>
        <v>553606.88770800014</v>
      </c>
      <c r="AD36" s="8">
        <f t="shared" si="34"/>
        <v>533102.9289040002</v>
      </c>
      <c r="AE36" s="8">
        <f t="shared" si="34"/>
        <v>512598.97010000015</v>
      </c>
      <c r="AF36" s="8">
        <f t="shared" si="34"/>
        <v>492095.0112960001</v>
      </c>
      <c r="AG36" s="8">
        <f t="shared" si="34"/>
        <v>471591.05249200005</v>
      </c>
      <c r="AH36" s="8">
        <f t="shared" si="34"/>
        <v>451087.09368799999</v>
      </c>
      <c r="AI36" s="8">
        <f t="shared" si="34"/>
        <v>430583.13488399994</v>
      </c>
      <c r="AJ36" s="8">
        <f t="shared" si="34"/>
        <v>410079.17607999989</v>
      </c>
      <c r="AK36" s="8">
        <f t="shared" si="34"/>
        <v>389575.21727599984</v>
      </c>
      <c r="AL36" s="8">
        <f t="shared" si="34"/>
        <v>369071.25847199978</v>
      </c>
      <c r="AM36" s="8">
        <f t="shared" si="34"/>
        <v>348567.29966799973</v>
      </c>
      <c r="AN36" s="8">
        <f t="shared" si="34"/>
        <v>328063.34086399968</v>
      </c>
      <c r="AO36" s="8">
        <f t="shared" si="34"/>
        <v>307559.38205999963</v>
      </c>
      <c r="AP36" s="8">
        <f t="shared" si="34"/>
        <v>287055.42325599957</v>
      </c>
      <c r="AQ36" s="8">
        <f t="shared" si="34"/>
        <v>266551.46445199952</v>
      </c>
      <c r="AR36" s="8">
        <f t="shared" si="34"/>
        <v>246047.50564799947</v>
      </c>
      <c r="AS36" s="8">
        <f t="shared" si="34"/>
        <v>225543.54684399941</v>
      </c>
      <c r="AT36" s="8">
        <f t="shared" si="34"/>
        <v>205039.58803999936</v>
      </c>
      <c r="AU36" s="8">
        <f t="shared" si="34"/>
        <v>184535.62923599931</v>
      </c>
      <c r="AV36" s="8">
        <f t="shared" si="34"/>
        <v>164031.67043199926</v>
      </c>
      <c r="AW36" s="8">
        <f t="shared" si="34"/>
        <v>143527.7116279992</v>
      </c>
      <c r="AX36" s="8">
        <f t="shared" si="34"/>
        <v>123023.75282399915</v>
      </c>
      <c r="AY36" s="8">
        <f t="shared" si="34"/>
        <v>102519.7940199991</v>
      </c>
      <c r="AZ36" s="8">
        <f t="shared" si="34"/>
        <v>82015.835215999046</v>
      </c>
      <c r="BA36" s="8">
        <f t="shared" si="34"/>
        <v>61511.876411998994</v>
      </c>
      <c r="BB36" s="8">
        <f t="shared" si="34"/>
        <v>41007.917607998941</v>
      </c>
      <c r="BC36" s="8">
        <f t="shared" si="34"/>
        <v>20503.958803998888</v>
      </c>
      <c r="BD36" s="8">
        <f t="shared" si="34"/>
        <v>-1.1641532182693481E-9</v>
      </c>
      <c r="BE36" s="8">
        <f t="shared" si="34"/>
        <v>0</v>
      </c>
      <c r="BF36" s="8">
        <f t="shared" si="34"/>
        <v>0</v>
      </c>
      <c r="BG36" s="8">
        <f t="shared" si="34"/>
        <v>0</v>
      </c>
      <c r="BH36" s="8">
        <f t="shared" si="34"/>
        <v>0</v>
      </c>
      <c r="BI36" s="8">
        <f t="shared" si="34"/>
        <v>0</v>
      </c>
      <c r="BJ36" s="8">
        <f t="shared" si="34"/>
        <v>0</v>
      </c>
      <c r="BK36" s="8">
        <f t="shared" si="34"/>
        <v>0</v>
      </c>
      <c r="BL36" s="8">
        <f t="shared" si="34"/>
        <v>0</v>
      </c>
      <c r="BM36" s="8">
        <f t="shared" si="34"/>
        <v>0</v>
      </c>
      <c r="BN36" s="8">
        <f t="shared" si="34"/>
        <v>0</v>
      </c>
      <c r="BO36" s="8">
        <f t="shared" si="34"/>
        <v>0</v>
      </c>
      <c r="BP36" s="8">
        <f t="shared" si="34"/>
        <v>0</v>
      </c>
      <c r="BQ36" s="8">
        <f t="shared" si="34"/>
        <v>0</v>
      </c>
      <c r="BR36" s="8">
        <f t="shared" si="34"/>
        <v>0</v>
      </c>
      <c r="BS36" s="8">
        <f t="shared" si="34"/>
        <v>0</v>
      </c>
      <c r="BT36" s="8">
        <f t="shared" ref="BT36:DA36" si="35">BT33+BT34</f>
        <v>0</v>
      </c>
      <c r="BU36" s="8">
        <f t="shared" si="35"/>
        <v>0</v>
      </c>
      <c r="BV36" s="8">
        <f t="shared" si="35"/>
        <v>0</v>
      </c>
      <c r="BW36" s="8">
        <f t="shared" si="35"/>
        <v>0</v>
      </c>
      <c r="BX36" s="8">
        <f t="shared" si="35"/>
        <v>0</v>
      </c>
      <c r="BY36" s="8">
        <f t="shared" si="35"/>
        <v>0</v>
      </c>
      <c r="BZ36" s="8">
        <f t="shared" si="35"/>
        <v>0</v>
      </c>
      <c r="CA36" s="8">
        <f t="shared" si="35"/>
        <v>0</v>
      </c>
      <c r="CB36" s="8">
        <f t="shared" si="35"/>
        <v>0</v>
      </c>
      <c r="CC36" s="8">
        <f t="shared" si="35"/>
        <v>0</v>
      </c>
      <c r="CD36" s="8">
        <f t="shared" si="35"/>
        <v>0</v>
      </c>
      <c r="CE36" s="8">
        <f t="shared" si="35"/>
        <v>0</v>
      </c>
      <c r="CF36" s="8">
        <f t="shared" si="35"/>
        <v>0</v>
      </c>
      <c r="CG36" s="8">
        <f t="shared" si="35"/>
        <v>0</v>
      </c>
      <c r="CH36" s="8">
        <f t="shared" si="35"/>
        <v>0</v>
      </c>
      <c r="CI36" s="8">
        <f t="shared" si="35"/>
        <v>0</v>
      </c>
      <c r="CJ36" s="8">
        <f t="shared" si="35"/>
        <v>0</v>
      </c>
      <c r="CK36" s="8">
        <f t="shared" si="35"/>
        <v>0</v>
      </c>
      <c r="CL36" s="8">
        <f t="shared" si="35"/>
        <v>0</v>
      </c>
      <c r="CM36" s="8">
        <f t="shared" si="35"/>
        <v>0</v>
      </c>
      <c r="CN36" s="8">
        <f t="shared" si="35"/>
        <v>0</v>
      </c>
      <c r="CO36" s="8">
        <f t="shared" si="35"/>
        <v>0</v>
      </c>
      <c r="CP36" s="8">
        <f t="shared" si="35"/>
        <v>0</v>
      </c>
      <c r="CQ36" s="8">
        <f t="shared" si="35"/>
        <v>0</v>
      </c>
      <c r="CR36" s="8">
        <f t="shared" si="35"/>
        <v>0</v>
      </c>
      <c r="CS36" s="8">
        <f t="shared" si="35"/>
        <v>0</v>
      </c>
      <c r="CT36" s="8">
        <f t="shared" si="35"/>
        <v>0</v>
      </c>
      <c r="CU36" s="8">
        <f t="shared" si="35"/>
        <v>0</v>
      </c>
      <c r="CV36" s="8">
        <f t="shared" si="35"/>
        <v>0</v>
      </c>
      <c r="CW36" s="8">
        <f t="shared" si="35"/>
        <v>0</v>
      </c>
      <c r="CX36" s="8">
        <f t="shared" si="35"/>
        <v>0</v>
      </c>
      <c r="CY36" s="8">
        <f t="shared" si="35"/>
        <v>0</v>
      </c>
      <c r="CZ36" s="8">
        <f t="shared" si="35"/>
        <v>0</v>
      </c>
      <c r="DA36" s="8">
        <f t="shared" si="35"/>
        <v>0</v>
      </c>
      <c r="DB36" s="8"/>
    </row>
    <row r="37" spans="1:106" x14ac:dyDescent="0.4"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</row>
    <row r="38" spans="1:106" x14ac:dyDescent="0.4">
      <c r="D38" t="s">
        <v>169</v>
      </c>
      <c r="E38" s="8"/>
      <c r="F38" s="8"/>
      <c r="G38" s="8">
        <f>IF(G30&lt;=$B$4+1,G33*VLOOKUP(G30,Assumptions!$A$70:$B$90,2,0),0)</f>
        <v>38444.922757500004</v>
      </c>
      <c r="H38" s="8">
        <f>IF(H30&lt;=$B$4+1,H33*VLOOKUP(H30,Assumptions!$A$70:$B$90,2,0),0)</f>
        <v>74009.039303038007</v>
      </c>
      <c r="I38" s="8">
        <f>IF(I30&lt;=$B$4+1,I33*VLOOKUP(I30,Assumptions!$A$70:$B$90,2,0),0)</f>
        <v>68452.466467153994</v>
      </c>
      <c r="J38" s="8">
        <f>IF(J30&lt;=$B$4+1,J33*VLOOKUP(J30,Assumptions!$A$70:$B$90,2,0),0)</f>
        <v>63326.476766154003</v>
      </c>
      <c r="K38" s="8">
        <f>IF(K30&lt;=$B$4+1,K33*VLOOKUP(K30,Assumptions!$A$70:$B$90,2,0),0)</f>
        <v>58569.558323626006</v>
      </c>
      <c r="L38" s="8">
        <f>IF(L30&lt;=$B$4+1,L33*VLOOKUP(L30,Assumptions!$A$70:$B$90,2,0),0)</f>
        <v>54181.711139570005</v>
      </c>
      <c r="M38" s="8">
        <f>IF(M30&lt;=$B$4+1,M33*VLOOKUP(M30,Assumptions!$A$70:$B$90,2,0),0)</f>
        <v>50111.675316976005</v>
      </c>
      <c r="N38" s="8">
        <f>IF(N30&lt;=$B$4+1,N33*VLOOKUP(N30,Assumptions!$A$70:$B$90,2,0),0)</f>
        <v>46359.450855844007</v>
      </c>
      <c r="O38" s="8">
        <f>IF(O30&lt;=$B$4+1,O33*VLOOKUP(O30,Assumptions!$A$70:$B$90,2,0),0)</f>
        <v>45744.332091724005</v>
      </c>
      <c r="P38" s="8">
        <f>IF(P30&lt;=$B$4+1,P33*VLOOKUP(P30,Assumptions!$A$70:$B$90,2,0),0)</f>
        <v>45734.080112322001</v>
      </c>
      <c r="Q38" s="8">
        <f>IF(Q30&lt;=$B$4+1,Q33*VLOOKUP(Q30,Assumptions!$A$70:$B$90,2,0),0)</f>
        <v>45744.332091724005</v>
      </c>
      <c r="R38" s="8">
        <f>IF(R30&lt;=$B$4+1,R33*VLOOKUP(R30,Assumptions!$A$70:$B$90,2,0),0)</f>
        <v>45734.080112322001</v>
      </c>
      <c r="S38" s="8">
        <f>IF(S30&lt;=$B$4+1,S33*VLOOKUP(S30,Assumptions!$A$70:$B$90,2,0),0)</f>
        <v>45744.332091724005</v>
      </c>
      <c r="T38" s="8">
        <f>IF(T30&lt;=$B$4+1,T33*VLOOKUP(T30,Assumptions!$A$70:$B$90,2,0),0)</f>
        <v>45734.080112322001</v>
      </c>
      <c r="U38" s="8">
        <f>IF(U30&lt;=$B$4+1,U33*VLOOKUP(U30,Assumptions!$A$70:$B$90,2,0),0)</f>
        <v>45744.332091724005</v>
      </c>
      <c r="V38" s="8">
        <f>IF(V30&lt;=$B$4+1,V33*VLOOKUP(V30,Assumptions!$A$70:$B$90,2,0),0)</f>
        <v>45734.080112322001</v>
      </c>
      <c r="W38" s="8">
        <f>IF(W30&lt;=$B$4+1,W33*VLOOKUP(W30,Assumptions!$A$70:$B$90,2,0),0)</f>
        <v>45744.332091724005</v>
      </c>
      <c r="X38" s="8">
        <f>IF(X30&lt;=$B$4+1,X33*VLOOKUP(X30,Assumptions!$A$70:$B$90,2,0),0)</f>
        <v>45734.080112322001</v>
      </c>
      <c r="Y38" s="8">
        <f>IF(Y30&lt;=$B$4+1,Y33*VLOOKUP(Y30,Assumptions!$A$70:$B$90,2,0),0)</f>
        <v>45744.332091724005</v>
      </c>
      <c r="Z38" s="8">
        <f>IF(Z30&lt;=$B$4+1,Z33*VLOOKUP(Z30,Assumptions!$A$70:$B$90,2,0),0)</f>
        <v>45734.080112322001</v>
      </c>
      <c r="AA38" s="8">
        <f>IF(AA30&lt;=$B$4+1,AA33*VLOOKUP(AA30,Assumptions!$A$70:$B$90,2,0),0)</f>
        <v>22872.166045862003</v>
      </c>
      <c r="AB38" s="8">
        <f>IF(AB30&lt;=$B$4+1,AB33*VLOOKUP(AB30,Assumptions!$A$70:$B$90,2,0),0)</f>
        <v>0</v>
      </c>
      <c r="AC38" s="8">
        <f>IF(AC30&lt;=$B$4+1,AC33*VLOOKUP(AC30,Assumptions!$A$70:$B$90,2,0),0)</f>
        <v>0</v>
      </c>
      <c r="AD38" s="8">
        <f>IF(AD30&lt;=$B$4+1,AD33*VLOOKUP(AD30,Assumptions!$A$70:$B$90,2,0),0)</f>
        <v>0</v>
      </c>
      <c r="AE38" s="8">
        <f>IF(AE30&lt;=$B$4+1,AE33*VLOOKUP(AE30,Assumptions!$A$70:$B$90,2,0),0)</f>
        <v>0</v>
      </c>
      <c r="AF38" s="8">
        <f>IF(AF30&lt;=$B$4+1,AF33*VLOOKUP(AF30,Assumptions!$A$70:$B$90,2,0),0)</f>
        <v>0</v>
      </c>
      <c r="AG38" s="8">
        <f>IF(AG30&lt;=$B$4+1,AG33*VLOOKUP(AG30,Assumptions!$A$70:$B$90,2,0),0)</f>
        <v>0</v>
      </c>
      <c r="AH38" s="8">
        <f>IF(AH30&lt;=$B$4+1,AH33*VLOOKUP(AH30,Assumptions!$A$70:$B$90,2,0),0)</f>
        <v>0</v>
      </c>
      <c r="AI38" s="8">
        <f>IF(AI30&lt;=$B$4+1,AI33*VLOOKUP(AI30,Assumptions!$A$70:$B$90,2,0),0)</f>
        <v>0</v>
      </c>
      <c r="AJ38" s="8">
        <f>IF(AJ30&lt;=$B$4+1,AJ33*VLOOKUP(AJ30,Assumptions!$A$70:$B$90,2,0),0)</f>
        <v>0</v>
      </c>
      <c r="AK38" s="8">
        <f>IF(AK30&lt;=$B$4+1,AK33*VLOOKUP(AK30,Assumptions!$A$70:$B$90,2,0),0)</f>
        <v>0</v>
      </c>
      <c r="AL38" s="8">
        <f>IF(AL30&lt;=$B$4+1,AL33*VLOOKUP(AL30,Assumptions!$A$70:$B$90,2,0),0)</f>
        <v>0</v>
      </c>
      <c r="AM38" s="8">
        <f>IF(AM30&lt;=$B$4+1,AM33*VLOOKUP(AM30,Assumptions!$A$70:$B$90,2,0),0)</f>
        <v>0</v>
      </c>
      <c r="AN38" s="8">
        <f>IF(AN30&lt;=$B$4+1,AN33*VLOOKUP(AN30,Assumptions!$A$70:$B$90,2,0),0)</f>
        <v>0</v>
      </c>
      <c r="AO38" s="8">
        <f>IF(AO30&lt;=$B$4+1,AO33*VLOOKUP(AO30,Assumptions!$A$70:$B$90,2,0),0)</f>
        <v>0</v>
      </c>
      <c r="AP38" s="8">
        <f>IF(AP30&lt;=$B$4+1,AP33*VLOOKUP(AP30,Assumptions!$A$70:$B$90,2,0),0)</f>
        <v>0</v>
      </c>
      <c r="AQ38" s="8">
        <f>IF(AQ30&lt;=$B$4+1,AQ33*VLOOKUP(AQ30,Assumptions!$A$70:$B$90,2,0),0)</f>
        <v>0</v>
      </c>
      <c r="AR38" s="8">
        <f>IF(AR30&lt;=$B$4+1,AR33*VLOOKUP(AR30,Assumptions!$A$70:$B$90,2,0),0)</f>
        <v>0</v>
      </c>
      <c r="AS38" s="8">
        <f>IF(AS30&lt;=$B$4+1,AS33*VLOOKUP(AS30,Assumptions!$A$70:$B$90,2,0),0)</f>
        <v>0</v>
      </c>
      <c r="AT38" s="8">
        <f>IF(AT30&lt;=$B$4+1,AT33*VLOOKUP(AT30,Assumptions!$A$70:$B$90,2,0),0)</f>
        <v>0</v>
      </c>
      <c r="AU38" s="8">
        <f>IF(AU30&lt;=$B$4+1,AU33*VLOOKUP(AU30,Assumptions!$A$70:$B$90,2,0),0)</f>
        <v>0</v>
      </c>
      <c r="AV38" s="8">
        <f>IF(AV30&lt;=$B$4+1,AV33*VLOOKUP(AV30,Assumptions!$A$70:$B$90,2,0),0)</f>
        <v>0</v>
      </c>
      <c r="AW38" s="8">
        <f>IF(AW30&lt;=$B$4+1,AW33*VLOOKUP(AW30,Assumptions!$A$70:$B$90,2,0),0)</f>
        <v>0</v>
      </c>
      <c r="AX38" s="8">
        <f>IF(AX30&lt;=$B$4+1,AX33*VLOOKUP(AX30,Assumptions!$A$70:$B$90,2,0),0)</f>
        <v>0</v>
      </c>
      <c r="AY38" s="8">
        <f>IF(AY30&lt;=$B$4+1,AY33*VLOOKUP(AY30,Assumptions!$A$70:$B$90,2,0),0)</f>
        <v>0</v>
      </c>
      <c r="AZ38" s="8">
        <f>IF(AZ30&lt;=$B$4+1,AZ33*VLOOKUP(AZ30,Assumptions!$A$70:$B$90,2,0),0)</f>
        <v>0</v>
      </c>
      <c r="BA38" s="8">
        <f>IF(BA30&lt;=$B$4+1,BA33*VLOOKUP(BA30,Assumptions!$A$70:$B$90,2,0),0)</f>
        <v>0</v>
      </c>
      <c r="BB38" s="8">
        <f>IF(BB30&lt;=$B$4+1,BB33*VLOOKUP(BB30,Assumptions!$A$70:$B$90,2,0),0)</f>
        <v>0</v>
      </c>
      <c r="BC38" s="8">
        <f>IF(BC30&lt;=$B$4+1,BC33*VLOOKUP(BC30,Assumptions!$A$70:$B$90,2,0),0)</f>
        <v>0</v>
      </c>
      <c r="BD38" s="8">
        <f>IF(BD30&lt;=$B$4+1,BD33*VLOOKUP(BD30,Assumptions!$A$70:$B$90,2,0),0)</f>
        <v>0</v>
      </c>
      <c r="BE38" s="8">
        <f>IF(BE30&lt;=$B$4+1,BE33*VLOOKUP(BE30,Assumptions!$A$70:$B$90,2,0),0)</f>
        <v>0</v>
      </c>
      <c r="BF38" s="8">
        <f>IF(BF30&lt;=$B$4+1,BF33*VLOOKUP(BF30,Assumptions!$A$70:$B$90,2,0),0)</f>
        <v>0</v>
      </c>
      <c r="BG38" s="8">
        <f>IF(BG30&lt;=$B$4+1,BG33*VLOOKUP(BG30,Assumptions!$A$70:$B$90,2,0),0)</f>
        <v>0</v>
      </c>
      <c r="BH38" s="8">
        <f>IF(BH30&lt;=$B$4+1,BH33*VLOOKUP(BH30,Assumptions!$A$70:$B$90,2,0),0)</f>
        <v>0</v>
      </c>
      <c r="BI38" s="8">
        <f>IF(BI30&lt;=$B$4+1,BI33*VLOOKUP(BI30,Assumptions!$A$70:$B$90,2,0),0)</f>
        <v>0</v>
      </c>
      <c r="BJ38" s="8">
        <f>IF(BJ30&lt;=$B$4+1,BJ33*VLOOKUP(BJ30,Assumptions!$A$70:$B$90,2,0),0)</f>
        <v>0</v>
      </c>
      <c r="BK38" s="8">
        <f>IF(BK30&lt;=$B$4+1,BK33*VLOOKUP(BK30,Assumptions!$A$70:$B$90,2,0),0)</f>
        <v>0</v>
      </c>
      <c r="BL38" s="8">
        <f>IF(BL30&lt;=$B$4+1,BL33*VLOOKUP(BL30,Assumptions!$A$70:$B$90,2,0),0)</f>
        <v>0</v>
      </c>
      <c r="BM38" s="8">
        <f>IF(BM30&lt;=$B$4+1,BM33*VLOOKUP(BM30,Assumptions!$A$70:$B$90,2,0),0)</f>
        <v>0</v>
      </c>
      <c r="BN38" s="8">
        <f>IF(BN30&lt;=$B$4+1,BN33*VLOOKUP(BN30,Assumptions!$A$70:$B$90,2,0),0)</f>
        <v>0</v>
      </c>
      <c r="BO38" s="8">
        <f>IF(BO30&lt;=$B$4+1,BO33*VLOOKUP(BO30,Assumptions!$A$70:$B$90,2,0),0)</f>
        <v>0</v>
      </c>
      <c r="BP38" s="8">
        <f>IF(BP30&lt;=$B$4+1,BP33*VLOOKUP(BP30,Assumptions!$A$70:$B$90,2,0),0)</f>
        <v>0</v>
      </c>
      <c r="BQ38" s="8">
        <f>IF(BQ30&lt;=$B$4+1,BQ33*VLOOKUP(BQ30,Assumptions!$A$70:$B$90,2,0),0)</f>
        <v>0</v>
      </c>
      <c r="BR38" s="8">
        <f>IF(BR30&lt;=$B$4+1,BR33*VLOOKUP(BR30,Assumptions!$A$70:$B$90,2,0),0)</f>
        <v>0</v>
      </c>
      <c r="BS38" s="8">
        <f>IF(BS30&lt;=$B$4+1,BS33*VLOOKUP(BS30,Assumptions!$A$70:$B$90,2,0),0)</f>
        <v>0</v>
      </c>
      <c r="BT38" s="8">
        <f>IF(BT30&lt;=$B$4+1,BT33*VLOOKUP(BT30,Assumptions!$A$70:$B$90,2,0),0)</f>
        <v>0</v>
      </c>
      <c r="BU38" s="8">
        <f>IF(BU30&lt;=$B$4+1,BU33*VLOOKUP(BU30,Assumptions!$A$70:$B$90,2,0),0)</f>
        <v>0</v>
      </c>
      <c r="BV38" s="8">
        <f>IF(BV30&lt;=$B$4+1,BV33*VLOOKUP(BV30,Assumptions!$A$70:$B$90,2,0),0)</f>
        <v>0</v>
      </c>
      <c r="BW38" s="8">
        <f>IF(BW30&lt;=$B$4+1,BW33*VLOOKUP(BW30,Assumptions!$A$70:$B$90,2,0),0)</f>
        <v>0</v>
      </c>
      <c r="BX38" s="8">
        <f>IF(BX30&lt;=$B$4+1,BX33*VLOOKUP(BX30,Assumptions!$A$70:$B$90,2,0),0)</f>
        <v>0</v>
      </c>
      <c r="BY38" s="8">
        <f>IF(BY30&lt;=$B$4+1,BY33*VLOOKUP(BY30,Assumptions!$A$70:$B$90,2,0),0)</f>
        <v>0</v>
      </c>
      <c r="BZ38" s="8">
        <f>IF(BZ30&lt;=$B$4+1,BZ33*VLOOKUP(BZ30,Assumptions!$A$70:$B$90,2,0),0)</f>
        <v>0</v>
      </c>
      <c r="CA38" s="8">
        <f>IF(CA30&lt;=$B$4+1,CA33*VLOOKUP(CA30,Assumptions!$A$70:$B$90,2,0),0)</f>
        <v>0</v>
      </c>
      <c r="CB38" s="8">
        <f>IF(CB30&lt;=$B$4+1,CB33*VLOOKUP(CB30,Assumptions!$A$70:$B$90,2,0),0)</f>
        <v>0</v>
      </c>
      <c r="CC38" s="8">
        <f>IF(CC30&lt;=$B$4+1,CC33*VLOOKUP(CC30,Assumptions!$A$70:$B$90,2,0),0)</f>
        <v>0</v>
      </c>
      <c r="CD38" s="8">
        <f>IF(CD30&lt;=$B$4+1,CD33*VLOOKUP(CD30,Assumptions!$A$70:$B$90,2,0),0)</f>
        <v>0</v>
      </c>
      <c r="CE38" s="8">
        <f>IF(CE30&lt;=$B$4+1,CE33*VLOOKUP(CE30,Assumptions!$A$70:$B$90,2,0),0)</f>
        <v>0</v>
      </c>
      <c r="CF38" s="8">
        <f>IF(CF30&lt;=$B$4+1,CF33*VLOOKUP(CF30,Assumptions!$A$70:$B$90,2,0),0)</f>
        <v>0</v>
      </c>
      <c r="CG38" s="8">
        <f>IF(CG30&lt;=$B$4+1,CG33*VLOOKUP(CG30,Assumptions!$A$70:$B$90,2,0),0)</f>
        <v>0</v>
      </c>
      <c r="CH38" s="8">
        <f>IF(CH30&lt;=$B$4+1,CH33*VLOOKUP(CH30,Assumptions!$A$70:$B$90,2,0),0)</f>
        <v>0</v>
      </c>
      <c r="CI38" s="8">
        <f>IF(CI30&lt;=$B$4+1,CI33*VLOOKUP(CI30,Assumptions!$A$70:$B$90,2,0),0)</f>
        <v>0</v>
      </c>
      <c r="CJ38" s="8">
        <f>IF(CJ30&lt;=$B$4+1,CJ33*VLOOKUP(CJ30,Assumptions!$A$70:$B$90,2,0),0)</f>
        <v>0</v>
      </c>
      <c r="CK38" s="8">
        <f>IF(CK30&lt;=$B$4+1,CK33*VLOOKUP(CK30,Assumptions!$A$70:$B$90,2,0),0)</f>
        <v>0</v>
      </c>
      <c r="CL38" s="8">
        <f>IF(CL30&lt;=$B$4+1,CL33*VLOOKUP(CL30,Assumptions!$A$70:$B$90,2,0),0)</f>
        <v>0</v>
      </c>
      <c r="CM38" s="8">
        <f>IF(CM30&lt;=$B$4+1,CM33*VLOOKUP(CM30,Assumptions!$A$70:$B$90,2,0),0)</f>
        <v>0</v>
      </c>
      <c r="CN38" s="8">
        <f>IF(CN30&lt;=$B$4+1,CN33*VLOOKUP(CN30,Assumptions!$A$70:$B$90,2,0),0)</f>
        <v>0</v>
      </c>
      <c r="CO38" s="8">
        <f>IF(CO30&lt;=$B$4+1,CO33*VLOOKUP(CO30,Assumptions!$A$70:$B$90,2,0),0)</f>
        <v>0</v>
      </c>
      <c r="CP38" s="8">
        <f>IF(CP30&lt;=$B$4+1,CP33*VLOOKUP(CP30,Assumptions!$A$70:$B$90,2,0),0)</f>
        <v>0</v>
      </c>
      <c r="CQ38" s="8">
        <f>IF(CQ30&lt;=$B$4+1,CQ33*VLOOKUP(CQ30,Assumptions!$A$70:$B$90,2,0),0)</f>
        <v>0</v>
      </c>
      <c r="CR38" s="8">
        <f>IF(CR30&lt;=$B$4+1,CR33*VLOOKUP(CR30,Assumptions!$A$70:$B$90,2,0),0)</f>
        <v>0</v>
      </c>
      <c r="CS38" s="8">
        <f>IF(CS30&lt;=$B$4+1,CS33*VLOOKUP(CS30,Assumptions!$A$70:$B$90,2,0),0)</f>
        <v>0</v>
      </c>
      <c r="CT38" s="8">
        <f>IF(CT30&lt;=$B$4+1,CT33*VLOOKUP(CT30,Assumptions!$A$70:$B$90,2,0),0)</f>
        <v>0</v>
      </c>
      <c r="CU38" s="8">
        <f>IF(CU30&lt;=$B$4+1,CU33*VLOOKUP(CU30,Assumptions!$A$70:$B$90,2,0),0)</f>
        <v>0</v>
      </c>
      <c r="CV38" s="8">
        <f>IF(CV30&lt;=$B$4+1,CV33*VLOOKUP(CV30,Assumptions!$A$70:$B$90,2,0),0)</f>
        <v>0</v>
      </c>
      <c r="CW38" s="8">
        <f>IF(CW30&lt;=$B$4+1,CW33*VLOOKUP(CW30,Assumptions!$A$70:$B$90,2,0),0)</f>
        <v>0</v>
      </c>
      <c r="CX38" s="8">
        <f>IF(CX30&lt;=$B$4+1,CX33*VLOOKUP(CX30,Assumptions!$A$70:$B$90,2,0),0)</f>
        <v>0</v>
      </c>
      <c r="CY38" s="8">
        <f>IF(CY30&lt;=$B$4+1,CY33*VLOOKUP(CY30,Assumptions!$A$70:$B$90,2,0),0)</f>
        <v>0</v>
      </c>
      <c r="CZ38" s="8">
        <f>IF(CZ30&lt;=$B$4+1,CZ33*VLOOKUP(CZ30,Assumptions!$A$70:$B$90,2,0),0)</f>
        <v>0</v>
      </c>
      <c r="DA38" s="8">
        <f>IF(DA30&lt;=$B$4+1,DA33*VLOOKUP(DA30,Assumptions!$A$70:$B$90,2,0),0)</f>
        <v>0</v>
      </c>
      <c r="DB38" s="8"/>
    </row>
    <row r="39" spans="1:106" x14ac:dyDescent="0.4">
      <c r="D39" t="s">
        <v>170</v>
      </c>
      <c r="E39" s="8"/>
      <c r="F39" s="8"/>
      <c r="G39" s="8">
        <f>F40</f>
        <v>0</v>
      </c>
      <c r="H39" s="8">
        <f t="shared" ref="H39:BS39" si="36">G40</f>
        <v>-4972.3381597125262</v>
      </c>
      <c r="I39" s="8">
        <f t="shared" si="36"/>
        <v>-19801.27122002091</v>
      </c>
      <c r="J39" s="8">
        <f t="shared" si="36"/>
        <v>-33090.200118864042</v>
      </c>
      <c r="K39" s="8">
        <f t="shared" si="36"/>
        <v>-44958.460972075023</v>
      </c>
      <c r="L39" s="8">
        <f t="shared" si="36"/>
        <v>-55508.341878939369</v>
      </c>
      <c r="M39" s="8">
        <f t="shared" si="36"/>
        <v>-64842.130938742594</v>
      </c>
      <c r="N39" s="8">
        <f t="shared" si="36"/>
        <v>-73047.909570313888</v>
      </c>
      <c r="O39" s="8">
        <f t="shared" si="36"/>
        <v>-80213.759192482452</v>
      </c>
      <c r="P39" s="8">
        <f t="shared" si="36"/>
        <v>-87209.128649175167</v>
      </c>
      <c r="Q39" s="8">
        <f t="shared" si="36"/>
        <v>-94201.656769776615</v>
      </c>
      <c r="R39" s="8">
        <f t="shared" si="36"/>
        <v>-101197.02622646932</v>
      </c>
      <c r="S39" s="8">
        <f t="shared" si="36"/>
        <v>-108189.55434707076</v>
      </c>
      <c r="T39" s="8">
        <f t="shared" si="36"/>
        <v>-115184.92380376346</v>
      </c>
      <c r="U39" s="8">
        <f t="shared" si="36"/>
        <v>-122177.45192436491</v>
      </c>
      <c r="V39" s="8">
        <f t="shared" si="36"/>
        <v>-129172.82138105761</v>
      </c>
      <c r="W39" s="8">
        <f t="shared" si="36"/>
        <v>-136165.34950165905</v>
      </c>
      <c r="X39" s="8">
        <f t="shared" si="36"/>
        <v>-143160.71895835176</v>
      </c>
      <c r="Y39" s="8">
        <f t="shared" si="36"/>
        <v>-150153.24707895319</v>
      </c>
      <c r="Z39" s="8">
        <f t="shared" si="36"/>
        <v>-157148.61653564591</v>
      </c>
      <c r="AA39" s="8">
        <f t="shared" si="36"/>
        <v>-164141.14465624734</v>
      </c>
      <c r="AB39" s="8">
        <f t="shared" si="36"/>
        <v>-164797.4932933294</v>
      </c>
      <c r="AC39" s="8">
        <f t="shared" si="36"/>
        <v>-159114.82111080081</v>
      </c>
      <c r="AD39" s="8">
        <f t="shared" si="36"/>
        <v>-153432.14892827222</v>
      </c>
      <c r="AE39" s="8">
        <f t="shared" si="36"/>
        <v>-147749.47674574362</v>
      </c>
      <c r="AF39" s="8">
        <f t="shared" si="36"/>
        <v>-142066.80456321503</v>
      </c>
      <c r="AG39" s="8">
        <f t="shared" si="36"/>
        <v>-136384.13238068644</v>
      </c>
      <c r="AH39" s="8">
        <f t="shared" si="36"/>
        <v>-130701.46019815785</v>
      </c>
      <c r="AI39" s="8">
        <f t="shared" si="36"/>
        <v>-125018.78801562925</v>
      </c>
      <c r="AJ39" s="8">
        <f t="shared" si="36"/>
        <v>-119336.11583310066</v>
      </c>
      <c r="AK39" s="8">
        <f t="shared" si="36"/>
        <v>-113653.44365057207</v>
      </c>
      <c r="AL39" s="8">
        <f t="shared" si="36"/>
        <v>-107970.77146804347</v>
      </c>
      <c r="AM39" s="8">
        <f t="shared" si="36"/>
        <v>-102288.09928551488</v>
      </c>
      <c r="AN39" s="8">
        <f t="shared" si="36"/>
        <v>-96605.427102986287</v>
      </c>
      <c r="AO39" s="8">
        <f t="shared" si="36"/>
        <v>-90922.754920457694</v>
      </c>
      <c r="AP39" s="8">
        <f t="shared" si="36"/>
        <v>-85240.0827379291</v>
      </c>
      <c r="AQ39" s="8">
        <f t="shared" si="36"/>
        <v>-79557.410555400507</v>
      </c>
      <c r="AR39" s="8">
        <f t="shared" si="36"/>
        <v>-73874.738372871914</v>
      </c>
      <c r="AS39" s="8">
        <f t="shared" si="36"/>
        <v>-68192.066190343321</v>
      </c>
      <c r="AT39" s="8">
        <f t="shared" si="36"/>
        <v>-62509.394007814721</v>
      </c>
      <c r="AU39" s="8">
        <f t="shared" si="36"/>
        <v>-56826.72182528612</v>
      </c>
      <c r="AV39" s="8">
        <f t="shared" si="36"/>
        <v>-51144.04964275752</v>
      </c>
      <c r="AW39" s="8">
        <f t="shared" si="36"/>
        <v>-45461.37746022892</v>
      </c>
      <c r="AX39" s="8">
        <f t="shared" si="36"/>
        <v>-39778.705277700319</v>
      </c>
      <c r="AY39" s="8">
        <f t="shared" si="36"/>
        <v>-34096.033095171719</v>
      </c>
      <c r="AZ39" s="8">
        <f t="shared" si="36"/>
        <v>-28413.360912643118</v>
      </c>
      <c r="BA39" s="8">
        <f t="shared" si="36"/>
        <v>-22730.688730114518</v>
      </c>
      <c r="BB39" s="8">
        <f t="shared" si="36"/>
        <v>-17048.016547585918</v>
      </c>
      <c r="BC39" s="8">
        <f t="shared" si="36"/>
        <v>-11365.344365057317</v>
      </c>
      <c r="BD39" s="8">
        <f t="shared" si="36"/>
        <v>-5682.6721825287168</v>
      </c>
      <c r="BE39" s="8">
        <f t="shared" si="36"/>
        <v>-1.1641532182693481E-10</v>
      </c>
      <c r="BF39" s="8">
        <f t="shared" si="36"/>
        <v>-1.1641532182693481E-10</v>
      </c>
      <c r="BG39" s="8">
        <f t="shared" si="36"/>
        <v>-1.1641532182693481E-10</v>
      </c>
      <c r="BH39" s="8">
        <f t="shared" si="36"/>
        <v>-1.1641532182693481E-10</v>
      </c>
      <c r="BI39" s="8">
        <f t="shared" si="36"/>
        <v>-1.1641532182693481E-10</v>
      </c>
      <c r="BJ39" s="8">
        <f t="shared" si="36"/>
        <v>-1.1641532182693481E-10</v>
      </c>
      <c r="BK39" s="8">
        <f t="shared" si="36"/>
        <v>-1.1641532182693481E-10</v>
      </c>
      <c r="BL39" s="8">
        <f t="shared" si="36"/>
        <v>-1.1641532182693481E-10</v>
      </c>
      <c r="BM39" s="8">
        <f t="shared" si="36"/>
        <v>-1.1641532182693481E-10</v>
      </c>
      <c r="BN39" s="8">
        <f t="shared" si="36"/>
        <v>-1.1641532182693481E-10</v>
      </c>
      <c r="BO39" s="8">
        <f t="shared" si="36"/>
        <v>-1.1641532182693481E-10</v>
      </c>
      <c r="BP39" s="8">
        <f t="shared" si="36"/>
        <v>-1.1641532182693481E-10</v>
      </c>
      <c r="BQ39" s="8">
        <f t="shared" si="36"/>
        <v>-1.1641532182693481E-10</v>
      </c>
      <c r="BR39" s="8">
        <f t="shared" si="36"/>
        <v>-1.1641532182693481E-10</v>
      </c>
      <c r="BS39" s="8">
        <f t="shared" si="36"/>
        <v>-1.1641532182693481E-10</v>
      </c>
      <c r="BT39" s="8">
        <f t="shared" ref="BT39:DA39" si="37">BS40</f>
        <v>-1.1641532182693481E-10</v>
      </c>
      <c r="BU39" s="8">
        <f t="shared" si="37"/>
        <v>-1.1641532182693481E-10</v>
      </c>
      <c r="BV39" s="8">
        <f t="shared" si="37"/>
        <v>-1.1641532182693481E-10</v>
      </c>
      <c r="BW39" s="8">
        <f t="shared" si="37"/>
        <v>-1.1641532182693481E-10</v>
      </c>
      <c r="BX39" s="8">
        <f t="shared" si="37"/>
        <v>-1.1641532182693481E-10</v>
      </c>
      <c r="BY39" s="8">
        <f t="shared" si="37"/>
        <v>-1.1641532182693481E-10</v>
      </c>
      <c r="BZ39" s="8">
        <f t="shared" si="37"/>
        <v>-1.1641532182693481E-10</v>
      </c>
      <c r="CA39" s="8">
        <f t="shared" si="37"/>
        <v>-1.1641532182693481E-10</v>
      </c>
      <c r="CB39" s="8">
        <f t="shared" si="37"/>
        <v>-1.1641532182693481E-10</v>
      </c>
      <c r="CC39" s="8">
        <f t="shared" si="37"/>
        <v>-1.1641532182693481E-10</v>
      </c>
      <c r="CD39" s="8">
        <f t="shared" si="37"/>
        <v>-1.1641532182693481E-10</v>
      </c>
      <c r="CE39" s="8">
        <f t="shared" si="37"/>
        <v>-1.1641532182693481E-10</v>
      </c>
      <c r="CF39" s="8">
        <f t="shared" si="37"/>
        <v>-1.1641532182693481E-10</v>
      </c>
      <c r="CG39" s="8">
        <f t="shared" si="37"/>
        <v>-1.1641532182693481E-10</v>
      </c>
      <c r="CH39" s="8">
        <f t="shared" si="37"/>
        <v>-1.1641532182693481E-10</v>
      </c>
      <c r="CI39" s="8">
        <f t="shared" si="37"/>
        <v>-1.1641532182693481E-10</v>
      </c>
      <c r="CJ39" s="8">
        <f t="shared" si="37"/>
        <v>-1.1641532182693481E-10</v>
      </c>
      <c r="CK39" s="8">
        <f t="shared" si="37"/>
        <v>-1.1641532182693481E-10</v>
      </c>
      <c r="CL39" s="8">
        <f t="shared" si="37"/>
        <v>-1.1641532182693481E-10</v>
      </c>
      <c r="CM39" s="8">
        <f t="shared" si="37"/>
        <v>-1.1641532182693481E-10</v>
      </c>
      <c r="CN39" s="8">
        <f t="shared" si="37"/>
        <v>-1.1641532182693481E-10</v>
      </c>
      <c r="CO39" s="8">
        <f t="shared" si="37"/>
        <v>-1.1641532182693481E-10</v>
      </c>
      <c r="CP39" s="8">
        <f t="shared" si="37"/>
        <v>-1.1641532182693481E-10</v>
      </c>
      <c r="CQ39" s="8">
        <f t="shared" si="37"/>
        <v>-1.1641532182693481E-10</v>
      </c>
      <c r="CR39" s="8">
        <f t="shared" si="37"/>
        <v>-1.1641532182693481E-10</v>
      </c>
      <c r="CS39" s="8">
        <f t="shared" si="37"/>
        <v>-1.1641532182693481E-10</v>
      </c>
      <c r="CT39" s="8">
        <f t="shared" si="37"/>
        <v>-1.1641532182693481E-10</v>
      </c>
      <c r="CU39" s="8">
        <f t="shared" si="37"/>
        <v>-1.1641532182693481E-10</v>
      </c>
      <c r="CV39" s="8">
        <f t="shared" si="37"/>
        <v>-1.1641532182693481E-10</v>
      </c>
      <c r="CW39" s="8">
        <f t="shared" si="37"/>
        <v>-1.1641532182693481E-10</v>
      </c>
      <c r="CX39" s="8">
        <f t="shared" si="37"/>
        <v>-1.1641532182693481E-10</v>
      </c>
      <c r="CY39" s="8">
        <f t="shared" si="37"/>
        <v>-1.1641532182693481E-10</v>
      </c>
      <c r="CZ39" s="8">
        <f t="shared" si="37"/>
        <v>-1.1641532182693481E-10</v>
      </c>
      <c r="DA39" s="8">
        <f t="shared" si="37"/>
        <v>-1.1641532182693481E-10</v>
      </c>
      <c r="DB39" s="8"/>
    </row>
    <row r="40" spans="1:106" x14ac:dyDescent="0.4">
      <c r="D40" t="s">
        <v>171</v>
      </c>
      <c r="E40" s="8"/>
      <c r="F40" s="8"/>
      <c r="G40" s="8">
        <f t="shared" ref="G40:AL40" si="38">F40+((G32-G38)*INC_TAX_RATE)</f>
        <v>-4972.3381597125262</v>
      </c>
      <c r="H40" s="8">
        <f t="shared" si="38"/>
        <v>-19801.27122002091</v>
      </c>
      <c r="I40" s="8">
        <f t="shared" si="38"/>
        <v>-33090.200118864042</v>
      </c>
      <c r="J40" s="8">
        <f t="shared" si="38"/>
        <v>-44958.460972075023</v>
      </c>
      <c r="K40" s="8">
        <f t="shared" si="38"/>
        <v>-55508.341878939369</v>
      </c>
      <c r="L40" s="8">
        <f t="shared" si="38"/>
        <v>-64842.130938742594</v>
      </c>
      <c r="M40" s="8">
        <f t="shared" si="38"/>
        <v>-73047.909570313888</v>
      </c>
      <c r="N40" s="8">
        <f t="shared" si="38"/>
        <v>-80213.759192482452</v>
      </c>
      <c r="O40" s="8">
        <f t="shared" si="38"/>
        <v>-87209.128649175167</v>
      </c>
      <c r="P40" s="8">
        <f t="shared" si="38"/>
        <v>-94201.656769776615</v>
      </c>
      <c r="Q40" s="8">
        <f t="shared" si="38"/>
        <v>-101197.02622646932</v>
      </c>
      <c r="R40" s="8">
        <f t="shared" si="38"/>
        <v>-108189.55434707076</v>
      </c>
      <c r="S40" s="8">
        <f t="shared" si="38"/>
        <v>-115184.92380376346</v>
      </c>
      <c r="T40" s="8">
        <f t="shared" si="38"/>
        <v>-122177.45192436491</v>
      </c>
      <c r="U40" s="8">
        <f t="shared" si="38"/>
        <v>-129172.82138105761</v>
      </c>
      <c r="V40" s="8">
        <f t="shared" si="38"/>
        <v>-136165.34950165905</v>
      </c>
      <c r="W40" s="8">
        <f t="shared" si="38"/>
        <v>-143160.71895835176</v>
      </c>
      <c r="X40" s="8">
        <f t="shared" si="38"/>
        <v>-150153.24707895319</v>
      </c>
      <c r="Y40" s="8">
        <f t="shared" si="38"/>
        <v>-157148.61653564591</v>
      </c>
      <c r="Z40" s="8">
        <f t="shared" si="38"/>
        <v>-164141.14465624734</v>
      </c>
      <c r="AA40" s="8">
        <f t="shared" si="38"/>
        <v>-164797.4932933294</v>
      </c>
      <c r="AB40" s="8">
        <f t="shared" si="38"/>
        <v>-159114.82111080081</v>
      </c>
      <c r="AC40" s="8">
        <f t="shared" si="38"/>
        <v>-153432.14892827222</v>
      </c>
      <c r="AD40" s="8">
        <f t="shared" si="38"/>
        <v>-147749.47674574362</v>
      </c>
      <c r="AE40" s="8">
        <f t="shared" si="38"/>
        <v>-142066.80456321503</v>
      </c>
      <c r="AF40" s="8">
        <f t="shared" si="38"/>
        <v>-136384.13238068644</v>
      </c>
      <c r="AG40" s="8">
        <f t="shared" si="38"/>
        <v>-130701.46019815785</v>
      </c>
      <c r="AH40" s="8">
        <f t="shared" si="38"/>
        <v>-125018.78801562925</v>
      </c>
      <c r="AI40" s="8">
        <f t="shared" si="38"/>
        <v>-119336.11583310066</v>
      </c>
      <c r="AJ40" s="8">
        <f t="shared" si="38"/>
        <v>-113653.44365057207</v>
      </c>
      <c r="AK40" s="8">
        <f t="shared" si="38"/>
        <v>-107970.77146804347</v>
      </c>
      <c r="AL40" s="8">
        <f t="shared" si="38"/>
        <v>-102288.09928551488</v>
      </c>
      <c r="AM40" s="8">
        <f t="shared" ref="AM40:BR40" si="39">AL40+((AM32-AM38)*INC_TAX_RATE)</f>
        <v>-96605.427102986287</v>
      </c>
      <c r="AN40" s="8">
        <f t="shared" si="39"/>
        <v>-90922.754920457694</v>
      </c>
      <c r="AO40" s="8">
        <f t="shared" si="39"/>
        <v>-85240.0827379291</v>
      </c>
      <c r="AP40" s="8">
        <f t="shared" si="39"/>
        <v>-79557.410555400507</v>
      </c>
      <c r="AQ40" s="8">
        <f t="shared" si="39"/>
        <v>-73874.738372871914</v>
      </c>
      <c r="AR40" s="8">
        <f t="shared" si="39"/>
        <v>-68192.066190343321</v>
      </c>
      <c r="AS40" s="8">
        <f t="shared" si="39"/>
        <v>-62509.394007814721</v>
      </c>
      <c r="AT40" s="8">
        <f t="shared" si="39"/>
        <v>-56826.72182528612</v>
      </c>
      <c r="AU40" s="8">
        <f t="shared" si="39"/>
        <v>-51144.04964275752</v>
      </c>
      <c r="AV40" s="8">
        <f t="shared" si="39"/>
        <v>-45461.37746022892</v>
      </c>
      <c r="AW40" s="8">
        <f t="shared" si="39"/>
        <v>-39778.705277700319</v>
      </c>
      <c r="AX40" s="8">
        <f t="shared" si="39"/>
        <v>-34096.033095171719</v>
      </c>
      <c r="AY40" s="8">
        <f t="shared" si="39"/>
        <v>-28413.360912643118</v>
      </c>
      <c r="AZ40" s="8">
        <f t="shared" si="39"/>
        <v>-22730.688730114518</v>
      </c>
      <c r="BA40" s="8">
        <f t="shared" si="39"/>
        <v>-17048.016547585918</v>
      </c>
      <c r="BB40" s="8">
        <f t="shared" si="39"/>
        <v>-11365.344365057317</v>
      </c>
      <c r="BC40" s="8">
        <f t="shared" si="39"/>
        <v>-5682.6721825287168</v>
      </c>
      <c r="BD40" s="8">
        <f t="shared" si="39"/>
        <v>-1.1641532182693481E-10</v>
      </c>
      <c r="BE40" s="8">
        <f t="shared" si="39"/>
        <v>-1.1641532182693481E-10</v>
      </c>
      <c r="BF40" s="8">
        <f t="shared" si="39"/>
        <v>-1.1641532182693481E-10</v>
      </c>
      <c r="BG40" s="8">
        <f t="shared" si="39"/>
        <v>-1.1641532182693481E-10</v>
      </c>
      <c r="BH40" s="8">
        <f t="shared" si="39"/>
        <v>-1.1641532182693481E-10</v>
      </c>
      <c r="BI40" s="8">
        <f t="shared" si="39"/>
        <v>-1.1641532182693481E-10</v>
      </c>
      <c r="BJ40" s="8">
        <f t="shared" si="39"/>
        <v>-1.1641532182693481E-10</v>
      </c>
      <c r="BK40" s="8">
        <f t="shared" si="39"/>
        <v>-1.1641532182693481E-10</v>
      </c>
      <c r="BL40" s="8">
        <f t="shared" si="39"/>
        <v>-1.1641532182693481E-10</v>
      </c>
      <c r="BM40" s="8">
        <f t="shared" si="39"/>
        <v>-1.1641532182693481E-10</v>
      </c>
      <c r="BN40" s="8">
        <f t="shared" si="39"/>
        <v>-1.1641532182693481E-10</v>
      </c>
      <c r="BO40" s="8">
        <f t="shared" si="39"/>
        <v>-1.1641532182693481E-10</v>
      </c>
      <c r="BP40" s="8">
        <f t="shared" si="39"/>
        <v>-1.1641532182693481E-10</v>
      </c>
      <c r="BQ40" s="8">
        <f t="shared" si="39"/>
        <v>-1.1641532182693481E-10</v>
      </c>
      <c r="BR40" s="8">
        <f t="shared" si="39"/>
        <v>-1.1641532182693481E-10</v>
      </c>
      <c r="BS40" s="8">
        <f t="shared" ref="BS40:DA40" si="40">BR40+((BS32-BS38)*INC_TAX_RATE)</f>
        <v>-1.1641532182693481E-10</v>
      </c>
      <c r="BT40" s="8">
        <f t="shared" si="40"/>
        <v>-1.1641532182693481E-10</v>
      </c>
      <c r="BU40" s="8">
        <f t="shared" si="40"/>
        <v>-1.1641532182693481E-10</v>
      </c>
      <c r="BV40" s="8">
        <f t="shared" si="40"/>
        <v>-1.1641532182693481E-10</v>
      </c>
      <c r="BW40" s="8">
        <f t="shared" si="40"/>
        <v>-1.1641532182693481E-10</v>
      </c>
      <c r="BX40" s="8">
        <f t="shared" si="40"/>
        <v>-1.1641532182693481E-10</v>
      </c>
      <c r="BY40" s="8">
        <f t="shared" si="40"/>
        <v>-1.1641532182693481E-10</v>
      </c>
      <c r="BZ40" s="8">
        <f t="shared" si="40"/>
        <v>-1.1641532182693481E-10</v>
      </c>
      <c r="CA40" s="8">
        <f t="shared" si="40"/>
        <v>-1.1641532182693481E-10</v>
      </c>
      <c r="CB40" s="8">
        <f t="shared" si="40"/>
        <v>-1.1641532182693481E-10</v>
      </c>
      <c r="CC40" s="8">
        <f t="shared" si="40"/>
        <v>-1.1641532182693481E-10</v>
      </c>
      <c r="CD40" s="8">
        <f t="shared" si="40"/>
        <v>-1.1641532182693481E-10</v>
      </c>
      <c r="CE40" s="8">
        <f t="shared" si="40"/>
        <v>-1.1641532182693481E-10</v>
      </c>
      <c r="CF40" s="8">
        <f t="shared" si="40"/>
        <v>-1.1641532182693481E-10</v>
      </c>
      <c r="CG40" s="8">
        <f t="shared" si="40"/>
        <v>-1.1641532182693481E-10</v>
      </c>
      <c r="CH40" s="8">
        <f t="shared" si="40"/>
        <v>-1.1641532182693481E-10</v>
      </c>
      <c r="CI40" s="8">
        <f t="shared" si="40"/>
        <v>-1.1641532182693481E-10</v>
      </c>
      <c r="CJ40" s="8">
        <f t="shared" si="40"/>
        <v>-1.1641532182693481E-10</v>
      </c>
      <c r="CK40" s="8">
        <f t="shared" si="40"/>
        <v>-1.1641532182693481E-10</v>
      </c>
      <c r="CL40" s="8">
        <f t="shared" si="40"/>
        <v>-1.1641532182693481E-10</v>
      </c>
      <c r="CM40" s="8">
        <f t="shared" si="40"/>
        <v>-1.1641532182693481E-10</v>
      </c>
      <c r="CN40" s="8">
        <f t="shared" si="40"/>
        <v>-1.1641532182693481E-10</v>
      </c>
      <c r="CO40" s="8">
        <f t="shared" si="40"/>
        <v>-1.1641532182693481E-10</v>
      </c>
      <c r="CP40" s="8">
        <f t="shared" si="40"/>
        <v>-1.1641532182693481E-10</v>
      </c>
      <c r="CQ40" s="8">
        <f t="shared" si="40"/>
        <v>-1.1641532182693481E-10</v>
      </c>
      <c r="CR40" s="8">
        <f t="shared" si="40"/>
        <v>-1.1641532182693481E-10</v>
      </c>
      <c r="CS40" s="8">
        <f t="shared" si="40"/>
        <v>-1.1641532182693481E-10</v>
      </c>
      <c r="CT40" s="8">
        <f t="shared" si="40"/>
        <v>-1.1641532182693481E-10</v>
      </c>
      <c r="CU40" s="8">
        <f t="shared" si="40"/>
        <v>-1.1641532182693481E-10</v>
      </c>
      <c r="CV40" s="8">
        <f t="shared" si="40"/>
        <v>-1.1641532182693481E-10</v>
      </c>
      <c r="CW40" s="8">
        <f t="shared" si="40"/>
        <v>-1.1641532182693481E-10</v>
      </c>
      <c r="CX40" s="8">
        <f t="shared" si="40"/>
        <v>-1.1641532182693481E-10</v>
      </c>
      <c r="CY40" s="8">
        <f t="shared" si="40"/>
        <v>-1.1641532182693481E-10</v>
      </c>
      <c r="CZ40" s="8">
        <f t="shared" si="40"/>
        <v>-1.1641532182693481E-10</v>
      </c>
      <c r="DA40" s="8">
        <f t="shared" si="40"/>
        <v>-1.1641532182693481E-10</v>
      </c>
      <c r="DB40" s="8"/>
    </row>
    <row r="41" spans="1:106" x14ac:dyDescent="0.4"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</row>
    <row r="42" spans="1:106" x14ac:dyDescent="0.4">
      <c r="D42" t="s">
        <v>158</v>
      </c>
      <c r="E42" s="8"/>
      <c r="F42" s="8"/>
      <c r="G42" s="8">
        <f>AVERAGE(G35:G36)+AVERAGE(G39:G40)</f>
        <v>1012459.7917181437</v>
      </c>
      <c r="H42" s="8">
        <f t="shared" ref="H42:BS42" si="41">AVERAGE(H35:H36)+AVERAGE(H39:H40)</f>
        <v>982055.19730413333</v>
      </c>
      <c r="I42" s="8">
        <f t="shared" si="41"/>
        <v>947492.30752055766</v>
      </c>
      <c r="J42" s="8">
        <f t="shared" si="41"/>
        <v>914409.75384053052</v>
      </c>
      <c r="K42" s="8">
        <f t="shared" si="41"/>
        <v>882696.72415649286</v>
      </c>
      <c r="L42" s="8">
        <f t="shared" si="41"/>
        <v>852250.93036915909</v>
      </c>
      <c r="M42" s="8">
        <f t="shared" si="41"/>
        <v>822977.18771947187</v>
      </c>
      <c r="N42" s="8">
        <f t="shared" si="41"/>
        <v>794787.41478860192</v>
      </c>
      <c r="O42" s="8">
        <f t="shared" si="41"/>
        <v>767202.84644517116</v>
      </c>
      <c r="P42" s="8">
        <f t="shared" si="41"/>
        <v>739704.93885252415</v>
      </c>
      <c r="Q42" s="8">
        <f t="shared" si="41"/>
        <v>712207.03125987714</v>
      </c>
      <c r="R42" s="8">
        <f t="shared" si="41"/>
        <v>684709.12366723013</v>
      </c>
      <c r="S42" s="8">
        <f t="shared" si="41"/>
        <v>657211.21607458289</v>
      </c>
      <c r="T42" s="8">
        <f t="shared" si="41"/>
        <v>629713.30848193588</v>
      </c>
      <c r="U42" s="8">
        <f t="shared" si="41"/>
        <v>602215.40088928887</v>
      </c>
      <c r="V42" s="8">
        <f t="shared" si="41"/>
        <v>574717.49329664186</v>
      </c>
      <c r="W42" s="8">
        <f t="shared" si="41"/>
        <v>547219.58570399461</v>
      </c>
      <c r="X42" s="8">
        <f t="shared" si="41"/>
        <v>519721.67811134766</v>
      </c>
      <c r="Y42" s="8">
        <f t="shared" si="41"/>
        <v>492223.77051870053</v>
      </c>
      <c r="Z42" s="8">
        <f t="shared" si="41"/>
        <v>464725.86292605352</v>
      </c>
      <c r="AA42" s="8">
        <f t="shared" si="41"/>
        <v>440397.46574321174</v>
      </c>
      <c r="AB42" s="8">
        <f t="shared" si="41"/>
        <v>422406.66871193505</v>
      </c>
      <c r="AC42" s="8">
        <f t="shared" si="41"/>
        <v>407585.38209046359</v>
      </c>
      <c r="AD42" s="8">
        <f t="shared" si="41"/>
        <v>392764.09546899225</v>
      </c>
      <c r="AE42" s="8">
        <f t="shared" si="41"/>
        <v>377942.80884752085</v>
      </c>
      <c r="AF42" s="8">
        <f t="shared" si="41"/>
        <v>363121.52222604939</v>
      </c>
      <c r="AG42" s="8">
        <f t="shared" si="41"/>
        <v>348300.23560457793</v>
      </c>
      <c r="AH42" s="8">
        <f t="shared" si="41"/>
        <v>333478.94898310647</v>
      </c>
      <c r="AI42" s="8">
        <f t="shared" si="41"/>
        <v>318657.66236163501</v>
      </c>
      <c r="AJ42" s="8">
        <f t="shared" si="41"/>
        <v>303836.37574016355</v>
      </c>
      <c r="AK42" s="8">
        <f t="shared" si="41"/>
        <v>289015.08911869209</v>
      </c>
      <c r="AL42" s="8">
        <f t="shared" si="41"/>
        <v>274193.80249722063</v>
      </c>
      <c r="AM42" s="8">
        <f t="shared" si="41"/>
        <v>259372.51587574917</v>
      </c>
      <c r="AN42" s="8">
        <f t="shared" si="41"/>
        <v>244551.22925427771</v>
      </c>
      <c r="AO42" s="8">
        <f t="shared" si="41"/>
        <v>229729.94263280625</v>
      </c>
      <c r="AP42" s="8">
        <f t="shared" si="41"/>
        <v>214908.6560113348</v>
      </c>
      <c r="AQ42" s="8">
        <f t="shared" si="41"/>
        <v>200087.36938986334</v>
      </c>
      <c r="AR42" s="8">
        <f t="shared" si="41"/>
        <v>185266.08276839188</v>
      </c>
      <c r="AS42" s="8">
        <f t="shared" si="41"/>
        <v>170444.79614692042</v>
      </c>
      <c r="AT42" s="8">
        <f t="shared" si="41"/>
        <v>155623.50952544896</v>
      </c>
      <c r="AU42" s="8">
        <f t="shared" si="41"/>
        <v>140802.2229039775</v>
      </c>
      <c r="AV42" s="8">
        <f t="shared" si="41"/>
        <v>125980.93628250607</v>
      </c>
      <c r="AW42" s="8">
        <f t="shared" si="41"/>
        <v>111159.64966103461</v>
      </c>
      <c r="AX42" s="8">
        <f t="shared" si="41"/>
        <v>96338.363039563163</v>
      </c>
      <c r="AY42" s="8">
        <f t="shared" si="41"/>
        <v>81517.076418091703</v>
      </c>
      <c r="AZ42" s="8">
        <f t="shared" si="41"/>
        <v>66695.789796620258</v>
      </c>
      <c r="BA42" s="8">
        <f t="shared" si="41"/>
        <v>51874.503175148799</v>
      </c>
      <c r="BB42" s="8">
        <f t="shared" si="41"/>
        <v>37053.216553677354</v>
      </c>
      <c r="BC42" s="8">
        <f t="shared" si="41"/>
        <v>22231.929932205898</v>
      </c>
      <c r="BD42" s="8">
        <f t="shared" si="41"/>
        <v>7410.6433107344455</v>
      </c>
      <c r="BE42" s="8">
        <f t="shared" si="41"/>
        <v>-6.9849193096160889E-10</v>
      </c>
      <c r="BF42" s="8">
        <f t="shared" si="41"/>
        <v>-1.1641532182693481E-10</v>
      </c>
      <c r="BG42" s="8">
        <f t="shared" si="41"/>
        <v>-1.1641532182693481E-10</v>
      </c>
      <c r="BH42" s="8">
        <f t="shared" si="41"/>
        <v>-1.1641532182693481E-10</v>
      </c>
      <c r="BI42" s="8">
        <f t="shared" si="41"/>
        <v>-1.1641532182693481E-10</v>
      </c>
      <c r="BJ42" s="8">
        <f t="shared" si="41"/>
        <v>-1.1641532182693481E-10</v>
      </c>
      <c r="BK42" s="8">
        <f t="shared" si="41"/>
        <v>-1.1641532182693481E-10</v>
      </c>
      <c r="BL42" s="8">
        <f t="shared" si="41"/>
        <v>-1.1641532182693481E-10</v>
      </c>
      <c r="BM42" s="8">
        <f t="shared" si="41"/>
        <v>-1.1641532182693481E-10</v>
      </c>
      <c r="BN42" s="8">
        <f t="shared" si="41"/>
        <v>-1.1641532182693481E-10</v>
      </c>
      <c r="BO42" s="8">
        <f t="shared" si="41"/>
        <v>-1.1641532182693481E-10</v>
      </c>
      <c r="BP42" s="8">
        <f t="shared" si="41"/>
        <v>-1.1641532182693481E-10</v>
      </c>
      <c r="BQ42" s="8">
        <f t="shared" si="41"/>
        <v>-1.1641532182693481E-10</v>
      </c>
      <c r="BR42" s="8">
        <f t="shared" si="41"/>
        <v>-1.1641532182693481E-10</v>
      </c>
      <c r="BS42" s="8">
        <f t="shared" si="41"/>
        <v>-1.1641532182693481E-10</v>
      </c>
      <c r="BT42" s="8">
        <f t="shared" ref="BT42:DA42" si="42">AVERAGE(BT35:BT36)+AVERAGE(BT39:BT40)</f>
        <v>-1.1641532182693481E-10</v>
      </c>
      <c r="BU42" s="8">
        <f t="shared" si="42"/>
        <v>-1.1641532182693481E-10</v>
      </c>
      <c r="BV42" s="8">
        <f t="shared" si="42"/>
        <v>-1.1641532182693481E-10</v>
      </c>
      <c r="BW42" s="8">
        <f t="shared" si="42"/>
        <v>-1.1641532182693481E-10</v>
      </c>
      <c r="BX42" s="8">
        <f t="shared" si="42"/>
        <v>-1.1641532182693481E-10</v>
      </c>
      <c r="BY42" s="8">
        <f t="shared" si="42"/>
        <v>-1.1641532182693481E-10</v>
      </c>
      <c r="BZ42" s="8">
        <f t="shared" si="42"/>
        <v>-1.1641532182693481E-10</v>
      </c>
      <c r="CA42" s="8">
        <f t="shared" si="42"/>
        <v>-1.1641532182693481E-10</v>
      </c>
      <c r="CB42" s="8">
        <f t="shared" si="42"/>
        <v>-1.1641532182693481E-10</v>
      </c>
      <c r="CC42" s="8">
        <f t="shared" si="42"/>
        <v>-1.1641532182693481E-10</v>
      </c>
      <c r="CD42" s="8">
        <f t="shared" si="42"/>
        <v>-1.1641532182693481E-10</v>
      </c>
      <c r="CE42" s="8">
        <f t="shared" si="42"/>
        <v>-1.1641532182693481E-10</v>
      </c>
      <c r="CF42" s="8">
        <f t="shared" si="42"/>
        <v>-1.1641532182693481E-10</v>
      </c>
      <c r="CG42" s="8">
        <f t="shared" si="42"/>
        <v>-1.1641532182693481E-10</v>
      </c>
      <c r="CH42" s="8">
        <f t="shared" si="42"/>
        <v>-1.1641532182693481E-10</v>
      </c>
      <c r="CI42" s="8">
        <f t="shared" si="42"/>
        <v>-1.1641532182693481E-10</v>
      </c>
      <c r="CJ42" s="8">
        <f t="shared" si="42"/>
        <v>-1.1641532182693481E-10</v>
      </c>
      <c r="CK42" s="8">
        <f t="shared" si="42"/>
        <v>-1.1641532182693481E-10</v>
      </c>
      <c r="CL42" s="8">
        <f t="shared" si="42"/>
        <v>-1.1641532182693481E-10</v>
      </c>
      <c r="CM42" s="8">
        <f t="shared" si="42"/>
        <v>-1.1641532182693481E-10</v>
      </c>
      <c r="CN42" s="8">
        <f t="shared" si="42"/>
        <v>-1.1641532182693481E-10</v>
      </c>
      <c r="CO42" s="8">
        <f t="shared" si="42"/>
        <v>-1.1641532182693481E-10</v>
      </c>
      <c r="CP42" s="8">
        <f t="shared" si="42"/>
        <v>-1.1641532182693481E-10</v>
      </c>
      <c r="CQ42" s="8">
        <f t="shared" si="42"/>
        <v>-1.1641532182693481E-10</v>
      </c>
      <c r="CR42" s="8">
        <f t="shared" si="42"/>
        <v>-1.1641532182693481E-10</v>
      </c>
      <c r="CS42" s="8">
        <f t="shared" si="42"/>
        <v>-1.1641532182693481E-10</v>
      </c>
      <c r="CT42" s="8">
        <f t="shared" si="42"/>
        <v>-1.1641532182693481E-10</v>
      </c>
      <c r="CU42" s="8">
        <f t="shared" si="42"/>
        <v>-1.1641532182693481E-10</v>
      </c>
      <c r="CV42" s="8">
        <f t="shared" si="42"/>
        <v>-1.1641532182693481E-10</v>
      </c>
      <c r="CW42" s="8">
        <f t="shared" si="42"/>
        <v>-1.1641532182693481E-10</v>
      </c>
      <c r="CX42" s="8">
        <f t="shared" si="42"/>
        <v>-1.1641532182693481E-10</v>
      </c>
      <c r="CY42" s="8">
        <f t="shared" si="42"/>
        <v>-1.1641532182693481E-10</v>
      </c>
      <c r="CZ42" s="8">
        <f t="shared" si="42"/>
        <v>-1.1641532182693481E-10</v>
      </c>
      <c r="DA42" s="8">
        <f t="shared" si="42"/>
        <v>-1.1641532182693481E-10</v>
      </c>
      <c r="DB42" s="8"/>
    </row>
    <row r="43" spans="1:106" x14ac:dyDescent="0.4"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</row>
    <row r="44" spans="1:106" x14ac:dyDescent="0.4">
      <c r="D44" t="s">
        <v>209</v>
      </c>
      <c r="E44" s="8"/>
      <c r="F44" s="8"/>
      <c r="G44" s="8">
        <f t="shared" ref="G44:AL44" si="43">G42*AVG_PRE_TAX_RATE</f>
        <v>90412.659400430246</v>
      </c>
      <c r="H44" s="8">
        <f t="shared" si="43"/>
        <v>87697.52911925911</v>
      </c>
      <c r="I44" s="8">
        <f t="shared" si="43"/>
        <v>84611.06306158581</v>
      </c>
      <c r="J44" s="8">
        <f t="shared" si="43"/>
        <v>81656.791017959375</v>
      </c>
      <c r="K44" s="8">
        <f t="shared" si="43"/>
        <v>78824.817467174813</v>
      </c>
      <c r="L44" s="8">
        <f t="shared" si="43"/>
        <v>76106.008081965905</v>
      </c>
      <c r="M44" s="8">
        <f t="shared" si="43"/>
        <v>73491.862863348841</v>
      </c>
      <c r="N44" s="8">
        <f t="shared" si="43"/>
        <v>70974.51614062216</v>
      </c>
      <c r="O44" s="8">
        <f t="shared" si="43"/>
        <v>68511.214187553793</v>
      </c>
      <c r="P44" s="8">
        <f t="shared" si="43"/>
        <v>66055.651039530407</v>
      </c>
      <c r="Q44" s="8">
        <f t="shared" si="43"/>
        <v>63600.087891507035</v>
      </c>
      <c r="R44" s="8">
        <f t="shared" si="43"/>
        <v>61144.524743483656</v>
      </c>
      <c r="S44" s="8">
        <f t="shared" si="43"/>
        <v>58688.961595460256</v>
      </c>
      <c r="T44" s="8">
        <f t="shared" si="43"/>
        <v>56233.398447436877</v>
      </c>
      <c r="U44" s="8">
        <f t="shared" si="43"/>
        <v>53777.835299413498</v>
      </c>
      <c r="V44" s="8">
        <f t="shared" si="43"/>
        <v>51322.27215139012</v>
      </c>
      <c r="W44" s="8">
        <f t="shared" si="43"/>
        <v>48866.709003366719</v>
      </c>
      <c r="X44" s="8">
        <f t="shared" si="43"/>
        <v>46411.145855343348</v>
      </c>
      <c r="Y44" s="8">
        <f t="shared" si="43"/>
        <v>43955.582707319962</v>
      </c>
      <c r="Z44" s="8">
        <f t="shared" si="43"/>
        <v>41500.019559296583</v>
      </c>
      <c r="AA44" s="8">
        <f t="shared" si="43"/>
        <v>39327.493690868811</v>
      </c>
      <c r="AB44" s="8">
        <f t="shared" si="43"/>
        <v>37720.915515975801</v>
      </c>
      <c r="AC44" s="8">
        <f t="shared" si="43"/>
        <v>36397.374620678398</v>
      </c>
      <c r="AD44" s="8">
        <f t="shared" si="43"/>
        <v>35073.83372538101</v>
      </c>
      <c r="AE44" s="8">
        <f t="shared" si="43"/>
        <v>33750.292830083614</v>
      </c>
      <c r="AF44" s="8">
        <f t="shared" si="43"/>
        <v>32426.751934786211</v>
      </c>
      <c r="AG44" s="8">
        <f t="shared" si="43"/>
        <v>31103.211039488811</v>
      </c>
      <c r="AH44" s="8">
        <f t="shared" si="43"/>
        <v>29779.670144191408</v>
      </c>
      <c r="AI44" s="8">
        <f t="shared" si="43"/>
        <v>28456.129248894009</v>
      </c>
      <c r="AJ44" s="8">
        <f t="shared" si="43"/>
        <v>27132.588353596606</v>
      </c>
      <c r="AK44" s="8">
        <f t="shared" si="43"/>
        <v>25809.047458299206</v>
      </c>
      <c r="AL44" s="8">
        <f t="shared" si="43"/>
        <v>24485.506563001803</v>
      </c>
      <c r="AM44" s="8">
        <f t="shared" ref="AM44:BR44" si="44">AM42*AVG_PRE_TAX_RATE</f>
        <v>23161.965667704404</v>
      </c>
      <c r="AN44" s="8">
        <f t="shared" si="44"/>
        <v>21838.424772407001</v>
      </c>
      <c r="AO44" s="8">
        <f t="shared" si="44"/>
        <v>20514.883877109598</v>
      </c>
      <c r="AP44" s="8">
        <f t="shared" si="44"/>
        <v>19191.342981812199</v>
      </c>
      <c r="AQ44" s="8">
        <f t="shared" si="44"/>
        <v>17867.802086514796</v>
      </c>
      <c r="AR44" s="8">
        <f t="shared" si="44"/>
        <v>16544.261191217396</v>
      </c>
      <c r="AS44" s="8">
        <f t="shared" si="44"/>
        <v>15220.720295919993</v>
      </c>
      <c r="AT44" s="8">
        <f t="shared" si="44"/>
        <v>13897.179400622592</v>
      </c>
      <c r="AU44" s="8">
        <f t="shared" si="44"/>
        <v>12573.638505325191</v>
      </c>
      <c r="AV44" s="8">
        <f t="shared" si="44"/>
        <v>11250.097610027793</v>
      </c>
      <c r="AW44" s="8">
        <f t="shared" si="44"/>
        <v>9926.5567147303918</v>
      </c>
      <c r="AX44" s="8">
        <f t="shared" si="44"/>
        <v>8603.0158194329906</v>
      </c>
      <c r="AY44" s="8">
        <f t="shared" si="44"/>
        <v>7279.4749241355894</v>
      </c>
      <c r="AZ44" s="8">
        <f t="shared" si="44"/>
        <v>5955.9340288381891</v>
      </c>
      <c r="BA44" s="8">
        <f t="shared" si="44"/>
        <v>4632.3931335407879</v>
      </c>
      <c r="BB44" s="8">
        <f t="shared" si="44"/>
        <v>3308.852238243388</v>
      </c>
      <c r="BC44" s="8">
        <f t="shared" si="44"/>
        <v>1985.3113429459868</v>
      </c>
      <c r="BD44" s="8">
        <f t="shared" si="44"/>
        <v>661.77044764858601</v>
      </c>
      <c r="BE44" s="8">
        <f t="shared" si="44"/>
        <v>-6.237532943487168E-11</v>
      </c>
      <c r="BF44" s="8">
        <f t="shared" si="44"/>
        <v>-1.0395888239145279E-11</v>
      </c>
      <c r="BG44" s="8">
        <f t="shared" si="44"/>
        <v>-1.0395888239145279E-11</v>
      </c>
      <c r="BH44" s="8">
        <f t="shared" si="44"/>
        <v>-1.0395888239145279E-11</v>
      </c>
      <c r="BI44" s="8">
        <f t="shared" si="44"/>
        <v>-1.0395888239145279E-11</v>
      </c>
      <c r="BJ44" s="8">
        <f t="shared" si="44"/>
        <v>-1.0395888239145279E-11</v>
      </c>
      <c r="BK44" s="8">
        <f t="shared" si="44"/>
        <v>-1.0395888239145279E-11</v>
      </c>
      <c r="BL44" s="8">
        <f t="shared" si="44"/>
        <v>-1.0395888239145279E-11</v>
      </c>
      <c r="BM44" s="8">
        <f t="shared" si="44"/>
        <v>-1.0395888239145279E-11</v>
      </c>
      <c r="BN44" s="8">
        <f t="shared" si="44"/>
        <v>-1.0395888239145279E-11</v>
      </c>
      <c r="BO44" s="8">
        <f t="shared" si="44"/>
        <v>-1.0395888239145279E-11</v>
      </c>
      <c r="BP44" s="8">
        <f t="shared" si="44"/>
        <v>-1.0395888239145279E-11</v>
      </c>
      <c r="BQ44" s="8">
        <f t="shared" si="44"/>
        <v>-1.0395888239145279E-11</v>
      </c>
      <c r="BR44" s="8">
        <f t="shared" si="44"/>
        <v>-1.0395888239145279E-11</v>
      </c>
      <c r="BS44" s="8">
        <f t="shared" ref="BS44:DA44" si="45">BS42*AVG_PRE_TAX_RATE</f>
        <v>-1.0395888239145279E-11</v>
      </c>
      <c r="BT44" s="8">
        <f t="shared" si="45"/>
        <v>-1.0395888239145279E-11</v>
      </c>
      <c r="BU44" s="8">
        <f t="shared" si="45"/>
        <v>-1.0395888239145279E-11</v>
      </c>
      <c r="BV44" s="8">
        <f t="shared" si="45"/>
        <v>-1.0395888239145279E-11</v>
      </c>
      <c r="BW44" s="8">
        <f t="shared" si="45"/>
        <v>-1.0395888239145279E-11</v>
      </c>
      <c r="BX44" s="8">
        <f t="shared" si="45"/>
        <v>-1.0395888239145279E-11</v>
      </c>
      <c r="BY44" s="8">
        <f t="shared" si="45"/>
        <v>-1.0395888239145279E-11</v>
      </c>
      <c r="BZ44" s="8">
        <f t="shared" si="45"/>
        <v>-1.0395888239145279E-11</v>
      </c>
      <c r="CA44" s="8">
        <f t="shared" si="45"/>
        <v>-1.0395888239145279E-11</v>
      </c>
      <c r="CB44" s="8">
        <f t="shared" si="45"/>
        <v>-1.0395888239145279E-11</v>
      </c>
      <c r="CC44" s="8">
        <f t="shared" si="45"/>
        <v>-1.0395888239145279E-11</v>
      </c>
      <c r="CD44" s="8">
        <f t="shared" si="45"/>
        <v>-1.0395888239145279E-11</v>
      </c>
      <c r="CE44" s="8">
        <f t="shared" si="45"/>
        <v>-1.0395888239145279E-11</v>
      </c>
      <c r="CF44" s="8">
        <f t="shared" si="45"/>
        <v>-1.0395888239145279E-11</v>
      </c>
      <c r="CG44" s="8">
        <f t="shared" si="45"/>
        <v>-1.0395888239145279E-11</v>
      </c>
      <c r="CH44" s="8">
        <f t="shared" si="45"/>
        <v>-1.0395888239145279E-11</v>
      </c>
      <c r="CI44" s="8">
        <f t="shared" si="45"/>
        <v>-1.0395888239145279E-11</v>
      </c>
      <c r="CJ44" s="8">
        <f t="shared" si="45"/>
        <v>-1.0395888239145279E-11</v>
      </c>
      <c r="CK44" s="8">
        <f t="shared" si="45"/>
        <v>-1.0395888239145279E-11</v>
      </c>
      <c r="CL44" s="8">
        <f t="shared" si="45"/>
        <v>-1.0395888239145279E-11</v>
      </c>
      <c r="CM44" s="8">
        <f t="shared" si="45"/>
        <v>-1.0395888239145279E-11</v>
      </c>
      <c r="CN44" s="8">
        <f t="shared" si="45"/>
        <v>-1.0395888239145279E-11</v>
      </c>
      <c r="CO44" s="8">
        <f t="shared" si="45"/>
        <v>-1.0395888239145279E-11</v>
      </c>
      <c r="CP44" s="8">
        <f t="shared" si="45"/>
        <v>-1.0395888239145279E-11</v>
      </c>
      <c r="CQ44" s="8">
        <f t="shared" si="45"/>
        <v>-1.0395888239145279E-11</v>
      </c>
      <c r="CR44" s="8">
        <f t="shared" si="45"/>
        <v>-1.0395888239145279E-11</v>
      </c>
      <c r="CS44" s="8">
        <f t="shared" si="45"/>
        <v>-1.0395888239145279E-11</v>
      </c>
      <c r="CT44" s="8">
        <f t="shared" si="45"/>
        <v>-1.0395888239145279E-11</v>
      </c>
      <c r="CU44" s="8">
        <f t="shared" si="45"/>
        <v>-1.0395888239145279E-11</v>
      </c>
      <c r="CV44" s="8">
        <f t="shared" si="45"/>
        <v>-1.0395888239145279E-11</v>
      </c>
      <c r="CW44" s="8">
        <f t="shared" si="45"/>
        <v>-1.0395888239145279E-11</v>
      </c>
      <c r="CX44" s="8">
        <f t="shared" si="45"/>
        <v>-1.0395888239145279E-11</v>
      </c>
      <c r="CY44" s="8">
        <f t="shared" si="45"/>
        <v>-1.0395888239145279E-11</v>
      </c>
      <c r="CZ44" s="8">
        <f t="shared" si="45"/>
        <v>-1.0395888239145279E-11</v>
      </c>
      <c r="DA44" s="8">
        <f t="shared" si="45"/>
        <v>-1.0395888239145279E-11</v>
      </c>
      <c r="DB44" s="8"/>
    </row>
    <row r="47" spans="1:106" x14ac:dyDescent="0.4">
      <c r="C47" s="58" t="str">
        <f>C30</f>
        <v>Investment year in service</v>
      </c>
      <c r="E47" t="str">
        <f>IF(E48&lt;$C48,"",E48-$C48)</f>
        <v/>
      </c>
      <c r="F47" t="str">
        <f>IF(F48&lt;$C48,"",F48-$C48)</f>
        <v/>
      </c>
      <c r="G47">
        <f t="shared" ref="G47:BR47" si="46">IF(G48&lt;$C48,"",G48-$C48)</f>
        <v>0</v>
      </c>
      <c r="H47">
        <f t="shared" si="46"/>
        <v>1</v>
      </c>
      <c r="I47">
        <f t="shared" si="46"/>
        <v>2</v>
      </c>
      <c r="J47">
        <f t="shared" si="46"/>
        <v>3</v>
      </c>
      <c r="K47">
        <f t="shared" si="46"/>
        <v>4</v>
      </c>
      <c r="L47">
        <f t="shared" si="46"/>
        <v>5</v>
      </c>
      <c r="M47">
        <f t="shared" si="46"/>
        <v>6</v>
      </c>
      <c r="N47">
        <f t="shared" si="46"/>
        <v>7</v>
      </c>
      <c r="O47">
        <f t="shared" si="46"/>
        <v>8</v>
      </c>
      <c r="P47">
        <f t="shared" si="46"/>
        <v>9</v>
      </c>
      <c r="Q47">
        <f t="shared" si="46"/>
        <v>10</v>
      </c>
      <c r="R47">
        <f t="shared" si="46"/>
        <v>11</v>
      </c>
      <c r="S47">
        <f t="shared" si="46"/>
        <v>12</v>
      </c>
      <c r="T47">
        <f t="shared" si="46"/>
        <v>13</v>
      </c>
      <c r="U47">
        <f t="shared" si="46"/>
        <v>14</v>
      </c>
      <c r="V47">
        <f t="shared" si="46"/>
        <v>15</v>
      </c>
      <c r="W47">
        <f t="shared" si="46"/>
        <v>16</v>
      </c>
      <c r="X47">
        <f t="shared" si="46"/>
        <v>17</v>
      </c>
      <c r="Y47">
        <f t="shared" si="46"/>
        <v>18</v>
      </c>
      <c r="Z47">
        <f t="shared" si="46"/>
        <v>19</v>
      </c>
      <c r="AA47">
        <f t="shared" si="46"/>
        <v>20</v>
      </c>
      <c r="AB47">
        <f t="shared" si="46"/>
        <v>21</v>
      </c>
      <c r="AC47">
        <f t="shared" si="46"/>
        <v>22</v>
      </c>
      <c r="AD47">
        <f t="shared" si="46"/>
        <v>23</v>
      </c>
      <c r="AE47">
        <f t="shared" si="46"/>
        <v>24</v>
      </c>
      <c r="AF47">
        <f t="shared" si="46"/>
        <v>25</v>
      </c>
      <c r="AG47">
        <f t="shared" si="46"/>
        <v>26</v>
      </c>
      <c r="AH47">
        <f t="shared" si="46"/>
        <v>27</v>
      </c>
      <c r="AI47">
        <f t="shared" si="46"/>
        <v>28</v>
      </c>
      <c r="AJ47">
        <f t="shared" si="46"/>
        <v>29</v>
      </c>
      <c r="AK47">
        <f t="shared" si="46"/>
        <v>30</v>
      </c>
      <c r="AL47">
        <f t="shared" si="46"/>
        <v>31</v>
      </c>
      <c r="AM47">
        <f t="shared" si="46"/>
        <v>32</v>
      </c>
      <c r="AN47">
        <f t="shared" si="46"/>
        <v>33</v>
      </c>
      <c r="AO47">
        <f t="shared" si="46"/>
        <v>34</v>
      </c>
      <c r="AP47">
        <f t="shared" si="46"/>
        <v>35</v>
      </c>
      <c r="AQ47">
        <f t="shared" si="46"/>
        <v>36</v>
      </c>
      <c r="AR47">
        <f t="shared" si="46"/>
        <v>37</v>
      </c>
      <c r="AS47">
        <f t="shared" si="46"/>
        <v>38</v>
      </c>
      <c r="AT47">
        <f t="shared" si="46"/>
        <v>39</v>
      </c>
      <c r="AU47">
        <f t="shared" si="46"/>
        <v>40</v>
      </c>
      <c r="AV47">
        <f t="shared" si="46"/>
        <v>41</v>
      </c>
      <c r="AW47">
        <f t="shared" si="46"/>
        <v>42</v>
      </c>
      <c r="AX47">
        <f t="shared" si="46"/>
        <v>43</v>
      </c>
      <c r="AY47">
        <f t="shared" si="46"/>
        <v>44</v>
      </c>
      <c r="AZ47">
        <f t="shared" si="46"/>
        <v>45</v>
      </c>
      <c r="BA47">
        <f t="shared" si="46"/>
        <v>46</v>
      </c>
      <c r="BB47">
        <f t="shared" si="46"/>
        <v>47</v>
      </c>
      <c r="BC47">
        <f t="shared" si="46"/>
        <v>48</v>
      </c>
      <c r="BD47">
        <f t="shared" si="46"/>
        <v>49</v>
      </c>
      <c r="BE47">
        <f t="shared" si="46"/>
        <v>50</v>
      </c>
      <c r="BF47">
        <f t="shared" si="46"/>
        <v>51</v>
      </c>
      <c r="BG47">
        <f t="shared" si="46"/>
        <v>52</v>
      </c>
      <c r="BH47">
        <f t="shared" si="46"/>
        <v>53</v>
      </c>
      <c r="BI47">
        <f t="shared" si="46"/>
        <v>54</v>
      </c>
      <c r="BJ47">
        <f t="shared" si="46"/>
        <v>55</v>
      </c>
      <c r="BK47">
        <f t="shared" si="46"/>
        <v>56</v>
      </c>
      <c r="BL47">
        <f t="shared" si="46"/>
        <v>57</v>
      </c>
      <c r="BM47">
        <f t="shared" si="46"/>
        <v>58</v>
      </c>
      <c r="BN47">
        <f t="shared" si="46"/>
        <v>59</v>
      </c>
      <c r="BO47">
        <f t="shared" si="46"/>
        <v>60</v>
      </c>
      <c r="BP47">
        <f t="shared" si="46"/>
        <v>61</v>
      </c>
      <c r="BQ47">
        <f t="shared" si="46"/>
        <v>62</v>
      </c>
      <c r="BR47">
        <f t="shared" si="46"/>
        <v>63</v>
      </c>
      <c r="BS47">
        <f t="shared" ref="BS47:DA47" si="47">IF(BS48&lt;$C48,"",BS48-$C48)</f>
        <v>64</v>
      </c>
      <c r="BT47">
        <f t="shared" si="47"/>
        <v>65</v>
      </c>
      <c r="BU47">
        <f t="shared" si="47"/>
        <v>66</v>
      </c>
      <c r="BV47">
        <f t="shared" si="47"/>
        <v>67</v>
      </c>
      <c r="BW47">
        <f t="shared" si="47"/>
        <v>68</v>
      </c>
      <c r="BX47">
        <f t="shared" si="47"/>
        <v>69</v>
      </c>
      <c r="BY47">
        <f t="shared" si="47"/>
        <v>70</v>
      </c>
      <c r="BZ47">
        <f t="shared" si="47"/>
        <v>71</v>
      </c>
      <c r="CA47">
        <f t="shared" si="47"/>
        <v>72</v>
      </c>
      <c r="CB47">
        <f t="shared" si="47"/>
        <v>73</v>
      </c>
      <c r="CC47">
        <f t="shared" si="47"/>
        <v>74</v>
      </c>
      <c r="CD47">
        <f t="shared" si="47"/>
        <v>75</v>
      </c>
      <c r="CE47">
        <f t="shared" si="47"/>
        <v>76</v>
      </c>
      <c r="CF47">
        <f t="shared" si="47"/>
        <v>77</v>
      </c>
      <c r="CG47">
        <f t="shared" si="47"/>
        <v>78</v>
      </c>
      <c r="CH47">
        <f t="shared" si="47"/>
        <v>79</v>
      </c>
      <c r="CI47">
        <f t="shared" si="47"/>
        <v>80</v>
      </c>
      <c r="CJ47">
        <f t="shared" si="47"/>
        <v>81</v>
      </c>
      <c r="CK47">
        <f t="shared" si="47"/>
        <v>82</v>
      </c>
      <c r="CL47">
        <f t="shared" si="47"/>
        <v>83</v>
      </c>
      <c r="CM47">
        <f t="shared" si="47"/>
        <v>84</v>
      </c>
      <c r="CN47">
        <f t="shared" si="47"/>
        <v>85</v>
      </c>
      <c r="CO47">
        <f t="shared" si="47"/>
        <v>86</v>
      </c>
      <c r="CP47">
        <f t="shared" si="47"/>
        <v>87</v>
      </c>
      <c r="CQ47">
        <f t="shared" si="47"/>
        <v>88</v>
      </c>
      <c r="CR47">
        <f t="shared" si="47"/>
        <v>89</v>
      </c>
      <c r="CS47">
        <f t="shared" si="47"/>
        <v>90</v>
      </c>
      <c r="CT47">
        <f t="shared" si="47"/>
        <v>91</v>
      </c>
      <c r="CU47">
        <f t="shared" si="47"/>
        <v>92</v>
      </c>
      <c r="CV47">
        <f t="shared" si="47"/>
        <v>93</v>
      </c>
      <c r="CW47">
        <f t="shared" si="47"/>
        <v>94</v>
      </c>
      <c r="CX47">
        <f t="shared" si="47"/>
        <v>95</v>
      </c>
      <c r="CY47">
        <f t="shared" si="47"/>
        <v>96</v>
      </c>
      <c r="CZ47">
        <f t="shared" si="47"/>
        <v>97</v>
      </c>
      <c r="DA47">
        <f t="shared" si="47"/>
        <v>98</v>
      </c>
    </row>
    <row r="48" spans="1:106" x14ac:dyDescent="0.4">
      <c r="A48" s="54" t="s">
        <v>186</v>
      </c>
      <c r="C48">
        <f>C31+1</f>
        <v>2029</v>
      </c>
      <c r="D48" s="5" t="s">
        <v>434</v>
      </c>
      <c r="E48" s="5">
        <v>2027</v>
      </c>
      <c r="F48" s="5">
        <v>2028</v>
      </c>
      <c r="G48" s="5">
        <v>2029</v>
      </c>
      <c r="H48" s="5">
        <v>2030</v>
      </c>
      <c r="I48" s="5">
        <v>2031</v>
      </c>
      <c r="J48" s="5">
        <v>2032</v>
      </c>
      <c r="K48" s="5">
        <v>2033</v>
      </c>
      <c r="L48" s="5">
        <v>2034</v>
      </c>
      <c r="M48" s="5">
        <v>2035</v>
      </c>
      <c r="N48" s="5">
        <v>2036</v>
      </c>
      <c r="O48" s="5">
        <v>2037</v>
      </c>
      <c r="P48" s="5">
        <v>2038</v>
      </c>
      <c r="Q48" s="5">
        <v>2039</v>
      </c>
      <c r="R48" s="5">
        <v>2040</v>
      </c>
      <c r="S48" s="5">
        <v>2041</v>
      </c>
      <c r="T48" s="5">
        <v>2042</v>
      </c>
      <c r="U48" s="5">
        <v>2043</v>
      </c>
      <c r="V48" s="5">
        <v>2044</v>
      </c>
      <c r="W48" s="5">
        <v>2045</v>
      </c>
      <c r="X48" s="5">
        <v>2046</v>
      </c>
      <c r="Y48" s="5">
        <v>2047</v>
      </c>
      <c r="Z48" s="5">
        <v>2048</v>
      </c>
      <c r="AA48" s="5">
        <v>2049</v>
      </c>
      <c r="AB48" s="5">
        <v>2050</v>
      </c>
      <c r="AC48" s="5">
        <v>2051</v>
      </c>
      <c r="AD48" s="5">
        <v>2052</v>
      </c>
      <c r="AE48" s="5">
        <v>2053</v>
      </c>
      <c r="AF48" s="5">
        <v>2054</v>
      </c>
      <c r="AG48" s="5">
        <v>2055</v>
      </c>
      <c r="AH48" s="5">
        <v>2056</v>
      </c>
      <c r="AI48" s="5">
        <v>2057</v>
      </c>
      <c r="AJ48" s="5">
        <v>2058</v>
      </c>
      <c r="AK48" s="5">
        <v>2059</v>
      </c>
      <c r="AL48" s="5">
        <v>2060</v>
      </c>
      <c r="AM48" s="5">
        <v>2061</v>
      </c>
      <c r="AN48" s="5">
        <v>2062</v>
      </c>
      <c r="AO48" s="5">
        <v>2063</v>
      </c>
      <c r="AP48" s="5">
        <v>2064</v>
      </c>
      <c r="AQ48" s="5">
        <v>2065</v>
      </c>
      <c r="AR48" s="5">
        <v>2066</v>
      </c>
      <c r="AS48" s="5">
        <v>2067</v>
      </c>
      <c r="AT48" s="5">
        <v>2068</v>
      </c>
      <c r="AU48" s="5">
        <v>2069</v>
      </c>
      <c r="AV48" s="5">
        <v>2070</v>
      </c>
      <c r="AW48" s="5">
        <v>2071</v>
      </c>
      <c r="AX48" s="5">
        <v>2072</v>
      </c>
      <c r="AY48" s="5">
        <v>2073</v>
      </c>
      <c r="AZ48" s="5">
        <v>2074</v>
      </c>
      <c r="BA48" s="5">
        <v>2075</v>
      </c>
      <c r="BB48" s="5">
        <v>2076</v>
      </c>
      <c r="BC48" s="5">
        <v>2077</v>
      </c>
      <c r="BD48" s="5">
        <v>2078</v>
      </c>
      <c r="BE48" s="5">
        <v>2079</v>
      </c>
      <c r="BF48" s="5">
        <v>2080</v>
      </c>
      <c r="BG48" s="5">
        <v>2081</v>
      </c>
      <c r="BH48" s="5">
        <v>2082</v>
      </c>
      <c r="BI48" s="5">
        <v>2083</v>
      </c>
      <c r="BJ48" s="5">
        <v>2084</v>
      </c>
      <c r="BK48" s="5">
        <v>2085</v>
      </c>
      <c r="BL48" s="5">
        <v>2086</v>
      </c>
      <c r="BM48" s="5">
        <v>2087</v>
      </c>
      <c r="BN48" s="5">
        <v>2088</v>
      </c>
      <c r="BO48" s="5">
        <v>2089</v>
      </c>
      <c r="BP48" s="5">
        <v>2090</v>
      </c>
      <c r="BQ48" s="5">
        <v>2091</v>
      </c>
      <c r="BR48" s="5">
        <v>2092</v>
      </c>
      <c r="BS48" s="5">
        <v>2093</v>
      </c>
      <c r="BT48" s="5">
        <v>2094</v>
      </c>
      <c r="BU48" s="5">
        <v>2095</v>
      </c>
      <c r="BV48" s="5">
        <v>2096</v>
      </c>
      <c r="BW48" s="5">
        <v>2097</v>
      </c>
      <c r="BX48" s="5">
        <v>2098</v>
      </c>
      <c r="BY48" s="5">
        <v>2099</v>
      </c>
      <c r="BZ48" s="5">
        <v>2100</v>
      </c>
      <c r="CA48" s="5">
        <v>2101</v>
      </c>
      <c r="CB48" s="5">
        <v>2102</v>
      </c>
      <c r="CC48" s="5">
        <v>2103</v>
      </c>
      <c r="CD48" s="5">
        <v>2104</v>
      </c>
      <c r="CE48" s="5">
        <v>2105</v>
      </c>
      <c r="CF48" s="5">
        <v>2106</v>
      </c>
      <c r="CG48" s="5">
        <v>2107</v>
      </c>
      <c r="CH48" s="5">
        <v>2108</v>
      </c>
      <c r="CI48" s="5">
        <v>2109</v>
      </c>
      <c r="CJ48" s="5">
        <v>2110</v>
      </c>
      <c r="CK48" s="5">
        <v>2111</v>
      </c>
      <c r="CL48" s="5">
        <v>2112</v>
      </c>
      <c r="CM48" s="5">
        <v>2113</v>
      </c>
      <c r="CN48" s="5">
        <v>2114</v>
      </c>
      <c r="CO48" s="5">
        <v>2115</v>
      </c>
      <c r="CP48" s="5">
        <v>2116</v>
      </c>
      <c r="CQ48" s="5">
        <v>2117</v>
      </c>
      <c r="CR48" s="5">
        <v>2118</v>
      </c>
      <c r="CS48" s="5">
        <v>2119</v>
      </c>
      <c r="CT48" s="5">
        <v>2120</v>
      </c>
      <c r="CU48" s="5">
        <v>2121</v>
      </c>
      <c r="CV48" s="5">
        <v>2122</v>
      </c>
      <c r="CW48" s="5">
        <v>2123</v>
      </c>
      <c r="CX48" s="5">
        <v>2124</v>
      </c>
      <c r="CY48" s="5">
        <v>2125</v>
      </c>
      <c r="CZ48" s="5">
        <v>2126</v>
      </c>
      <c r="DA48" s="5">
        <v>2127</v>
      </c>
    </row>
    <row r="49" spans="1:105" x14ac:dyDescent="0.4">
      <c r="A49" s="45">
        <f>SUM(F49:DA49)</f>
        <v>1047752.2948844008</v>
      </c>
      <c r="D49" t="s">
        <v>207</v>
      </c>
      <c r="H49" s="8">
        <f>IF(H$13&lt;=$B$3,H50/$B$3,0)</f>
        <v>20955.045897688004</v>
      </c>
      <c r="I49" s="8">
        <f>IF(I47&lt;=$B$3,H49,0)</f>
        <v>20955.045897688004</v>
      </c>
      <c r="J49" s="8">
        <f t="shared" ref="J49:BU49" si="48">IF(J47&lt;=$B$3,I49,0)</f>
        <v>20955.045897688004</v>
      </c>
      <c r="K49" s="8">
        <f t="shared" si="48"/>
        <v>20955.045897688004</v>
      </c>
      <c r="L49" s="8">
        <f t="shared" si="48"/>
        <v>20955.045897688004</v>
      </c>
      <c r="M49" s="8">
        <f t="shared" si="48"/>
        <v>20955.045897688004</v>
      </c>
      <c r="N49" s="8">
        <f t="shared" si="48"/>
        <v>20955.045897688004</v>
      </c>
      <c r="O49" s="8">
        <f t="shared" si="48"/>
        <v>20955.045897688004</v>
      </c>
      <c r="P49" s="8">
        <f t="shared" si="48"/>
        <v>20955.045897688004</v>
      </c>
      <c r="Q49" s="8">
        <f t="shared" si="48"/>
        <v>20955.045897688004</v>
      </c>
      <c r="R49" s="8">
        <f t="shared" si="48"/>
        <v>20955.045897688004</v>
      </c>
      <c r="S49" s="8">
        <f t="shared" si="48"/>
        <v>20955.045897688004</v>
      </c>
      <c r="T49" s="8">
        <f t="shared" si="48"/>
        <v>20955.045897688004</v>
      </c>
      <c r="U49" s="8">
        <f t="shared" si="48"/>
        <v>20955.045897688004</v>
      </c>
      <c r="V49" s="8">
        <f t="shared" si="48"/>
        <v>20955.045897688004</v>
      </c>
      <c r="W49" s="8">
        <f t="shared" si="48"/>
        <v>20955.045897688004</v>
      </c>
      <c r="X49" s="8">
        <f t="shared" si="48"/>
        <v>20955.045897688004</v>
      </c>
      <c r="Y49" s="8">
        <f t="shared" si="48"/>
        <v>20955.045897688004</v>
      </c>
      <c r="Z49" s="8">
        <f t="shared" si="48"/>
        <v>20955.045897688004</v>
      </c>
      <c r="AA49" s="8">
        <f t="shared" si="48"/>
        <v>20955.045897688004</v>
      </c>
      <c r="AB49" s="8">
        <f t="shared" si="48"/>
        <v>20955.045897688004</v>
      </c>
      <c r="AC49" s="8">
        <f t="shared" si="48"/>
        <v>20955.045897688004</v>
      </c>
      <c r="AD49" s="8">
        <f t="shared" si="48"/>
        <v>20955.045897688004</v>
      </c>
      <c r="AE49" s="8">
        <f t="shared" si="48"/>
        <v>20955.045897688004</v>
      </c>
      <c r="AF49" s="8">
        <f t="shared" si="48"/>
        <v>20955.045897688004</v>
      </c>
      <c r="AG49" s="8">
        <f t="shared" si="48"/>
        <v>20955.045897688004</v>
      </c>
      <c r="AH49" s="8">
        <f t="shared" si="48"/>
        <v>20955.045897688004</v>
      </c>
      <c r="AI49" s="8">
        <f t="shared" si="48"/>
        <v>20955.045897688004</v>
      </c>
      <c r="AJ49" s="8">
        <f t="shared" si="48"/>
        <v>20955.045897688004</v>
      </c>
      <c r="AK49" s="8">
        <f t="shared" si="48"/>
        <v>20955.045897688004</v>
      </c>
      <c r="AL49" s="8">
        <f t="shared" si="48"/>
        <v>20955.045897688004</v>
      </c>
      <c r="AM49" s="8">
        <f t="shared" si="48"/>
        <v>20955.045897688004</v>
      </c>
      <c r="AN49" s="8">
        <f t="shared" si="48"/>
        <v>20955.045897688004</v>
      </c>
      <c r="AO49" s="8">
        <f t="shared" si="48"/>
        <v>20955.045897688004</v>
      </c>
      <c r="AP49" s="8">
        <f t="shared" si="48"/>
        <v>20955.045897688004</v>
      </c>
      <c r="AQ49" s="8">
        <f t="shared" si="48"/>
        <v>20955.045897688004</v>
      </c>
      <c r="AR49" s="8">
        <f t="shared" si="48"/>
        <v>20955.045897688004</v>
      </c>
      <c r="AS49" s="8">
        <f t="shared" si="48"/>
        <v>20955.045897688004</v>
      </c>
      <c r="AT49" s="8">
        <f t="shared" si="48"/>
        <v>20955.045897688004</v>
      </c>
      <c r="AU49" s="8">
        <f t="shared" si="48"/>
        <v>20955.045897688004</v>
      </c>
      <c r="AV49" s="8">
        <f t="shared" si="48"/>
        <v>20955.045897688004</v>
      </c>
      <c r="AW49" s="8">
        <f t="shared" si="48"/>
        <v>20955.045897688004</v>
      </c>
      <c r="AX49" s="8">
        <f t="shared" si="48"/>
        <v>20955.045897688004</v>
      </c>
      <c r="AY49" s="8">
        <f t="shared" si="48"/>
        <v>20955.045897688004</v>
      </c>
      <c r="AZ49" s="8">
        <f t="shared" si="48"/>
        <v>20955.045897688004</v>
      </c>
      <c r="BA49" s="8">
        <f t="shared" si="48"/>
        <v>20955.045897688004</v>
      </c>
      <c r="BB49" s="8">
        <f t="shared" si="48"/>
        <v>20955.045897688004</v>
      </c>
      <c r="BC49" s="8">
        <f t="shared" si="48"/>
        <v>20955.045897688004</v>
      </c>
      <c r="BD49" s="8">
        <f t="shared" si="48"/>
        <v>20955.045897688004</v>
      </c>
      <c r="BE49" s="8">
        <f t="shared" si="48"/>
        <v>20955.045897688004</v>
      </c>
      <c r="BF49" s="8">
        <f t="shared" si="48"/>
        <v>0</v>
      </c>
      <c r="BG49" s="8">
        <f t="shared" si="48"/>
        <v>0</v>
      </c>
      <c r="BH49" s="8">
        <f t="shared" si="48"/>
        <v>0</v>
      </c>
      <c r="BI49" s="8">
        <f t="shared" si="48"/>
        <v>0</v>
      </c>
      <c r="BJ49" s="8">
        <f t="shared" si="48"/>
        <v>0</v>
      </c>
      <c r="BK49" s="8">
        <f t="shared" si="48"/>
        <v>0</v>
      </c>
      <c r="BL49" s="8">
        <f t="shared" si="48"/>
        <v>0</v>
      </c>
      <c r="BM49" s="8">
        <f t="shared" si="48"/>
        <v>0</v>
      </c>
      <c r="BN49" s="8">
        <f t="shared" si="48"/>
        <v>0</v>
      </c>
      <c r="BO49" s="8">
        <f t="shared" si="48"/>
        <v>0</v>
      </c>
      <c r="BP49" s="8">
        <f t="shared" si="48"/>
        <v>0</v>
      </c>
      <c r="BQ49" s="8">
        <f t="shared" si="48"/>
        <v>0</v>
      </c>
      <c r="BR49" s="8">
        <f t="shared" si="48"/>
        <v>0</v>
      </c>
      <c r="BS49" s="8">
        <f t="shared" si="48"/>
        <v>0</v>
      </c>
      <c r="BT49" s="8">
        <f t="shared" si="48"/>
        <v>0</v>
      </c>
      <c r="BU49" s="8">
        <f t="shared" si="48"/>
        <v>0</v>
      </c>
      <c r="BV49" s="8">
        <f t="shared" ref="BV49:DA49" si="49">IF(BV47&lt;=$B$3,BU49,0)</f>
        <v>0</v>
      </c>
      <c r="BW49" s="8">
        <f t="shared" si="49"/>
        <v>0</v>
      </c>
      <c r="BX49" s="8">
        <f t="shared" si="49"/>
        <v>0</v>
      </c>
      <c r="BY49" s="8">
        <f t="shared" si="49"/>
        <v>0</v>
      </c>
      <c r="BZ49" s="8">
        <f t="shared" si="49"/>
        <v>0</v>
      </c>
      <c r="CA49" s="8">
        <f t="shared" si="49"/>
        <v>0</v>
      </c>
      <c r="CB49" s="8">
        <f t="shared" si="49"/>
        <v>0</v>
      </c>
      <c r="CC49" s="8">
        <f t="shared" si="49"/>
        <v>0</v>
      </c>
      <c r="CD49" s="8">
        <f t="shared" si="49"/>
        <v>0</v>
      </c>
      <c r="CE49" s="8">
        <f t="shared" si="49"/>
        <v>0</v>
      </c>
      <c r="CF49" s="8">
        <f t="shared" si="49"/>
        <v>0</v>
      </c>
      <c r="CG49" s="8">
        <f t="shared" si="49"/>
        <v>0</v>
      </c>
      <c r="CH49" s="8">
        <f t="shared" si="49"/>
        <v>0</v>
      </c>
      <c r="CI49" s="8">
        <f t="shared" si="49"/>
        <v>0</v>
      </c>
      <c r="CJ49" s="8">
        <f t="shared" si="49"/>
        <v>0</v>
      </c>
      <c r="CK49" s="8">
        <f t="shared" si="49"/>
        <v>0</v>
      </c>
      <c r="CL49" s="8">
        <f t="shared" si="49"/>
        <v>0</v>
      </c>
      <c r="CM49" s="8">
        <f t="shared" si="49"/>
        <v>0</v>
      </c>
      <c r="CN49" s="8">
        <f t="shared" si="49"/>
        <v>0</v>
      </c>
      <c r="CO49" s="8">
        <f t="shared" si="49"/>
        <v>0</v>
      </c>
      <c r="CP49" s="8">
        <f t="shared" si="49"/>
        <v>0</v>
      </c>
      <c r="CQ49" s="8">
        <f t="shared" si="49"/>
        <v>0</v>
      </c>
      <c r="CR49" s="8">
        <f t="shared" si="49"/>
        <v>0</v>
      </c>
      <c r="CS49" s="8">
        <f t="shared" si="49"/>
        <v>0</v>
      </c>
      <c r="CT49" s="8">
        <f t="shared" si="49"/>
        <v>0</v>
      </c>
      <c r="CU49" s="8">
        <f t="shared" si="49"/>
        <v>0</v>
      </c>
      <c r="CV49" s="8">
        <f t="shared" si="49"/>
        <v>0</v>
      </c>
      <c r="CW49" s="8">
        <f t="shared" si="49"/>
        <v>0</v>
      </c>
      <c r="CX49" s="8">
        <f t="shared" si="49"/>
        <v>0</v>
      </c>
      <c r="CY49" s="8">
        <f t="shared" si="49"/>
        <v>0</v>
      </c>
      <c r="CZ49" s="8">
        <f t="shared" si="49"/>
        <v>0</v>
      </c>
      <c r="DA49" s="8">
        <f t="shared" si="49"/>
        <v>0</v>
      </c>
    </row>
    <row r="50" spans="1:105" x14ac:dyDescent="0.4">
      <c r="A50" s="82"/>
      <c r="D50" t="s">
        <v>154</v>
      </c>
      <c r="G50" s="8">
        <f>HLOOKUP(H48,$F$3:$O$10,7,0)</f>
        <v>1047752.2948844001</v>
      </c>
      <c r="H50" s="8">
        <f t="shared" ref="H50:BS50" si="50">IF(ROUND(G51,4)=-ROUND(G50,4),0,G50)</f>
        <v>1047752.2948844001</v>
      </c>
      <c r="I50" s="8">
        <f t="shared" si="50"/>
        <v>1047752.2948844001</v>
      </c>
      <c r="J50" s="8">
        <f t="shared" si="50"/>
        <v>1047752.2948844001</v>
      </c>
      <c r="K50" s="8">
        <f t="shared" si="50"/>
        <v>1047752.2948844001</v>
      </c>
      <c r="L50" s="8">
        <f t="shared" si="50"/>
        <v>1047752.2948844001</v>
      </c>
      <c r="M50" s="8">
        <f t="shared" si="50"/>
        <v>1047752.2948844001</v>
      </c>
      <c r="N50" s="8">
        <f t="shared" si="50"/>
        <v>1047752.2948844001</v>
      </c>
      <c r="O50" s="8">
        <f t="shared" si="50"/>
        <v>1047752.2948844001</v>
      </c>
      <c r="P50" s="8">
        <f t="shared" si="50"/>
        <v>1047752.2948844001</v>
      </c>
      <c r="Q50" s="8">
        <f t="shared" si="50"/>
        <v>1047752.2948844001</v>
      </c>
      <c r="R50" s="8">
        <f t="shared" si="50"/>
        <v>1047752.2948844001</v>
      </c>
      <c r="S50" s="8">
        <f t="shared" si="50"/>
        <v>1047752.2948844001</v>
      </c>
      <c r="T50" s="8">
        <f t="shared" si="50"/>
        <v>1047752.2948844001</v>
      </c>
      <c r="U50" s="8">
        <f t="shared" si="50"/>
        <v>1047752.2948844001</v>
      </c>
      <c r="V50" s="8">
        <f t="shared" si="50"/>
        <v>1047752.2948844001</v>
      </c>
      <c r="W50" s="8">
        <f t="shared" si="50"/>
        <v>1047752.2948844001</v>
      </c>
      <c r="X50" s="8">
        <f t="shared" si="50"/>
        <v>1047752.2948844001</v>
      </c>
      <c r="Y50" s="8">
        <f t="shared" si="50"/>
        <v>1047752.2948844001</v>
      </c>
      <c r="Z50" s="8">
        <f t="shared" si="50"/>
        <v>1047752.2948844001</v>
      </c>
      <c r="AA50" s="8">
        <f t="shared" si="50"/>
        <v>1047752.2948844001</v>
      </c>
      <c r="AB50" s="8">
        <f t="shared" si="50"/>
        <v>1047752.2948844001</v>
      </c>
      <c r="AC50" s="8">
        <f t="shared" si="50"/>
        <v>1047752.2948844001</v>
      </c>
      <c r="AD50" s="8">
        <f t="shared" si="50"/>
        <v>1047752.2948844001</v>
      </c>
      <c r="AE50" s="8">
        <f t="shared" si="50"/>
        <v>1047752.2948844001</v>
      </c>
      <c r="AF50" s="8">
        <f t="shared" si="50"/>
        <v>1047752.2948844001</v>
      </c>
      <c r="AG50" s="8">
        <f t="shared" si="50"/>
        <v>1047752.2948844001</v>
      </c>
      <c r="AH50" s="8">
        <f t="shared" si="50"/>
        <v>1047752.2948844001</v>
      </c>
      <c r="AI50" s="8">
        <f t="shared" si="50"/>
        <v>1047752.2948844001</v>
      </c>
      <c r="AJ50" s="8">
        <f t="shared" si="50"/>
        <v>1047752.2948844001</v>
      </c>
      <c r="AK50" s="8">
        <f t="shared" si="50"/>
        <v>1047752.2948844001</v>
      </c>
      <c r="AL50" s="8">
        <f t="shared" si="50"/>
        <v>1047752.2948844001</v>
      </c>
      <c r="AM50" s="8">
        <f t="shared" si="50"/>
        <v>1047752.2948844001</v>
      </c>
      <c r="AN50" s="8">
        <f t="shared" si="50"/>
        <v>1047752.2948844001</v>
      </c>
      <c r="AO50" s="8">
        <f t="shared" si="50"/>
        <v>1047752.2948844001</v>
      </c>
      <c r="AP50" s="8">
        <f t="shared" si="50"/>
        <v>1047752.2948844001</v>
      </c>
      <c r="AQ50" s="8">
        <f t="shared" si="50"/>
        <v>1047752.2948844001</v>
      </c>
      <c r="AR50" s="8">
        <f t="shared" si="50"/>
        <v>1047752.2948844001</v>
      </c>
      <c r="AS50" s="8">
        <f t="shared" si="50"/>
        <v>1047752.2948844001</v>
      </c>
      <c r="AT50" s="8">
        <f t="shared" si="50"/>
        <v>1047752.2948844001</v>
      </c>
      <c r="AU50" s="8">
        <f t="shared" si="50"/>
        <v>1047752.2948844001</v>
      </c>
      <c r="AV50" s="8">
        <f t="shared" si="50"/>
        <v>1047752.2948844001</v>
      </c>
      <c r="AW50" s="8">
        <f t="shared" si="50"/>
        <v>1047752.2948844001</v>
      </c>
      <c r="AX50" s="8">
        <f t="shared" si="50"/>
        <v>1047752.2948844001</v>
      </c>
      <c r="AY50" s="8">
        <f t="shared" si="50"/>
        <v>1047752.2948844001</v>
      </c>
      <c r="AZ50" s="8">
        <f t="shared" si="50"/>
        <v>1047752.2948844001</v>
      </c>
      <c r="BA50" s="8">
        <f t="shared" si="50"/>
        <v>1047752.2948844001</v>
      </c>
      <c r="BB50" s="8">
        <f t="shared" si="50"/>
        <v>1047752.2948844001</v>
      </c>
      <c r="BC50" s="8">
        <f t="shared" si="50"/>
        <v>1047752.2948844001</v>
      </c>
      <c r="BD50" s="8">
        <f t="shared" si="50"/>
        <v>1047752.2948844001</v>
      </c>
      <c r="BE50" s="8">
        <f t="shared" si="50"/>
        <v>1047752.2948844001</v>
      </c>
      <c r="BF50" s="8">
        <f t="shared" si="50"/>
        <v>0</v>
      </c>
      <c r="BG50" s="8">
        <f t="shared" si="50"/>
        <v>0</v>
      </c>
      <c r="BH50" s="8">
        <f t="shared" si="50"/>
        <v>0</v>
      </c>
      <c r="BI50" s="8">
        <f t="shared" si="50"/>
        <v>0</v>
      </c>
      <c r="BJ50" s="8">
        <f t="shared" si="50"/>
        <v>0</v>
      </c>
      <c r="BK50" s="8">
        <f t="shared" si="50"/>
        <v>0</v>
      </c>
      <c r="BL50" s="8">
        <f t="shared" si="50"/>
        <v>0</v>
      </c>
      <c r="BM50" s="8">
        <f t="shared" si="50"/>
        <v>0</v>
      </c>
      <c r="BN50" s="8">
        <f t="shared" si="50"/>
        <v>0</v>
      </c>
      <c r="BO50" s="8">
        <f t="shared" si="50"/>
        <v>0</v>
      </c>
      <c r="BP50" s="8">
        <f t="shared" si="50"/>
        <v>0</v>
      </c>
      <c r="BQ50" s="8">
        <f t="shared" si="50"/>
        <v>0</v>
      </c>
      <c r="BR50" s="8">
        <f t="shared" si="50"/>
        <v>0</v>
      </c>
      <c r="BS50" s="8">
        <f t="shared" si="50"/>
        <v>0</v>
      </c>
      <c r="BT50" s="8">
        <f t="shared" ref="BT50:DA50" si="51">IF(ROUND(BS51,4)=-ROUND(BS50,4),0,BS50)</f>
        <v>0</v>
      </c>
      <c r="BU50" s="8">
        <f t="shared" si="51"/>
        <v>0</v>
      </c>
      <c r="BV50" s="8">
        <f t="shared" si="51"/>
        <v>0</v>
      </c>
      <c r="BW50" s="8">
        <f t="shared" si="51"/>
        <v>0</v>
      </c>
      <c r="BX50" s="8">
        <f t="shared" si="51"/>
        <v>0</v>
      </c>
      <c r="BY50" s="8">
        <f t="shared" si="51"/>
        <v>0</v>
      </c>
      <c r="BZ50" s="8">
        <f t="shared" si="51"/>
        <v>0</v>
      </c>
      <c r="CA50" s="8">
        <f t="shared" si="51"/>
        <v>0</v>
      </c>
      <c r="CB50" s="8">
        <f t="shared" si="51"/>
        <v>0</v>
      </c>
      <c r="CC50" s="8">
        <f t="shared" si="51"/>
        <v>0</v>
      </c>
      <c r="CD50" s="8">
        <f t="shared" si="51"/>
        <v>0</v>
      </c>
      <c r="CE50" s="8">
        <f t="shared" si="51"/>
        <v>0</v>
      </c>
      <c r="CF50" s="8">
        <f t="shared" si="51"/>
        <v>0</v>
      </c>
      <c r="CG50" s="8">
        <f t="shared" si="51"/>
        <v>0</v>
      </c>
      <c r="CH50" s="8">
        <f t="shared" si="51"/>
        <v>0</v>
      </c>
      <c r="CI50" s="8">
        <f t="shared" si="51"/>
        <v>0</v>
      </c>
      <c r="CJ50" s="8">
        <f t="shared" si="51"/>
        <v>0</v>
      </c>
      <c r="CK50" s="8">
        <f t="shared" si="51"/>
        <v>0</v>
      </c>
      <c r="CL50" s="8">
        <f t="shared" si="51"/>
        <v>0</v>
      </c>
      <c r="CM50" s="8">
        <f t="shared" si="51"/>
        <v>0</v>
      </c>
      <c r="CN50" s="8">
        <f t="shared" si="51"/>
        <v>0</v>
      </c>
      <c r="CO50" s="8">
        <f t="shared" si="51"/>
        <v>0</v>
      </c>
      <c r="CP50" s="8">
        <f t="shared" si="51"/>
        <v>0</v>
      </c>
      <c r="CQ50" s="8">
        <f t="shared" si="51"/>
        <v>0</v>
      </c>
      <c r="CR50" s="8">
        <f t="shared" si="51"/>
        <v>0</v>
      </c>
      <c r="CS50" s="8">
        <f t="shared" si="51"/>
        <v>0</v>
      </c>
      <c r="CT50" s="8">
        <f t="shared" si="51"/>
        <v>0</v>
      </c>
      <c r="CU50" s="8">
        <f t="shared" si="51"/>
        <v>0</v>
      </c>
      <c r="CV50" s="8">
        <f t="shared" si="51"/>
        <v>0</v>
      </c>
      <c r="CW50" s="8">
        <f t="shared" si="51"/>
        <v>0</v>
      </c>
      <c r="CX50" s="8">
        <f t="shared" si="51"/>
        <v>0</v>
      </c>
      <c r="CY50" s="8">
        <f t="shared" si="51"/>
        <v>0</v>
      </c>
      <c r="CZ50" s="8">
        <f t="shared" si="51"/>
        <v>0</v>
      </c>
      <c r="DA50" s="8">
        <f t="shared" si="51"/>
        <v>0</v>
      </c>
    </row>
    <row r="51" spans="1:105" x14ac:dyDescent="0.4">
      <c r="D51" t="s">
        <v>208</v>
      </c>
      <c r="G51" s="8"/>
      <c r="H51" s="8">
        <f>IF(H47&lt;=$B$3,-SUM($E49:H49),0)</f>
        <v>-20955.045897688004</v>
      </c>
      <c r="I51" s="8">
        <f>IF(I47&lt;=$B$3,-SUM($E49:I49),0)</f>
        <v>-41910.091795376007</v>
      </c>
      <c r="J51" s="8">
        <f>IF(J47&lt;=$B$3,-SUM($E49:J49),0)</f>
        <v>-62865.137693064011</v>
      </c>
      <c r="K51" s="8">
        <f>IF(K47&lt;=$B$3,-SUM($E49:K49),0)</f>
        <v>-83820.183590752014</v>
      </c>
      <c r="L51" s="8">
        <f>IF(L47&lt;=$B$3,-SUM($E49:L49),0)</f>
        <v>-104775.22948844002</v>
      </c>
      <c r="M51" s="8">
        <f>IF(M47&lt;=$B$3,-SUM($E49:M49),0)</f>
        <v>-125730.27538612802</v>
      </c>
      <c r="N51" s="8">
        <f>IF(N47&lt;=$B$3,-SUM($E49:N49),0)</f>
        <v>-146685.32128381601</v>
      </c>
      <c r="O51" s="8">
        <f>IF(O47&lt;=$B$3,-SUM($E49:O49),0)</f>
        <v>-167640.36718150403</v>
      </c>
      <c r="P51" s="8">
        <f>IF(P47&lt;=$B$3,-SUM($E49:P49),0)</f>
        <v>-188595.41307919205</v>
      </c>
      <c r="Q51" s="8">
        <f>IF(Q47&lt;=$B$3,-SUM($E49:Q49),0)</f>
        <v>-209550.45897688007</v>
      </c>
      <c r="R51" s="8">
        <f>IF(R47&lt;=$B$3,-SUM($E49:R49),0)</f>
        <v>-230505.50487456808</v>
      </c>
      <c r="S51" s="8">
        <f>IF(S47&lt;=$B$3,-SUM($E49:S49),0)</f>
        <v>-251460.5507722561</v>
      </c>
      <c r="T51" s="8">
        <f>IF(T47&lt;=$B$3,-SUM($E49:T49),0)</f>
        <v>-272415.59666994412</v>
      </c>
      <c r="U51" s="8">
        <f>IF(U47&lt;=$B$3,-SUM($E49:U49),0)</f>
        <v>-293370.64256763214</v>
      </c>
      <c r="V51" s="8">
        <f>IF(V47&lt;=$B$3,-SUM($E49:V49),0)</f>
        <v>-314325.68846532016</v>
      </c>
      <c r="W51" s="8">
        <f>IF(W47&lt;=$B$3,-SUM($E49:W49),0)</f>
        <v>-335280.73436300817</v>
      </c>
      <c r="X51" s="8">
        <f>IF(X47&lt;=$B$3,-SUM($E49:X49),0)</f>
        <v>-356235.78026069619</v>
      </c>
      <c r="Y51" s="8">
        <f>IF(Y47&lt;=$B$3,-SUM($E49:Y49),0)</f>
        <v>-377190.82615838421</v>
      </c>
      <c r="Z51" s="8">
        <f>IF(Z47&lt;=$B$3,-SUM($E49:Z49),0)</f>
        <v>-398145.87205607223</v>
      </c>
      <c r="AA51" s="8">
        <f>IF(AA47&lt;=$B$3,-SUM($E49:AA49),0)</f>
        <v>-419100.91795376025</v>
      </c>
      <c r="AB51" s="8">
        <f>IF(AB47&lt;=$B$3,-SUM($E49:AB49),0)</f>
        <v>-440055.96385144826</v>
      </c>
      <c r="AC51" s="8">
        <f>IF(AC47&lt;=$B$3,-SUM($E49:AC49),0)</f>
        <v>-461011.00974913628</v>
      </c>
      <c r="AD51" s="8">
        <f>IF(AD47&lt;=$B$3,-SUM($E49:AD49),0)</f>
        <v>-481966.0556468243</v>
      </c>
      <c r="AE51" s="8">
        <f>IF(AE47&lt;=$B$3,-SUM($E49:AE49),0)</f>
        <v>-502921.10154451232</v>
      </c>
      <c r="AF51" s="8">
        <f>IF(AF47&lt;=$B$3,-SUM($E49:AF49),0)</f>
        <v>-523876.14744220034</v>
      </c>
      <c r="AG51" s="8">
        <f>IF(AG47&lt;=$B$3,-SUM($E49:AG49),0)</f>
        <v>-544831.19333988836</v>
      </c>
      <c r="AH51" s="8">
        <f>IF(AH47&lt;=$B$3,-SUM($E49:AH49),0)</f>
        <v>-565786.23923757637</v>
      </c>
      <c r="AI51" s="8">
        <f>IF(AI47&lt;=$B$3,-SUM($E49:AI49),0)</f>
        <v>-586741.28513526439</v>
      </c>
      <c r="AJ51" s="8">
        <f>IF(AJ47&lt;=$B$3,-SUM($E49:AJ49),0)</f>
        <v>-607696.33103295241</v>
      </c>
      <c r="AK51" s="8">
        <f>IF(AK47&lt;=$B$3,-SUM($E49:AK49),0)</f>
        <v>-628651.37693064043</v>
      </c>
      <c r="AL51" s="8">
        <f>IF(AL47&lt;=$B$3,-SUM($E49:AL49),0)</f>
        <v>-649606.42282832845</v>
      </c>
      <c r="AM51" s="8">
        <f>IF(AM47&lt;=$B$3,-SUM($E49:AM49),0)</f>
        <v>-670561.46872601646</v>
      </c>
      <c r="AN51" s="8">
        <f>IF(AN47&lt;=$B$3,-SUM($E49:AN49),0)</f>
        <v>-691516.51462370448</v>
      </c>
      <c r="AO51" s="8">
        <f>IF(AO47&lt;=$B$3,-SUM($E49:AO49),0)</f>
        <v>-712471.5605213925</v>
      </c>
      <c r="AP51" s="8">
        <f>IF(AP47&lt;=$B$3,-SUM($E49:AP49),0)</f>
        <v>-733426.60641908052</v>
      </c>
      <c r="AQ51" s="8">
        <f>IF(AQ47&lt;=$B$3,-SUM($E49:AQ49),0)</f>
        <v>-754381.65231676854</v>
      </c>
      <c r="AR51" s="8">
        <f>IF(AR47&lt;=$B$3,-SUM($E49:AR49),0)</f>
        <v>-775336.69821445656</v>
      </c>
      <c r="AS51" s="8">
        <f>IF(AS47&lt;=$B$3,-SUM($E49:AS49),0)</f>
        <v>-796291.74411214457</v>
      </c>
      <c r="AT51" s="8">
        <f>IF(AT47&lt;=$B$3,-SUM($E49:AT49),0)</f>
        <v>-817246.79000983259</v>
      </c>
      <c r="AU51" s="8">
        <f>IF(AU47&lt;=$B$3,-SUM($E49:AU49),0)</f>
        <v>-838201.83590752061</v>
      </c>
      <c r="AV51" s="8">
        <f>IF(AV47&lt;=$B$3,-SUM($E49:AV49),0)</f>
        <v>-859156.88180520863</v>
      </c>
      <c r="AW51" s="8">
        <f>IF(AW47&lt;=$B$3,-SUM($E49:AW49),0)</f>
        <v>-880111.92770289665</v>
      </c>
      <c r="AX51" s="8">
        <f>IF(AX47&lt;=$B$3,-SUM($E49:AX49),0)</f>
        <v>-901066.97360058466</v>
      </c>
      <c r="AY51" s="8">
        <f>IF(AY47&lt;=$B$3,-SUM($E49:AY49),0)</f>
        <v>-922022.01949827268</v>
      </c>
      <c r="AZ51" s="8">
        <f>IF(AZ47&lt;=$B$3,-SUM($E49:AZ49),0)</f>
        <v>-942977.0653959607</v>
      </c>
      <c r="BA51" s="8">
        <f>IF(BA47&lt;=$B$3,-SUM($E49:BA49),0)</f>
        <v>-963932.11129364872</v>
      </c>
      <c r="BB51" s="8">
        <f>IF(BB47&lt;=$B$3,-SUM($E49:BB49),0)</f>
        <v>-984887.15719133674</v>
      </c>
      <c r="BC51" s="8">
        <f>IF(BC47&lt;=$B$3,-SUM($E49:BC49),0)</f>
        <v>-1005842.2030890248</v>
      </c>
      <c r="BD51" s="8">
        <f>IF(BD47&lt;=$B$3,-SUM($E49:BD49),0)</f>
        <v>-1026797.2489867128</v>
      </c>
      <c r="BE51" s="8">
        <f>IF(BE47&lt;=$B$3,-SUM($E49:BE49),0)</f>
        <v>-1047752.2948844008</v>
      </c>
      <c r="BF51" s="8">
        <f>IF(BF47&lt;=$B$3,-SUM($E49:BF49),0)</f>
        <v>0</v>
      </c>
      <c r="BG51" s="8">
        <f>IF(BG47&lt;=$B$3,-SUM($E49:BG49),0)</f>
        <v>0</v>
      </c>
      <c r="BH51" s="8">
        <f>IF(BH47&lt;=$B$3,-SUM($E49:BH49),0)</f>
        <v>0</v>
      </c>
      <c r="BI51" s="8">
        <f>IF(BI47&lt;=$B$3,-SUM($E49:BI49),0)</f>
        <v>0</v>
      </c>
      <c r="BJ51" s="8">
        <f>IF(BJ47&lt;=$B$3,-SUM($E49:BJ49),0)</f>
        <v>0</v>
      </c>
      <c r="BK51" s="8">
        <f>IF(BK47&lt;=$B$3,-SUM($E49:BK49),0)</f>
        <v>0</v>
      </c>
      <c r="BL51" s="8">
        <f>IF(BL47&lt;=$B$3,-SUM($E49:BL49),0)</f>
        <v>0</v>
      </c>
      <c r="BM51" s="8">
        <f>IF(BM47&lt;=$B$3,-SUM($E49:BM49),0)</f>
        <v>0</v>
      </c>
      <c r="BN51" s="8">
        <f>IF(BN47&lt;=$B$3,-SUM($E49:BN49),0)</f>
        <v>0</v>
      </c>
      <c r="BO51" s="8">
        <f>IF(BO47&lt;=$B$3,-SUM($E49:BO49),0)</f>
        <v>0</v>
      </c>
      <c r="BP51" s="8">
        <f>IF(BP47&lt;=$B$3,-SUM($E49:BP49),0)</f>
        <v>0</v>
      </c>
      <c r="BQ51" s="8">
        <f>IF(BQ47&lt;=$B$3,-SUM($E49:BQ49),0)</f>
        <v>0</v>
      </c>
      <c r="BR51" s="8">
        <f>IF(BR47&lt;=$B$3,-SUM($E49:BR49),0)</f>
        <v>0</v>
      </c>
      <c r="BS51" s="8">
        <f>IF(BS47&lt;=$B$3,-SUM($E49:BS49),0)</f>
        <v>0</v>
      </c>
      <c r="BT51" s="8">
        <f>IF(BT47&lt;=$B$3,-SUM($E49:BT49),0)</f>
        <v>0</v>
      </c>
      <c r="BU51" s="8">
        <f>IF(BU47&lt;=$B$3,-SUM($E49:BU49),0)</f>
        <v>0</v>
      </c>
      <c r="BV51" s="8">
        <f>IF(BV47&lt;=$B$3,-SUM($E49:BV49),0)</f>
        <v>0</v>
      </c>
      <c r="BW51" s="8">
        <f>IF(BW47&lt;=$B$3,-SUM($E49:BW49),0)</f>
        <v>0</v>
      </c>
      <c r="BX51" s="8">
        <f>IF(BX47&lt;=$B$3,-SUM($E49:BX49),0)</f>
        <v>0</v>
      </c>
      <c r="BY51" s="8">
        <f>IF(BY47&lt;=$B$3,-SUM($E49:BY49),0)</f>
        <v>0</v>
      </c>
      <c r="BZ51" s="8">
        <f>IF(BZ47&lt;=$B$3,-SUM($E49:BZ49),0)</f>
        <v>0</v>
      </c>
      <c r="CA51" s="8">
        <f>IF(CA47&lt;=$B$3,-SUM($E49:CA49),0)</f>
        <v>0</v>
      </c>
      <c r="CB51" s="8">
        <f>IF(CB47&lt;=$B$3,-SUM($E49:CB49),0)</f>
        <v>0</v>
      </c>
      <c r="CC51" s="8">
        <f>IF(CC47&lt;=$B$3,-SUM($E49:CC49),0)</f>
        <v>0</v>
      </c>
      <c r="CD51" s="8">
        <f>IF(CD47&lt;=$B$3,-SUM($E49:CD49),0)</f>
        <v>0</v>
      </c>
      <c r="CE51" s="8">
        <f>IF(CE47&lt;=$B$3,-SUM($E49:CE49),0)</f>
        <v>0</v>
      </c>
      <c r="CF51" s="8">
        <f>IF(CF47&lt;=$B$3,-SUM($E49:CF49),0)</f>
        <v>0</v>
      </c>
      <c r="CG51" s="8">
        <f>IF(CG47&lt;=$B$3,-SUM($E49:CG49),0)</f>
        <v>0</v>
      </c>
      <c r="CH51" s="8">
        <f>IF(CH47&lt;=$B$3,-SUM($E49:CH49),0)</f>
        <v>0</v>
      </c>
      <c r="CI51" s="8">
        <f>IF(CI47&lt;=$B$3,-SUM($E49:CI49),0)</f>
        <v>0</v>
      </c>
      <c r="CJ51" s="8">
        <f>IF(CJ47&lt;=$B$3,-SUM($E49:CJ49),0)</f>
        <v>0</v>
      </c>
      <c r="CK51" s="8">
        <f>IF(CK47&lt;=$B$3,-SUM($E49:CK49),0)</f>
        <v>0</v>
      </c>
      <c r="CL51" s="8">
        <f>IF(CL47&lt;=$B$3,-SUM($E49:CL49),0)</f>
        <v>0</v>
      </c>
      <c r="CM51" s="8">
        <f>IF(CM47&lt;=$B$3,-SUM($E49:CM49),0)</f>
        <v>0</v>
      </c>
      <c r="CN51" s="8">
        <f>IF(CN47&lt;=$B$3,-SUM($E49:CN49),0)</f>
        <v>0</v>
      </c>
      <c r="CO51" s="8">
        <f>IF(CO47&lt;=$B$3,-SUM($E49:CO49),0)</f>
        <v>0</v>
      </c>
      <c r="CP51" s="8">
        <f>IF(CP47&lt;=$B$3,-SUM($E49:CP49),0)</f>
        <v>0</v>
      </c>
      <c r="CQ51" s="8">
        <f>IF(CQ47&lt;=$B$3,-SUM($E49:CQ49),0)</f>
        <v>0</v>
      </c>
      <c r="CR51" s="8">
        <f>IF(CR47&lt;=$B$3,-SUM($E49:CR49),0)</f>
        <v>0</v>
      </c>
      <c r="CS51" s="8">
        <f>IF(CS47&lt;=$B$3,-SUM($E49:CS49),0)</f>
        <v>0</v>
      </c>
      <c r="CT51" s="8">
        <f>IF(CT47&lt;=$B$3,-SUM($E49:CT49),0)</f>
        <v>0</v>
      </c>
      <c r="CU51" s="8">
        <f>IF(CU47&lt;=$B$3,-SUM($E49:CU49),0)</f>
        <v>0</v>
      </c>
      <c r="CV51" s="8">
        <f>IF(CV47&lt;=$B$3,-SUM($E49:CV49),0)</f>
        <v>0</v>
      </c>
      <c r="CW51" s="8">
        <f>IF(CW47&lt;=$B$3,-SUM($E49:CW49),0)</f>
        <v>0</v>
      </c>
      <c r="CX51" s="8">
        <f>IF(CX47&lt;=$B$3,-SUM($E49:CX49),0)</f>
        <v>0</v>
      </c>
      <c r="CY51" s="8">
        <f>IF(CY47&lt;=$B$3,-SUM($E49:CY49),0)</f>
        <v>0</v>
      </c>
      <c r="CZ51" s="8">
        <f>IF(CZ47&lt;=$B$3,-SUM($E49:CZ49),0)</f>
        <v>0</v>
      </c>
      <c r="DA51" s="8">
        <f>IF(DA47&lt;=$B$3,-SUM($E49:DA49),0)</f>
        <v>0</v>
      </c>
    </row>
    <row r="52" spans="1:105" x14ac:dyDescent="0.4">
      <c r="D52" t="s">
        <v>167</v>
      </c>
      <c r="G52" s="8"/>
      <c r="H52" s="8">
        <f>G53</f>
        <v>1047752.2948844001</v>
      </c>
      <c r="I52" s="8">
        <f t="shared" ref="I52:BT52" si="52">H53</f>
        <v>1026797.2489867121</v>
      </c>
      <c r="J52" s="8">
        <f t="shared" si="52"/>
        <v>1005842.2030890241</v>
      </c>
      <c r="K52" s="8">
        <f t="shared" si="52"/>
        <v>984887.15719133604</v>
      </c>
      <c r="L52" s="8">
        <f t="shared" si="52"/>
        <v>963932.11129364814</v>
      </c>
      <c r="M52" s="8">
        <f t="shared" si="52"/>
        <v>942977.06539596012</v>
      </c>
      <c r="N52" s="8">
        <f t="shared" si="52"/>
        <v>922022.0194982721</v>
      </c>
      <c r="O52" s="8">
        <f t="shared" si="52"/>
        <v>901066.97360058408</v>
      </c>
      <c r="P52" s="8">
        <f t="shared" si="52"/>
        <v>880111.92770289606</v>
      </c>
      <c r="Q52" s="8">
        <f t="shared" si="52"/>
        <v>859156.88180520805</v>
      </c>
      <c r="R52" s="8">
        <f t="shared" si="52"/>
        <v>838201.83590752003</v>
      </c>
      <c r="S52" s="8">
        <f t="shared" si="52"/>
        <v>817246.79000983201</v>
      </c>
      <c r="T52" s="8">
        <f t="shared" si="52"/>
        <v>796291.74411214399</v>
      </c>
      <c r="U52" s="8">
        <f t="shared" si="52"/>
        <v>775336.69821445597</v>
      </c>
      <c r="V52" s="8">
        <f t="shared" si="52"/>
        <v>754381.65231676796</v>
      </c>
      <c r="W52" s="8">
        <f t="shared" si="52"/>
        <v>733426.60641907994</v>
      </c>
      <c r="X52" s="8">
        <f t="shared" si="52"/>
        <v>712471.56052139192</v>
      </c>
      <c r="Y52" s="8">
        <f t="shared" si="52"/>
        <v>691516.5146237039</v>
      </c>
      <c r="Z52" s="8">
        <f t="shared" si="52"/>
        <v>670561.46872601588</v>
      </c>
      <c r="AA52" s="8">
        <f t="shared" si="52"/>
        <v>649606.42282832786</v>
      </c>
      <c r="AB52" s="8">
        <f t="shared" si="52"/>
        <v>628651.37693063985</v>
      </c>
      <c r="AC52" s="8">
        <f t="shared" si="52"/>
        <v>607696.33103295183</v>
      </c>
      <c r="AD52" s="8">
        <f t="shared" si="52"/>
        <v>586741.28513526381</v>
      </c>
      <c r="AE52" s="8">
        <f t="shared" si="52"/>
        <v>565786.23923757579</v>
      </c>
      <c r="AF52" s="8">
        <f t="shared" si="52"/>
        <v>544831.19333988777</v>
      </c>
      <c r="AG52" s="8">
        <f t="shared" si="52"/>
        <v>523876.14744219976</v>
      </c>
      <c r="AH52" s="8">
        <f t="shared" si="52"/>
        <v>502921.10154451174</v>
      </c>
      <c r="AI52" s="8">
        <f t="shared" si="52"/>
        <v>481966.05564682372</v>
      </c>
      <c r="AJ52" s="8">
        <f t="shared" si="52"/>
        <v>461011.0097491357</v>
      </c>
      <c r="AK52" s="8">
        <f t="shared" si="52"/>
        <v>440055.96385144768</v>
      </c>
      <c r="AL52" s="8">
        <f t="shared" si="52"/>
        <v>419100.91795375966</v>
      </c>
      <c r="AM52" s="8">
        <f t="shared" si="52"/>
        <v>398145.87205607165</v>
      </c>
      <c r="AN52" s="8">
        <f t="shared" si="52"/>
        <v>377190.82615838363</v>
      </c>
      <c r="AO52" s="8">
        <f t="shared" si="52"/>
        <v>356235.78026069561</v>
      </c>
      <c r="AP52" s="8">
        <f t="shared" si="52"/>
        <v>335280.73436300759</v>
      </c>
      <c r="AQ52" s="8">
        <f t="shared" si="52"/>
        <v>314325.68846531957</v>
      </c>
      <c r="AR52" s="8">
        <f t="shared" si="52"/>
        <v>293370.64256763156</v>
      </c>
      <c r="AS52" s="8">
        <f t="shared" si="52"/>
        <v>272415.59666994354</v>
      </c>
      <c r="AT52" s="8">
        <f t="shared" si="52"/>
        <v>251460.55077225552</v>
      </c>
      <c r="AU52" s="8">
        <f t="shared" si="52"/>
        <v>230505.5048745675</v>
      </c>
      <c r="AV52" s="8">
        <f t="shared" si="52"/>
        <v>209550.45897687948</v>
      </c>
      <c r="AW52" s="8">
        <f t="shared" si="52"/>
        <v>188595.41307919146</v>
      </c>
      <c r="AX52" s="8">
        <f t="shared" si="52"/>
        <v>167640.36718150345</v>
      </c>
      <c r="AY52" s="8">
        <f t="shared" si="52"/>
        <v>146685.32128381543</v>
      </c>
      <c r="AZ52" s="8">
        <f t="shared" si="52"/>
        <v>125730.27538612741</v>
      </c>
      <c r="BA52" s="8">
        <f t="shared" si="52"/>
        <v>104775.22948843939</v>
      </c>
      <c r="BB52" s="8">
        <f t="shared" si="52"/>
        <v>83820.183590751374</v>
      </c>
      <c r="BC52" s="8">
        <f t="shared" si="52"/>
        <v>62865.137693063356</v>
      </c>
      <c r="BD52" s="8">
        <f t="shared" si="52"/>
        <v>41910.091795375338</v>
      </c>
      <c r="BE52" s="8">
        <f t="shared" si="52"/>
        <v>20955.04589768732</v>
      </c>
      <c r="BF52" s="8">
        <f t="shared" si="52"/>
        <v>0</v>
      </c>
      <c r="BG52" s="8">
        <f t="shared" si="52"/>
        <v>0</v>
      </c>
      <c r="BH52" s="8">
        <f t="shared" si="52"/>
        <v>0</v>
      </c>
      <c r="BI52" s="8">
        <f t="shared" si="52"/>
        <v>0</v>
      </c>
      <c r="BJ52" s="8">
        <f t="shared" si="52"/>
        <v>0</v>
      </c>
      <c r="BK52" s="8">
        <f t="shared" si="52"/>
        <v>0</v>
      </c>
      <c r="BL52" s="8">
        <f t="shared" si="52"/>
        <v>0</v>
      </c>
      <c r="BM52" s="8">
        <f t="shared" si="52"/>
        <v>0</v>
      </c>
      <c r="BN52" s="8">
        <f t="shared" si="52"/>
        <v>0</v>
      </c>
      <c r="BO52" s="8">
        <f t="shared" si="52"/>
        <v>0</v>
      </c>
      <c r="BP52" s="8">
        <f t="shared" si="52"/>
        <v>0</v>
      </c>
      <c r="BQ52" s="8">
        <f t="shared" si="52"/>
        <v>0</v>
      </c>
      <c r="BR52" s="8">
        <f t="shared" si="52"/>
        <v>0</v>
      </c>
      <c r="BS52" s="8">
        <f t="shared" si="52"/>
        <v>0</v>
      </c>
      <c r="BT52" s="8">
        <f t="shared" si="52"/>
        <v>0</v>
      </c>
      <c r="BU52" s="8">
        <f t="shared" ref="BU52:DA52" si="53">BT53</f>
        <v>0</v>
      </c>
      <c r="BV52" s="8">
        <f t="shared" si="53"/>
        <v>0</v>
      </c>
      <c r="BW52" s="8">
        <f t="shared" si="53"/>
        <v>0</v>
      </c>
      <c r="BX52" s="8">
        <f t="shared" si="53"/>
        <v>0</v>
      </c>
      <c r="BY52" s="8">
        <f t="shared" si="53"/>
        <v>0</v>
      </c>
      <c r="BZ52" s="8">
        <f t="shared" si="53"/>
        <v>0</v>
      </c>
      <c r="CA52" s="8">
        <f t="shared" si="53"/>
        <v>0</v>
      </c>
      <c r="CB52" s="8">
        <f t="shared" si="53"/>
        <v>0</v>
      </c>
      <c r="CC52" s="8">
        <f t="shared" si="53"/>
        <v>0</v>
      </c>
      <c r="CD52" s="8">
        <f t="shared" si="53"/>
        <v>0</v>
      </c>
      <c r="CE52" s="8">
        <f t="shared" si="53"/>
        <v>0</v>
      </c>
      <c r="CF52" s="8">
        <f t="shared" si="53"/>
        <v>0</v>
      </c>
      <c r="CG52" s="8">
        <f t="shared" si="53"/>
        <v>0</v>
      </c>
      <c r="CH52" s="8">
        <f t="shared" si="53"/>
        <v>0</v>
      </c>
      <c r="CI52" s="8">
        <f t="shared" si="53"/>
        <v>0</v>
      </c>
      <c r="CJ52" s="8">
        <f t="shared" si="53"/>
        <v>0</v>
      </c>
      <c r="CK52" s="8">
        <f t="shared" si="53"/>
        <v>0</v>
      </c>
      <c r="CL52" s="8">
        <f t="shared" si="53"/>
        <v>0</v>
      </c>
      <c r="CM52" s="8">
        <f t="shared" si="53"/>
        <v>0</v>
      </c>
      <c r="CN52" s="8">
        <f t="shared" si="53"/>
        <v>0</v>
      </c>
      <c r="CO52" s="8">
        <f t="shared" si="53"/>
        <v>0</v>
      </c>
      <c r="CP52" s="8">
        <f t="shared" si="53"/>
        <v>0</v>
      </c>
      <c r="CQ52" s="8">
        <f t="shared" si="53"/>
        <v>0</v>
      </c>
      <c r="CR52" s="8">
        <f t="shared" si="53"/>
        <v>0</v>
      </c>
      <c r="CS52" s="8">
        <f t="shared" si="53"/>
        <v>0</v>
      </c>
      <c r="CT52" s="8">
        <f t="shared" si="53"/>
        <v>0</v>
      </c>
      <c r="CU52" s="8">
        <f t="shared" si="53"/>
        <v>0</v>
      </c>
      <c r="CV52" s="8">
        <f t="shared" si="53"/>
        <v>0</v>
      </c>
      <c r="CW52" s="8">
        <f t="shared" si="53"/>
        <v>0</v>
      </c>
      <c r="CX52" s="8">
        <f t="shared" si="53"/>
        <v>0</v>
      </c>
      <c r="CY52" s="8">
        <f t="shared" si="53"/>
        <v>0</v>
      </c>
      <c r="CZ52" s="8">
        <f t="shared" si="53"/>
        <v>0</v>
      </c>
      <c r="DA52" s="8">
        <f t="shared" si="53"/>
        <v>0</v>
      </c>
    </row>
    <row r="53" spans="1:105" x14ac:dyDescent="0.4">
      <c r="D53" t="s">
        <v>168</v>
      </c>
      <c r="G53" s="8">
        <f>G50+G51</f>
        <v>1047752.2948844001</v>
      </c>
      <c r="H53" s="8">
        <f>H50+H51</f>
        <v>1026797.2489867121</v>
      </c>
      <c r="I53" s="8">
        <f t="shared" ref="I53:BT53" si="54">I50+I51</f>
        <v>1005842.2030890241</v>
      </c>
      <c r="J53" s="8">
        <f t="shared" si="54"/>
        <v>984887.15719133604</v>
      </c>
      <c r="K53" s="8">
        <f t="shared" si="54"/>
        <v>963932.11129364814</v>
      </c>
      <c r="L53" s="8">
        <f t="shared" si="54"/>
        <v>942977.06539596012</v>
      </c>
      <c r="M53" s="8">
        <f t="shared" si="54"/>
        <v>922022.0194982721</v>
      </c>
      <c r="N53" s="8">
        <f t="shared" si="54"/>
        <v>901066.97360058408</v>
      </c>
      <c r="O53" s="8">
        <f t="shared" si="54"/>
        <v>880111.92770289606</v>
      </c>
      <c r="P53" s="8">
        <f t="shared" si="54"/>
        <v>859156.88180520805</v>
      </c>
      <c r="Q53" s="8">
        <f t="shared" si="54"/>
        <v>838201.83590752003</v>
      </c>
      <c r="R53" s="8">
        <f t="shared" si="54"/>
        <v>817246.79000983201</v>
      </c>
      <c r="S53" s="8">
        <f t="shared" si="54"/>
        <v>796291.74411214399</v>
      </c>
      <c r="T53" s="8">
        <f t="shared" si="54"/>
        <v>775336.69821445597</v>
      </c>
      <c r="U53" s="8">
        <f t="shared" si="54"/>
        <v>754381.65231676796</v>
      </c>
      <c r="V53" s="8">
        <f t="shared" si="54"/>
        <v>733426.60641907994</v>
      </c>
      <c r="W53" s="8">
        <f t="shared" si="54"/>
        <v>712471.56052139192</v>
      </c>
      <c r="X53" s="8">
        <f t="shared" si="54"/>
        <v>691516.5146237039</v>
      </c>
      <c r="Y53" s="8">
        <f t="shared" si="54"/>
        <v>670561.46872601588</v>
      </c>
      <c r="Z53" s="8">
        <f t="shared" si="54"/>
        <v>649606.42282832786</v>
      </c>
      <c r="AA53" s="8">
        <f t="shared" si="54"/>
        <v>628651.37693063985</v>
      </c>
      <c r="AB53" s="8">
        <f t="shared" si="54"/>
        <v>607696.33103295183</v>
      </c>
      <c r="AC53" s="8">
        <f t="shared" si="54"/>
        <v>586741.28513526381</v>
      </c>
      <c r="AD53" s="8">
        <f t="shared" si="54"/>
        <v>565786.23923757579</v>
      </c>
      <c r="AE53" s="8">
        <f t="shared" si="54"/>
        <v>544831.19333988777</v>
      </c>
      <c r="AF53" s="8">
        <f t="shared" si="54"/>
        <v>523876.14744219976</v>
      </c>
      <c r="AG53" s="8">
        <f t="shared" si="54"/>
        <v>502921.10154451174</v>
      </c>
      <c r="AH53" s="8">
        <f t="shared" si="54"/>
        <v>481966.05564682372</v>
      </c>
      <c r="AI53" s="8">
        <f t="shared" si="54"/>
        <v>461011.0097491357</v>
      </c>
      <c r="AJ53" s="8">
        <f t="shared" si="54"/>
        <v>440055.96385144768</v>
      </c>
      <c r="AK53" s="8">
        <f t="shared" si="54"/>
        <v>419100.91795375966</v>
      </c>
      <c r="AL53" s="8">
        <f t="shared" si="54"/>
        <v>398145.87205607165</v>
      </c>
      <c r="AM53" s="8">
        <f t="shared" si="54"/>
        <v>377190.82615838363</v>
      </c>
      <c r="AN53" s="8">
        <f t="shared" si="54"/>
        <v>356235.78026069561</v>
      </c>
      <c r="AO53" s="8">
        <f t="shared" si="54"/>
        <v>335280.73436300759</v>
      </c>
      <c r="AP53" s="8">
        <f t="shared" si="54"/>
        <v>314325.68846531957</v>
      </c>
      <c r="AQ53" s="8">
        <f t="shared" si="54"/>
        <v>293370.64256763156</v>
      </c>
      <c r="AR53" s="8">
        <f t="shared" si="54"/>
        <v>272415.59666994354</v>
      </c>
      <c r="AS53" s="8">
        <f t="shared" si="54"/>
        <v>251460.55077225552</v>
      </c>
      <c r="AT53" s="8">
        <f t="shared" si="54"/>
        <v>230505.5048745675</v>
      </c>
      <c r="AU53" s="8">
        <f t="shared" si="54"/>
        <v>209550.45897687948</v>
      </c>
      <c r="AV53" s="8">
        <f t="shared" si="54"/>
        <v>188595.41307919146</v>
      </c>
      <c r="AW53" s="8">
        <f t="shared" si="54"/>
        <v>167640.36718150345</v>
      </c>
      <c r="AX53" s="8">
        <f t="shared" si="54"/>
        <v>146685.32128381543</v>
      </c>
      <c r="AY53" s="8">
        <f t="shared" si="54"/>
        <v>125730.27538612741</v>
      </c>
      <c r="AZ53" s="8">
        <f t="shared" si="54"/>
        <v>104775.22948843939</v>
      </c>
      <c r="BA53" s="8">
        <f t="shared" si="54"/>
        <v>83820.183590751374</v>
      </c>
      <c r="BB53" s="8">
        <f t="shared" si="54"/>
        <v>62865.137693063356</v>
      </c>
      <c r="BC53" s="8">
        <f t="shared" si="54"/>
        <v>41910.091795375338</v>
      </c>
      <c r="BD53" s="8">
        <f t="shared" si="54"/>
        <v>20955.04589768732</v>
      </c>
      <c r="BE53" s="8">
        <f t="shared" si="54"/>
        <v>0</v>
      </c>
      <c r="BF53" s="8">
        <f t="shared" si="54"/>
        <v>0</v>
      </c>
      <c r="BG53" s="8">
        <f t="shared" si="54"/>
        <v>0</v>
      </c>
      <c r="BH53" s="8">
        <f t="shared" si="54"/>
        <v>0</v>
      </c>
      <c r="BI53" s="8">
        <f t="shared" si="54"/>
        <v>0</v>
      </c>
      <c r="BJ53" s="8">
        <f t="shared" si="54"/>
        <v>0</v>
      </c>
      <c r="BK53" s="8">
        <f t="shared" si="54"/>
        <v>0</v>
      </c>
      <c r="BL53" s="8">
        <f t="shared" si="54"/>
        <v>0</v>
      </c>
      <c r="BM53" s="8">
        <f t="shared" si="54"/>
        <v>0</v>
      </c>
      <c r="BN53" s="8">
        <f t="shared" si="54"/>
        <v>0</v>
      </c>
      <c r="BO53" s="8">
        <f t="shared" si="54"/>
        <v>0</v>
      </c>
      <c r="BP53" s="8">
        <f t="shared" si="54"/>
        <v>0</v>
      </c>
      <c r="BQ53" s="8">
        <f t="shared" si="54"/>
        <v>0</v>
      </c>
      <c r="BR53" s="8">
        <f t="shared" si="54"/>
        <v>0</v>
      </c>
      <c r="BS53" s="8">
        <f t="shared" si="54"/>
        <v>0</v>
      </c>
      <c r="BT53" s="8">
        <f t="shared" si="54"/>
        <v>0</v>
      </c>
      <c r="BU53" s="8">
        <f t="shared" ref="BU53:DA53" si="55">BU50+BU51</f>
        <v>0</v>
      </c>
      <c r="BV53" s="8">
        <f t="shared" si="55"/>
        <v>0</v>
      </c>
      <c r="BW53" s="8">
        <f t="shared" si="55"/>
        <v>0</v>
      </c>
      <c r="BX53" s="8">
        <f t="shared" si="55"/>
        <v>0</v>
      </c>
      <c r="BY53" s="8">
        <f t="shared" si="55"/>
        <v>0</v>
      </c>
      <c r="BZ53" s="8">
        <f t="shared" si="55"/>
        <v>0</v>
      </c>
      <c r="CA53" s="8">
        <f t="shared" si="55"/>
        <v>0</v>
      </c>
      <c r="CB53" s="8">
        <f t="shared" si="55"/>
        <v>0</v>
      </c>
      <c r="CC53" s="8">
        <f t="shared" si="55"/>
        <v>0</v>
      </c>
      <c r="CD53" s="8">
        <f t="shared" si="55"/>
        <v>0</v>
      </c>
      <c r="CE53" s="8">
        <f t="shared" si="55"/>
        <v>0</v>
      </c>
      <c r="CF53" s="8">
        <f t="shared" si="55"/>
        <v>0</v>
      </c>
      <c r="CG53" s="8">
        <f t="shared" si="55"/>
        <v>0</v>
      </c>
      <c r="CH53" s="8">
        <f t="shared" si="55"/>
        <v>0</v>
      </c>
      <c r="CI53" s="8">
        <f t="shared" si="55"/>
        <v>0</v>
      </c>
      <c r="CJ53" s="8">
        <f t="shared" si="55"/>
        <v>0</v>
      </c>
      <c r="CK53" s="8">
        <f t="shared" si="55"/>
        <v>0</v>
      </c>
      <c r="CL53" s="8">
        <f t="shared" si="55"/>
        <v>0</v>
      </c>
      <c r="CM53" s="8">
        <f t="shared" si="55"/>
        <v>0</v>
      </c>
      <c r="CN53" s="8">
        <f t="shared" si="55"/>
        <v>0</v>
      </c>
      <c r="CO53" s="8">
        <f t="shared" si="55"/>
        <v>0</v>
      </c>
      <c r="CP53" s="8">
        <f t="shared" si="55"/>
        <v>0</v>
      </c>
      <c r="CQ53" s="8">
        <f t="shared" si="55"/>
        <v>0</v>
      </c>
      <c r="CR53" s="8">
        <f t="shared" si="55"/>
        <v>0</v>
      </c>
      <c r="CS53" s="8">
        <f t="shared" si="55"/>
        <v>0</v>
      </c>
      <c r="CT53" s="8">
        <f t="shared" si="55"/>
        <v>0</v>
      </c>
      <c r="CU53" s="8">
        <f t="shared" si="55"/>
        <v>0</v>
      </c>
      <c r="CV53" s="8">
        <f t="shared" si="55"/>
        <v>0</v>
      </c>
      <c r="CW53" s="8">
        <f t="shared" si="55"/>
        <v>0</v>
      </c>
      <c r="CX53" s="8">
        <f t="shared" si="55"/>
        <v>0</v>
      </c>
      <c r="CY53" s="8">
        <f t="shared" si="55"/>
        <v>0</v>
      </c>
      <c r="CZ53" s="8">
        <f t="shared" si="55"/>
        <v>0</v>
      </c>
      <c r="DA53" s="8">
        <f t="shared" si="55"/>
        <v>0</v>
      </c>
    </row>
    <row r="54" spans="1:105" x14ac:dyDescent="0.4"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</row>
    <row r="55" spans="1:105" x14ac:dyDescent="0.4">
      <c r="D55" t="s">
        <v>169</v>
      </c>
      <c r="G55" s="8"/>
      <c r="H55" s="8">
        <f>IF(H47&lt;=$B$4+1,H50*VLOOKUP(H47,Assumptions!$A$70:$B$90,2,0),0)</f>
        <v>39290.711058165005</v>
      </c>
      <c r="I55" s="8">
        <f>IF(I47&lt;=$B$4+1,I50*VLOOKUP(I47,Assumptions!$A$70:$B$90,2,0),0)</f>
        <v>75637.238167704854</v>
      </c>
      <c r="J55" s="8">
        <f>IF(J47&lt;=$B$4+1,J50*VLOOKUP(J47,Assumptions!$A$70:$B$90,2,0),0)</f>
        <v>69958.420729431396</v>
      </c>
      <c r="K55" s="8">
        <f>IF(K47&lt;=$B$4+1,K50*VLOOKUP(K47,Assumptions!$A$70:$B$90,2,0),0)</f>
        <v>64719.659255009392</v>
      </c>
      <c r="L55" s="8">
        <f>IF(L47&lt;=$B$4+1,L50*VLOOKUP(L47,Assumptions!$A$70:$B$90,2,0),0)</f>
        <v>59858.088606745776</v>
      </c>
      <c r="M55" s="8">
        <f>IF(M47&lt;=$B$4+1,M50*VLOOKUP(M47,Assumptions!$A$70:$B$90,2,0),0)</f>
        <v>55373.708784640548</v>
      </c>
      <c r="N55" s="8">
        <f>IF(N47&lt;=$B$4+1,N50*VLOOKUP(N47,Assumptions!$A$70:$B$90,2,0),0)</f>
        <v>51214.132173949474</v>
      </c>
      <c r="O55" s="8">
        <f>IF(O47&lt;=$B$4+1,O50*VLOOKUP(O47,Assumptions!$A$70:$B$90,2,0),0)</f>
        <v>47379.358774672575</v>
      </c>
      <c r="P55" s="8">
        <f>IF(P47&lt;=$B$4+1,P50*VLOOKUP(P47,Assumptions!$A$70:$B$90,2,0),0)</f>
        <v>46750.707397741935</v>
      </c>
      <c r="Q55" s="8">
        <f>IF(Q47&lt;=$B$4+1,Q50*VLOOKUP(Q47,Assumptions!$A$70:$B$90,2,0),0)</f>
        <v>46740.229874793084</v>
      </c>
      <c r="R55" s="8">
        <f>IF(R47&lt;=$B$4+1,R50*VLOOKUP(R47,Assumptions!$A$70:$B$90,2,0),0)</f>
        <v>46750.707397741935</v>
      </c>
      <c r="S55" s="8">
        <f>IF(S47&lt;=$B$4+1,S50*VLOOKUP(S47,Assumptions!$A$70:$B$90,2,0),0)</f>
        <v>46740.229874793084</v>
      </c>
      <c r="T55" s="8">
        <f>IF(T47&lt;=$B$4+1,T50*VLOOKUP(T47,Assumptions!$A$70:$B$90,2,0),0)</f>
        <v>46750.707397741935</v>
      </c>
      <c r="U55" s="8">
        <f>IF(U47&lt;=$B$4+1,U50*VLOOKUP(U47,Assumptions!$A$70:$B$90,2,0),0)</f>
        <v>46740.229874793084</v>
      </c>
      <c r="V55" s="8">
        <f>IF(V47&lt;=$B$4+1,V50*VLOOKUP(V47,Assumptions!$A$70:$B$90,2,0),0)</f>
        <v>46750.707397741935</v>
      </c>
      <c r="W55" s="8">
        <f>IF(W47&lt;=$B$4+1,W50*VLOOKUP(W47,Assumptions!$A$70:$B$90,2,0),0)</f>
        <v>46740.229874793084</v>
      </c>
      <c r="X55" s="8">
        <f>IF(X47&lt;=$B$4+1,X50*VLOOKUP(X47,Assumptions!$A$70:$B$90,2,0),0)</f>
        <v>46750.707397741935</v>
      </c>
      <c r="Y55" s="8">
        <f>IF(Y47&lt;=$B$4+1,Y50*VLOOKUP(Y47,Assumptions!$A$70:$B$90,2,0),0)</f>
        <v>46740.229874793084</v>
      </c>
      <c r="Z55" s="8">
        <f>IF(Z47&lt;=$B$4+1,Z50*VLOOKUP(Z47,Assumptions!$A$70:$B$90,2,0),0)</f>
        <v>46750.707397741935</v>
      </c>
      <c r="AA55" s="8">
        <f>IF(AA47&lt;=$B$4+1,AA50*VLOOKUP(AA47,Assumptions!$A$70:$B$90,2,0),0)</f>
        <v>46740.229874793084</v>
      </c>
      <c r="AB55" s="8">
        <f>IF(AB47&lt;=$B$4+1,AB50*VLOOKUP(AB47,Assumptions!$A$70:$B$90,2,0),0)</f>
        <v>23375.353698870967</v>
      </c>
      <c r="AC55" s="8">
        <f>IF(AC47&lt;=$B$4+1,AC50*VLOOKUP(AC47,Assumptions!$A$70:$B$90,2,0),0)</f>
        <v>0</v>
      </c>
      <c r="AD55" s="8">
        <f>IF(AD47&lt;=$B$4+1,AD50*VLOOKUP(AD47,Assumptions!$A$70:$B$90,2,0),0)</f>
        <v>0</v>
      </c>
      <c r="AE55" s="8">
        <f>IF(AE47&lt;=$B$4+1,AE50*VLOOKUP(AE47,Assumptions!$A$70:$B$90,2,0),0)</f>
        <v>0</v>
      </c>
      <c r="AF55" s="8">
        <f>IF(AF47&lt;=$B$4+1,AF50*VLOOKUP(AF47,Assumptions!$A$70:$B$90,2,0),0)</f>
        <v>0</v>
      </c>
      <c r="AG55" s="8">
        <f>IF(AG47&lt;=$B$4+1,AG50*VLOOKUP(AG47,Assumptions!$A$70:$B$90,2,0),0)</f>
        <v>0</v>
      </c>
      <c r="AH55" s="8">
        <f>IF(AH47&lt;=$B$4+1,AH50*VLOOKUP(AH47,Assumptions!$A$70:$B$90,2,0),0)</f>
        <v>0</v>
      </c>
      <c r="AI55" s="8">
        <f>IF(AI47&lt;=$B$4+1,AI50*VLOOKUP(AI47,Assumptions!$A$70:$B$90,2,0),0)</f>
        <v>0</v>
      </c>
      <c r="AJ55" s="8">
        <f>IF(AJ47&lt;=$B$4+1,AJ50*VLOOKUP(AJ47,Assumptions!$A$70:$B$90,2,0),0)</f>
        <v>0</v>
      </c>
      <c r="AK55" s="8">
        <f>IF(AK47&lt;=$B$4+1,AK50*VLOOKUP(AK47,Assumptions!$A$70:$B$90,2,0),0)</f>
        <v>0</v>
      </c>
      <c r="AL55" s="8">
        <f>IF(AL47&lt;=$B$4+1,AL50*VLOOKUP(AL47,Assumptions!$A$70:$B$90,2,0),0)</f>
        <v>0</v>
      </c>
      <c r="AM55" s="8">
        <f>IF(AM47&lt;=$B$4+1,AM50*VLOOKUP(AM47,Assumptions!$A$70:$B$90,2,0),0)</f>
        <v>0</v>
      </c>
      <c r="AN55" s="8">
        <f>IF(AN47&lt;=$B$4+1,AN50*VLOOKUP(AN47,Assumptions!$A$70:$B$90,2,0),0)</f>
        <v>0</v>
      </c>
      <c r="AO55" s="8">
        <f>IF(AO47&lt;=$B$4+1,AO50*VLOOKUP(AO47,Assumptions!$A$70:$B$90,2,0),0)</f>
        <v>0</v>
      </c>
      <c r="AP55" s="8">
        <f>IF(AP47&lt;=$B$4+1,AP50*VLOOKUP(AP47,Assumptions!$A$70:$B$90,2,0),0)</f>
        <v>0</v>
      </c>
      <c r="AQ55" s="8">
        <f>IF(AQ47&lt;=$B$4+1,AQ50*VLOOKUP(AQ47,Assumptions!$A$70:$B$90,2,0),0)</f>
        <v>0</v>
      </c>
      <c r="AR55" s="8">
        <f>IF(AR47&lt;=$B$4+1,AR50*VLOOKUP(AR47,Assumptions!$A$70:$B$90,2,0),0)</f>
        <v>0</v>
      </c>
      <c r="AS55" s="8">
        <f>IF(AS47&lt;=$B$4+1,AS50*VLOOKUP(AS47,Assumptions!$A$70:$B$90,2,0),0)</f>
        <v>0</v>
      </c>
      <c r="AT55" s="8">
        <f>IF(AT47&lt;=$B$4+1,AT50*VLOOKUP(AT47,Assumptions!$A$70:$B$90,2,0),0)</f>
        <v>0</v>
      </c>
      <c r="AU55" s="8">
        <f>IF(AU47&lt;=$B$4+1,AU50*VLOOKUP(AU47,Assumptions!$A$70:$B$90,2,0),0)</f>
        <v>0</v>
      </c>
      <c r="AV55" s="8">
        <f>IF(AV47&lt;=$B$4+1,AV50*VLOOKUP(AV47,Assumptions!$A$70:$B$90,2,0),0)</f>
        <v>0</v>
      </c>
      <c r="AW55" s="8">
        <f>IF(AW47&lt;=$B$4+1,AW50*VLOOKUP(AW47,Assumptions!$A$70:$B$90,2,0),0)</f>
        <v>0</v>
      </c>
      <c r="AX55" s="8">
        <f>IF(AX47&lt;=$B$4+1,AX50*VLOOKUP(AX47,Assumptions!$A$70:$B$90,2,0),0)</f>
        <v>0</v>
      </c>
      <c r="AY55" s="8">
        <f>IF(AY47&lt;=$B$4+1,AY50*VLOOKUP(AY47,Assumptions!$A$70:$B$90,2,0),0)</f>
        <v>0</v>
      </c>
      <c r="AZ55" s="8">
        <f>IF(AZ47&lt;=$B$4+1,AZ50*VLOOKUP(AZ47,Assumptions!$A$70:$B$90,2,0),0)</f>
        <v>0</v>
      </c>
      <c r="BA55" s="8">
        <f>IF(BA47&lt;=$B$4+1,BA50*VLOOKUP(BA47,Assumptions!$A$70:$B$90,2,0),0)</f>
        <v>0</v>
      </c>
      <c r="BB55" s="8">
        <f>IF(BB47&lt;=$B$4+1,BB50*VLOOKUP(BB47,Assumptions!$A$70:$B$90,2,0),0)</f>
        <v>0</v>
      </c>
      <c r="BC55" s="8">
        <f>IF(BC47&lt;=$B$4+1,BC50*VLOOKUP(BC47,Assumptions!$A$70:$B$90,2,0),0)</f>
        <v>0</v>
      </c>
      <c r="BD55" s="8">
        <f>IF(BD47&lt;=$B$4+1,BD50*VLOOKUP(BD47,Assumptions!$A$70:$B$90,2,0),0)</f>
        <v>0</v>
      </c>
      <c r="BE55" s="8">
        <f>IF(BE47&lt;=$B$4+1,BE50*VLOOKUP(BE47,Assumptions!$A$70:$B$90,2,0),0)</f>
        <v>0</v>
      </c>
      <c r="BF55" s="8">
        <f>IF(BF47&lt;=$B$4+1,BF50*VLOOKUP(BF47,Assumptions!$A$70:$B$90,2,0),0)</f>
        <v>0</v>
      </c>
      <c r="BG55" s="8">
        <f>IF(BG47&lt;=$B$4+1,BG50*VLOOKUP(BG47,Assumptions!$A$70:$B$90,2,0),0)</f>
        <v>0</v>
      </c>
      <c r="BH55" s="8">
        <f>IF(BH47&lt;=$B$4+1,BH50*VLOOKUP(BH47,Assumptions!$A$70:$B$90,2,0),0)</f>
        <v>0</v>
      </c>
      <c r="BI55" s="8">
        <f>IF(BI47&lt;=$B$4+1,BI50*VLOOKUP(BI47,Assumptions!$A$70:$B$90,2,0),0)</f>
        <v>0</v>
      </c>
      <c r="BJ55" s="8">
        <f>IF(BJ47&lt;=$B$4+1,BJ50*VLOOKUP(BJ47,Assumptions!$A$70:$B$90,2,0),0)</f>
        <v>0</v>
      </c>
      <c r="BK55" s="8">
        <f>IF(BK47&lt;=$B$4+1,BK50*VLOOKUP(BK47,Assumptions!$A$70:$B$90,2,0),0)</f>
        <v>0</v>
      </c>
      <c r="BL55" s="8">
        <f>IF(BL47&lt;=$B$4+1,BL50*VLOOKUP(BL47,Assumptions!$A$70:$B$90,2,0),0)</f>
        <v>0</v>
      </c>
      <c r="BM55" s="8">
        <f>IF(BM47&lt;=$B$4+1,BM50*VLOOKUP(BM47,Assumptions!$A$70:$B$90,2,0),0)</f>
        <v>0</v>
      </c>
      <c r="BN55" s="8">
        <f>IF(BN47&lt;=$B$4+1,BN50*VLOOKUP(BN47,Assumptions!$A$70:$B$90,2,0),0)</f>
        <v>0</v>
      </c>
      <c r="BO55" s="8">
        <f>IF(BO47&lt;=$B$4+1,BO50*VLOOKUP(BO47,Assumptions!$A$70:$B$90,2,0),0)</f>
        <v>0</v>
      </c>
      <c r="BP55" s="8">
        <f>IF(BP47&lt;=$B$4+1,BP50*VLOOKUP(BP47,Assumptions!$A$70:$B$90,2,0),0)</f>
        <v>0</v>
      </c>
      <c r="BQ55" s="8">
        <f>IF(BQ47&lt;=$B$4+1,BQ50*VLOOKUP(BQ47,Assumptions!$A$70:$B$90,2,0),0)</f>
        <v>0</v>
      </c>
      <c r="BR55" s="8">
        <f>IF(BR47&lt;=$B$4+1,BR50*VLOOKUP(BR47,Assumptions!$A$70:$B$90,2,0),0)</f>
        <v>0</v>
      </c>
      <c r="BS55" s="8">
        <f>IF(BS47&lt;=$B$4+1,BS50*VLOOKUP(BS47,Assumptions!$A$70:$B$90,2,0),0)</f>
        <v>0</v>
      </c>
      <c r="BT55" s="8">
        <f>IF(BT47&lt;=$B$4+1,BT50*VLOOKUP(BT47,Assumptions!$A$70:$B$90,2,0),0)</f>
        <v>0</v>
      </c>
      <c r="BU55" s="8">
        <f>IF(BU47&lt;=$B$4+1,BU50*VLOOKUP(BU47,Assumptions!$A$70:$B$90,2,0),0)</f>
        <v>0</v>
      </c>
      <c r="BV55" s="8">
        <f>IF(BV47&lt;=$B$4+1,BV50*VLOOKUP(BV47,Assumptions!$A$70:$B$90,2,0),0)</f>
        <v>0</v>
      </c>
      <c r="BW55" s="8">
        <f>IF(BW47&lt;=$B$4+1,BW50*VLOOKUP(BW47,Assumptions!$A$70:$B$90,2,0),0)</f>
        <v>0</v>
      </c>
      <c r="BX55" s="8">
        <f>IF(BX47&lt;=$B$4+1,BX50*VLOOKUP(BX47,Assumptions!$A$70:$B$90,2,0),0)</f>
        <v>0</v>
      </c>
      <c r="BY55" s="8">
        <f>IF(BY47&lt;=$B$4+1,BY50*VLOOKUP(BY47,Assumptions!$A$70:$B$90,2,0),0)</f>
        <v>0</v>
      </c>
      <c r="BZ55" s="8">
        <f>IF(BZ47&lt;=$B$4+1,BZ50*VLOOKUP(BZ47,Assumptions!$A$70:$B$90,2,0),0)</f>
        <v>0</v>
      </c>
      <c r="CA55" s="8">
        <f>IF(CA47&lt;=$B$4+1,CA50*VLOOKUP(CA47,Assumptions!$A$70:$B$90,2,0),0)</f>
        <v>0</v>
      </c>
      <c r="CB55" s="8">
        <f>IF(CB47&lt;=$B$4+1,CB50*VLOOKUP(CB47,Assumptions!$A$70:$B$90,2,0),0)</f>
        <v>0</v>
      </c>
      <c r="CC55" s="8">
        <f>IF(CC47&lt;=$B$4+1,CC50*VLOOKUP(CC47,Assumptions!$A$70:$B$90,2,0),0)</f>
        <v>0</v>
      </c>
      <c r="CD55" s="8">
        <f>IF(CD47&lt;=$B$4+1,CD50*VLOOKUP(CD47,Assumptions!$A$70:$B$90,2,0),0)</f>
        <v>0</v>
      </c>
      <c r="CE55" s="8">
        <f>IF(CE47&lt;=$B$4+1,CE50*VLOOKUP(CE47,Assumptions!$A$70:$B$90,2,0),0)</f>
        <v>0</v>
      </c>
      <c r="CF55" s="8">
        <f>IF(CF47&lt;=$B$4+1,CF50*VLOOKUP(CF47,Assumptions!$A$70:$B$90,2,0),0)</f>
        <v>0</v>
      </c>
      <c r="CG55" s="8">
        <f>IF(CG47&lt;=$B$4+1,CG50*VLOOKUP(CG47,Assumptions!$A$70:$B$90,2,0),0)</f>
        <v>0</v>
      </c>
      <c r="CH55" s="8">
        <f>IF(CH47&lt;=$B$4+1,CH50*VLOOKUP(CH47,Assumptions!$A$70:$B$90,2,0),0)</f>
        <v>0</v>
      </c>
      <c r="CI55" s="8">
        <f>IF(CI47&lt;=$B$4+1,CI50*VLOOKUP(CI47,Assumptions!$A$70:$B$90,2,0),0)</f>
        <v>0</v>
      </c>
      <c r="CJ55" s="8">
        <f>IF(CJ47&lt;=$B$4+1,CJ50*VLOOKUP(CJ47,Assumptions!$A$70:$B$90,2,0),0)</f>
        <v>0</v>
      </c>
      <c r="CK55" s="8">
        <f>IF(CK47&lt;=$B$4+1,CK50*VLOOKUP(CK47,Assumptions!$A$70:$B$90,2,0),0)</f>
        <v>0</v>
      </c>
      <c r="CL55" s="8">
        <f>IF(CL47&lt;=$B$4+1,CL50*VLOOKUP(CL47,Assumptions!$A$70:$B$90,2,0),0)</f>
        <v>0</v>
      </c>
      <c r="CM55" s="8">
        <f>IF(CM47&lt;=$B$4+1,CM50*VLOOKUP(CM47,Assumptions!$A$70:$B$90,2,0),0)</f>
        <v>0</v>
      </c>
      <c r="CN55" s="8">
        <f>IF(CN47&lt;=$B$4+1,CN50*VLOOKUP(CN47,Assumptions!$A$70:$B$90,2,0),0)</f>
        <v>0</v>
      </c>
      <c r="CO55" s="8">
        <f>IF(CO47&lt;=$B$4+1,CO50*VLOOKUP(CO47,Assumptions!$A$70:$B$90,2,0),0)</f>
        <v>0</v>
      </c>
      <c r="CP55" s="8">
        <f>IF(CP47&lt;=$B$4+1,CP50*VLOOKUP(CP47,Assumptions!$A$70:$B$90,2,0),0)</f>
        <v>0</v>
      </c>
      <c r="CQ55" s="8">
        <f>IF(CQ47&lt;=$B$4+1,CQ50*VLOOKUP(CQ47,Assumptions!$A$70:$B$90,2,0),0)</f>
        <v>0</v>
      </c>
      <c r="CR55" s="8">
        <f>IF(CR47&lt;=$B$4+1,CR50*VLOOKUP(CR47,Assumptions!$A$70:$B$90,2,0),0)</f>
        <v>0</v>
      </c>
      <c r="CS55" s="8">
        <f>IF(CS47&lt;=$B$4+1,CS50*VLOOKUP(CS47,Assumptions!$A$70:$B$90,2,0),0)</f>
        <v>0</v>
      </c>
      <c r="CT55" s="8">
        <f>IF(CT47&lt;=$B$4+1,CT50*VLOOKUP(CT47,Assumptions!$A$70:$B$90,2,0),0)</f>
        <v>0</v>
      </c>
      <c r="CU55" s="8">
        <f>IF(CU47&lt;=$B$4+1,CU50*VLOOKUP(CU47,Assumptions!$A$70:$B$90,2,0),0)</f>
        <v>0</v>
      </c>
      <c r="CV55" s="8">
        <f>IF(CV47&lt;=$B$4+1,CV50*VLOOKUP(CV47,Assumptions!$A$70:$B$90,2,0),0)</f>
        <v>0</v>
      </c>
      <c r="CW55" s="8">
        <f>IF(CW47&lt;=$B$4+1,CW50*VLOOKUP(CW47,Assumptions!$A$70:$B$90,2,0),0)</f>
        <v>0</v>
      </c>
      <c r="CX55" s="8">
        <f>IF(CX47&lt;=$B$4+1,CX50*VLOOKUP(CX47,Assumptions!$A$70:$B$90,2,0),0)</f>
        <v>0</v>
      </c>
      <c r="CY55" s="8">
        <f>IF(CY47&lt;=$B$4+1,CY50*VLOOKUP(CY47,Assumptions!$A$70:$B$90,2,0),0)</f>
        <v>0</v>
      </c>
      <c r="CZ55" s="8">
        <f>IF(CZ47&lt;=$B$4+1,CZ50*VLOOKUP(CZ47,Assumptions!$A$70:$B$90,2,0),0)</f>
        <v>0</v>
      </c>
      <c r="DA55" s="8">
        <f>IF(DA47&lt;=$B$4+1,DA50*VLOOKUP(DA47,Assumptions!$A$70:$B$90,2,0),0)</f>
        <v>0</v>
      </c>
    </row>
    <row r="56" spans="1:105" x14ac:dyDescent="0.4">
      <c r="D56" t="s">
        <v>170</v>
      </c>
      <c r="G56" s="8"/>
      <c r="H56" s="8">
        <f>G57</f>
        <v>0</v>
      </c>
      <c r="I56" s="8">
        <f t="shared" ref="I56:BT56" si="56">H57</f>
        <v>-5081.7295992262007</v>
      </c>
      <c r="J56" s="8">
        <f t="shared" si="56"/>
        <v>-20236.899186861374</v>
      </c>
      <c r="K56" s="8">
        <f t="shared" si="56"/>
        <v>-33818.184521479052</v>
      </c>
      <c r="L56" s="8">
        <f t="shared" si="56"/>
        <v>-45947.547113460678</v>
      </c>
      <c r="M56" s="8">
        <f t="shared" si="56"/>
        <v>-56729.525400276041</v>
      </c>
      <c r="N56" s="8">
        <f t="shared" si="56"/>
        <v>-66268.657819394939</v>
      </c>
      <c r="O56" s="8">
        <f t="shared" si="56"/>
        <v>-74654.9635808608</v>
      </c>
      <c r="P56" s="8">
        <f t="shared" si="56"/>
        <v>-81978.461894717067</v>
      </c>
      <c r="Q56" s="8">
        <f t="shared" si="56"/>
        <v>-89127.729479457019</v>
      </c>
      <c r="R56" s="8">
        <f t="shared" si="56"/>
        <v>-96274.0932187117</v>
      </c>
      <c r="S56" s="8">
        <f t="shared" si="56"/>
        <v>-103423.36080345165</v>
      </c>
      <c r="T56" s="8">
        <f t="shared" si="56"/>
        <v>-110569.72454270633</v>
      </c>
      <c r="U56" s="8">
        <f t="shared" si="56"/>
        <v>-117718.99212744628</v>
      </c>
      <c r="V56" s="8">
        <f t="shared" si="56"/>
        <v>-124865.35586670096</v>
      </c>
      <c r="W56" s="8">
        <f t="shared" si="56"/>
        <v>-132014.62345144092</v>
      </c>
      <c r="X56" s="8">
        <f t="shared" si="56"/>
        <v>-139160.9871906956</v>
      </c>
      <c r="Y56" s="8">
        <f t="shared" si="56"/>
        <v>-146310.25477543555</v>
      </c>
      <c r="Z56" s="8">
        <f t="shared" si="56"/>
        <v>-153456.61851469023</v>
      </c>
      <c r="AA56" s="8">
        <f t="shared" si="56"/>
        <v>-160605.88609943018</v>
      </c>
      <c r="AB56" s="8">
        <f t="shared" si="56"/>
        <v>-167752.24983868486</v>
      </c>
      <c r="AC56" s="8">
        <f t="shared" si="56"/>
        <v>-168423.03814578272</v>
      </c>
      <c r="AD56" s="8">
        <f t="shared" si="56"/>
        <v>-162615.34717523848</v>
      </c>
      <c r="AE56" s="8">
        <f t="shared" si="56"/>
        <v>-156807.65620469424</v>
      </c>
      <c r="AF56" s="8">
        <f t="shared" si="56"/>
        <v>-150999.96523415</v>
      </c>
      <c r="AG56" s="8">
        <f t="shared" si="56"/>
        <v>-145192.27426360577</v>
      </c>
      <c r="AH56" s="8">
        <f t="shared" si="56"/>
        <v>-139384.58329306153</v>
      </c>
      <c r="AI56" s="8">
        <f t="shared" si="56"/>
        <v>-133576.89232251729</v>
      </c>
      <c r="AJ56" s="8">
        <f t="shared" si="56"/>
        <v>-127769.20135197305</v>
      </c>
      <c r="AK56" s="8">
        <f t="shared" si="56"/>
        <v>-121961.51038142882</v>
      </c>
      <c r="AL56" s="8">
        <f t="shared" si="56"/>
        <v>-116153.81941088458</v>
      </c>
      <c r="AM56" s="8">
        <f t="shared" si="56"/>
        <v>-110346.12844034034</v>
      </c>
      <c r="AN56" s="8">
        <f t="shared" si="56"/>
        <v>-104538.4374697961</v>
      </c>
      <c r="AO56" s="8">
        <f t="shared" si="56"/>
        <v>-98730.746499251865</v>
      </c>
      <c r="AP56" s="8">
        <f t="shared" si="56"/>
        <v>-92923.055528707628</v>
      </c>
      <c r="AQ56" s="8">
        <f t="shared" si="56"/>
        <v>-87115.36455816339</v>
      </c>
      <c r="AR56" s="8">
        <f t="shared" si="56"/>
        <v>-81307.673587619152</v>
      </c>
      <c r="AS56" s="8">
        <f t="shared" si="56"/>
        <v>-75499.982617074915</v>
      </c>
      <c r="AT56" s="8">
        <f t="shared" si="56"/>
        <v>-69692.291646530677</v>
      </c>
      <c r="AU56" s="8">
        <f t="shared" si="56"/>
        <v>-63884.600675986447</v>
      </c>
      <c r="AV56" s="8">
        <f t="shared" si="56"/>
        <v>-58076.909705442216</v>
      </c>
      <c r="AW56" s="8">
        <f t="shared" si="56"/>
        <v>-52269.218734897986</v>
      </c>
      <c r="AX56" s="8">
        <f t="shared" si="56"/>
        <v>-46461.527764353756</v>
      </c>
      <c r="AY56" s="8">
        <f t="shared" si="56"/>
        <v>-40653.836793809525</v>
      </c>
      <c r="AZ56" s="8">
        <f t="shared" si="56"/>
        <v>-34846.145823265295</v>
      </c>
      <c r="BA56" s="8">
        <f t="shared" si="56"/>
        <v>-29038.454852721065</v>
      </c>
      <c r="BB56" s="8">
        <f t="shared" si="56"/>
        <v>-23230.763882176834</v>
      </c>
      <c r="BC56" s="8">
        <f t="shared" si="56"/>
        <v>-17423.072911632604</v>
      </c>
      <c r="BD56" s="8">
        <f t="shared" si="56"/>
        <v>-11615.381941088373</v>
      </c>
      <c r="BE56" s="8">
        <f t="shared" si="56"/>
        <v>-5807.6909705441431</v>
      </c>
      <c r="BF56" s="8">
        <f t="shared" si="56"/>
        <v>8.7311491370201111E-11</v>
      </c>
      <c r="BG56" s="8">
        <f t="shared" si="56"/>
        <v>8.7311491370201111E-11</v>
      </c>
      <c r="BH56" s="8">
        <f t="shared" si="56"/>
        <v>8.7311491370201111E-11</v>
      </c>
      <c r="BI56" s="8">
        <f t="shared" si="56"/>
        <v>8.7311491370201111E-11</v>
      </c>
      <c r="BJ56" s="8">
        <f t="shared" si="56"/>
        <v>8.7311491370201111E-11</v>
      </c>
      <c r="BK56" s="8">
        <f t="shared" si="56"/>
        <v>8.7311491370201111E-11</v>
      </c>
      <c r="BL56" s="8">
        <f t="shared" si="56"/>
        <v>8.7311491370201111E-11</v>
      </c>
      <c r="BM56" s="8">
        <f t="shared" si="56"/>
        <v>8.7311491370201111E-11</v>
      </c>
      <c r="BN56" s="8">
        <f t="shared" si="56"/>
        <v>8.7311491370201111E-11</v>
      </c>
      <c r="BO56" s="8">
        <f t="shared" si="56"/>
        <v>8.7311491370201111E-11</v>
      </c>
      <c r="BP56" s="8">
        <f t="shared" si="56"/>
        <v>8.7311491370201111E-11</v>
      </c>
      <c r="BQ56" s="8">
        <f t="shared" si="56"/>
        <v>8.7311491370201111E-11</v>
      </c>
      <c r="BR56" s="8">
        <f t="shared" si="56"/>
        <v>8.7311491370201111E-11</v>
      </c>
      <c r="BS56" s="8">
        <f t="shared" si="56"/>
        <v>8.7311491370201111E-11</v>
      </c>
      <c r="BT56" s="8">
        <f t="shared" si="56"/>
        <v>8.7311491370201111E-11</v>
      </c>
      <c r="BU56" s="8">
        <f t="shared" ref="BU56:DA56" si="57">BT57</f>
        <v>8.7311491370201111E-11</v>
      </c>
      <c r="BV56" s="8">
        <f t="shared" si="57"/>
        <v>8.7311491370201111E-11</v>
      </c>
      <c r="BW56" s="8">
        <f t="shared" si="57"/>
        <v>8.7311491370201111E-11</v>
      </c>
      <c r="BX56" s="8">
        <f t="shared" si="57"/>
        <v>8.7311491370201111E-11</v>
      </c>
      <c r="BY56" s="8">
        <f t="shared" si="57"/>
        <v>8.7311491370201111E-11</v>
      </c>
      <c r="BZ56" s="8">
        <f t="shared" si="57"/>
        <v>8.7311491370201111E-11</v>
      </c>
      <c r="CA56" s="8">
        <f t="shared" si="57"/>
        <v>8.7311491370201111E-11</v>
      </c>
      <c r="CB56" s="8">
        <f t="shared" si="57"/>
        <v>8.7311491370201111E-11</v>
      </c>
      <c r="CC56" s="8">
        <f t="shared" si="57"/>
        <v>8.7311491370201111E-11</v>
      </c>
      <c r="CD56" s="8">
        <f t="shared" si="57"/>
        <v>8.7311491370201111E-11</v>
      </c>
      <c r="CE56" s="8">
        <f t="shared" si="57"/>
        <v>8.7311491370201111E-11</v>
      </c>
      <c r="CF56" s="8">
        <f t="shared" si="57"/>
        <v>8.7311491370201111E-11</v>
      </c>
      <c r="CG56" s="8">
        <f t="shared" si="57"/>
        <v>8.7311491370201111E-11</v>
      </c>
      <c r="CH56" s="8">
        <f t="shared" si="57"/>
        <v>8.7311491370201111E-11</v>
      </c>
      <c r="CI56" s="8">
        <f t="shared" si="57"/>
        <v>8.7311491370201111E-11</v>
      </c>
      <c r="CJ56" s="8">
        <f t="shared" si="57"/>
        <v>8.7311491370201111E-11</v>
      </c>
      <c r="CK56" s="8">
        <f t="shared" si="57"/>
        <v>8.7311491370201111E-11</v>
      </c>
      <c r="CL56" s="8">
        <f t="shared" si="57"/>
        <v>8.7311491370201111E-11</v>
      </c>
      <c r="CM56" s="8">
        <f t="shared" si="57"/>
        <v>8.7311491370201111E-11</v>
      </c>
      <c r="CN56" s="8">
        <f t="shared" si="57"/>
        <v>8.7311491370201111E-11</v>
      </c>
      <c r="CO56" s="8">
        <f t="shared" si="57"/>
        <v>8.7311491370201111E-11</v>
      </c>
      <c r="CP56" s="8">
        <f t="shared" si="57"/>
        <v>8.7311491370201111E-11</v>
      </c>
      <c r="CQ56" s="8">
        <f t="shared" si="57"/>
        <v>8.7311491370201111E-11</v>
      </c>
      <c r="CR56" s="8">
        <f t="shared" si="57"/>
        <v>8.7311491370201111E-11</v>
      </c>
      <c r="CS56" s="8">
        <f t="shared" si="57"/>
        <v>8.7311491370201111E-11</v>
      </c>
      <c r="CT56" s="8">
        <f t="shared" si="57"/>
        <v>8.7311491370201111E-11</v>
      </c>
      <c r="CU56" s="8">
        <f t="shared" si="57"/>
        <v>8.7311491370201111E-11</v>
      </c>
      <c r="CV56" s="8">
        <f t="shared" si="57"/>
        <v>8.7311491370201111E-11</v>
      </c>
      <c r="CW56" s="8">
        <f t="shared" si="57"/>
        <v>8.7311491370201111E-11</v>
      </c>
      <c r="CX56" s="8">
        <f t="shared" si="57"/>
        <v>8.7311491370201111E-11</v>
      </c>
      <c r="CY56" s="8">
        <f t="shared" si="57"/>
        <v>8.7311491370201111E-11</v>
      </c>
      <c r="CZ56" s="8">
        <f t="shared" si="57"/>
        <v>8.7311491370201111E-11</v>
      </c>
      <c r="DA56" s="8">
        <f t="shared" si="57"/>
        <v>8.7311491370201111E-11</v>
      </c>
    </row>
    <row r="57" spans="1:105" x14ac:dyDescent="0.4">
      <c r="D57" t="s">
        <v>171</v>
      </c>
      <c r="G57" s="8"/>
      <c r="H57" s="8">
        <f t="shared" ref="H57:AM57" si="58">G57+((H49-H55)*INC_TAX_RATE)</f>
        <v>-5081.7295992262007</v>
      </c>
      <c r="I57" s="8">
        <f t="shared" si="58"/>
        <v>-20236.899186861374</v>
      </c>
      <c r="J57" s="8">
        <f t="shared" si="58"/>
        <v>-33818.184521479052</v>
      </c>
      <c r="K57" s="8">
        <f t="shared" si="58"/>
        <v>-45947.547113460678</v>
      </c>
      <c r="L57" s="8">
        <f t="shared" si="58"/>
        <v>-56729.525400276041</v>
      </c>
      <c r="M57" s="8">
        <f t="shared" si="58"/>
        <v>-66268.657819394939</v>
      </c>
      <c r="N57" s="8">
        <f t="shared" si="58"/>
        <v>-74654.9635808608</v>
      </c>
      <c r="O57" s="8">
        <f t="shared" si="58"/>
        <v>-81978.461894717067</v>
      </c>
      <c r="P57" s="8">
        <f t="shared" si="58"/>
        <v>-89127.729479457019</v>
      </c>
      <c r="Q57" s="8">
        <f t="shared" si="58"/>
        <v>-96274.0932187117</v>
      </c>
      <c r="R57" s="8">
        <f t="shared" si="58"/>
        <v>-103423.36080345165</v>
      </c>
      <c r="S57" s="8">
        <f t="shared" si="58"/>
        <v>-110569.72454270633</v>
      </c>
      <c r="T57" s="8">
        <f t="shared" si="58"/>
        <v>-117718.99212744628</v>
      </c>
      <c r="U57" s="8">
        <f t="shared" si="58"/>
        <v>-124865.35586670096</v>
      </c>
      <c r="V57" s="8">
        <f t="shared" si="58"/>
        <v>-132014.62345144092</v>
      </c>
      <c r="W57" s="8">
        <f t="shared" si="58"/>
        <v>-139160.9871906956</v>
      </c>
      <c r="X57" s="8">
        <f t="shared" si="58"/>
        <v>-146310.25477543555</v>
      </c>
      <c r="Y57" s="8">
        <f t="shared" si="58"/>
        <v>-153456.61851469023</v>
      </c>
      <c r="Z57" s="8">
        <f t="shared" si="58"/>
        <v>-160605.88609943018</v>
      </c>
      <c r="AA57" s="8">
        <f t="shared" si="58"/>
        <v>-167752.24983868486</v>
      </c>
      <c r="AB57" s="8">
        <f t="shared" si="58"/>
        <v>-168423.03814578272</v>
      </c>
      <c r="AC57" s="8">
        <f t="shared" si="58"/>
        <v>-162615.34717523848</v>
      </c>
      <c r="AD57" s="8">
        <f t="shared" si="58"/>
        <v>-156807.65620469424</v>
      </c>
      <c r="AE57" s="8">
        <f t="shared" si="58"/>
        <v>-150999.96523415</v>
      </c>
      <c r="AF57" s="8">
        <f t="shared" si="58"/>
        <v>-145192.27426360577</v>
      </c>
      <c r="AG57" s="8">
        <f t="shared" si="58"/>
        <v>-139384.58329306153</v>
      </c>
      <c r="AH57" s="8">
        <f t="shared" si="58"/>
        <v>-133576.89232251729</v>
      </c>
      <c r="AI57" s="8">
        <f t="shared" si="58"/>
        <v>-127769.20135197305</v>
      </c>
      <c r="AJ57" s="8">
        <f t="shared" si="58"/>
        <v>-121961.51038142882</v>
      </c>
      <c r="AK57" s="8">
        <f t="shared" si="58"/>
        <v>-116153.81941088458</v>
      </c>
      <c r="AL57" s="8">
        <f t="shared" si="58"/>
        <v>-110346.12844034034</v>
      </c>
      <c r="AM57" s="8">
        <f t="shared" si="58"/>
        <v>-104538.4374697961</v>
      </c>
      <c r="AN57" s="8">
        <f t="shared" ref="AN57:BS57" si="59">AM57+((AN49-AN55)*INC_TAX_RATE)</f>
        <v>-98730.746499251865</v>
      </c>
      <c r="AO57" s="8">
        <f t="shared" si="59"/>
        <v>-92923.055528707628</v>
      </c>
      <c r="AP57" s="8">
        <f t="shared" si="59"/>
        <v>-87115.36455816339</v>
      </c>
      <c r="AQ57" s="8">
        <f t="shared" si="59"/>
        <v>-81307.673587619152</v>
      </c>
      <c r="AR57" s="8">
        <f t="shared" si="59"/>
        <v>-75499.982617074915</v>
      </c>
      <c r="AS57" s="8">
        <f t="shared" si="59"/>
        <v>-69692.291646530677</v>
      </c>
      <c r="AT57" s="8">
        <f t="shared" si="59"/>
        <v>-63884.600675986447</v>
      </c>
      <c r="AU57" s="8">
        <f t="shared" si="59"/>
        <v>-58076.909705442216</v>
      </c>
      <c r="AV57" s="8">
        <f t="shared" si="59"/>
        <v>-52269.218734897986</v>
      </c>
      <c r="AW57" s="8">
        <f t="shared" si="59"/>
        <v>-46461.527764353756</v>
      </c>
      <c r="AX57" s="8">
        <f t="shared" si="59"/>
        <v>-40653.836793809525</v>
      </c>
      <c r="AY57" s="8">
        <f t="shared" si="59"/>
        <v>-34846.145823265295</v>
      </c>
      <c r="AZ57" s="8">
        <f t="shared" si="59"/>
        <v>-29038.454852721065</v>
      </c>
      <c r="BA57" s="8">
        <f t="shared" si="59"/>
        <v>-23230.763882176834</v>
      </c>
      <c r="BB57" s="8">
        <f t="shared" si="59"/>
        <v>-17423.072911632604</v>
      </c>
      <c r="BC57" s="8">
        <f t="shared" si="59"/>
        <v>-11615.381941088373</v>
      </c>
      <c r="BD57" s="8">
        <f t="shared" si="59"/>
        <v>-5807.6909705441431</v>
      </c>
      <c r="BE57" s="8">
        <f t="shared" si="59"/>
        <v>8.7311491370201111E-11</v>
      </c>
      <c r="BF57" s="8">
        <f t="shared" si="59"/>
        <v>8.7311491370201111E-11</v>
      </c>
      <c r="BG57" s="8">
        <f t="shared" si="59"/>
        <v>8.7311491370201111E-11</v>
      </c>
      <c r="BH57" s="8">
        <f t="shared" si="59"/>
        <v>8.7311491370201111E-11</v>
      </c>
      <c r="BI57" s="8">
        <f t="shared" si="59"/>
        <v>8.7311491370201111E-11</v>
      </c>
      <c r="BJ57" s="8">
        <f t="shared" si="59"/>
        <v>8.7311491370201111E-11</v>
      </c>
      <c r="BK57" s="8">
        <f t="shared" si="59"/>
        <v>8.7311491370201111E-11</v>
      </c>
      <c r="BL57" s="8">
        <f t="shared" si="59"/>
        <v>8.7311491370201111E-11</v>
      </c>
      <c r="BM57" s="8">
        <f t="shared" si="59"/>
        <v>8.7311491370201111E-11</v>
      </c>
      <c r="BN57" s="8">
        <f t="shared" si="59"/>
        <v>8.7311491370201111E-11</v>
      </c>
      <c r="BO57" s="8">
        <f t="shared" si="59"/>
        <v>8.7311491370201111E-11</v>
      </c>
      <c r="BP57" s="8">
        <f t="shared" si="59"/>
        <v>8.7311491370201111E-11</v>
      </c>
      <c r="BQ57" s="8">
        <f t="shared" si="59"/>
        <v>8.7311491370201111E-11</v>
      </c>
      <c r="BR57" s="8">
        <f t="shared" si="59"/>
        <v>8.7311491370201111E-11</v>
      </c>
      <c r="BS57" s="8">
        <f t="shared" si="59"/>
        <v>8.7311491370201111E-11</v>
      </c>
      <c r="BT57" s="8">
        <f t="shared" ref="BT57:DA57" si="60">BS57+((BT49-BT55)*INC_TAX_RATE)</f>
        <v>8.7311491370201111E-11</v>
      </c>
      <c r="BU57" s="8">
        <f t="shared" si="60"/>
        <v>8.7311491370201111E-11</v>
      </c>
      <c r="BV57" s="8">
        <f t="shared" si="60"/>
        <v>8.7311491370201111E-11</v>
      </c>
      <c r="BW57" s="8">
        <f t="shared" si="60"/>
        <v>8.7311491370201111E-11</v>
      </c>
      <c r="BX57" s="8">
        <f t="shared" si="60"/>
        <v>8.7311491370201111E-11</v>
      </c>
      <c r="BY57" s="8">
        <f t="shared" si="60"/>
        <v>8.7311491370201111E-11</v>
      </c>
      <c r="BZ57" s="8">
        <f t="shared" si="60"/>
        <v>8.7311491370201111E-11</v>
      </c>
      <c r="CA57" s="8">
        <f t="shared" si="60"/>
        <v>8.7311491370201111E-11</v>
      </c>
      <c r="CB57" s="8">
        <f t="shared" si="60"/>
        <v>8.7311491370201111E-11</v>
      </c>
      <c r="CC57" s="8">
        <f t="shared" si="60"/>
        <v>8.7311491370201111E-11</v>
      </c>
      <c r="CD57" s="8">
        <f t="shared" si="60"/>
        <v>8.7311491370201111E-11</v>
      </c>
      <c r="CE57" s="8">
        <f t="shared" si="60"/>
        <v>8.7311491370201111E-11</v>
      </c>
      <c r="CF57" s="8">
        <f t="shared" si="60"/>
        <v>8.7311491370201111E-11</v>
      </c>
      <c r="CG57" s="8">
        <f t="shared" si="60"/>
        <v>8.7311491370201111E-11</v>
      </c>
      <c r="CH57" s="8">
        <f t="shared" si="60"/>
        <v>8.7311491370201111E-11</v>
      </c>
      <c r="CI57" s="8">
        <f t="shared" si="60"/>
        <v>8.7311491370201111E-11</v>
      </c>
      <c r="CJ57" s="8">
        <f t="shared" si="60"/>
        <v>8.7311491370201111E-11</v>
      </c>
      <c r="CK57" s="8">
        <f t="shared" si="60"/>
        <v>8.7311491370201111E-11</v>
      </c>
      <c r="CL57" s="8">
        <f t="shared" si="60"/>
        <v>8.7311491370201111E-11</v>
      </c>
      <c r="CM57" s="8">
        <f t="shared" si="60"/>
        <v>8.7311491370201111E-11</v>
      </c>
      <c r="CN57" s="8">
        <f t="shared" si="60"/>
        <v>8.7311491370201111E-11</v>
      </c>
      <c r="CO57" s="8">
        <f t="shared" si="60"/>
        <v>8.7311491370201111E-11</v>
      </c>
      <c r="CP57" s="8">
        <f t="shared" si="60"/>
        <v>8.7311491370201111E-11</v>
      </c>
      <c r="CQ57" s="8">
        <f t="shared" si="60"/>
        <v>8.7311491370201111E-11</v>
      </c>
      <c r="CR57" s="8">
        <f t="shared" si="60"/>
        <v>8.7311491370201111E-11</v>
      </c>
      <c r="CS57" s="8">
        <f t="shared" si="60"/>
        <v>8.7311491370201111E-11</v>
      </c>
      <c r="CT57" s="8">
        <f t="shared" si="60"/>
        <v>8.7311491370201111E-11</v>
      </c>
      <c r="CU57" s="8">
        <f t="shared" si="60"/>
        <v>8.7311491370201111E-11</v>
      </c>
      <c r="CV57" s="8">
        <f t="shared" si="60"/>
        <v>8.7311491370201111E-11</v>
      </c>
      <c r="CW57" s="8">
        <f t="shared" si="60"/>
        <v>8.7311491370201111E-11</v>
      </c>
      <c r="CX57" s="8">
        <f t="shared" si="60"/>
        <v>8.7311491370201111E-11</v>
      </c>
      <c r="CY57" s="8">
        <f t="shared" si="60"/>
        <v>8.7311491370201111E-11</v>
      </c>
      <c r="CZ57" s="8">
        <f t="shared" si="60"/>
        <v>8.7311491370201111E-11</v>
      </c>
      <c r="DA57" s="8">
        <f t="shared" si="60"/>
        <v>8.7311491370201111E-11</v>
      </c>
    </row>
    <row r="58" spans="1:105" x14ac:dyDescent="0.4"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</row>
    <row r="59" spans="1:105" x14ac:dyDescent="0.4">
      <c r="D59" t="s">
        <v>158</v>
      </c>
      <c r="G59" s="8"/>
      <c r="H59" s="8">
        <f>AVERAGE(H52:H53)+AVERAGE(H56:H57)</f>
        <v>1034733.907135943</v>
      </c>
      <c r="I59" s="8">
        <f t="shared" ref="I59:BT59" si="61">AVERAGE(I52:I53)+AVERAGE(I56:I57)</f>
        <v>1003660.4116448243</v>
      </c>
      <c r="J59" s="8">
        <f t="shared" si="61"/>
        <v>968337.13828600978</v>
      </c>
      <c r="K59" s="8">
        <f t="shared" si="61"/>
        <v>934526.76842502214</v>
      </c>
      <c r="L59" s="8">
        <f t="shared" si="61"/>
        <v>902116.05208793574</v>
      </c>
      <c r="M59" s="8">
        <f t="shared" si="61"/>
        <v>871000.4508372806</v>
      </c>
      <c r="N59" s="8">
        <f t="shared" si="61"/>
        <v>841082.68584930024</v>
      </c>
      <c r="O59" s="8">
        <f t="shared" si="61"/>
        <v>812272.73791395116</v>
      </c>
      <c r="P59" s="8">
        <f t="shared" si="61"/>
        <v>784081.30906696501</v>
      </c>
      <c r="Q59" s="8">
        <f t="shared" si="61"/>
        <v>755978.44750727969</v>
      </c>
      <c r="R59" s="8">
        <f t="shared" si="61"/>
        <v>727875.58594759437</v>
      </c>
      <c r="S59" s="8">
        <f t="shared" si="61"/>
        <v>699772.72438790905</v>
      </c>
      <c r="T59" s="8">
        <f t="shared" si="61"/>
        <v>671669.86282822373</v>
      </c>
      <c r="U59" s="8">
        <f t="shared" si="61"/>
        <v>643567.0012685383</v>
      </c>
      <c r="V59" s="8">
        <f t="shared" si="61"/>
        <v>615464.13970885298</v>
      </c>
      <c r="W59" s="8">
        <f t="shared" si="61"/>
        <v>587361.27814916766</v>
      </c>
      <c r="X59" s="8">
        <f t="shared" si="61"/>
        <v>559258.41658948234</v>
      </c>
      <c r="Y59" s="8">
        <f t="shared" si="61"/>
        <v>531155.55502979702</v>
      </c>
      <c r="Z59" s="8">
        <f t="shared" si="61"/>
        <v>503052.6934701117</v>
      </c>
      <c r="AA59" s="8">
        <f t="shared" si="61"/>
        <v>474949.83191042632</v>
      </c>
      <c r="AB59" s="8">
        <f t="shared" si="61"/>
        <v>450086.20998956205</v>
      </c>
      <c r="AC59" s="8">
        <f t="shared" si="61"/>
        <v>431699.61542359722</v>
      </c>
      <c r="AD59" s="8">
        <f t="shared" si="61"/>
        <v>416552.26049645344</v>
      </c>
      <c r="AE59" s="8">
        <f t="shared" si="61"/>
        <v>401404.90556930966</v>
      </c>
      <c r="AF59" s="8">
        <f t="shared" si="61"/>
        <v>386257.55064216588</v>
      </c>
      <c r="AG59" s="8">
        <f t="shared" si="61"/>
        <v>371110.1957150221</v>
      </c>
      <c r="AH59" s="8">
        <f t="shared" si="61"/>
        <v>355962.84078787832</v>
      </c>
      <c r="AI59" s="8">
        <f t="shared" si="61"/>
        <v>340815.48586073454</v>
      </c>
      <c r="AJ59" s="8">
        <f t="shared" si="61"/>
        <v>325668.13093359076</v>
      </c>
      <c r="AK59" s="8">
        <f t="shared" si="61"/>
        <v>310520.77600644698</v>
      </c>
      <c r="AL59" s="8">
        <f t="shared" si="61"/>
        <v>295373.4210793032</v>
      </c>
      <c r="AM59" s="8">
        <f t="shared" si="61"/>
        <v>280226.06615215942</v>
      </c>
      <c r="AN59" s="8">
        <f t="shared" si="61"/>
        <v>265078.71122501564</v>
      </c>
      <c r="AO59" s="8">
        <f t="shared" si="61"/>
        <v>249931.35629787185</v>
      </c>
      <c r="AP59" s="8">
        <f t="shared" si="61"/>
        <v>234784.00137072807</v>
      </c>
      <c r="AQ59" s="8">
        <f t="shared" si="61"/>
        <v>219636.64644358429</v>
      </c>
      <c r="AR59" s="8">
        <f t="shared" si="61"/>
        <v>204489.29151644051</v>
      </c>
      <c r="AS59" s="8">
        <f t="shared" si="61"/>
        <v>189341.93658929673</v>
      </c>
      <c r="AT59" s="8">
        <f t="shared" si="61"/>
        <v>174194.58166215295</v>
      </c>
      <c r="AU59" s="8">
        <f t="shared" si="61"/>
        <v>159047.22673500917</v>
      </c>
      <c r="AV59" s="8">
        <f t="shared" si="61"/>
        <v>143899.87180786539</v>
      </c>
      <c r="AW59" s="8">
        <f t="shared" si="61"/>
        <v>128752.51688072158</v>
      </c>
      <c r="AX59" s="8">
        <f t="shared" si="61"/>
        <v>113605.1619535778</v>
      </c>
      <c r="AY59" s="8">
        <f t="shared" si="61"/>
        <v>98457.807026434006</v>
      </c>
      <c r="AZ59" s="8">
        <f t="shared" si="61"/>
        <v>83310.452099290225</v>
      </c>
      <c r="BA59" s="8">
        <f t="shared" si="61"/>
        <v>68163.09717214643</v>
      </c>
      <c r="BB59" s="8">
        <f t="shared" si="61"/>
        <v>53015.74224500265</v>
      </c>
      <c r="BC59" s="8">
        <f t="shared" si="61"/>
        <v>37868.387317858855</v>
      </c>
      <c r="BD59" s="8">
        <f t="shared" si="61"/>
        <v>22721.032390715071</v>
      </c>
      <c r="BE59" s="8">
        <f t="shared" si="61"/>
        <v>7573.677463571632</v>
      </c>
      <c r="BF59" s="8">
        <f t="shared" si="61"/>
        <v>8.7311491370201111E-11</v>
      </c>
      <c r="BG59" s="8">
        <f t="shared" si="61"/>
        <v>8.7311491370201111E-11</v>
      </c>
      <c r="BH59" s="8">
        <f t="shared" si="61"/>
        <v>8.7311491370201111E-11</v>
      </c>
      <c r="BI59" s="8">
        <f t="shared" si="61"/>
        <v>8.7311491370201111E-11</v>
      </c>
      <c r="BJ59" s="8">
        <f t="shared" si="61"/>
        <v>8.7311491370201111E-11</v>
      </c>
      <c r="BK59" s="8">
        <f t="shared" si="61"/>
        <v>8.7311491370201111E-11</v>
      </c>
      <c r="BL59" s="8">
        <f t="shared" si="61"/>
        <v>8.7311491370201111E-11</v>
      </c>
      <c r="BM59" s="8">
        <f t="shared" si="61"/>
        <v>8.7311491370201111E-11</v>
      </c>
      <c r="BN59" s="8">
        <f t="shared" si="61"/>
        <v>8.7311491370201111E-11</v>
      </c>
      <c r="BO59" s="8">
        <f t="shared" si="61"/>
        <v>8.7311491370201111E-11</v>
      </c>
      <c r="BP59" s="8">
        <f t="shared" si="61"/>
        <v>8.7311491370201111E-11</v>
      </c>
      <c r="BQ59" s="8">
        <f t="shared" si="61"/>
        <v>8.7311491370201111E-11</v>
      </c>
      <c r="BR59" s="8">
        <f t="shared" si="61"/>
        <v>8.7311491370201111E-11</v>
      </c>
      <c r="BS59" s="8">
        <f t="shared" si="61"/>
        <v>8.7311491370201111E-11</v>
      </c>
      <c r="BT59" s="8">
        <f t="shared" si="61"/>
        <v>8.7311491370201111E-11</v>
      </c>
      <c r="BU59" s="8">
        <f t="shared" ref="BU59:DA59" si="62">AVERAGE(BU52:BU53)+AVERAGE(BU56:BU57)</f>
        <v>8.7311491370201111E-11</v>
      </c>
      <c r="BV59" s="8">
        <f t="shared" si="62"/>
        <v>8.7311491370201111E-11</v>
      </c>
      <c r="BW59" s="8">
        <f t="shared" si="62"/>
        <v>8.7311491370201111E-11</v>
      </c>
      <c r="BX59" s="8">
        <f t="shared" si="62"/>
        <v>8.7311491370201111E-11</v>
      </c>
      <c r="BY59" s="8">
        <f t="shared" si="62"/>
        <v>8.7311491370201111E-11</v>
      </c>
      <c r="BZ59" s="8">
        <f t="shared" si="62"/>
        <v>8.7311491370201111E-11</v>
      </c>
      <c r="CA59" s="8">
        <f t="shared" si="62"/>
        <v>8.7311491370201111E-11</v>
      </c>
      <c r="CB59" s="8">
        <f t="shared" si="62"/>
        <v>8.7311491370201111E-11</v>
      </c>
      <c r="CC59" s="8">
        <f t="shared" si="62"/>
        <v>8.7311491370201111E-11</v>
      </c>
      <c r="CD59" s="8">
        <f t="shared" si="62"/>
        <v>8.7311491370201111E-11</v>
      </c>
      <c r="CE59" s="8">
        <f t="shared" si="62"/>
        <v>8.7311491370201111E-11</v>
      </c>
      <c r="CF59" s="8">
        <f t="shared" si="62"/>
        <v>8.7311491370201111E-11</v>
      </c>
      <c r="CG59" s="8">
        <f t="shared" si="62"/>
        <v>8.7311491370201111E-11</v>
      </c>
      <c r="CH59" s="8">
        <f t="shared" si="62"/>
        <v>8.7311491370201111E-11</v>
      </c>
      <c r="CI59" s="8">
        <f t="shared" si="62"/>
        <v>8.7311491370201111E-11</v>
      </c>
      <c r="CJ59" s="8">
        <f t="shared" si="62"/>
        <v>8.7311491370201111E-11</v>
      </c>
      <c r="CK59" s="8">
        <f t="shared" si="62"/>
        <v>8.7311491370201111E-11</v>
      </c>
      <c r="CL59" s="8">
        <f t="shared" si="62"/>
        <v>8.7311491370201111E-11</v>
      </c>
      <c r="CM59" s="8">
        <f t="shared" si="62"/>
        <v>8.7311491370201111E-11</v>
      </c>
      <c r="CN59" s="8">
        <f t="shared" si="62"/>
        <v>8.7311491370201111E-11</v>
      </c>
      <c r="CO59" s="8">
        <f t="shared" si="62"/>
        <v>8.7311491370201111E-11</v>
      </c>
      <c r="CP59" s="8">
        <f t="shared" si="62"/>
        <v>8.7311491370201111E-11</v>
      </c>
      <c r="CQ59" s="8">
        <f t="shared" si="62"/>
        <v>8.7311491370201111E-11</v>
      </c>
      <c r="CR59" s="8">
        <f t="shared" si="62"/>
        <v>8.7311491370201111E-11</v>
      </c>
      <c r="CS59" s="8">
        <f t="shared" si="62"/>
        <v>8.7311491370201111E-11</v>
      </c>
      <c r="CT59" s="8">
        <f t="shared" si="62"/>
        <v>8.7311491370201111E-11</v>
      </c>
      <c r="CU59" s="8">
        <f t="shared" si="62"/>
        <v>8.7311491370201111E-11</v>
      </c>
      <c r="CV59" s="8">
        <f t="shared" si="62"/>
        <v>8.7311491370201111E-11</v>
      </c>
      <c r="CW59" s="8">
        <f t="shared" si="62"/>
        <v>8.7311491370201111E-11</v>
      </c>
      <c r="CX59" s="8">
        <f t="shared" si="62"/>
        <v>8.7311491370201111E-11</v>
      </c>
      <c r="CY59" s="8">
        <f t="shared" si="62"/>
        <v>8.7311491370201111E-11</v>
      </c>
      <c r="CZ59" s="8">
        <f t="shared" si="62"/>
        <v>8.7311491370201111E-11</v>
      </c>
      <c r="DA59" s="8">
        <f t="shared" si="62"/>
        <v>8.7311491370201111E-11</v>
      </c>
    </row>
    <row r="60" spans="1:105" x14ac:dyDescent="0.4"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</row>
    <row r="61" spans="1:105" x14ac:dyDescent="0.4">
      <c r="D61" t="s">
        <v>209</v>
      </c>
      <c r="G61" s="8"/>
      <c r="H61" s="8">
        <f t="shared" ref="H61:AM61" si="63">H59*AVG_PRE_TAX_RATE</f>
        <v>92401.737907239716</v>
      </c>
      <c r="I61" s="8">
        <f t="shared" si="63"/>
        <v>89626.874759882819</v>
      </c>
      <c r="J61" s="8">
        <f t="shared" si="63"/>
        <v>86472.50644894068</v>
      </c>
      <c r="K61" s="8">
        <f t="shared" si="63"/>
        <v>83453.240420354487</v>
      </c>
      <c r="L61" s="8">
        <f t="shared" si="63"/>
        <v>80558.96345145267</v>
      </c>
      <c r="M61" s="8">
        <f t="shared" si="63"/>
        <v>77780.34025976916</v>
      </c>
      <c r="N61" s="8">
        <f t="shared" si="63"/>
        <v>75108.683846342508</v>
      </c>
      <c r="O61" s="8">
        <f t="shared" si="63"/>
        <v>72535.95549571584</v>
      </c>
      <c r="P61" s="8">
        <f t="shared" si="63"/>
        <v>70018.46089967998</v>
      </c>
      <c r="Q61" s="8">
        <f t="shared" si="63"/>
        <v>67508.875362400082</v>
      </c>
      <c r="R61" s="8">
        <f t="shared" si="63"/>
        <v>64999.289825120184</v>
      </c>
      <c r="S61" s="8">
        <f t="shared" si="63"/>
        <v>62489.704287840279</v>
      </c>
      <c r="T61" s="8">
        <f t="shared" si="63"/>
        <v>59980.118750560381</v>
      </c>
      <c r="U61" s="8">
        <f t="shared" si="63"/>
        <v>57470.533213280476</v>
      </c>
      <c r="V61" s="8">
        <f t="shared" si="63"/>
        <v>54960.947676000571</v>
      </c>
      <c r="W61" s="8">
        <f t="shared" si="63"/>
        <v>52451.362138720673</v>
      </c>
      <c r="X61" s="8">
        <f t="shared" si="63"/>
        <v>49941.776601440775</v>
      </c>
      <c r="Y61" s="8">
        <f t="shared" si="63"/>
        <v>47432.191064160877</v>
      </c>
      <c r="Z61" s="8">
        <f t="shared" si="63"/>
        <v>44922.60552688098</v>
      </c>
      <c r="AA61" s="8">
        <f t="shared" si="63"/>
        <v>42413.019989601074</v>
      </c>
      <c r="AB61" s="8">
        <f t="shared" si="63"/>
        <v>40192.698552067894</v>
      </c>
      <c r="AC61" s="8">
        <f t="shared" si="63"/>
        <v>38550.775657327235</v>
      </c>
      <c r="AD61" s="8">
        <f t="shared" si="63"/>
        <v>37198.116862333292</v>
      </c>
      <c r="AE61" s="8">
        <f t="shared" si="63"/>
        <v>35845.458067339358</v>
      </c>
      <c r="AF61" s="8">
        <f t="shared" si="63"/>
        <v>34492.799272345415</v>
      </c>
      <c r="AG61" s="8">
        <f t="shared" si="63"/>
        <v>33140.140477351473</v>
      </c>
      <c r="AH61" s="8">
        <f t="shared" si="63"/>
        <v>31787.481682357535</v>
      </c>
      <c r="AI61" s="8">
        <f t="shared" si="63"/>
        <v>30434.822887363596</v>
      </c>
      <c r="AJ61" s="8">
        <f t="shared" si="63"/>
        <v>29082.164092369658</v>
      </c>
      <c r="AK61" s="8">
        <f t="shared" si="63"/>
        <v>27729.505297375716</v>
      </c>
      <c r="AL61" s="8">
        <f t="shared" si="63"/>
        <v>26376.846502381777</v>
      </c>
      <c r="AM61" s="8">
        <f t="shared" si="63"/>
        <v>25024.187707387839</v>
      </c>
      <c r="AN61" s="8">
        <f t="shared" ref="AN61:BS61" si="64">AN59*AVG_PRE_TAX_RATE</f>
        <v>23671.528912393896</v>
      </c>
      <c r="AO61" s="8">
        <f t="shared" si="64"/>
        <v>22318.870117399958</v>
      </c>
      <c r="AP61" s="8">
        <f t="shared" si="64"/>
        <v>20966.211322406019</v>
      </c>
      <c r="AQ61" s="8">
        <f t="shared" si="64"/>
        <v>19613.552527412077</v>
      </c>
      <c r="AR61" s="8">
        <f t="shared" si="64"/>
        <v>18260.893732418139</v>
      </c>
      <c r="AS61" s="8">
        <f t="shared" si="64"/>
        <v>16908.2349374242</v>
      </c>
      <c r="AT61" s="8">
        <f t="shared" si="64"/>
        <v>15555.57614243026</v>
      </c>
      <c r="AU61" s="8">
        <f t="shared" si="64"/>
        <v>14202.91734743632</v>
      </c>
      <c r="AV61" s="8">
        <f t="shared" si="64"/>
        <v>12850.258552442379</v>
      </c>
      <c r="AW61" s="8">
        <f t="shared" si="64"/>
        <v>11497.599757448437</v>
      </c>
      <c r="AX61" s="8">
        <f t="shared" si="64"/>
        <v>10144.940962454499</v>
      </c>
      <c r="AY61" s="8">
        <f t="shared" si="64"/>
        <v>8792.2821674605566</v>
      </c>
      <c r="AZ61" s="8">
        <f t="shared" si="64"/>
        <v>7439.6233724666172</v>
      </c>
      <c r="BA61" s="8">
        <f t="shared" si="64"/>
        <v>6086.9645774726769</v>
      </c>
      <c r="BB61" s="8">
        <f t="shared" si="64"/>
        <v>4734.3057824787365</v>
      </c>
      <c r="BC61" s="8">
        <f t="shared" si="64"/>
        <v>3381.6469874847958</v>
      </c>
      <c r="BD61" s="8">
        <f t="shared" si="64"/>
        <v>2028.9881924908559</v>
      </c>
      <c r="BE61" s="8">
        <f t="shared" si="64"/>
        <v>676.32939749694674</v>
      </c>
      <c r="BF61" s="8">
        <f t="shared" si="64"/>
        <v>7.79691617935896E-12</v>
      </c>
      <c r="BG61" s="8">
        <f t="shared" si="64"/>
        <v>7.79691617935896E-12</v>
      </c>
      <c r="BH61" s="8">
        <f t="shared" si="64"/>
        <v>7.79691617935896E-12</v>
      </c>
      <c r="BI61" s="8">
        <f t="shared" si="64"/>
        <v>7.79691617935896E-12</v>
      </c>
      <c r="BJ61" s="8">
        <f t="shared" si="64"/>
        <v>7.79691617935896E-12</v>
      </c>
      <c r="BK61" s="8">
        <f t="shared" si="64"/>
        <v>7.79691617935896E-12</v>
      </c>
      <c r="BL61" s="8">
        <f t="shared" si="64"/>
        <v>7.79691617935896E-12</v>
      </c>
      <c r="BM61" s="8">
        <f t="shared" si="64"/>
        <v>7.79691617935896E-12</v>
      </c>
      <c r="BN61" s="8">
        <f t="shared" si="64"/>
        <v>7.79691617935896E-12</v>
      </c>
      <c r="BO61" s="8">
        <f t="shared" si="64"/>
        <v>7.79691617935896E-12</v>
      </c>
      <c r="BP61" s="8">
        <f t="shared" si="64"/>
        <v>7.79691617935896E-12</v>
      </c>
      <c r="BQ61" s="8">
        <f t="shared" si="64"/>
        <v>7.79691617935896E-12</v>
      </c>
      <c r="BR61" s="8">
        <f t="shared" si="64"/>
        <v>7.79691617935896E-12</v>
      </c>
      <c r="BS61" s="8">
        <f t="shared" si="64"/>
        <v>7.79691617935896E-12</v>
      </c>
      <c r="BT61" s="8">
        <f t="shared" ref="BT61:DA61" si="65">BT59*AVG_PRE_TAX_RATE</f>
        <v>7.79691617935896E-12</v>
      </c>
      <c r="BU61" s="8">
        <f t="shared" si="65"/>
        <v>7.79691617935896E-12</v>
      </c>
      <c r="BV61" s="8">
        <f t="shared" si="65"/>
        <v>7.79691617935896E-12</v>
      </c>
      <c r="BW61" s="8">
        <f t="shared" si="65"/>
        <v>7.79691617935896E-12</v>
      </c>
      <c r="BX61" s="8">
        <f t="shared" si="65"/>
        <v>7.79691617935896E-12</v>
      </c>
      <c r="BY61" s="8">
        <f t="shared" si="65"/>
        <v>7.79691617935896E-12</v>
      </c>
      <c r="BZ61" s="8">
        <f t="shared" si="65"/>
        <v>7.79691617935896E-12</v>
      </c>
      <c r="CA61" s="8">
        <f t="shared" si="65"/>
        <v>7.79691617935896E-12</v>
      </c>
      <c r="CB61" s="8">
        <f t="shared" si="65"/>
        <v>7.79691617935896E-12</v>
      </c>
      <c r="CC61" s="8">
        <f t="shared" si="65"/>
        <v>7.79691617935896E-12</v>
      </c>
      <c r="CD61" s="8">
        <f t="shared" si="65"/>
        <v>7.79691617935896E-12</v>
      </c>
      <c r="CE61" s="8">
        <f t="shared" si="65"/>
        <v>7.79691617935896E-12</v>
      </c>
      <c r="CF61" s="8">
        <f t="shared" si="65"/>
        <v>7.79691617935896E-12</v>
      </c>
      <c r="CG61" s="8">
        <f t="shared" si="65"/>
        <v>7.79691617935896E-12</v>
      </c>
      <c r="CH61" s="8">
        <f t="shared" si="65"/>
        <v>7.79691617935896E-12</v>
      </c>
      <c r="CI61" s="8">
        <f t="shared" si="65"/>
        <v>7.79691617935896E-12</v>
      </c>
      <c r="CJ61" s="8">
        <f t="shared" si="65"/>
        <v>7.79691617935896E-12</v>
      </c>
      <c r="CK61" s="8">
        <f t="shared" si="65"/>
        <v>7.79691617935896E-12</v>
      </c>
      <c r="CL61" s="8">
        <f t="shared" si="65"/>
        <v>7.79691617935896E-12</v>
      </c>
      <c r="CM61" s="8">
        <f t="shared" si="65"/>
        <v>7.79691617935896E-12</v>
      </c>
      <c r="CN61" s="8">
        <f t="shared" si="65"/>
        <v>7.79691617935896E-12</v>
      </c>
      <c r="CO61" s="8">
        <f t="shared" si="65"/>
        <v>7.79691617935896E-12</v>
      </c>
      <c r="CP61" s="8">
        <f t="shared" si="65"/>
        <v>7.79691617935896E-12</v>
      </c>
      <c r="CQ61" s="8">
        <f t="shared" si="65"/>
        <v>7.79691617935896E-12</v>
      </c>
      <c r="CR61" s="8">
        <f t="shared" si="65"/>
        <v>7.79691617935896E-12</v>
      </c>
      <c r="CS61" s="8">
        <f t="shared" si="65"/>
        <v>7.79691617935896E-12</v>
      </c>
      <c r="CT61" s="8">
        <f t="shared" si="65"/>
        <v>7.79691617935896E-12</v>
      </c>
      <c r="CU61" s="8">
        <f t="shared" si="65"/>
        <v>7.79691617935896E-12</v>
      </c>
      <c r="CV61" s="8">
        <f t="shared" si="65"/>
        <v>7.79691617935896E-12</v>
      </c>
      <c r="CW61" s="8">
        <f t="shared" si="65"/>
        <v>7.79691617935896E-12</v>
      </c>
      <c r="CX61" s="8">
        <f t="shared" si="65"/>
        <v>7.79691617935896E-12</v>
      </c>
      <c r="CY61" s="8">
        <f t="shared" si="65"/>
        <v>7.79691617935896E-12</v>
      </c>
      <c r="CZ61" s="8">
        <f t="shared" si="65"/>
        <v>7.79691617935896E-12</v>
      </c>
      <c r="DA61" s="8">
        <f t="shared" si="65"/>
        <v>7.79691617935896E-12</v>
      </c>
    </row>
    <row r="64" spans="1:105" x14ac:dyDescent="0.4">
      <c r="A64" s="54"/>
      <c r="C64" s="58" t="str">
        <f>C47</f>
        <v>Investment year in service</v>
      </c>
      <c r="E64" t="str">
        <f>IF(E65&lt;$C65,"",E65-$C65)</f>
        <v/>
      </c>
      <c r="F64" t="str">
        <f>IF(F65&lt;$C65,"",F65-$C65)</f>
        <v/>
      </c>
      <c r="G64" t="str">
        <f t="shared" ref="G64:BR64" si="66">IF(G65&lt;$C65,"",G65-$C65)</f>
        <v/>
      </c>
      <c r="H64">
        <f t="shared" si="66"/>
        <v>0</v>
      </c>
      <c r="I64">
        <f t="shared" si="66"/>
        <v>1</v>
      </c>
      <c r="J64">
        <f t="shared" si="66"/>
        <v>2</v>
      </c>
      <c r="K64">
        <f t="shared" si="66"/>
        <v>3</v>
      </c>
      <c r="L64">
        <f t="shared" si="66"/>
        <v>4</v>
      </c>
      <c r="M64">
        <f t="shared" si="66"/>
        <v>5</v>
      </c>
      <c r="N64">
        <f t="shared" si="66"/>
        <v>6</v>
      </c>
      <c r="O64">
        <f t="shared" si="66"/>
        <v>7</v>
      </c>
      <c r="P64">
        <f t="shared" si="66"/>
        <v>8</v>
      </c>
      <c r="Q64">
        <f t="shared" si="66"/>
        <v>9</v>
      </c>
      <c r="R64">
        <f t="shared" si="66"/>
        <v>10</v>
      </c>
      <c r="S64">
        <f t="shared" si="66"/>
        <v>11</v>
      </c>
      <c r="T64">
        <f t="shared" si="66"/>
        <v>12</v>
      </c>
      <c r="U64">
        <f t="shared" si="66"/>
        <v>13</v>
      </c>
      <c r="V64">
        <f t="shared" si="66"/>
        <v>14</v>
      </c>
      <c r="W64">
        <f t="shared" si="66"/>
        <v>15</v>
      </c>
      <c r="X64">
        <f t="shared" si="66"/>
        <v>16</v>
      </c>
      <c r="Y64">
        <f t="shared" si="66"/>
        <v>17</v>
      </c>
      <c r="Z64">
        <f t="shared" si="66"/>
        <v>18</v>
      </c>
      <c r="AA64">
        <f t="shared" si="66"/>
        <v>19</v>
      </c>
      <c r="AB64">
        <f t="shared" si="66"/>
        <v>20</v>
      </c>
      <c r="AC64">
        <f t="shared" si="66"/>
        <v>21</v>
      </c>
      <c r="AD64">
        <f t="shared" si="66"/>
        <v>22</v>
      </c>
      <c r="AE64">
        <f t="shared" si="66"/>
        <v>23</v>
      </c>
      <c r="AF64">
        <f t="shared" si="66"/>
        <v>24</v>
      </c>
      <c r="AG64">
        <f t="shared" si="66"/>
        <v>25</v>
      </c>
      <c r="AH64">
        <f t="shared" si="66"/>
        <v>26</v>
      </c>
      <c r="AI64">
        <f t="shared" si="66"/>
        <v>27</v>
      </c>
      <c r="AJ64">
        <f t="shared" si="66"/>
        <v>28</v>
      </c>
      <c r="AK64">
        <f t="shared" si="66"/>
        <v>29</v>
      </c>
      <c r="AL64">
        <f t="shared" si="66"/>
        <v>30</v>
      </c>
      <c r="AM64">
        <f t="shared" si="66"/>
        <v>31</v>
      </c>
      <c r="AN64">
        <f t="shared" si="66"/>
        <v>32</v>
      </c>
      <c r="AO64">
        <f t="shared" si="66"/>
        <v>33</v>
      </c>
      <c r="AP64">
        <f t="shared" si="66"/>
        <v>34</v>
      </c>
      <c r="AQ64">
        <f t="shared" si="66"/>
        <v>35</v>
      </c>
      <c r="AR64">
        <f t="shared" si="66"/>
        <v>36</v>
      </c>
      <c r="AS64">
        <f t="shared" si="66"/>
        <v>37</v>
      </c>
      <c r="AT64">
        <f t="shared" si="66"/>
        <v>38</v>
      </c>
      <c r="AU64">
        <f t="shared" si="66"/>
        <v>39</v>
      </c>
      <c r="AV64">
        <f t="shared" si="66"/>
        <v>40</v>
      </c>
      <c r="AW64">
        <f t="shared" si="66"/>
        <v>41</v>
      </c>
      <c r="AX64">
        <f t="shared" si="66"/>
        <v>42</v>
      </c>
      <c r="AY64">
        <f t="shared" si="66"/>
        <v>43</v>
      </c>
      <c r="AZ64">
        <f t="shared" si="66"/>
        <v>44</v>
      </c>
      <c r="BA64">
        <f t="shared" si="66"/>
        <v>45</v>
      </c>
      <c r="BB64">
        <f t="shared" si="66"/>
        <v>46</v>
      </c>
      <c r="BC64">
        <f t="shared" si="66"/>
        <v>47</v>
      </c>
      <c r="BD64">
        <f t="shared" si="66"/>
        <v>48</v>
      </c>
      <c r="BE64">
        <f t="shared" si="66"/>
        <v>49</v>
      </c>
      <c r="BF64">
        <f t="shared" si="66"/>
        <v>50</v>
      </c>
      <c r="BG64">
        <f t="shared" si="66"/>
        <v>51</v>
      </c>
      <c r="BH64">
        <f t="shared" si="66"/>
        <v>52</v>
      </c>
      <c r="BI64">
        <f t="shared" si="66"/>
        <v>53</v>
      </c>
      <c r="BJ64">
        <f t="shared" si="66"/>
        <v>54</v>
      </c>
      <c r="BK64">
        <f t="shared" si="66"/>
        <v>55</v>
      </c>
      <c r="BL64">
        <f t="shared" si="66"/>
        <v>56</v>
      </c>
      <c r="BM64">
        <f t="shared" si="66"/>
        <v>57</v>
      </c>
      <c r="BN64">
        <f t="shared" si="66"/>
        <v>58</v>
      </c>
      <c r="BO64">
        <f t="shared" si="66"/>
        <v>59</v>
      </c>
      <c r="BP64">
        <f t="shared" si="66"/>
        <v>60</v>
      </c>
      <c r="BQ64">
        <f t="shared" si="66"/>
        <v>61</v>
      </c>
      <c r="BR64">
        <f t="shared" si="66"/>
        <v>62</v>
      </c>
      <c r="BS64">
        <f t="shared" ref="BS64:DA64" si="67">IF(BS65&lt;$C65,"",BS65-$C65)</f>
        <v>63</v>
      </c>
      <c r="BT64">
        <f t="shared" si="67"/>
        <v>64</v>
      </c>
      <c r="BU64">
        <f t="shared" si="67"/>
        <v>65</v>
      </c>
      <c r="BV64">
        <f t="shared" si="67"/>
        <v>66</v>
      </c>
      <c r="BW64">
        <f t="shared" si="67"/>
        <v>67</v>
      </c>
      <c r="BX64">
        <f t="shared" si="67"/>
        <v>68</v>
      </c>
      <c r="BY64">
        <f t="shared" si="67"/>
        <v>69</v>
      </c>
      <c r="BZ64">
        <f t="shared" si="67"/>
        <v>70</v>
      </c>
      <c r="CA64">
        <f t="shared" si="67"/>
        <v>71</v>
      </c>
      <c r="CB64">
        <f t="shared" si="67"/>
        <v>72</v>
      </c>
      <c r="CC64">
        <f t="shared" si="67"/>
        <v>73</v>
      </c>
      <c r="CD64">
        <f t="shared" si="67"/>
        <v>74</v>
      </c>
      <c r="CE64">
        <f t="shared" si="67"/>
        <v>75</v>
      </c>
      <c r="CF64">
        <f t="shared" si="67"/>
        <v>76</v>
      </c>
      <c r="CG64">
        <f t="shared" si="67"/>
        <v>77</v>
      </c>
      <c r="CH64">
        <f t="shared" si="67"/>
        <v>78</v>
      </c>
      <c r="CI64">
        <f t="shared" si="67"/>
        <v>79</v>
      </c>
      <c r="CJ64">
        <f t="shared" si="67"/>
        <v>80</v>
      </c>
      <c r="CK64">
        <f t="shared" si="67"/>
        <v>81</v>
      </c>
      <c r="CL64">
        <f t="shared" si="67"/>
        <v>82</v>
      </c>
      <c r="CM64">
        <f t="shared" si="67"/>
        <v>83</v>
      </c>
      <c r="CN64">
        <f t="shared" si="67"/>
        <v>84</v>
      </c>
      <c r="CO64">
        <f t="shared" si="67"/>
        <v>85</v>
      </c>
      <c r="CP64">
        <f t="shared" si="67"/>
        <v>86</v>
      </c>
      <c r="CQ64">
        <f t="shared" si="67"/>
        <v>87</v>
      </c>
      <c r="CR64">
        <f t="shared" si="67"/>
        <v>88</v>
      </c>
      <c r="CS64">
        <f t="shared" si="67"/>
        <v>89</v>
      </c>
      <c r="CT64">
        <f t="shared" si="67"/>
        <v>90</v>
      </c>
      <c r="CU64">
        <f t="shared" si="67"/>
        <v>91</v>
      </c>
      <c r="CV64">
        <f t="shared" si="67"/>
        <v>92</v>
      </c>
      <c r="CW64">
        <f t="shared" si="67"/>
        <v>93</v>
      </c>
      <c r="CX64">
        <f t="shared" si="67"/>
        <v>94</v>
      </c>
      <c r="CY64">
        <f t="shared" si="67"/>
        <v>95</v>
      </c>
      <c r="CZ64">
        <f t="shared" si="67"/>
        <v>96</v>
      </c>
      <c r="DA64">
        <f t="shared" si="67"/>
        <v>97</v>
      </c>
    </row>
    <row r="65" spans="1:105" x14ac:dyDescent="0.4">
      <c r="A65" s="45"/>
      <c r="C65">
        <f>C48+1</f>
        <v>2030</v>
      </c>
      <c r="D65" s="5" t="s">
        <v>434</v>
      </c>
      <c r="E65" s="5">
        <v>2027</v>
      </c>
      <c r="F65" s="5">
        <v>2028</v>
      </c>
      <c r="G65" s="5">
        <v>2029</v>
      </c>
      <c r="H65" s="5">
        <v>2030</v>
      </c>
      <c r="I65" s="5">
        <v>2031</v>
      </c>
      <c r="J65" s="5">
        <v>2032</v>
      </c>
      <c r="K65" s="5">
        <v>2033</v>
      </c>
      <c r="L65" s="5">
        <v>2034</v>
      </c>
      <c r="M65" s="5">
        <v>2035</v>
      </c>
      <c r="N65" s="5">
        <v>2036</v>
      </c>
      <c r="O65" s="5">
        <v>2037</v>
      </c>
      <c r="P65" s="5">
        <v>2038</v>
      </c>
      <c r="Q65" s="5">
        <v>2039</v>
      </c>
      <c r="R65" s="5">
        <v>2040</v>
      </c>
      <c r="S65" s="5">
        <v>2041</v>
      </c>
      <c r="T65" s="5">
        <v>2042</v>
      </c>
      <c r="U65" s="5">
        <v>2043</v>
      </c>
      <c r="V65" s="5">
        <v>2044</v>
      </c>
      <c r="W65" s="5">
        <v>2045</v>
      </c>
      <c r="X65" s="5">
        <v>2046</v>
      </c>
      <c r="Y65" s="5">
        <v>2047</v>
      </c>
      <c r="Z65" s="5">
        <v>2048</v>
      </c>
      <c r="AA65" s="5">
        <v>2049</v>
      </c>
      <c r="AB65" s="5">
        <v>2050</v>
      </c>
      <c r="AC65" s="5">
        <v>2051</v>
      </c>
      <c r="AD65" s="5">
        <v>2052</v>
      </c>
      <c r="AE65" s="5">
        <v>2053</v>
      </c>
      <c r="AF65" s="5">
        <v>2054</v>
      </c>
      <c r="AG65" s="5">
        <v>2055</v>
      </c>
      <c r="AH65" s="5">
        <v>2056</v>
      </c>
      <c r="AI65" s="5">
        <v>2057</v>
      </c>
      <c r="AJ65" s="5">
        <v>2058</v>
      </c>
      <c r="AK65" s="5">
        <v>2059</v>
      </c>
      <c r="AL65" s="5">
        <v>2060</v>
      </c>
      <c r="AM65" s="5">
        <v>2061</v>
      </c>
      <c r="AN65" s="5">
        <v>2062</v>
      </c>
      <c r="AO65" s="5">
        <v>2063</v>
      </c>
      <c r="AP65" s="5">
        <v>2064</v>
      </c>
      <c r="AQ65" s="5">
        <v>2065</v>
      </c>
      <c r="AR65" s="5">
        <v>2066</v>
      </c>
      <c r="AS65" s="5">
        <v>2067</v>
      </c>
      <c r="AT65" s="5">
        <v>2068</v>
      </c>
      <c r="AU65" s="5">
        <v>2069</v>
      </c>
      <c r="AV65" s="5">
        <v>2070</v>
      </c>
      <c r="AW65" s="5">
        <v>2071</v>
      </c>
      <c r="AX65" s="5">
        <v>2072</v>
      </c>
      <c r="AY65" s="5">
        <v>2073</v>
      </c>
      <c r="AZ65" s="5">
        <v>2074</v>
      </c>
      <c r="BA65" s="5">
        <v>2075</v>
      </c>
      <c r="BB65" s="5">
        <v>2076</v>
      </c>
      <c r="BC65" s="5">
        <v>2077</v>
      </c>
      <c r="BD65" s="5">
        <v>2078</v>
      </c>
      <c r="BE65" s="5">
        <v>2079</v>
      </c>
      <c r="BF65" s="5">
        <v>2080</v>
      </c>
      <c r="BG65" s="5">
        <v>2081</v>
      </c>
      <c r="BH65" s="5">
        <v>2082</v>
      </c>
      <c r="BI65" s="5">
        <v>2083</v>
      </c>
      <c r="BJ65" s="5">
        <v>2084</v>
      </c>
      <c r="BK65" s="5">
        <v>2085</v>
      </c>
      <c r="BL65" s="5">
        <v>2086</v>
      </c>
      <c r="BM65" s="5">
        <v>2087</v>
      </c>
      <c r="BN65" s="5">
        <v>2088</v>
      </c>
      <c r="BO65" s="5">
        <v>2089</v>
      </c>
      <c r="BP65" s="5">
        <v>2090</v>
      </c>
      <c r="BQ65" s="5">
        <v>2091</v>
      </c>
      <c r="BR65" s="5">
        <v>2092</v>
      </c>
      <c r="BS65" s="5">
        <v>2093</v>
      </c>
      <c r="BT65" s="5">
        <v>2094</v>
      </c>
      <c r="BU65" s="5">
        <v>2095</v>
      </c>
      <c r="BV65" s="5">
        <v>2096</v>
      </c>
      <c r="BW65" s="5">
        <v>2097</v>
      </c>
      <c r="BX65" s="5">
        <v>2098</v>
      </c>
      <c r="BY65" s="5">
        <v>2099</v>
      </c>
      <c r="BZ65" s="5">
        <v>2100</v>
      </c>
      <c r="CA65" s="5">
        <v>2101</v>
      </c>
      <c r="CB65" s="5">
        <v>2102</v>
      </c>
      <c r="CC65" s="5">
        <v>2103</v>
      </c>
      <c r="CD65" s="5">
        <v>2104</v>
      </c>
      <c r="CE65" s="5">
        <v>2105</v>
      </c>
      <c r="CF65" s="5">
        <v>2106</v>
      </c>
      <c r="CG65" s="5">
        <v>2107</v>
      </c>
      <c r="CH65" s="5">
        <v>2108</v>
      </c>
      <c r="CI65" s="5">
        <v>2109</v>
      </c>
      <c r="CJ65" s="5">
        <v>2110</v>
      </c>
      <c r="CK65" s="5">
        <v>2111</v>
      </c>
      <c r="CL65" s="5">
        <v>2112</v>
      </c>
      <c r="CM65" s="5">
        <v>2113</v>
      </c>
      <c r="CN65" s="5">
        <v>2114</v>
      </c>
      <c r="CO65" s="5">
        <v>2115</v>
      </c>
      <c r="CP65" s="5">
        <v>2116</v>
      </c>
      <c r="CQ65" s="5">
        <v>2117</v>
      </c>
      <c r="CR65" s="5">
        <v>2118</v>
      </c>
      <c r="CS65" s="5">
        <v>2119</v>
      </c>
      <c r="CT65" s="5">
        <v>2120</v>
      </c>
      <c r="CU65" s="5">
        <v>2121</v>
      </c>
      <c r="CV65" s="5">
        <v>2122</v>
      </c>
      <c r="CW65" s="5">
        <v>2123</v>
      </c>
      <c r="CX65" s="5">
        <v>2124</v>
      </c>
      <c r="CY65" s="5">
        <v>2125</v>
      </c>
      <c r="CZ65" s="5">
        <v>2126</v>
      </c>
      <c r="DA65" s="5">
        <v>2127</v>
      </c>
    </row>
    <row r="66" spans="1:105" x14ac:dyDescent="0.4">
      <c r="D66" t="s">
        <v>207</v>
      </c>
      <c r="I66" s="8">
        <f>IF(I$13&lt;=$B$3,I67/$B$3,0)</f>
        <v>21416.056907437138</v>
      </c>
      <c r="J66" s="8">
        <f>IF(J64&lt;=$B$3,I66,0)</f>
        <v>21416.056907437138</v>
      </c>
      <c r="K66" s="8">
        <f t="shared" ref="K66:BV66" si="68">IF(K64&lt;=$B$3,J66,0)</f>
        <v>21416.056907437138</v>
      </c>
      <c r="L66" s="8">
        <f t="shared" si="68"/>
        <v>21416.056907437138</v>
      </c>
      <c r="M66" s="8">
        <f t="shared" si="68"/>
        <v>21416.056907437138</v>
      </c>
      <c r="N66" s="8">
        <f t="shared" si="68"/>
        <v>21416.056907437138</v>
      </c>
      <c r="O66" s="8">
        <f t="shared" si="68"/>
        <v>21416.056907437138</v>
      </c>
      <c r="P66" s="8">
        <f t="shared" si="68"/>
        <v>21416.056907437138</v>
      </c>
      <c r="Q66" s="8">
        <f t="shared" si="68"/>
        <v>21416.056907437138</v>
      </c>
      <c r="R66" s="8">
        <f t="shared" si="68"/>
        <v>21416.056907437138</v>
      </c>
      <c r="S66" s="8">
        <f t="shared" si="68"/>
        <v>21416.056907437138</v>
      </c>
      <c r="T66" s="8">
        <f t="shared" si="68"/>
        <v>21416.056907437138</v>
      </c>
      <c r="U66" s="8">
        <f t="shared" si="68"/>
        <v>21416.056907437138</v>
      </c>
      <c r="V66" s="8">
        <f t="shared" si="68"/>
        <v>21416.056907437138</v>
      </c>
      <c r="W66" s="8">
        <f t="shared" si="68"/>
        <v>21416.056907437138</v>
      </c>
      <c r="X66" s="8">
        <f t="shared" si="68"/>
        <v>21416.056907437138</v>
      </c>
      <c r="Y66" s="8">
        <f t="shared" si="68"/>
        <v>21416.056907437138</v>
      </c>
      <c r="Z66" s="8">
        <f t="shared" si="68"/>
        <v>21416.056907437138</v>
      </c>
      <c r="AA66" s="8">
        <f t="shared" si="68"/>
        <v>21416.056907437138</v>
      </c>
      <c r="AB66" s="8">
        <f t="shared" si="68"/>
        <v>21416.056907437138</v>
      </c>
      <c r="AC66" s="8">
        <f t="shared" si="68"/>
        <v>21416.056907437138</v>
      </c>
      <c r="AD66" s="8">
        <f t="shared" si="68"/>
        <v>21416.056907437138</v>
      </c>
      <c r="AE66" s="8">
        <f t="shared" si="68"/>
        <v>21416.056907437138</v>
      </c>
      <c r="AF66" s="8">
        <f t="shared" si="68"/>
        <v>21416.056907437138</v>
      </c>
      <c r="AG66" s="8">
        <f t="shared" si="68"/>
        <v>21416.056907437138</v>
      </c>
      <c r="AH66" s="8">
        <f t="shared" si="68"/>
        <v>21416.056907437138</v>
      </c>
      <c r="AI66" s="8">
        <f t="shared" si="68"/>
        <v>21416.056907437138</v>
      </c>
      <c r="AJ66" s="8">
        <f t="shared" si="68"/>
        <v>21416.056907437138</v>
      </c>
      <c r="AK66" s="8">
        <f t="shared" si="68"/>
        <v>21416.056907437138</v>
      </c>
      <c r="AL66" s="8">
        <f t="shared" si="68"/>
        <v>21416.056907437138</v>
      </c>
      <c r="AM66" s="8">
        <f t="shared" si="68"/>
        <v>21416.056907437138</v>
      </c>
      <c r="AN66" s="8">
        <f t="shared" si="68"/>
        <v>21416.056907437138</v>
      </c>
      <c r="AO66" s="8">
        <f t="shared" si="68"/>
        <v>21416.056907437138</v>
      </c>
      <c r="AP66" s="8">
        <f t="shared" si="68"/>
        <v>21416.056907437138</v>
      </c>
      <c r="AQ66" s="8">
        <f t="shared" si="68"/>
        <v>21416.056907437138</v>
      </c>
      <c r="AR66" s="8">
        <f t="shared" si="68"/>
        <v>21416.056907437138</v>
      </c>
      <c r="AS66" s="8">
        <f t="shared" si="68"/>
        <v>21416.056907437138</v>
      </c>
      <c r="AT66" s="8">
        <f t="shared" si="68"/>
        <v>21416.056907437138</v>
      </c>
      <c r="AU66" s="8">
        <f t="shared" si="68"/>
        <v>21416.056907437138</v>
      </c>
      <c r="AV66" s="8">
        <f t="shared" si="68"/>
        <v>21416.056907437138</v>
      </c>
      <c r="AW66" s="8">
        <f t="shared" si="68"/>
        <v>21416.056907437138</v>
      </c>
      <c r="AX66" s="8">
        <f t="shared" si="68"/>
        <v>21416.056907437138</v>
      </c>
      <c r="AY66" s="8">
        <f t="shared" si="68"/>
        <v>21416.056907437138</v>
      </c>
      <c r="AZ66" s="8">
        <f t="shared" si="68"/>
        <v>21416.056907437138</v>
      </c>
      <c r="BA66" s="8">
        <f t="shared" si="68"/>
        <v>21416.056907437138</v>
      </c>
      <c r="BB66" s="8">
        <f t="shared" si="68"/>
        <v>21416.056907437138</v>
      </c>
      <c r="BC66" s="8">
        <f t="shared" si="68"/>
        <v>21416.056907437138</v>
      </c>
      <c r="BD66" s="8">
        <f t="shared" si="68"/>
        <v>21416.056907437138</v>
      </c>
      <c r="BE66" s="8">
        <f t="shared" si="68"/>
        <v>21416.056907437138</v>
      </c>
      <c r="BF66" s="8">
        <f t="shared" si="68"/>
        <v>21416.056907437138</v>
      </c>
      <c r="BG66" s="8">
        <f t="shared" si="68"/>
        <v>0</v>
      </c>
      <c r="BH66" s="8">
        <f t="shared" si="68"/>
        <v>0</v>
      </c>
      <c r="BI66" s="8">
        <f t="shared" si="68"/>
        <v>0</v>
      </c>
      <c r="BJ66" s="8">
        <f t="shared" si="68"/>
        <v>0</v>
      </c>
      <c r="BK66" s="8">
        <f t="shared" si="68"/>
        <v>0</v>
      </c>
      <c r="BL66" s="8">
        <f t="shared" si="68"/>
        <v>0</v>
      </c>
      <c r="BM66" s="8">
        <f t="shared" si="68"/>
        <v>0</v>
      </c>
      <c r="BN66" s="8">
        <f t="shared" si="68"/>
        <v>0</v>
      </c>
      <c r="BO66" s="8">
        <f t="shared" si="68"/>
        <v>0</v>
      </c>
      <c r="BP66" s="8">
        <f t="shared" si="68"/>
        <v>0</v>
      </c>
      <c r="BQ66" s="8">
        <f t="shared" si="68"/>
        <v>0</v>
      </c>
      <c r="BR66" s="8">
        <f t="shared" si="68"/>
        <v>0</v>
      </c>
      <c r="BS66" s="8">
        <f t="shared" si="68"/>
        <v>0</v>
      </c>
      <c r="BT66" s="8">
        <f t="shared" si="68"/>
        <v>0</v>
      </c>
      <c r="BU66" s="8">
        <f t="shared" si="68"/>
        <v>0</v>
      </c>
      <c r="BV66" s="8">
        <f t="shared" si="68"/>
        <v>0</v>
      </c>
      <c r="BW66" s="8">
        <f t="shared" ref="BW66:DA66" si="69">IF(BW64&lt;=$B$3,BV66,0)</f>
        <v>0</v>
      </c>
      <c r="BX66" s="8">
        <f t="shared" si="69"/>
        <v>0</v>
      </c>
      <c r="BY66" s="8">
        <f t="shared" si="69"/>
        <v>0</v>
      </c>
      <c r="BZ66" s="8">
        <f t="shared" si="69"/>
        <v>0</v>
      </c>
      <c r="CA66" s="8">
        <f t="shared" si="69"/>
        <v>0</v>
      </c>
      <c r="CB66" s="8">
        <f t="shared" si="69"/>
        <v>0</v>
      </c>
      <c r="CC66" s="8">
        <f t="shared" si="69"/>
        <v>0</v>
      </c>
      <c r="CD66" s="8">
        <f t="shared" si="69"/>
        <v>0</v>
      </c>
      <c r="CE66" s="8">
        <f t="shared" si="69"/>
        <v>0</v>
      </c>
      <c r="CF66" s="8">
        <f t="shared" si="69"/>
        <v>0</v>
      </c>
      <c r="CG66" s="8">
        <f t="shared" si="69"/>
        <v>0</v>
      </c>
      <c r="CH66" s="8">
        <f t="shared" si="69"/>
        <v>0</v>
      </c>
      <c r="CI66" s="8">
        <f t="shared" si="69"/>
        <v>0</v>
      </c>
      <c r="CJ66" s="8">
        <f t="shared" si="69"/>
        <v>0</v>
      </c>
      <c r="CK66" s="8">
        <f t="shared" si="69"/>
        <v>0</v>
      </c>
      <c r="CL66" s="8">
        <f t="shared" si="69"/>
        <v>0</v>
      </c>
      <c r="CM66" s="8">
        <f t="shared" si="69"/>
        <v>0</v>
      </c>
      <c r="CN66" s="8">
        <f t="shared" si="69"/>
        <v>0</v>
      </c>
      <c r="CO66" s="8">
        <f t="shared" si="69"/>
        <v>0</v>
      </c>
      <c r="CP66" s="8">
        <f t="shared" si="69"/>
        <v>0</v>
      </c>
      <c r="CQ66" s="8">
        <f t="shared" si="69"/>
        <v>0</v>
      </c>
      <c r="CR66" s="8">
        <f t="shared" si="69"/>
        <v>0</v>
      </c>
      <c r="CS66" s="8">
        <f t="shared" si="69"/>
        <v>0</v>
      </c>
      <c r="CT66" s="8">
        <f t="shared" si="69"/>
        <v>0</v>
      </c>
      <c r="CU66" s="8">
        <f t="shared" si="69"/>
        <v>0</v>
      </c>
      <c r="CV66" s="8">
        <f t="shared" si="69"/>
        <v>0</v>
      </c>
      <c r="CW66" s="8">
        <f t="shared" si="69"/>
        <v>0</v>
      </c>
      <c r="CX66" s="8">
        <f t="shared" si="69"/>
        <v>0</v>
      </c>
      <c r="CY66" s="8">
        <f t="shared" si="69"/>
        <v>0</v>
      </c>
      <c r="CZ66" s="8">
        <f t="shared" si="69"/>
        <v>0</v>
      </c>
      <c r="DA66" s="8">
        <f t="shared" si="69"/>
        <v>0</v>
      </c>
    </row>
    <row r="67" spans="1:105" x14ac:dyDescent="0.4">
      <c r="D67" t="s">
        <v>154</v>
      </c>
      <c r="H67" s="8">
        <f>HLOOKUP(I65,$F$3:$O$10,7,0)</f>
        <v>1070802.8453718568</v>
      </c>
      <c r="I67" s="8">
        <f t="shared" ref="I67:BT67" si="70">IF(ROUND(H68,4)=-ROUND(H67,4),0,H67)</f>
        <v>1070802.8453718568</v>
      </c>
      <c r="J67" s="8">
        <f t="shared" si="70"/>
        <v>1070802.8453718568</v>
      </c>
      <c r="K67" s="8">
        <f t="shared" si="70"/>
        <v>1070802.8453718568</v>
      </c>
      <c r="L67" s="8">
        <f t="shared" si="70"/>
        <v>1070802.8453718568</v>
      </c>
      <c r="M67" s="8">
        <f t="shared" si="70"/>
        <v>1070802.8453718568</v>
      </c>
      <c r="N67" s="8">
        <f t="shared" si="70"/>
        <v>1070802.8453718568</v>
      </c>
      <c r="O67" s="8">
        <f t="shared" si="70"/>
        <v>1070802.8453718568</v>
      </c>
      <c r="P67" s="8">
        <f t="shared" si="70"/>
        <v>1070802.8453718568</v>
      </c>
      <c r="Q67" s="8">
        <f t="shared" si="70"/>
        <v>1070802.8453718568</v>
      </c>
      <c r="R67" s="8">
        <f t="shared" si="70"/>
        <v>1070802.8453718568</v>
      </c>
      <c r="S67" s="8">
        <f t="shared" si="70"/>
        <v>1070802.8453718568</v>
      </c>
      <c r="T67" s="8">
        <f t="shared" si="70"/>
        <v>1070802.8453718568</v>
      </c>
      <c r="U67" s="8">
        <f t="shared" si="70"/>
        <v>1070802.8453718568</v>
      </c>
      <c r="V67" s="8">
        <f t="shared" si="70"/>
        <v>1070802.8453718568</v>
      </c>
      <c r="W67" s="8">
        <f t="shared" si="70"/>
        <v>1070802.8453718568</v>
      </c>
      <c r="X67" s="8">
        <f t="shared" si="70"/>
        <v>1070802.8453718568</v>
      </c>
      <c r="Y67" s="8">
        <f t="shared" si="70"/>
        <v>1070802.8453718568</v>
      </c>
      <c r="Z67" s="8">
        <f t="shared" si="70"/>
        <v>1070802.8453718568</v>
      </c>
      <c r="AA67" s="8">
        <f t="shared" si="70"/>
        <v>1070802.8453718568</v>
      </c>
      <c r="AB67" s="8">
        <f t="shared" si="70"/>
        <v>1070802.8453718568</v>
      </c>
      <c r="AC67" s="8">
        <f t="shared" si="70"/>
        <v>1070802.8453718568</v>
      </c>
      <c r="AD67" s="8">
        <f t="shared" si="70"/>
        <v>1070802.8453718568</v>
      </c>
      <c r="AE67" s="8">
        <f t="shared" si="70"/>
        <v>1070802.8453718568</v>
      </c>
      <c r="AF67" s="8">
        <f t="shared" si="70"/>
        <v>1070802.8453718568</v>
      </c>
      <c r="AG67" s="8">
        <f t="shared" si="70"/>
        <v>1070802.8453718568</v>
      </c>
      <c r="AH67" s="8">
        <f t="shared" si="70"/>
        <v>1070802.8453718568</v>
      </c>
      <c r="AI67" s="8">
        <f t="shared" si="70"/>
        <v>1070802.8453718568</v>
      </c>
      <c r="AJ67" s="8">
        <f t="shared" si="70"/>
        <v>1070802.8453718568</v>
      </c>
      <c r="AK67" s="8">
        <f t="shared" si="70"/>
        <v>1070802.8453718568</v>
      </c>
      <c r="AL67" s="8">
        <f t="shared" si="70"/>
        <v>1070802.8453718568</v>
      </c>
      <c r="AM67" s="8">
        <f t="shared" si="70"/>
        <v>1070802.8453718568</v>
      </c>
      <c r="AN67" s="8">
        <f t="shared" si="70"/>
        <v>1070802.8453718568</v>
      </c>
      <c r="AO67" s="8">
        <f t="shared" si="70"/>
        <v>1070802.8453718568</v>
      </c>
      <c r="AP67" s="8">
        <f t="shared" si="70"/>
        <v>1070802.8453718568</v>
      </c>
      <c r="AQ67" s="8">
        <f t="shared" si="70"/>
        <v>1070802.8453718568</v>
      </c>
      <c r="AR67" s="8">
        <f t="shared" si="70"/>
        <v>1070802.8453718568</v>
      </c>
      <c r="AS67" s="8">
        <f t="shared" si="70"/>
        <v>1070802.8453718568</v>
      </c>
      <c r="AT67" s="8">
        <f t="shared" si="70"/>
        <v>1070802.8453718568</v>
      </c>
      <c r="AU67" s="8">
        <f t="shared" si="70"/>
        <v>1070802.8453718568</v>
      </c>
      <c r="AV67" s="8">
        <f t="shared" si="70"/>
        <v>1070802.8453718568</v>
      </c>
      <c r="AW67" s="8">
        <f t="shared" si="70"/>
        <v>1070802.8453718568</v>
      </c>
      <c r="AX67" s="8">
        <f t="shared" si="70"/>
        <v>1070802.8453718568</v>
      </c>
      <c r="AY67" s="8">
        <f t="shared" si="70"/>
        <v>1070802.8453718568</v>
      </c>
      <c r="AZ67" s="8">
        <f t="shared" si="70"/>
        <v>1070802.8453718568</v>
      </c>
      <c r="BA67" s="8">
        <f t="shared" si="70"/>
        <v>1070802.8453718568</v>
      </c>
      <c r="BB67" s="8">
        <f t="shared" si="70"/>
        <v>1070802.8453718568</v>
      </c>
      <c r="BC67" s="8">
        <f t="shared" si="70"/>
        <v>1070802.8453718568</v>
      </c>
      <c r="BD67" s="8">
        <f t="shared" si="70"/>
        <v>1070802.8453718568</v>
      </c>
      <c r="BE67" s="8">
        <f t="shared" si="70"/>
        <v>1070802.8453718568</v>
      </c>
      <c r="BF67" s="8">
        <f t="shared" si="70"/>
        <v>1070802.8453718568</v>
      </c>
      <c r="BG67" s="8">
        <f t="shared" si="70"/>
        <v>0</v>
      </c>
      <c r="BH67" s="8">
        <f t="shared" si="70"/>
        <v>0</v>
      </c>
      <c r="BI67" s="8">
        <f t="shared" si="70"/>
        <v>0</v>
      </c>
      <c r="BJ67" s="8">
        <f t="shared" si="70"/>
        <v>0</v>
      </c>
      <c r="BK67" s="8">
        <f t="shared" si="70"/>
        <v>0</v>
      </c>
      <c r="BL67" s="8">
        <f t="shared" si="70"/>
        <v>0</v>
      </c>
      <c r="BM67" s="8">
        <f t="shared" si="70"/>
        <v>0</v>
      </c>
      <c r="BN67" s="8">
        <f t="shared" si="70"/>
        <v>0</v>
      </c>
      <c r="BO67" s="8">
        <f t="shared" si="70"/>
        <v>0</v>
      </c>
      <c r="BP67" s="8">
        <f t="shared" si="70"/>
        <v>0</v>
      </c>
      <c r="BQ67" s="8">
        <f t="shared" si="70"/>
        <v>0</v>
      </c>
      <c r="BR67" s="8">
        <f t="shared" si="70"/>
        <v>0</v>
      </c>
      <c r="BS67" s="8">
        <f t="shared" si="70"/>
        <v>0</v>
      </c>
      <c r="BT67" s="8">
        <f t="shared" si="70"/>
        <v>0</v>
      </c>
      <c r="BU67" s="8">
        <f t="shared" ref="BU67:DA67" si="71">IF(ROUND(BT68,4)=-ROUND(BT67,4),0,BT67)</f>
        <v>0</v>
      </c>
      <c r="BV67" s="8">
        <f t="shared" si="71"/>
        <v>0</v>
      </c>
      <c r="BW67" s="8">
        <f t="shared" si="71"/>
        <v>0</v>
      </c>
      <c r="BX67" s="8">
        <f t="shared" si="71"/>
        <v>0</v>
      </c>
      <c r="BY67" s="8">
        <f t="shared" si="71"/>
        <v>0</v>
      </c>
      <c r="BZ67" s="8">
        <f t="shared" si="71"/>
        <v>0</v>
      </c>
      <c r="CA67" s="8">
        <f t="shared" si="71"/>
        <v>0</v>
      </c>
      <c r="CB67" s="8">
        <f t="shared" si="71"/>
        <v>0</v>
      </c>
      <c r="CC67" s="8">
        <f t="shared" si="71"/>
        <v>0</v>
      </c>
      <c r="CD67" s="8">
        <f t="shared" si="71"/>
        <v>0</v>
      </c>
      <c r="CE67" s="8">
        <f t="shared" si="71"/>
        <v>0</v>
      </c>
      <c r="CF67" s="8">
        <f t="shared" si="71"/>
        <v>0</v>
      </c>
      <c r="CG67" s="8">
        <f t="shared" si="71"/>
        <v>0</v>
      </c>
      <c r="CH67" s="8">
        <f t="shared" si="71"/>
        <v>0</v>
      </c>
      <c r="CI67" s="8">
        <f t="shared" si="71"/>
        <v>0</v>
      </c>
      <c r="CJ67" s="8">
        <f t="shared" si="71"/>
        <v>0</v>
      </c>
      <c r="CK67" s="8">
        <f t="shared" si="71"/>
        <v>0</v>
      </c>
      <c r="CL67" s="8">
        <f t="shared" si="71"/>
        <v>0</v>
      </c>
      <c r="CM67" s="8">
        <f t="shared" si="71"/>
        <v>0</v>
      </c>
      <c r="CN67" s="8">
        <f t="shared" si="71"/>
        <v>0</v>
      </c>
      <c r="CO67" s="8">
        <f t="shared" si="71"/>
        <v>0</v>
      </c>
      <c r="CP67" s="8">
        <f t="shared" si="71"/>
        <v>0</v>
      </c>
      <c r="CQ67" s="8">
        <f t="shared" si="71"/>
        <v>0</v>
      </c>
      <c r="CR67" s="8">
        <f t="shared" si="71"/>
        <v>0</v>
      </c>
      <c r="CS67" s="8">
        <f t="shared" si="71"/>
        <v>0</v>
      </c>
      <c r="CT67" s="8">
        <f t="shared" si="71"/>
        <v>0</v>
      </c>
      <c r="CU67" s="8">
        <f t="shared" si="71"/>
        <v>0</v>
      </c>
      <c r="CV67" s="8">
        <f t="shared" si="71"/>
        <v>0</v>
      </c>
      <c r="CW67" s="8">
        <f t="shared" si="71"/>
        <v>0</v>
      </c>
      <c r="CX67" s="8">
        <f t="shared" si="71"/>
        <v>0</v>
      </c>
      <c r="CY67" s="8">
        <f t="shared" si="71"/>
        <v>0</v>
      </c>
      <c r="CZ67" s="8">
        <f t="shared" si="71"/>
        <v>0</v>
      </c>
      <c r="DA67" s="8">
        <f t="shared" si="71"/>
        <v>0</v>
      </c>
    </row>
    <row r="68" spans="1:105" x14ac:dyDescent="0.4">
      <c r="D68" t="s">
        <v>208</v>
      </c>
      <c r="H68" s="8"/>
      <c r="I68" s="8">
        <f>IF(I64&lt;=$B$3,-SUM($E66:I66),0)</f>
        <v>-21416.056907437138</v>
      </c>
      <c r="J68" s="8">
        <f>IF(J64&lt;=$B$3,-SUM($E66:J66),0)</f>
        <v>-42832.113814874276</v>
      </c>
      <c r="K68" s="8">
        <f>IF(K64&lt;=$B$3,-SUM($E66:K66),0)</f>
        <v>-64248.170722311414</v>
      </c>
      <c r="L68" s="8">
        <f>IF(L64&lt;=$B$3,-SUM($E66:L66),0)</f>
        <v>-85664.227629748551</v>
      </c>
      <c r="M68" s="8">
        <f>IF(M64&lt;=$B$3,-SUM($E66:M66),0)</f>
        <v>-107080.28453718568</v>
      </c>
      <c r="N68" s="8">
        <f>IF(N64&lt;=$B$3,-SUM($E66:N66),0)</f>
        <v>-128496.34144462281</v>
      </c>
      <c r="O68" s="8">
        <f>IF(O64&lt;=$B$3,-SUM($E66:O66),0)</f>
        <v>-149912.39835205994</v>
      </c>
      <c r="P68" s="8">
        <f>IF(P64&lt;=$B$3,-SUM($E66:P66),0)</f>
        <v>-171328.45525949707</v>
      </c>
      <c r="Q68" s="8">
        <f>IF(Q64&lt;=$B$3,-SUM($E66:Q66),0)</f>
        <v>-192744.5121669342</v>
      </c>
      <c r="R68" s="8">
        <f>IF(R64&lt;=$B$3,-SUM($E66:R66),0)</f>
        <v>-214160.56907437133</v>
      </c>
      <c r="S68" s="8">
        <f>IF(S64&lt;=$B$3,-SUM($E66:S66),0)</f>
        <v>-235576.62598180847</v>
      </c>
      <c r="T68" s="8">
        <f>IF(T64&lt;=$B$3,-SUM($E66:T66),0)</f>
        <v>-256992.6828892456</v>
      </c>
      <c r="U68" s="8">
        <f>IF(U64&lt;=$B$3,-SUM($E66:U66),0)</f>
        <v>-278408.73979668273</v>
      </c>
      <c r="V68" s="8">
        <f>IF(V64&lt;=$B$3,-SUM($E66:V66),0)</f>
        <v>-299824.79670411989</v>
      </c>
      <c r="W68" s="8">
        <f>IF(W64&lt;=$B$3,-SUM($E66:W66),0)</f>
        <v>-321240.85361155705</v>
      </c>
      <c r="X68" s="8">
        <f>IF(X64&lt;=$B$3,-SUM($E66:X66),0)</f>
        <v>-342656.91051899421</v>
      </c>
      <c r="Y68" s="8">
        <f>IF(Y64&lt;=$B$3,-SUM($E66:Y66),0)</f>
        <v>-364072.96742643137</v>
      </c>
      <c r="Z68" s="8">
        <f>IF(Z64&lt;=$B$3,-SUM($E66:Z66),0)</f>
        <v>-385489.02433386852</v>
      </c>
      <c r="AA68" s="8">
        <f>IF(AA64&lt;=$B$3,-SUM($E66:AA66),0)</f>
        <v>-406905.08124130568</v>
      </c>
      <c r="AB68" s="8">
        <f>IF(AB64&lt;=$B$3,-SUM($E66:AB66),0)</f>
        <v>-428321.13814874284</v>
      </c>
      <c r="AC68" s="8">
        <f>IF(AC64&lt;=$B$3,-SUM($E66:AC66),0)</f>
        <v>-449737.19505618</v>
      </c>
      <c r="AD68" s="8">
        <f>IF(AD64&lt;=$B$3,-SUM($E66:AD66),0)</f>
        <v>-471153.25196361716</v>
      </c>
      <c r="AE68" s="8">
        <f>IF(AE64&lt;=$B$3,-SUM($E66:AE66),0)</f>
        <v>-492569.30887105432</v>
      </c>
      <c r="AF68" s="8">
        <f>IF(AF64&lt;=$B$3,-SUM($E66:AF66),0)</f>
        <v>-513985.36577849148</v>
      </c>
      <c r="AG68" s="8">
        <f>IF(AG64&lt;=$B$3,-SUM($E66:AG66),0)</f>
        <v>-535401.42268592864</v>
      </c>
      <c r="AH68" s="8">
        <f>IF(AH64&lt;=$B$3,-SUM($E66:AH66),0)</f>
        <v>-556817.4795933658</v>
      </c>
      <c r="AI68" s="8">
        <f>IF(AI64&lt;=$B$3,-SUM($E66:AI66),0)</f>
        <v>-578233.53650080296</v>
      </c>
      <c r="AJ68" s="8">
        <f>IF(AJ64&lt;=$B$3,-SUM($E66:AJ66),0)</f>
        <v>-599649.59340824012</v>
      </c>
      <c r="AK68" s="8">
        <f>IF(AK64&lt;=$B$3,-SUM($E66:AK66),0)</f>
        <v>-621065.65031567728</v>
      </c>
      <c r="AL68" s="8">
        <f>IF(AL64&lt;=$B$3,-SUM($E66:AL66),0)</f>
        <v>-642481.70722311444</v>
      </c>
      <c r="AM68" s="8">
        <f>IF(AM64&lt;=$B$3,-SUM($E66:AM66),0)</f>
        <v>-663897.7641305516</v>
      </c>
      <c r="AN68" s="8">
        <f>IF(AN64&lt;=$B$3,-SUM($E66:AN66),0)</f>
        <v>-685313.82103798876</v>
      </c>
      <c r="AO68" s="8">
        <f>IF(AO64&lt;=$B$3,-SUM($E66:AO66),0)</f>
        <v>-706729.87794542592</v>
      </c>
      <c r="AP68" s="8">
        <f>IF(AP64&lt;=$B$3,-SUM($E66:AP66),0)</f>
        <v>-728145.93485286308</v>
      </c>
      <c r="AQ68" s="8">
        <f>IF(AQ64&lt;=$B$3,-SUM($E66:AQ66),0)</f>
        <v>-749561.99176030024</v>
      </c>
      <c r="AR68" s="8">
        <f>IF(AR64&lt;=$B$3,-SUM($E66:AR66),0)</f>
        <v>-770978.0486677374</v>
      </c>
      <c r="AS68" s="8">
        <f>IF(AS64&lt;=$B$3,-SUM($E66:AS66),0)</f>
        <v>-792394.10557517456</v>
      </c>
      <c r="AT68" s="8">
        <f>IF(AT64&lt;=$B$3,-SUM($E66:AT66),0)</f>
        <v>-813810.16248261172</v>
      </c>
      <c r="AU68" s="8">
        <f>IF(AU64&lt;=$B$3,-SUM($E66:AU66),0)</f>
        <v>-835226.21939004888</v>
      </c>
      <c r="AV68" s="8">
        <f>IF(AV64&lt;=$B$3,-SUM($E66:AV66),0)</f>
        <v>-856642.27629748604</v>
      </c>
      <c r="AW68" s="8">
        <f>IF(AW64&lt;=$B$3,-SUM($E66:AW66),0)</f>
        <v>-878058.3332049232</v>
      </c>
      <c r="AX68" s="8">
        <f>IF(AX64&lt;=$B$3,-SUM($E66:AX66),0)</f>
        <v>-899474.39011236036</v>
      </c>
      <c r="AY68" s="8">
        <f>IF(AY64&lt;=$B$3,-SUM($E66:AY66),0)</f>
        <v>-920890.44701979752</v>
      </c>
      <c r="AZ68" s="8">
        <f>IF(AZ64&lt;=$B$3,-SUM($E66:AZ66),0)</f>
        <v>-942306.50392723468</v>
      </c>
      <c r="BA68" s="8">
        <f>IF(BA64&lt;=$B$3,-SUM($E66:BA66),0)</f>
        <v>-963722.56083467184</v>
      </c>
      <c r="BB68" s="8">
        <f>IF(BB64&lt;=$B$3,-SUM($E66:BB66),0)</f>
        <v>-985138.617742109</v>
      </c>
      <c r="BC68" s="8">
        <f>IF(BC64&lt;=$B$3,-SUM($E66:BC66),0)</f>
        <v>-1006554.6746495462</v>
      </c>
      <c r="BD68" s="8">
        <f>IF(BD64&lt;=$B$3,-SUM($E66:BD66),0)</f>
        <v>-1027970.7315569833</v>
      </c>
      <c r="BE68" s="8">
        <f>IF(BE64&lt;=$B$3,-SUM($E66:BE66),0)</f>
        <v>-1049386.7884644205</v>
      </c>
      <c r="BF68" s="8">
        <f>IF(BF64&lt;=$B$3,-SUM($E66:BF66),0)</f>
        <v>-1070802.8453718575</v>
      </c>
      <c r="BG68" s="8">
        <f>IF(BG64&lt;=$B$3,-SUM($E66:BG66),0)</f>
        <v>0</v>
      </c>
      <c r="BH68" s="8">
        <f>IF(BH64&lt;=$B$3,-SUM($E66:BH66),0)</f>
        <v>0</v>
      </c>
      <c r="BI68" s="8">
        <f>IF(BI64&lt;=$B$3,-SUM($E66:BI66),0)</f>
        <v>0</v>
      </c>
      <c r="BJ68" s="8">
        <f>IF(BJ64&lt;=$B$3,-SUM($E66:BJ66),0)</f>
        <v>0</v>
      </c>
      <c r="BK68" s="8">
        <f>IF(BK64&lt;=$B$3,-SUM($E66:BK66),0)</f>
        <v>0</v>
      </c>
      <c r="BL68" s="8">
        <f>IF(BL64&lt;=$B$3,-SUM($E66:BL66),0)</f>
        <v>0</v>
      </c>
      <c r="BM68" s="8">
        <f>IF(BM64&lt;=$B$3,-SUM($E66:BM66),0)</f>
        <v>0</v>
      </c>
      <c r="BN68" s="8">
        <f>IF(BN64&lt;=$B$3,-SUM($E66:BN66),0)</f>
        <v>0</v>
      </c>
      <c r="BO68" s="8">
        <f>IF(BO64&lt;=$B$3,-SUM($E66:BO66),0)</f>
        <v>0</v>
      </c>
      <c r="BP68" s="8">
        <f>IF(BP64&lt;=$B$3,-SUM($E66:BP66),0)</f>
        <v>0</v>
      </c>
      <c r="BQ68" s="8">
        <f>IF(BQ64&lt;=$B$3,-SUM($E66:BQ66),0)</f>
        <v>0</v>
      </c>
      <c r="BR68" s="8">
        <f>IF(BR64&lt;=$B$3,-SUM($E66:BR66),0)</f>
        <v>0</v>
      </c>
      <c r="BS68" s="8">
        <f>IF(BS64&lt;=$B$3,-SUM($E66:BS66),0)</f>
        <v>0</v>
      </c>
      <c r="BT68" s="8">
        <f>IF(BT64&lt;=$B$3,-SUM($E66:BT66),0)</f>
        <v>0</v>
      </c>
      <c r="BU68" s="8">
        <f>IF(BU64&lt;=$B$3,-SUM($E66:BU66),0)</f>
        <v>0</v>
      </c>
      <c r="BV68" s="8">
        <f>IF(BV64&lt;=$B$3,-SUM($E66:BV66),0)</f>
        <v>0</v>
      </c>
      <c r="BW68" s="8">
        <f>IF(BW64&lt;=$B$3,-SUM($E66:BW66),0)</f>
        <v>0</v>
      </c>
      <c r="BX68" s="8">
        <f>IF(BX64&lt;=$B$3,-SUM($E66:BX66),0)</f>
        <v>0</v>
      </c>
      <c r="BY68" s="8">
        <f>IF(BY64&lt;=$B$3,-SUM($E66:BY66),0)</f>
        <v>0</v>
      </c>
      <c r="BZ68" s="8">
        <f>IF(BZ64&lt;=$B$3,-SUM($E66:BZ66),0)</f>
        <v>0</v>
      </c>
      <c r="CA68" s="8">
        <f>IF(CA64&lt;=$B$3,-SUM($E66:CA66),0)</f>
        <v>0</v>
      </c>
      <c r="CB68" s="8">
        <f>IF(CB64&lt;=$B$3,-SUM($E66:CB66),0)</f>
        <v>0</v>
      </c>
      <c r="CC68" s="8">
        <f>IF(CC64&lt;=$B$3,-SUM($E66:CC66),0)</f>
        <v>0</v>
      </c>
      <c r="CD68" s="8">
        <f>IF(CD64&lt;=$B$3,-SUM($E66:CD66),0)</f>
        <v>0</v>
      </c>
      <c r="CE68" s="8">
        <f>IF(CE64&lt;=$B$3,-SUM($E66:CE66),0)</f>
        <v>0</v>
      </c>
      <c r="CF68" s="8">
        <f>IF(CF64&lt;=$B$3,-SUM($E66:CF66),0)</f>
        <v>0</v>
      </c>
      <c r="CG68" s="8">
        <f>IF(CG64&lt;=$B$3,-SUM($E66:CG66),0)</f>
        <v>0</v>
      </c>
      <c r="CH68" s="8">
        <f>IF(CH64&lt;=$B$3,-SUM($E66:CH66),0)</f>
        <v>0</v>
      </c>
      <c r="CI68" s="8">
        <f>IF(CI64&lt;=$B$3,-SUM($E66:CI66),0)</f>
        <v>0</v>
      </c>
      <c r="CJ68" s="8">
        <f>IF(CJ64&lt;=$B$3,-SUM($E66:CJ66),0)</f>
        <v>0</v>
      </c>
      <c r="CK68" s="8">
        <f>IF(CK64&lt;=$B$3,-SUM($E66:CK66),0)</f>
        <v>0</v>
      </c>
      <c r="CL68" s="8">
        <f>IF(CL64&lt;=$B$3,-SUM($E66:CL66),0)</f>
        <v>0</v>
      </c>
      <c r="CM68" s="8">
        <f>IF(CM64&lt;=$B$3,-SUM($E66:CM66),0)</f>
        <v>0</v>
      </c>
      <c r="CN68" s="8">
        <f>IF(CN64&lt;=$B$3,-SUM($E66:CN66),0)</f>
        <v>0</v>
      </c>
      <c r="CO68" s="8">
        <f>IF(CO64&lt;=$B$3,-SUM($E66:CO66),0)</f>
        <v>0</v>
      </c>
      <c r="CP68" s="8">
        <f>IF(CP64&lt;=$B$3,-SUM($E66:CP66),0)</f>
        <v>0</v>
      </c>
      <c r="CQ68" s="8">
        <f>IF(CQ64&lt;=$B$3,-SUM($E66:CQ66),0)</f>
        <v>0</v>
      </c>
      <c r="CR68" s="8">
        <f>IF(CR64&lt;=$B$3,-SUM($E66:CR66),0)</f>
        <v>0</v>
      </c>
      <c r="CS68" s="8">
        <f>IF(CS64&lt;=$B$3,-SUM($E66:CS66),0)</f>
        <v>0</v>
      </c>
      <c r="CT68" s="8">
        <f>IF(CT64&lt;=$B$3,-SUM($E66:CT66),0)</f>
        <v>0</v>
      </c>
      <c r="CU68" s="8">
        <f>IF(CU64&lt;=$B$3,-SUM($E66:CU66),0)</f>
        <v>0</v>
      </c>
      <c r="CV68" s="8">
        <f>IF(CV64&lt;=$B$3,-SUM($E66:CV66),0)</f>
        <v>0</v>
      </c>
      <c r="CW68" s="8">
        <f>IF(CW64&lt;=$B$3,-SUM($E66:CW66),0)</f>
        <v>0</v>
      </c>
      <c r="CX68" s="8">
        <f>IF(CX64&lt;=$B$3,-SUM($E66:CX66),0)</f>
        <v>0</v>
      </c>
      <c r="CY68" s="8">
        <f>IF(CY64&lt;=$B$3,-SUM($E66:CY66),0)</f>
        <v>0</v>
      </c>
      <c r="CZ68" s="8">
        <f>IF(CZ64&lt;=$B$3,-SUM($E66:CZ66),0)</f>
        <v>0</v>
      </c>
      <c r="DA68" s="8">
        <f>IF(DA64&lt;=$B$3,-SUM($E66:DA66),0)</f>
        <v>0</v>
      </c>
    </row>
    <row r="69" spans="1:105" x14ac:dyDescent="0.4">
      <c r="D69" t="s">
        <v>167</v>
      </c>
      <c r="H69" s="8"/>
      <c r="I69" s="8">
        <f>H70</f>
        <v>1070802.8453718568</v>
      </c>
      <c r="J69" s="8">
        <f t="shared" ref="J69:BU69" si="72">I70</f>
        <v>1049386.7884644198</v>
      </c>
      <c r="K69" s="8">
        <f t="shared" si="72"/>
        <v>1027970.7315569825</v>
      </c>
      <c r="L69" s="8">
        <f t="shared" si="72"/>
        <v>1006554.6746495455</v>
      </c>
      <c r="M69" s="8">
        <f t="shared" si="72"/>
        <v>985138.6177421083</v>
      </c>
      <c r="N69" s="8">
        <f t="shared" si="72"/>
        <v>963722.56083467114</v>
      </c>
      <c r="O69" s="8">
        <f t="shared" si="72"/>
        <v>942306.50392723398</v>
      </c>
      <c r="P69" s="8">
        <f t="shared" si="72"/>
        <v>920890.44701979682</v>
      </c>
      <c r="Q69" s="8">
        <f t="shared" si="72"/>
        <v>899474.39011235978</v>
      </c>
      <c r="R69" s="8">
        <f t="shared" si="72"/>
        <v>878058.33320492262</v>
      </c>
      <c r="S69" s="8">
        <f t="shared" si="72"/>
        <v>856642.27629748546</v>
      </c>
      <c r="T69" s="8">
        <f t="shared" si="72"/>
        <v>835226.21939004841</v>
      </c>
      <c r="U69" s="8">
        <f t="shared" si="72"/>
        <v>813810.16248261125</v>
      </c>
      <c r="V69" s="8">
        <f t="shared" si="72"/>
        <v>792394.10557517409</v>
      </c>
      <c r="W69" s="8">
        <f t="shared" si="72"/>
        <v>770978.04866773693</v>
      </c>
      <c r="X69" s="8">
        <f t="shared" si="72"/>
        <v>749561.99176029977</v>
      </c>
      <c r="Y69" s="8">
        <f t="shared" si="72"/>
        <v>728145.93485286261</v>
      </c>
      <c r="Z69" s="8">
        <f t="shared" si="72"/>
        <v>706729.87794542545</v>
      </c>
      <c r="AA69" s="8">
        <f t="shared" si="72"/>
        <v>685313.82103798829</v>
      </c>
      <c r="AB69" s="8">
        <f t="shared" si="72"/>
        <v>663897.76413055114</v>
      </c>
      <c r="AC69" s="8">
        <f t="shared" si="72"/>
        <v>642481.70722311398</v>
      </c>
      <c r="AD69" s="8">
        <f t="shared" si="72"/>
        <v>621065.65031567682</v>
      </c>
      <c r="AE69" s="8">
        <f t="shared" si="72"/>
        <v>599649.59340823966</v>
      </c>
      <c r="AF69" s="8">
        <f t="shared" si="72"/>
        <v>578233.5365008025</v>
      </c>
      <c r="AG69" s="8">
        <f t="shared" si="72"/>
        <v>556817.47959336534</v>
      </c>
      <c r="AH69" s="8">
        <f t="shared" si="72"/>
        <v>535401.42268592818</v>
      </c>
      <c r="AI69" s="8">
        <f t="shared" si="72"/>
        <v>513985.36577849102</v>
      </c>
      <c r="AJ69" s="8">
        <f t="shared" si="72"/>
        <v>492569.30887105386</v>
      </c>
      <c r="AK69" s="8">
        <f t="shared" si="72"/>
        <v>471153.2519636167</v>
      </c>
      <c r="AL69" s="8">
        <f t="shared" si="72"/>
        <v>449737.19505617954</v>
      </c>
      <c r="AM69" s="8">
        <f t="shared" si="72"/>
        <v>428321.13814874238</v>
      </c>
      <c r="AN69" s="8">
        <f t="shared" si="72"/>
        <v>406905.08124130522</v>
      </c>
      <c r="AO69" s="8">
        <f t="shared" si="72"/>
        <v>385489.02433386806</v>
      </c>
      <c r="AP69" s="8">
        <f t="shared" si="72"/>
        <v>364072.9674264309</v>
      </c>
      <c r="AQ69" s="8">
        <f t="shared" si="72"/>
        <v>342656.91051899374</v>
      </c>
      <c r="AR69" s="8">
        <f t="shared" si="72"/>
        <v>321240.85361155658</v>
      </c>
      <c r="AS69" s="8">
        <f t="shared" si="72"/>
        <v>299824.79670411942</v>
      </c>
      <c r="AT69" s="8">
        <f t="shared" si="72"/>
        <v>278408.73979668226</v>
      </c>
      <c r="AU69" s="8">
        <f t="shared" si="72"/>
        <v>256992.6828892451</v>
      </c>
      <c r="AV69" s="8">
        <f t="shared" si="72"/>
        <v>235576.62598180794</v>
      </c>
      <c r="AW69" s="8">
        <f t="shared" si="72"/>
        <v>214160.56907437078</v>
      </c>
      <c r="AX69" s="8">
        <f t="shared" si="72"/>
        <v>192744.51216693362</v>
      </c>
      <c r="AY69" s="8">
        <f t="shared" si="72"/>
        <v>171328.45525949646</v>
      </c>
      <c r="AZ69" s="8">
        <f t="shared" si="72"/>
        <v>149912.3983520593</v>
      </c>
      <c r="BA69" s="8">
        <f t="shared" si="72"/>
        <v>128496.34144462214</v>
      </c>
      <c r="BB69" s="8">
        <f t="shared" si="72"/>
        <v>107080.28453718498</v>
      </c>
      <c r="BC69" s="8">
        <f t="shared" si="72"/>
        <v>85664.227629747824</v>
      </c>
      <c r="BD69" s="8">
        <f t="shared" si="72"/>
        <v>64248.170722310664</v>
      </c>
      <c r="BE69" s="8">
        <f t="shared" si="72"/>
        <v>42832.113814873504</v>
      </c>
      <c r="BF69" s="8">
        <f t="shared" si="72"/>
        <v>21416.056907436345</v>
      </c>
      <c r="BG69" s="8">
        <f t="shared" si="72"/>
        <v>0</v>
      </c>
      <c r="BH69" s="8">
        <f t="shared" si="72"/>
        <v>0</v>
      </c>
      <c r="BI69" s="8">
        <f t="shared" si="72"/>
        <v>0</v>
      </c>
      <c r="BJ69" s="8">
        <f t="shared" si="72"/>
        <v>0</v>
      </c>
      <c r="BK69" s="8">
        <f t="shared" si="72"/>
        <v>0</v>
      </c>
      <c r="BL69" s="8">
        <f t="shared" si="72"/>
        <v>0</v>
      </c>
      <c r="BM69" s="8">
        <f t="shared" si="72"/>
        <v>0</v>
      </c>
      <c r="BN69" s="8">
        <f t="shared" si="72"/>
        <v>0</v>
      </c>
      <c r="BO69" s="8">
        <f t="shared" si="72"/>
        <v>0</v>
      </c>
      <c r="BP69" s="8">
        <f t="shared" si="72"/>
        <v>0</v>
      </c>
      <c r="BQ69" s="8">
        <f t="shared" si="72"/>
        <v>0</v>
      </c>
      <c r="BR69" s="8">
        <f t="shared" si="72"/>
        <v>0</v>
      </c>
      <c r="BS69" s="8">
        <f t="shared" si="72"/>
        <v>0</v>
      </c>
      <c r="BT69" s="8">
        <f t="shared" si="72"/>
        <v>0</v>
      </c>
      <c r="BU69" s="8">
        <f t="shared" si="72"/>
        <v>0</v>
      </c>
      <c r="BV69" s="8">
        <f t="shared" ref="BV69:DA69" si="73">BU70</f>
        <v>0</v>
      </c>
      <c r="BW69" s="8">
        <f t="shared" si="73"/>
        <v>0</v>
      </c>
      <c r="BX69" s="8">
        <f t="shared" si="73"/>
        <v>0</v>
      </c>
      <c r="BY69" s="8">
        <f t="shared" si="73"/>
        <v>0</v>
      </c>
      <c r="BZ69" s="8">
        <f t="shared" si="73"/>
        <v>0</v>
      </c>
      <c r="CA69" s="8">
        <f t="shared" si="73"/>
        <v>0</v>
      </c>
      <c r="CB69" s="8">
        <f t="shared" si="73"/>
        <v>0</v>
      </c>
      <c r="CC69" s="8">
        <f t="shared" si="73"/>
        <v>0</v>
      </c>
      <c r="CD69" s="8">
        <f t="shared" si="73"/>
        <v>0</v>
      </c>
      <c r="CE69" s="8">
        <f t="shared" si="73"/>
        <v>0</v>
      </c>
      <c r="CF69" s="8">
        <f t="shared" si="73"/>
        <v>0</v>
      </c>
      <c r="CG69" s="8">
        <f t="shared" si="73"/>
        <v>0</v>
      </c>
      <c r="CH69" s="8">
        <f t="shared" si="73"/>
        <v>0</v>
      </c>
      <c r="CI69" s="8">
        <f t="shared" si="73"/>
        <v>0</v>
      </c>
      <c r="CJ69" s="8">
        <f t="shared" si="73"/>
        <v>0</v>
      </c>
      <c r="CK69" s="8">
        <f t="shared" si="73"/>
        <v>0</v>
      </c>
      <c r="CL69" s="8">
        <f t="shared" si="73"/>
        <v>0</v>
      </c>
      <c r="CM69" s="8">
        <f t="shared" si="73"/>
        <v>0</v>
      </c>
      <c r="CN69" s="8">
        <f t="shared" si="73"/>
        <v>0</v>
      </c>
      <c r="CO69" s="8">
        <f t="shared" si="73"/>
        <v>0</v>
      </c>
      <c r="CP69" s="8">
        <f t="shared" si="73"/>
        <v>0</v>
      </c>
      <c r="CQ69" s="8">
        <f t="shared" si="73"/>
        <v>0</v>
      </c>
      <c r="CR69" s="8">
        <f t="shared" si="73"/>
        <v>0</v>
      </c>
      <c r="CS69" s="8">
        <f t="shared" si="73"/>
        <v>0</v>
      </c>
      <c r="CT69" s="8">
        <f t="shared" si="73"/>
        <v>0</v>
      </c>
      <c r="CU69" s="8">
        <f t="shared" si="73"/>
        <v>0</v>
      </c>
      <c r="CV69" s="8">
        <f t="shared" si="73"/>
        <v>0</v>
      </c>
      <c r="CW69" s="8">
        <f t="shared" si="73"/>
        <v>0</v>
      </c>
      <c r="CX69" s="8">
        <f t="shared" si="73"/>
        <v>0</v>
      </c>
      <c r="CY69" s="8">
        <f t="shared" si="73"/>
        <v>0</v>
      </c>
      <c r="CZ69" s="8">
        <f t="shared" si="73"/>
        <v>0</v>
      </c>
      <c r="DA69" s="8">
        <f t="shared" si="73"/>
        <v>0</v>
      </c>
    </row>
    <row r="70" spans="1:105" x14ac:dyDescent="0.4">
      <c r="D70" t="s">
        <v>168</v>
      </c>
      <c r="H70" s="8">
        <f>H67+H68</f>
        <v>1070802.8453718568</v>
      </c>
      <c r="I70" s="8">
        <f>I67+I68</f>
        <v>1049386.7884644198</v>
      </c>
      <c r="J70" s="8">
        <f t="shared" ref="J70:BU70" si="74">J67+J68</f>
        <v>1027970.7315569825</v>
      </c>
      <c r="K70" s="8">
        <f t="shared" si="74"/>
        <v>1006554.6746495455</v>
      </c>
      <c r="L70" s="8">
        <f t="shared" si="74"/>
        <v>985138.6177421083</v>
      </c>
      <c r="M70" s="8">
        <f t="shared" si="74"/>
        <v>963722.56083467114</v>
      </c>
      <c r="N70" s="8">
        <f t="shared" si="74"/>
        <v>942306.50392723398</v>
      </c>
      <c r="O70" s="8">
        <f t="shared" si="74"/>
        <v>920890.44701979682</v>
      </c>
      <c r="P70" s="8">
        <f t="shared" si="74"/>
        <v>899474.39011235978</v>
      </c>
      <c r="Q70" s="8">
        <f t="shared" si="74"/>
        <v>878058.33320492262</v>
      </c>
      <c r="R70" s="8">
        <f t="shared" si="74"/>
        <v>856642.27629748546</v>
      </c>
      <c r="S70" s="8">
        <f t="shared" si="74"/>
        <v>835226.21939004841</v>
      </c>
      <c r="T70" s="8">
        <f t="shared" si="74"/>
        <v>813810.16248261125</v>
      </c>
      <c r="U70" s="8">
        <f t="shared" si="74"/>
        <v>792394.10557517409</v>
      </c>
      <c r="V70" s="8">
        <f t="shared" si="74"/>
        <v>770978.04866773693</v>
      </c>
      <c r="W70" s="8">
        <f t="shared" si="74"/>
        <v>749561.99176029977</v>
      </c>
      <c r="X70" s="8">
        <f t="shared" si="74"/>
        <v>728145.93485286261</v>
      </c>
      <c r="Y70" s="8">
        <f t="shared" si="74"/>
        <v>706729.87794542545</v>
      </c>
      <c r="Z70" s="8">
        <f t="shared" si="74"/>
        <v>685313.82103798829</v>
      </c>
      <c r="AA70" s="8">
        <f t="shared" si="74"/>
        <v>663897.76413055114</v>
      </c>
      <c r="AB70" s="8">
        <f t="shared" si="74"/>
        <v>642481.70722311398</v>
      </c>
      <c r="AC70" s="8">
        <f t="shared" si="74"/>
        <v>621065.65031567682</v>
      </c>
      <c r="AD70" s="8">
        <f t="shared" si="74"/>
        <v>599649.59340823966</v>
      </c>
      <c r="AE70" s="8">
        <f t="shared" si="74"/>
        <v>578233.5365008025</v>
      </c>
      <c r="AF70" s="8">
        <f t="shared" si="74"/>
        <v>556817.47959336534</v>
      </c>
      <c r="AG70" s="8">
        <f t="shared" si="74"/>
        <v>535401.42268592818</v>
      </c>
      <c r="AH70" s="8">
        <f t="shared" si="74"/>
        <v>513985.36577849102</v>
      </c>
      <c r="AI70" s="8">
        <f t="shared" si="74"/>
        <v>492569.30887105386</v>
      </c>
      <c r="AJ70" s="8">
        <f t="shared" si="74"/>
        <v>471153.2519636167</v>
      </c>
      <c r="AK70" s="8">
        <f t="shared" si="74"/>
        <v>449737.19505617954</v>
      </c>
      <c r="AL70" s="8">
        <f t="shared" si="74"/>
        <v>428321.13814874238</v>
      </c>
      <c r="AM70" s="8">
        <f t="shared" si="74"/>
        <v>406905.08124130522</v>
      </c>
      <c r="AN70" s="8">
        <f t="shared" si="74"/>
        <v>385489.02433386806</v>
      </c>
      <c r="AO70" s="8">
        <f t="shared" si="74"/>
        <v>364072.9674264309</v>
      </c>
      <c r="AP70" s="8">
        <f t="shared" si="74"/>
        <v>342656.91051899374</v>
      </c>
      <c r="AQ70" s="8">
        <f t="shared" si="74"/>
        <v>321240.85361155658</v>
      </c>
      <c r="AR70" s="8">
        <f t="shared" si="74"/>
        <v>299824.79670411942</v>
      </c>
      <c r="AS70" s="8">
        <f t="shared" si="74"/>
        <v>278408.73979668226</v>
      </c>
      <c r="AT70" s="8">
        <f t="shared" si="74"/>
        <v>256992.6828892451</v>
      </c>
      <c r="AU70" s="8">
        <f t="shared" si="74"/>
        <v>235576.62598180794</v>
      </c>
      <c r="AV70" s="8">
        <f t="shared" si="74"/>
        <v>214160.56907437078</v>
      </c>
      <c r="AW70" s="8">
        <f t="shared" si="74"/>
        <v>192744.51216693362</v>
      </c>
      <c r="AX70" s="8">
        <f t="shared" si="74"/>
        <v>171328.45525949646</v>
      </c>
      <c r="AY70" s="8">
        <f t="shared" si="74"/>
        <v>149912.3983520593</v>
      </c>
      <c r="AZ70" s="8">
        <f t="shared" si="74"/>
        <v>128496.34144462214</v>
      </c>
      <c r="BA70" s="8">
        <f t="shared" si="74"/>
        <v>107080.28453718498</v>
      </c>
      <c r="BB70" s="8">
        <f t="shared" si="74"/>
        <v>85664.227629747824</v>
      </c>
      <c r="BC70" s="8">
        <f t="shared" si="74"/>
        <v>64248.170722310664</v>
      </c>
      <c r="BD70" s="8">
        <f t="shared" si="74"/>
        <v>42832.113814873504</v>
      </c>
      <c r="BE70" s="8">
        <f t="shared" si="74"/>
        <v>21416.056907436345</v>
      </c>
      <c r="BF70" s="8">
        <f t="shared" si="74"/>
        <v>0</v>
      </c>
      <c r="BG70" s="8">
        <f t="shared" si="74"/>
        <v>0</v>
      </c>
      <c r="BH70" s="8">
        <f t="shared" si="74"/>
        <v>0</v>
      </c>
      <c r="BI70" s="8">
        <f t="shared" si="74"/>
        <v>0</v>
      </c>
      <c r="BJ70" s="8">
        <f t="shared" si="74"/>
        <v>0</v>
      </c>
      <c r="BK70" s="8">
        <f t="shared" si="74"/>
        <v>0</v>
      </c>
      <c r="BL70" s="8">
        <f t="shared" si="74"/>
        <v>0</v>
      </c>
      <c r="BM70" s="8">
        <f t="shared" si="74"/>
        <v>0</v>
      </c>
      <c r="BN70" s="8">
        <f t="shared" si="74"/>
        <v>0</v>
      </c>
      <c r="BO70" s="8">
        <f t="shared" si="74"/>
        <v>0</v>
      </c>
      <c r="BP70" s="8">
        <f t="shared" si="74"/>
        <v>0</v>
      </c>
      <c r="BQ70" s="8">
        <f t="shared" si="74"/>
        <v>0</v>
      </c>
      <c r="BR70" s="8">
        <f t="shared" si="74"/>
        <v>0</v>
      </c>
      <c r="BS70" s="8">
        <f t="shared" si="74"/>
        <v>0</v>
      </c>
      <c r="BT70" s="8">
        <f t="shared" si="74"/>
        <v>0</v>
      </c>
      <c r="BU70" s="8">
        <f t="shared" si="74"/>
        <v>0</v>
      </c>
      <c r="BV70" s="8">
        <f t="shared" ref="BV70:DA70" si="75">BV67+BV68</f>
        <v>0</v>
      </c>
      <c r="BW70" s="8">
        <f t="shared" si="75"/>
        <v>0</v>
      </c>
      <c r="BX70" s="8">
        <f t="shared" si="75"/>
        <v>0</v>
      </c>
      <c r="BY70" s="8">
        <f t="shared" si="75"/>
        <v>0</v>
      </c>
      <c r="BZ70" s="8">
        <f t="shared" si="75"/>
        <v>0</v>
      </c>
      <c r="CA70" s="8">
        <f t="shared" si="75"/>
        <v>0</v>
      </c>
      <c r="CB70" s="8">
        <f t="shared" si="75"/>
        <v>0</v>
      </c>
      <c r="CC70" s="8">
        <f t="shared" si="75"/>
        <v>0</v>
      </c>
      <c r="CD70" s="8">
        <f t="shared" si="75"/>
        <v>0</v>
      </c>
      <c r="CE70" s="8">
        <f t="shared" si="75"/>
        <v>0</v>
      </c>
      <c r="CF70" s="8">
        <f t="shared" si="75"/>
        <v>0</v>
      </c>
      <c r="CG70" s="8">
        <f t="shared" si="75"/>
        <v>0</v>
      </c>
      <c r="CH70" s="8">
        <f t="shared" si="75"/>
        <v>0</v>
      </c>
      <c r="CI70" s="8">
        <f t="shared" si="75"/>
        <v>0</v>
      </c>
      <c r="CJ70" s="8">
        <f t="shared" si="75"/>
        <v>0</v>
      </c>
      <c r="CK70" s="8">
        <f t="shared" si="75"/>
        <v>0</v>
      </c>
      <c r="CL70" s="8">
        <f t="shared" si="75"/>
        <v>0</v>
      </c>
      <c r="CM70" s="8">
        <f t="shared" si="75"/>
        <v>0</v>
      </c>
      <c r="CN70" s="8">
        <f t="shared" si="75"/>
        <v>0</v>
      </c>
      <c r="CO70" s="8">
        <f t="shared" si="75"/>
        <v>0</v>
      </c>
      <c r="CP70" s="8">
        <f t="shared" si="75"/>
        <v>0</v>
      </c>
      <c r="CQ70" s="8">
        <f t="shared" si="75"/>
        <v>0</v>
      </c>
      <c r="CR70" s="8">
        <f t="shared" si="75"/>
        <v>0</v>
      </c>
      <c r="CS70" s="8">
        <f t="shared" si="75"/>
        <v>0</v>
      </c>
      <c r="CT70" s="8">
        <f t="shared" si="75"/>
        <v>0</v>
      </c>
      <c r="CU70" s="8">
        <f t="shared" si="75"/>
        <v>0</v>
      </c>
      <c r="CV70" s="8">
        <f t="shared" si="75"/>
        <v>0</v>
      </c>
      <c r="CW70" s="8">
        <f t="shared" si="75"/>
        <v>0</v>
      </c>
      <c r="CX70" s="8">
        <f t="shared" si="75"/>
        <v>0</v>
      </c>
      <c r="CY70" s="8">
        <f t="shared" si="75"/>
        <v>0</v>
      </c>
      <c r="CZ70" s="8">
        <f t="shared" si="75"/>
        <v>0</v>
      </c>
      <c r="DA70" s="8">
        <f t="shared" si="75"/>
        <v>0</v>
      </c>
    </row>
    <row r="71" spans="1:105" x14ac:dyDescent="0.4"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</row>
    <row r="72" spans="1:105" x14ac:dyDescent="0.4">
      <c r="D72" t="s">
        <v>169</v>
      </c>
      <c r="H72" s="8"/>
      <c r="I72" s="8">
        <f>IF(I64&lt;=$B$4+1,I67*VLOOKUP(I64,Assumptions!$A$70:$B$90,2,0),0)</f>
        <v>40155.106701444631</v>
      </c>
      <c r="J72" s="8">
        <f>IF(J64&lt;=$B$4+1,J67*VLOOKUP(J64,Assumptions!$A$70:$B$90,2,0),0)</f>
        <v>77301.257407394354</v>
      </c>
      <c r="K72" s="8">
        <f>IF(K64&lt;=$B$4+1,K67*VLOOKUP(K64,Assumptions!$A$70:$B$90,2,0),0)</f>
        <v>71497.505985478871</v>
      </c>
      <c r="L72" s="8">
        <f>IF(L64&lt;=$B$4+1,L67*VLOOKUP(L64,Assumptions!$A$70:$B$90,2,0),0)</f>
        <v>66143.491758619595</v>
      </c>
      <c r="M72" s="8">
        <f>IF(M64&lt;=$B$4+1,M67*VLOOKUP(M64,Assumptions!$A$70:$B$90,2,0),0)</f>
        <v>61174.966556094179</v>
      </c>
      <c r="N72" s="8">
        <f>IF(N64&lt;=$B$4+1,N67*VLOOKUP(N64,Assumptions!$A$70:$B$90,2,0),0)</f>
        <v>56591.930377902638</v>
      </c>
      <c r="O72" s="8">
        <f>IF(O64&lt;=$B$4+1,O67*VLOOKUP(O64,Assumptions!$A$70:$B$90,2,0),0)</f>
        <v>52340.843081776358</v>
      </c>
      <c r="P72" s="8">
        <f>IF(P64&lt;=$B$4+1,P67*VLOOKUP(P64,Assumptions!$A$70:$B$90,2,0),0)</f>
        <v>48421.70466771537</v>
      </c>
      <c r="Q72" s="8">
        <f>IF(Q64&lt;=$B$4+1,Q67*VLOOKUP(Q64,Assumptions!$A$70:$B$90,2,0),0)</f>
        <v>47779.222960492254</v>
      </c>
      <c r="R72" s="8">
        <f>IF(R64&lt;=$B$4+1,R67*VLOOKUP(R64,Assumptions!$A$70:$B$90,2,0),0)</f>
        <v>47768.514932038532</v>
      </c>
      <c r="S72" s="8">
        <f>IF(S64&lt;=$B$4+1,S67*VLOOKUP(S64,Assumptions!$A$70:$B$90,2,0),0)</f>
        <v>47779.222960492254</v>
      </c>
      <c r="T72" s="8">
        <f>IF(T64&lt;=$B$4+1,T67*VLOOKUP(T64,Assumptions!$A$70:$B$90,2,0),0)</f>
        <v>47768.514932038532</v>
      </c>
      <c r="U72" s="8">
        <f>IF(U64&lt;=$B$4+1,U67*VLOOKUP(U64,Assumptions!$A$70:$B$90,2,0),0)</f>
        <v>47779.222960492254</v>
      </c>
      <c r="V72" s="8">
        <f>IF(V64&lt;=$B$4+1,V67*VLOOKUP(V64,Assumptions!$A$70:$B$90,2,0),0)</f>
        <v>47768.514932038532</v>
      </c>
      <c r="W72" s="8">
        <f>IF(W64&lt;=$B$4+1,W67*VLOOKUP(W64,Assumptions!$A$70:$B$90,2,0),0)</f>
        <v>47779.222960492254</v>
      </c>
      <c r="X72" s="8">
        <f>IF(X64&lt;=$B$4+1,X67*VLOOKUP(X64,Assumptions!$A$70:$B$90,2,0),0)</f>
        <v>47768.514932038532</v>
      </c>
      <c r="Y72" s="8">
        <f>IF(Y64&lt;=$B$4+1,Y67*VLOOKUP(Y64,Assumptions!$A$70:$B$90,2,0),0)</f>
        <v>47779.222960492254</v>
      </c>
      <c r="Z72" s="8">
        <f>IF(Z64&lt;=$B$4+1,Z67*VLOOKUP(Z64,Assumptions!$A$70:$B$90,2,0),0)</f>
        <v>47768.514932038532</v>
      </c>
      <c r="AA72" s="8">
        <f>IF(AA64&lt;=$B$4+1,AA67*VLOOKUP(AA64,Assumptions!$A$70:$B$90,2,0),0)</f>
        <v>47779.222960492254</v>
      </c>
      <c r="AB72" s="8">
        <f>IF(AB64&lt;=$B$4+1,AB67*VLOOKUP(AB64,Assumptions!$A$70:$B$90,2,0),0)</f>
        <v>47768.514932038532</v>
      </c>
      <c r="AC72" s="8">
        <f>IF(AC64&lt;=$B$4+1,AC67*VLOOKUP(AC64,Assumptions!$A$70:$B$90,2,0),0)</f>
        <v>23889.611480246127</v>
      </c>
      <c r="AD72" s="8">
        <f>IF(AD64&lt;=$B$4+1,AD67*VLOOKUP(AD64,Assumptions!$A$70:$B$90,2,0),0)</f>
        <v>0</v>
      </c>
      <c r="AE72" s="8">
        <f>IF(AE64&lt;=$B$4+1,AE67*VLOOKUP(AE64,Assumptions!$A$70:$B$90,2,0),0)</f>
        <v>0</v>
      </c>
      <c r="AF72" s="8">
        <f>IF(AF64&lt;=$B$4+1,AF67*VLOOKUP(AF64,Assumptions!$A$70:$B$90,2,0),0)</f>
        <v>0</v>
      </c>
      <c r="AG72" s="8">
        <f>IF(AG64&lt;=$B$4+1,AG67*VLOOKUP(AG64,Assumptions!$A$70:$B$90,2,0),0)</f>
        <v>0</v>
      </c>
      <c r="AH72" s="8">
        <f>IF(AH64&lt;=$B$4+1,AH67*VLOOKUP(AH64,Assumptions!$A$70:$B$90,2,0),0)</f>
        <v>0</v>
      </c>
      <c r="AI72" s="8">
        <f>IF(AI64&lt;=$B$4+1,AI67*VLOOKUP(AI64,Assumptions!$A$70:$B$90,2,0),0)</f>
        <v>0</v>
      </c>
      <c r="AJ72" s="8">
        <f>IF(AJ64&lt;=$B$4+1,AJ67*VLOOKUP(AJ64,Assumptions!$A$70:$B$90,2,0),0)</f>
        <v>0</v>
      </c>
      <c r="AK72" s="8">
        <f>IF(AK64&lt;=$B$4+1,AK67*VLOOKUP(AK64,Assumptions!$A$70:$B$90,2,0),0)</f>
        <v>0</v>
      </c>
      <c r="AL72" s="8">
        <f>IF(AL64&lt;=$B$4+1,AL67*VLOOKUP(AL64,Assumptions!$A$70:$B$90,2,0),0)</f>
        <v>0</v>
      </c>
      <c r="AM72" s="8">
        <f>IF(AM64&lt;=$B$4+1,AM67*VLOOKUP(AM64,Assumptions!$A$70:$B$90,2,0),0)</f>
        <v>0</v>
      </c>
      <c r="AN72" s="8">
        <f>IF(AN64&lt;=$B$4+1,AN67*VLOOKUP(AN64,Assumptions!$A$70:$B$90,2,0),0)</f>
        <v>0</v>
      </c>
      <c r="AO72" s="8">
        <f>IF(AO64&lt;=$B$4+1,AO67*VLOOKUP(AO64,Assumptions!$A$70:$B$90,2,0),0)</f>
        <v>0</v>
      </c>
      <c r="AP72" s="8">
        <f>IF(AP64&lt;=$B$4+1,AP67*VLOOKUP(AP64,Assumptions!$A$70:$B$90,2,0),0)</f>
        <v>0</v>
      </c>
      <c r="AQ72" s="8">
        <f>IF(AQ64&lt;=$B$4+1,AQ67*VLOOKUP(AQ64,Assumptions!$A$70:$B$90,2,0),0)</f>
        <v>0</v>
      </c>
      <c r="AR72" s="8">
        <f>IF(AR64&lt;=$B$4+1,AR67*VLOOKUP(AR64,Assumptions!$A$70:$B$90,2,0),0)</f>
        <v>0</v>
      </c>
      <c r="AS72" s="8">
        <f>IF(AS64&lt;=$B$4+1,AS67*VLOOKUP(AS64,Assumptions!$A$70:$B$90,2,0),0)</f>
        <v>0</v>
      </c>
      <c r="AT72" s="8">
        <f>IF(AT64&lt;=$B$4+1,AT67*VLOOKUP(AT64,Assumptions!$A$70:$B$90,2,0),0)</f>
        <v>0</v>
      </c>
      <c r="AU72" s="8">
        <f>IF(AU64&lt;=$B$4+1,AU67*VLOOKUP(AU64,Assumptions!$A$70:$B$90,2,0),0)</f>
        <v>0</v>
      </c>
      <c r="AV72" s="8">
        <f>IF(AV64&lt;=$B$4+1,AV67*VLOOKUP(AV64,Assumptions!$A$70:$B$90,2,0),0)</f>
        <v>0</v>
      </c>
      <c r="AW72" s="8">
        <f>IF(AW64&lt;=$B$4+1,AW67*VLOOKUP(AW64,Assumptions!$A$70:$B$90,2,0),0)</f>
        <v>0</v>
      </c>
      <c r="AX72" s="8">
        <f>IF(AX64&lt;=$B$4+1,AX67*VLOOKUP(AX64,Assumptions!$A$70:$B$90,2,0),0)</f>
        <v>0</v>
      </c>
      <c r="AY72" s="8">
        <f>IF(AY64&lt;=$B$4+1,AY67*VLOOKUP(AY64,Assumptions!$A$70:$B$90,2,0),0)</f>
        <v>0</v>
      </c>
      <c r="AZ72" s="8">
        <f>IF(AZ64&lt;=$B$4+1,AZ67*VLOOKUP(AZ64,Assumptions!$A$70:$B$90,2,0),0)</f>
        <v>0</v>
      </c>
      <c r="BA72" s="8">
        <f>IF(BA64&lt;=$B$4+1,BA67*VLOOKUP(BA64,Assumptions!$A$70:$B$90,2,0),0)</f>
        <v>0</v>
      </c>
      <c r="BB72" s="8">
        <f>IF(BB64&lt;=$B$4+1,BB67*VLOOKUP(BB64,Assumptions!$A$70:$B$90,2,0),0)</f>
        <v>0</v>
      </c>
      <c r="BC72" s="8">
        <f>IF(BC64&lt;=$B$4+1,BC67*VLOOKUP(BC64,Assumptions!$A$70:$B$90,2,0),0)</f>
        <v>0</v>
      </c>
      <c r="BD72" s="8">
        <f>IF(BD64&lt;=$B$4+1,BD67*VLOOKUP(BD64,Assumptions!$A$70:$B$90,2,0),0)</f>
        <v>0</v>
      </c>
      <c r="BE72" s="8">
        <f>IF(BE64&lt;=$B$4+1,BE67*VLOOKUP(BE64,Assumptions!$A$70:$B$90,2,0),0)</f>
        <v>0</v>
      </c>
      <c r="BF72" s="8">
        <f>IF(BF64&lt;=$B$4+1,BF67*VLOOKUP(BF64,Assumptions!$A$70:$B$90,2,0),0)</f>
        <v>0</v>
      </c>
      <c r="BG72" s="8">
        <f>IF(BG64&lt;=$B$4+1,BG67*VLOOKUP(BG64,Assumptions!$A$70:$B$90,2,0),0)</f>
        <v>0</v>
      </c>
      <c r="BH72" s="8">
        <f>IF(BH64&lt;=$B$4+1,BH67*VLOOKUP(BH64,Assumptions!$A$70:$B$90,2,0),0)</f>
        <v>0</v>
      </c>
      <c r="BI72" s="8">
        <f>IF(BI64&lt;=$B$4+1,BI67*VLOOKUP(BI64,Assumptions!$A$70:$B$90,2,0),0)</f>
        <v>0</v>
      </c>
      <c r="BJ72" s="8">
        <f>IF(BJ64&lt;=$B$4+1,BJ67*VLOOKUP(BJ64,Assumptions!$A$70:$B$90,2,0),0)</f>
        <v>0</v>
      </c>
      <c r="BK72" s="8">
        <f>IF(BK64&lt;=$B$4+1,BK67*VLOOKUP(BK64,Assumptions!$A$70:$B$90,2,0),0)</f>
        <v>0</v>
      </c>
      <c r="BL72" s="8">
        <f>IF(BL64&lt;=$B$4+1,BL67*VLOOKUP(BL64,Assumptions!$A$70:$B$90,2,0),0)</f>
        <v>0</v>
      </c>
      <c r="BM72" s="8">
        <f>IF(BM64&lt;=$B$4+1,BM67*VLOOKUP(BM64,Assumptions!$A$70:$B$90,2,0),0)</f>
        <v>0</v>
      </c>
      <c r="BN72" s="8">
        <f>IF(BN64&lt;=$B$4+1,BN67*VLOOKUP(BN64,Assumptions!$A$70:$B$90,2,0),0)</f>
        <v>0</v>
      </c>
      <c r="BO72" s="8">
        <f>IF(BO64&lt;=$B$4+1,BO67*VLOOKUP(BO64,Assumptions!$A$70:$B$90,2,0),0)</f>
        <v>0</v>
      </c>
      <c r="BP72" s="8">
        <f>IF(BP64&lt;=$B$4+1,BP67*VLOOKUP(BP64,Assumptions!$A$70:$B$90,2,0),0)</f>
        <v>0</v>
      </c>
      <c r="BQ72" s="8">
        <f>IF(BQ64&lt;=$B$4+1,BQ67*VLOOKUP(BQ64,Assumptions!$A$70:$B$90,2,0),0)</f>
        <v>0</v>
      </c>
      <c r="BR72" s="8">
        <f>IF(BR64&lt;=$B$4+1,BR67*VLOOKUP(BR64,Assumptions!$A$70:$B$90,2,0),0)</f>
        <v>0</v>
      </c>
      <c r="BS72" s="8">
        <f>IF(BS64&lt;=$B$4+1,BS67*VLOOKUP(BS64,Assumptions!$A$70:$B$90,2,0),0)</f>
        <v>0</v>
      </c>
      <c r="BT72" s="8">
        <f>IF(BT64&lt;=$B$4+1,BT67*VLOOKUP(BT64,Assumptions!$A$70:$B$90,2,0),0)</f>
        <v>0</v>
      </c>
      <c r="BU72" s="8">
        <f>IF(BU64&lt;=$B$4+1,BU67*VLOOKUP(BU64,Assumptions!$A$70:$B$90,2,0),0)</f>
        <v>0</v>
      </c>
      <c r="BV72" s="8">
        <f>IF(BV64&lt;=$B$4+1,BV67*VLOOKUP(BV64,Assumptions!$A$70:$B$90,2,0),0)</f>
        <v>0</v>
      </c>
      <c r="BW72" s="8">
        <f>IF(BW64&lt;=$B$4+1,BW67*VLOOKUP(BW64,Assumptions!$A$70:$B$90,2,0),0)</f>
        <v>0</v>
      </c>
      <c r="BX72" s="8">
        <f>IF(BX64&lt;=$B$4+1,BX67*VLOOKUP(BX64,Assumptions!$A$70:$B$90,2,0),0)</f>
        <v>0</v>
      </c>
      <c r="BY72" s="8">
        <f>IF(BY64&lt;=$B$4+1,BY67*VLOOKUP(BY64,Assumptions!$A$70:$B$90,2,0),0)</f>
        <v>0</v>
      </c>
      <c r="BZ72" s="8">
        <f>IF(BZ64&lt;=$B$4+1,BZ67*VLOOKUP(BZ64,Assumptions!$A$70:$B$90,2,0),0)</f>
        <v>0</v>
      </c>
      <c r="CA72" s="8">
        <f>IF(CA64&lt;=$B$4+1,CA67*VLOOKUP(CA64,Assumptions!$A$70:$B$90,2,0),0)</f>
        <v>0</v>
      </c>
      <c r="CB72" s="8">
        <f>IF(CB64&lt;=$B$4+1,CB67*VLOOKUP(CB64,Assumptions!$A$70:$B$90,2,0),0)</f>
        <v>0</v>
      </c>
      <c r="CC72" s="8">
        <f>IF(CC64&lt;=$B$4+1,CC67*VLOOKUP(CC64,Assumptions!$A$70:$B$90,2,0),0)</f>
        <v>0</v>
      </c>
      <c r="CD72" s="8">
        <f>IF(CD64&lt;=$B$4+1,CD67*VLOOKUP(CD64,Assumptions!$A$70:$B$90,2,0),0)</f>
        <v>0</v>
      </c>
      <c r="CE72" s="8">
        <f>IF(CE64&lt;=$B$4+1,CE67*VLOOKUP(CE64,Assumptions!$A$70:$B$90,2,0),0)</f>
        <v>0</v>
      </c>
      <c r="CF72" s="8">
        <f>IF(CF64&lt;=$B$4+1,CF67*VLOOKUP(CF64,Assumptions!$A$70:$B$90,2,0),0)</f>
        <v>0</v>
      </c>
      <c r="CG72" s="8">
        <f>IF(CG64&lt;=$B$4+1,CG67*VLOOKUP(CG64,Assumptions!$A$70:$B$90,2,0),0)</f>
        <v>0</v>
      </c>
      <c r="CH72" s="8">
        <f>IF(CH64&lt;=$B$4+1,CH67*VLOOKUP(CH64,Assumptions!$A$70:$B$90,2,0),0)</f>
        <v>0</v>
      </c>
      <c r="CI72" s="8">
        <f>IF(CI64&lt;=$B$4+1,CI67*VLOOKUP(CI64,Assumptions!$A$70:$B$90,2,0),0)</f>
        <v>0</v>
      </c>
      <c r="CJ72" s="8">
        <f>IF(CJ64&lt;=$B$4+1,CJ67*VLOOKUP(CJ64,Assumptions!$A$70:$B$90,2,0),0)</f>
        <v>0</v>
      </c>
      <c r="CK72" s="8">
        <f>IF(CK64&lt;=$B$4+1,CK67*VLOOKUP(CK64,Assumptions!$A$70:$B$90,2,0),0)</f>
        <v>0</v>
      </c>
      <c r="CL72" s="8">
        <f>IF(CL64&lt;=$B$4+1,CL67*VLOOKUP(CL64,Assumptions!$A$70:$B$90,2,0),0)</f>
        <v>0</v>
      </c>
      <c r="CM72" s="8">
        <f>IF(CM64&lt;=$B$4+1,CM67*VLOOKUP(CM64,Assumptions!$A$70:$B$90,2,0),0)</f>
        <v>0</v>
      </c>
      <c r="CN72" s="8">
        <f>IF(CN64&lt;=$B$4+1,CN67*VLOOKUP(CN64,Assumptions!$A$70:$B$90,2,0),0)</f>
        <v>0</v>
      </c>
      <c r="CO72" s="8">
        <f>IF(CO64&lt;=$B$4+1,CO67*VLOOKUP(CO64,Assumptions!$A$70:$B$90,2,0),0)</f>
        <v>0</v>
      </c>
      <c r="CP72" s="8">
        <f>IF(CP64&lt;=$B$4+1,CP67*VLOOKUP(CP64,Assumptions!$A$70:$B$90,2,0),0)</f>
        <v>0</v>
      </c>
      <c r="CQ72" s="8">
        <f>IF(CQ64&lt;=$B$4+1,CQ67*VLOOKUP(CQ64,Assumptions!$A$70:$B$90,2,0),0)</f>
        <v>0</v>
      </c>
      <c r="CR72" s="8">
        <f>IF(CR64&lt;=$B$4+1,CR67*VLOOKUP(CR64,Assumptions!$A$70:$B$90,2,0),0)</f>
        <v>0</v>
      </c>
      <c r="CS72" s="8">
        <f>IF(CS64&lt;=$B$4+1,CS67*VLOOKUP(CS64,Assumptions!$A$70:$B$90,2,0),0)</f>
        <v>0</v>
      </c>
      <c r="CT72" s="8">
        <f>IF(CT64&lt;=$B$4+1,CT67*VLOOKUP(CT64,Assumptions!$A$70:$B$90,2,0),0)</f>
        <v>0</v>
      </c>
      <c r="CU72" s="8">
        <f>IF(CU64&lt;=$B$4+1,CU67*VLOOKUP(CU64,Assumptions!$A$70:$B$90,2,0),0)</f>
        <v>0</v>
      </c>
      <c r="CV72" s="8">
        <f>IF(CV64&lt;=$B$4+1,CV67*VLOOKUP(CV64,Assumptions!$A$70:$B$90,2,0),0)</f>
        <v>0</v>
      </c>
      <c r="CW72" s="8">
        <f>IF(CW64&lt;=$B$4+1,CW67*VLOOKUP(CW64,Assumptions!$A$70:$B$90,2,0),0)</f>
        <v>0</v>
      </c>
      <c r="CX72" s="8">
        <f>IF(CX64&lt;=$B$4+1,CX67*VLOOKUP(CX64,Assumptions!$A$70:$B$90,2,0),0)</f>
        <v>0</v>
      </c>
      <c r="CY72" s="8">
        <f>IF(CY64&lt;=$B$4+1,CY67*VLOOKUP(CY64,Assumptions!$A$70:$B$90,2,0),0)</f>
        <v>0</v>
      </c>
      <c r="CZ72" s="8">
        <f>IF(CZ64&lt;=$B$4+1,CZ67*VLOOKUP(CZ64,Assumptions!$A$70:$B$90,2,0),0)</f>
        <v>0</v>
      </c>
      <c r="DA72" s="8">
        <f>IF(DA64&lt;=$B$4+1,DA67*VLOOKUP(DA64,Assumptions!$A$70:$B$90,2,0),0)</f>
        <v>0</v>
      </c>
    </row>
    <row r="73" spans="1:105" x14ac:dyDescent="0.4">
      <c r="D73" t="s">
        <v>170</v>
      </c>
      <c r="H73" s="8"/>
      <c r="I73" s="8">
        <f>H74</f>
        <v>0</v>
      </c>
      <c r="J73" s="8">
        <f t="shared" ref="J73:BU73" si="76">I74</f>
        <v>-5193.5276504091771</v>
      </c>
      <c r="K73" s="8">
        <f t="shared" si="76"/>
        <v>-20682.11096897232</v>
      </c>
      <c r="L73" s="8">
        <f t="shared" si="76"/>
        <v>-34562.184580951587</v>
      </c>
      <c r="M73" s="8">
        <f t="shared" si="76"/>
        <v>-46958.393149956806</v>
      </c>
      <c r="N73" s="8">
        <f t="shared" si="76"/>
        <v>-57977.574959082107</v>
      </c>
      <c r="O73" s="8">
        <f t="shared" si="76"/>
        <v>-67726.568291421616</v>
      </c>
      <c r="P73" s="8">
        <f t="shared" si="76"/>
        <v>-76297.372779639729</v>
      </c>
      <c r="Q73" s="8">
        <f t="shared" si="76"/>
        <v>-83781.988056400834</v>
      </c>
      <c r="R73" s="8">
        <f t="shared" si="76"/>
        <v>-91088.539528005058</v>
      </c>
      <c r="S73" s="8">
        <f t="shared" si="76"/>
        <v>-98392.123269523334</v>
      </c>
      <c r="T73" s="8">
        <f t="shared" si="76"/>
        <v>-105698.67474112756</v>
      </c>
      <c r="U73" s="8">
        <f t="shared" si="76"/>
        <v>-113002.25848264583</v>
      </c>
      <c r="V73" s="8">
        <f t="shared" si="76"/>
        <v>-120308.80995425006</v>
      </c>
      <c r="W73" s="8">
        <f t="shared" si="76"/>
        <v>-127612.39369576833</v>
      </c>
      <c r="X73" s="8">
        <f t="shared" si="76"/>
        <v>-134918.94516737256</v>
      </c>
      <c r="Y73" s="8">
        <f t="shared" si="76"/>
        <v>-142222.52890889085</v>
      </c>
      <c r="Z73" s="8">
        <f t="shared" si="76"/>
        <v>-149529.08038049508</v>
      </c>
      <c r="AA73" s="8">
        <f t="shared" si="76"/>
        <v>-156832.66412201338</v>
      </c>
      <c r="AB73" s="8">
        <f t="shared" si="76"/>
        <v>-164139.21559361761</v>
      </c>
      <c r="AC73" s="8">
        <f t="shared" si="76"/>
        <v>-171442.7993351359</v>
      </c>
      <c r="AD73" s="8">
        <f t="shared" si="76"/>
        <v>-172128.3449849899</v>
      </c>
      <c r="AE73" s="8">
        <f t="shared" si="76"/>
        <v>-166192.8848130937</v>
      </c>
      <c r="AF73" s="8">
        <f t="shared" si="76"/>
        <v>-160257.42464119749</v>
      </c>
      <c r="AG73" s="8">
        <f t="shared" si="76"/>
        <v>-154321.96446930128</v>
      </c>
      <c r="AH73" s="8">
        <f t="shared" si="76"/>
        <v>-148386.50429740507</v>
      </c>
      <c r="AI73" s="8">
        <f t="shared" si="76"/>
        <v>-142451.04412550887</v>
      </c>
      <c r="AJ73" s="8">
        <f t="shared" si="76"/>
        <v>-136515.58395361266</v>
      </c>
      <c r="AK73" s="8">
        <f t="shared" si="76"/>
        <v>-130580.12378171645</v>
      </c>
      <c r="AL73" s="8">
        <f t="shared" si="76"/>
        <v>-124644.66360982024</v>
      </c>
      <c r="AM73" s="8">
        <f t="shared" si="76"/>
        <v>-118709.20343792404</v>
      </c>
      <c r="AN73" s="8">
        <f t="shared" si="76"/>
        <v>-112773.74326602783</v>
      </c>
      <c r="AO73" s="8">
        <f t="shared" si="76"/>
        <v>-106838.28309413162</v>
      </c>
      <c r="AP73" s="8">
        <f t="shared" si="76"/>
        <v>-100902.82292223541</v>
      </c>
      <c r="AQ73" s="8">
        <f t="shared" si="76"/>
        <v>-94967.362750339205</v>
      </c>
      <c r="AR73" s="8">
        <f t="shared" si="76"/>
        <v>-89031.902578442998</v>
      </c>
      <c r="AS73" s="8">
        <f t="shared" si="76"/>
        <v>-83096.44240654679</v>
      </c>
      <c r="AT73" s="8">
        <f t="shared" si="76"/>
        <v>-77160.982234650583</v>
      </c>
      <c r="AU73" s="8">
        <f t="shared" si="76"/>
        <v>-71225.522062754375</v>
      </c>
      <c r="AV73" s="8">
        <f t="shared" si="76"/>
        <v>-65290.061890858175</v>
      </c>
      <c r="AW73" s="8">
        <f t="shared" si="76"/>
        <v>-59354.601718961974</v>
      </c>
      <c r="AX73" s="8">
        <f t="shared" si="76"/>
        <v>-53419.141547065774</v>
      </c>
      <c r="AY73" s="8">
        <f t="shared" si="76"/>
        <v>-47483.681375169574</v>
      </c>
      <c r="AZ73" s="8">
        <f t="shared" si="76"/>
        <v>-41548.221203273373</v>
      </c>
      <c r="BA73" s="8">
        <f t="shared" si="76"/>
        <v>-35612.761031377173</v>
      </c>
      <c r="BB73" s="8">
        <f t="shared" si="76"/>
        <v>-29677.300859480969</v>
      </c>
      <c r="BC73" s="8">
        <f t="shared" si="76"/>
        <v>-23741.840687584765</v>
      </c>
      <c r="BD73" s="8">
        <f t="shared" si="76"/>
        <v>-17806.380515688561</v>
      </c>
      <c r="BE73" s="8">
        <f t="shared" si="76"/>
        <v>-11870.920343792357</v>
      </c>
      <c r="BF73" s="8">
        <f t="shared" si="76"/>
        <v>-5935.460171896154</v>
      </c>
      <c r="BG73" s="8">
        <f t="shared" si="76"/>
        <v>4.9112713895738125E-11</v>
      </c>
      <c r="BH73" s="8">
        <f t="shared" si="76"/>
        <v>4.9112713895738125E-11</v>
      </c>
      <c r="BI73" s="8">
        <f t="shared" si="76"/>
        <v>4.9112713895738125E-11</v>
      </c>
      <c r="BJ73" s="8">
        <f t="shared" si="76"/>
        <v>4.9112713895738125E-11</v>
      </c>
      <c r="BK73" s="8">
        <f t="shared" si="76"/>
        <v>4.9112713895738125E-11</v>
      </c>
      <c r="BL73" s="8">
        <f t="shared" si="76"/>
        <v>4.9112713895738125E-11</v>
      </c>
      <c r="BM73" s="8">
        <f t="shared" si="76"/>
        <v>4.9112713895738125E-11</v>
      </c>
      <c r="BN73" s="8">
        <f t="shared" si="76"/>
        <v>4.9112713895738125E-11</v>
      </c>
      <c r="BO73" s="8">
        <f t="shared" si="76"/>
        <v>4.9112713895738125E-11</v>
      </c>
      <c r="BP73" s="8">
        <f t="shared" si="76"/>
        <v>4.9112713895738125E-11</v>
      </c>
      <c r="BQ73" s="8">
        <f t="shared" si="76"/>
        <v>4.9112713895738125E-11</v>
      </c>
      <c r="BR73" s="8">
        <f t="shared" si="76"/>
        <v>4.9112713895738125E-11</v>
      </c>
      <c r="BS73" s="8">
        <f t="shared" si="76"/>
        <v>4.9112713895738125E-11</v>
      </c>
      <c r="BT73" s="8">
        <f t="shared" si="76"/>
        <v>4.9112713895738125E-11</v>
      </c>
      <c r="BU73" s="8">
        <f t="shared" si="76"/>
        <v>4.9112713895738125E-11</v>
      </c>
      <c r="BV73" s="8">
        <f t="shared" ref="BV73:DA73" si="77">BU74</f>
        <v>4.9112713895738125E-11</v>
      </c>
      <c r="BW73" s="8">
        <f t="shared" si="77"/>
        <v>4.9112713895738125E-11</v>
      </c>
      <c r="BX73" s="8">
        <f t="shared" si="77"/>
        <v>4.9112713895738125E-11</v>
      </c>
      <c r="BY73" s="8">
        <f t="shared" si="77"/>
        <v>4.9112713895738125E-11</v>
      </c>
      <c r="BZ73" s="8">
        <f t="shared" si="77"/>
        <v>4.9112713895738125E-11</v>
      </c>
      <c r="CA73" s="8">
        <f t="shared" si="77"/>
        <v>4.9112713895738125E-11</v>
      </c>
      <c r="CB73" s="8">
        <f t="shared" si="77"/>
        <v>4.9112713895738125E-11</v>
      </c>
      <c r="CC73" s="8">
        <f t="shared" si="77"/>
        <v>4.9112713895738125E-11</v>
      </c>
      <c r="CD73" s="8">
        <f t="shared" si="77"/>
        <v>4.9112713895738125E-11</v>
      </c>
      <c r="CE73" s="8">
        <f t="shared" si="77"/>
        <v>4.9112713895738125E-11</v>
      </c>
      <c r="CF73" s="8">
        <f t="shared" si="77"/>
        <v>4.9112713895738125E-11</v>
      </c>
      <c r="CG73" s="8">
        <f t="shared" si="77"/>
        <v>4.9112713895738125E-11</v>
      </c>
      <c r="CH73" s="8">
        <f t="shared" si="77"/>
        <v>4.9112713895738125E-11</v>
      </c>
      <c r="CI73" s="8">
        <f t="shared" si="77"/>
        <v>4.9112713895738125E-11</v>
      </c>
      <c r="CJ73" s="8">
        <f t="shared" si="77"/>
        <v>4.9112713895738125E-11</v>
      </c>
      <c r="CK73" s="8">
        <f t="shared" si="77"/>
        <v>4.9112713895738125E-11</v>
      </c>
      <c r="CL73" s="8">
        <f t="shared" si="77"/>
        <v>4.9112713895738125E-11</v>
      </c>
      <c r="CM73" s="8">
        <f t="shared" si="77"/>
        <v>4.9112713895738125E-11</v>
      </c>
      <c r="CN73" s="8">
        <f t="shared" si="77"/>
        <v>4.9112713895738125E-11</v>
      </c>
      <c r="CO73" s="8">
        <f t="shared" si="77"/>
        <v>4.9112713895738125E-11</v>
      </c>
      <c r="CP73" s="8">
        <f t="shared" si="77"/>
        <v>4.9112713895738125E-11</v>
      </c>
      <c r="CQ73" s="8">
        <f t="shared" si="77"/>
        <v>4.9112713895738125E-11</v>
      </c>
      <c r="CR73" s="8">
        <f t="shared" si="77"/>
        <v>4.9112713895738125E-11</v>
      </c>
      <c r="CS73" s="8">
        <f t="shared" si="77"/>
        <v>4.9112713895738125E-11</v>
      </c>
      <c r="CT73" s="8">
        <f t="shared" si="77"/>
        <v>4.9112713895738125E-11</v>
      </c>
      <c r="CU73" s="8">
        <f t="shared" si="77"/>
        <v>4.9112713895738125E-11</v>
      </c>
      <c r="CV73" s="8">
        <f t="shared" si="77"/>
        <v>4.9112713895738125E-11</v>
      </c>
      <c r="CW73" s="8">
        <f t="shared" si="77"/>
        <v>4.9112713895738125E-11</v>
      </c>
      <c r="CX73" s="8">
        <f t="shared" si="77"/>
        <v>4.9112713895738125E-11</v>
      </c>
      <c r="CY73" s="8">
        <f t="shared" si="77"/>
        <v>4.9112713895738125E-11</v>
      </c>
      <c r="CZ73" s="8">
        <f t="shared" si="77"/>
        <v>4.9112713895738125E-11</v>
      </c>
      <c r="DA73" s="8">
        <f t="shared" si="77"/>
        <v>4.9112713895738125E-11</v>
      </c>
    </row>
    <row r="74" spans="1:105" x14ac:dyDescent="0.4">
      <c r="D74" t="s">
        <v>171</v>
      </c>
      <c r="H74" s="8"/>
      <c r="I74" s="8">
        <f t="shared" ref="I74:AN74" si="78">H74+((I66-I72)*INC_TAX_RATE)</f>
        <v>-5193.5276504091771</v>
      </c>
      <c r="J74" s="8">
        <f t="shared" si="78"/>
        <v>-20682.11096897232</v>
      </c>
      <c r="K74" s="8">
        <f t="shared" si="78"/>
        <v>-34562.184580951587</v>
      </c>
      <c r="L74" s="8">
        <f t="shared" si="78"/>
        <v>-46958.393149956806</v>
      </c>
      <c r="M74" s="8">
        <f t="shared" si="78"/>
        <v>-57977.574959082107</v>
      </c>
      <c r="N74" s="8">
        <f t="shared" si="78"/>
        <v>-67726.568291421616</v>
      </c>
      <c r="O74" s="8">
        <f t="shared" si="78"/>
        <v>-76297.372779639729</v>
      </c>
      <c r="P74" s="8">
        <f t="shared" si="78"/>
        <v>-83781.988056400834</v>
      </c>
      <c r="Q74" s="8">
        <f t="shared" si="78"/>
        <v>-91088.539528005058</v>
      </c>
      <c r="R74" s="8">
        <f t="shared" si="78"/>
        <v>-98392.123269523334</v>
      </c>
      <c r="S74" s="8">
        <f t="shared" si="78"/>
        <v>-105698.67474112756</v>
      </c>
      <c r="T74" s="8">
        <f t="shared" si="78"/>
        <v>-113002.25848264583</v>
      </c>
      <c r="U74" s="8">
        <f t="shared" si="78"/>
        <v>-120308.80995425006</v>
      </c>
      <c r="V74" s="8">
        <f t="shared" si="78"/>
        <v>-127612.39369576833</v>
      </c>
      <c r="W74" s="8">
        <f t="shared" si="78"/>
        <v>-134918.94516737256</v>
      </c>
      <c r="X74" s="8">
        <f t="shared" si="78"/>
        <v>-142222.52890889085</v>
      </c>
      <c r="Y74" s="8">
        <f t="shared" si="78"/>
        <v>-149529.08038049508</v>
      </c>
      <c r="Z74" s="8">
        <f t="shared" si="78"/>
        <v>-156832.66412201338</v>
      </c>
      <c r="AA74" s="8">
        <f t="shared" si="78"/>
        <v>-164139.21559361761</v>
      </c>
      <c r="AB74" s="8">
        <f t="shared" si="78"/>
        <v>-171442.7993351359</v>
      </c>
      <c r="AC74" s="8">
        <f t="shared" si="78"/>
        <v>-172128.3449849899</v>
      </c>
      <c r="AD74" s="8">
        <f t="shared" si="78"/>
        <v>-166192.8848130937</v>
      </c>
      <c r="AE74" s="8">
        <f t="shared" si="78"/>
        <v>-160257.42464119749</v>
      </c>
      <c r="AF74" s="8">
        <f t="shared" si="78"/>
        <v>-154321.96446930128</v>
      </c>
      <c r="AG74" s="8">
        <f t="shared" si="78"/>
        <v>-148386.50429740507</v>
      </c>
      <c r="AH74" s="8">
        <f t="shared" si="78"/>
        <v>-142451.04412550887</v>
      </c>
      <c r="AI74" s="8">
        <f t="shared" si="78"/>
        <v>-136515.58395361266</v>
      </c>
      <c r="AJ74" s="8">
        <f t="shared" si="78"/>
        <v>-130580.12378171645</v>
      </c>
      <c r="AK74" s="8">
        <f t="shared" si="78"/>
        <v>-124644.66360982024</v>
      </c>
      <c r="AL74" s="8">
        <f t="shared" si="78"/>
        <v>-118709.20343792404</v>
      </c>
      <c r="AM74" s="8">
        <f t="shared" si="78"/>
        <v>-112773.74326602783</v>
      </c>
      <c r="AN74" s="8">
        <f t="shared" si="78"/>
        <v>-106838.28309413162</v>
      </c>
      <c r="AO74" s="8">
        <f t="shared" ref="AO74:BT74" si="79">AN74+((AO66-AO72)*INC_TAX_RATE)</f>
        <v>-100902.82292223541</v>
      </c>
      <c r="AP74" s="8">
        <f t="shared" si="79"/>
        <v>-94967.362750339205</v>
      </c>
      <c r="AQ74" s="8">
        <f t="shared" si="79"/>
        <v>-89031.902578442998</v>
      </c>
      <c r="AR74" s="8">
        <f t="shared" si="79"/>
        <v>-83096.44240654679</v>
      </c>
      <c r="AS74" s="8">
        <f t="shared" si="79"/>
        <v>-77160.982234650583</v>
      </c>
      <c r="AT74" s="8">
        <f t="shared" si="79"/>
        <v>-71225.522062754375</v>
      </c>
      <c r="AU74" s="8">
        <f t="shared" si="79"/>
        <v>-65290.061890858175</v>
      </c>
      <c r="AV74" s="8">
        <f t="shared" si="79"/>
        <v>-59354.601718961974</v>
      </c>
      <c r="AW74" s="8">
        <f t="shared" si="79"/>
        <v>-53419.141547065774</v>
      </c>
      <c r="AX74" s="8">
        <f t="shared" si="79"/>
        <v>-47483.681375169574</v>
      </c>
      <c r="AY74" s="8">
        <f t="shared" si="79"/>
        <v>-41548.221203273373</v>
      </c>
      <c r="AZ74" s="8">
        <f t="shared" si="79"/>
        <v>-35612.761031377173</v>
      </c>
      <c r="BA74" s="8">
        <f t="shared" si="79"/>
        <v>-29677.300859480969</v>
      </c>
      <c r="BB74" s="8">
        <f t="shared" si="79"/>
        <v>-23741.840687584765</v>
      </c>
      <c r="BC74" s="8">
        <f t="shared" si="79"/>
        <v>-17806.380515688561</v>
      </c>
      <c r="BD74" s="8">
        <f t="shared" si="79"/>
        <v>-11870.920343792357</v>
      </c>
      <c r="BE74" s="8">
        <f t="shared" si="79"/>
        <v>-5935.460171896154</v>
      </c>
      <c r="BF74" s="8">
        <f t="shared" si="79"/>
        <v>4.9112713895738125E-11</v>
      </c>
      <c r="BG74" s="8">
        <f t="shared" si="79"/>
        <v>4.9112713895738125E-11</v>
      </c>
      <c r="BH74" s="8">
        <f t="shared" si="79"/>
        <v>4.9112713895738125E-11</v>
      </c>
      <c r="BI74" s="8">
        <f t="shared" si="79"/>
        <v>4.9112713895738125E-11</v>
      </c>
      <c r="BJ74" s="8">
        <f t="shared" si="79"/>
        <v>4.9112713895738125E-11</v>
      </c>
      <c r="BK74" s="8">
        <f t="shared" si="79"/>
        <v>4.9112713895738125E-11</v>
      </c>
      <c r="BL74" s="8">
        <f t="shared" si="79"/>
        <v>4.9112713895738125E-11</v>
      </c>
      <c r="BM74" s="8">
        <f t="shared" si="79"/>
        <v>4.9112713895738125E-11</v>
      </c>
      <c r="BN74" s="8">
        <f t="shared" si="79"/>
        <v>4.9112713895738125E-11</v>
      </c>
      <c r="BO74" s="8">
        <f t="shared" si="79"/>
        <v>4.9112713895738125E-11</v>
      </c>
      <c r="BP74" s="8">
        <f t="shared" si="79"/>
        <v>4.9112713895738125E-11</v>
      </c>
      <c r="BQ74" s="8">
        <f t="shared" si="79"/>
        <v>4.9112713895738125E-11</v>
      </c>
      <c r="BR74" s="8">
        <f t="shared" si="79"/>
        <v>4.9112713895738125E-11</v>
      </c>
      <c r="BS74" s="8">
        <f t="shared" si="79"/>
        <v>4.9112713895738125E-11</v>
      </c>
      <c r="BT74" s="8">
        <f t="shared" si="79"/>
        <v>4.9112713895738125E-11</v>
      </c>
      <c r="BU74" s="8">
        <f t="shared" ref="BU74:DA74" si="80">BT74+((BU66-BU72)*INC_TAX_RATE)</f>
        <v>4.9112713895738125E-11</v>
      </c>
      <c r="BV74" s="8">
        <f t="shared" si="80"/>
        <v>4.9112713895738125E-11</v>
      </c>
      <c r="BW74" s="8">
        <f t="shared" si="80"/>
        <v>4.9112713895738125E-11</v>
      </c>
      <c r="BX74" s="8">
        <f t="shared" si="80"/>
        <v>4.9112713895738125E-11</v>
      </c>
      <c r="BY74" s="8">
        <f t="shared" si="80"/>
        <v>4.9112713895738125E-11</v>
      </c>
      <c r="BZ74" s="8">
        <f t="shared" si="80"/>
        <v>4.9112713895738125E-11</v>
      </c>
      <c r="CA74" s="8">
        <f t="shared" si="80"/>
        <v>4.9112713895738125E-11</v>
      </c>
      <c r="CB74" s="8">
        <f t="shared" si="80"/>
        <v>4.9112713895738125E-11</v>
      </c>
      <c r="CC74" s="8">
        <f t="shared" si="80"/>
        <v>4.9112713895738125E-11</v>
      </c>
      <c r="CD74" s="8">
        <f t="shared" si="80"/>
        <v>4.9112713895738125E-11</v>
      </c>
      <c r="CE74" s="8">
        <f t="shared" si="80"/>
        <v>4.9112713895738125E-11</v>
      </c>
      <c r="CF74" s="8">
        <f t="shared" si="80"/>
        <v>4.9112713895738125E-11</v>
      </c>
      <c r="CG74" s="8">
        <f t="shared" si="80"/>
        <v>4.9112713895738125E-11</v>
      </c>
      <c r="CH74" s="8">
        <f t="shared" si="80"/>
        <v>4.9112713895738125E-11</v>
      </c>
      <c r="CI74" s="8">
        <f t="shared" si="80"/>
        <v>4.9112713895738125E-11</v>
      </c>
      <c r="CJ74" s="8">
        <f t="shared" si="80"/>
        <v>4.9112713895738125E-11</v>
      </c>
      <c r="CK74" s="8">
        <f t="shared" si="80"/>
        <v>4.9112713895738125E-11</v>
      </c>
      <c r="CL74" s="8">
        <f t="shared" si="80"/>
        <v>4.9112713895738125E-11</v>
      </c>
      <c r="CM74" s="8">
        <f t="shared" si="80"/>
        <v>4.9112713895738125E-11</v>
      </c>
      <c r="CN74" s="8">
        <f t="shared" si="80"/>
        <v>4.9112713895738125E-11</v>
      </c>
      <c r="CO74" s="8">
        <f t="shared" si="80"/>
        <v>4.9112713895738125E-11</v>
      </c>
      <c r="CP74" s="8">
        <f t="shared" si="80"/>
        <v>4.9112713895738125E-11</v>
      </c>
      <c r="CQ74" s="8">
        <f t="shared" si="80"/>
        <v>4.9112713895738125E-11</v>
      </c>
      <c r="CR74" s="8">
        <f t="shared" si="80"/>
        <v>4.9112713895738125E-11</v>
      </c>
      <c r="CS74" s="8">
        <f t="shared" si="80"/>
        <v>4.9112713895738125E-11</v>
      </c>
      <c r="CT74" s="8">
        <f t="shared" si="80"/>
        <v>4.9112713895738125E-11</v>
      </c>
      <c r="CU74" s="8">
        <f t="shared" si="80"/>
        <v>4.9112713895738125E-11</v>
      </c>
      <c r="CV74" s="8">
        <f t="shared" si="80"/>
        <v>4.9112713895738125E-11</v>
      </c>
      <c r="CW74" s="8">
        <f t="shared" si="80"/>
        <v>4.9112713895738125E-11</v>
      </c>
      <c r="CX74" s="8">
        <f t="shared" si="80"/>
        <v>4.9112713895738125E-11</v>
      </c>
      <c r="CY74" s="8">
        <f t="shared" si="80"/>
        <v>4.9112713895738125E-11</v>
      </c>
      <c r="CZ74" s="8">
        <f t="shared" si="80"/>
        <v>4.9112713895738125E-11</v>
      </c>
      <c r="DA74" s="8">
        <f t="shared" si="80"/>
        <v>4.9112713895738125E-11</v>
      </c>
    </row>
    <row r="75" spans="1:105" x14ac:dyDescent="0.4"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</row>
    <row r="76" spans="1:105" x14ac:dyDescent="0.4">
      <c r="D76" t="s">
        <v>158</v>
      </c>
      <c r="H76" s="8"/>
      <c r="I76" s="8">
        <f>AVERAGE(I69:I70)+AVERAGE(I73:I74)</f>
        <v>1057498.0530929337</v>
      </c>
      <c r="J76" s="8">
        <f t="shared" ref="J76:BU76" si="81">AVERAGE(J69:J70)+AVERAGE(J73:J74)</f>
        <v>1025740.9407010104</v>
      </c>
      <c r="K76" s="8">
        <f t="shared" si="81"/>
        <v>989640.55532830209</v>
      </c>
      <c r="L76" s="8">
        <f t="shared" si="81"/>
        <v>955086.35733037267</v>
      </c>
      <c r="M76" s="8">
        <f t="shared" si="81"/>
        <v>921962.60523387033</v>
      </c>
      <c r="N76" s="8">
        <f t="shared" si="81"/>
        <v>890162.46075570059</v>
      </c>
      <c r="O76" s="8">
        <f t="shared" si="81"/>
        <v>859586.50493798475</v>
      </c>
      <c r="P76" s="8">
        <f t="shared" si="81"/>
        <v>830142.73814805807</v>
      </c>
      <c r="Q76" s="8">
        <f t="shared" si="81"/>
        <v>801331.09786643821</v>
      </c>
      <c r="R76" s="8">
        <f t="shared" si="81"/>
        <v>772609.97335243993</v>
      </c>
      <c r="S76" s="8">
        <f t="shared" si="81"/>
        <v>743888.84883844154</v>
      </c>
      <c r="T76" s="8">
        <f t="shared" si="81"/>
        <v>715167.72432444314</v>
      </c>
      <c r="U76" s="8">
        <f t="shared" si="81"/>
        <v>686446.59981044475</v>
      </c>
      <c r="V76" s="8">
        <f t="shared" si="81"/>
        <v>657725.47529644624</v>
      </c>
      <c r="W76" s="8">
        <f t="shared" si="81"/>
        <v>629004.35078244796</v>
      </c>
      <c r="X76" s="8">
        <f t="shared" si="81"/>
        <v>600283.22626844945</v>
      </c>
      <c r="Y76" s="8">
        <f t="shared" si="81"/>
        <v>571562.10175445117</v>
      </c>
      <c r="Z76" s="8">
        <f t="shared" si="81"/>
        <v>542840.97724045254</v>
      </c>
      <c r="AA76" s="8">
        <f t="shared" si="81"/>
        <v>514119.85272645426</v>
      </c>
      <c r="AB76" s="8">
        <f t="shared" si="81"/>
        <v>485398.72821245575</v>
      </c>
      <c r="AC76" s="8">
        <f t="shared" si="81"/>
        <v>459988.10660933255</v>
      </c>
      <c r="AD76" s="8">
        <f t="shared" si="81"/>
        <v>441197.00696291635</v>
      </c>
      <c r="AE76" s="8">
        <f t="shared" si="81"/>
        <v>425716.41022737557</v>
      </c>
      <c r="AF76" s="8">
        <f t="shared" si="81"/>
        <v>410235.81349183444</v>
      </c>
      <c r="AG76" s="8">
        <f t="shared" si="81"/>
        <v>394755.21675629367</v>
      </c>
      <c r="AH76" s="8">
        <f t="shared" si="81"/>
        <v>379274.62002075254</v>
      </c>
      <c r="AI76" s="8">
        <f t="shared" si="81"/>
        <v>363794.02328521165</v>
      </c>
      <c r="AJ76" s="8">
        <f t="shared" si="81"/>
        <v>348313.42654967075</v>
      </c>
      <c r="AK76" s="8">
        <f t="shared" si="81"/>
        <v>332832.82981412974</v>
      </c>
      <c r="AL76" s="8">
        <f t="shared" si="81"/>
        <v>317352.23307858885</v>
      </c>
      <c r="AM76" s="8">
        <f t="shared" si="81"/>
        <v>301871.63634304784</v>
      </c>
      <c r="AN76" s="8">
        <f t="shared" si="81"/>
        <v>286391.03960750694</v>
      </c>
      <c r="AO76" s="8">
        <f t="shared" si="81"/>
        <v>270910.44287196593</v>
      </c>
      <c r="AP76" s="8">
        <f t="shared" si="81"/>
        <v>255429.84613642501</v>
      </c>
      <c r="AQ76" s="8">
        <f t="shared" si="81"/>
        <v>239949.24940088406</v>
      </c>
      <c r="AR76" s="8">
        <f t="shared" si="81"/>
        <v>224468.65266534311</v>
      </c>
      <c r="AS76" s="8">
        <f t="shared" si="81"/>
        <v>208988.05592980215</v>
      </c>
      <c r="AT76" s="8">
        <f t="shared" si="81"/>
        <v>193507.4591942612</v>
      </c>
      <c r="AU76" s="8">
        <f t="shared" si="81"/>
        <v>178026.86245872025</v>
      </c>
      <c r="AV76" s="8">
        <f t="shared" si="81"/>
        <v>162546.26572317927</v>
      </c>
      <c r="AW76" s="8">
        <f t="shared" si="81"/>
        <v>147065.66898763832</v>
      </c>
      <c r="AX76" s="8">
        <f t="shared" si="81"/>
        <v>131585.07225209736</v>
      </c>
      <c r="AY76" s="8">
        <f t="shared" si="81"/>
        <v>116104.47551655641</v>
      </c>
      <c r="AZ76" s="8">
        <f t="shared" si="81"/>
        <v>100623.87878101545</v>
      </c>
      <c r="BA76" s="8">
        <f t="shared" si="81"/>
        <v>85143.282045474494</v>
      </c>
      <c r="BB76" s="8">
        <f t="shared" si="81"/>
        <v>69662.685309933528</v>
      </c>
      <c r="BC76" s="8">
        <f t="shared" si="81"/>
        <v>54182.088574392583</v>
      </c>
      <c r="BD76" s="8">
        <f t="shared" si="81"/>
        <v>38701.491838851623</v>
      </c>
      <c r="BE76" s="8">
        <f t="shared" si="81"/>
        <v>23220.895103310671</v>
      </c>
      <c r="BF76" s="8">
        <f t="shared" si="81"/>
        <v>7740.2983677701195</v>
      </c>
      <c r="BG76" s="8">
        <f t="shared" si="81"/>
        <v>4.9112713895738125E-11</v>
      </c>
      <c r="BH76" s="8">
        <f t="shared" si="81"/>
        <v>4.9112713895738125E-11</v>
      </c>
      <c r="BI76" s="8">
        <f t="shared" si="81"/>
        <v>4.9112713895738125E-11</v>
      </c>
      <c r="BJ76" s="8">
        <f t="shared" si="81"/>
        <v>4.9112713895738125E-11</v>
      </c>
      <c r="BK76" s="8">
        <f t="shared" si="81"/>
        <v>4.9112713895738125E-11</v>
      </c>
      <c r="BL76" s="8">
        <f t="shared" si="81"/>
        <v>4.9112713895738125E-11</v>
      </c>
      <c r="BM76" s="8">
        <f t="shared" si="81"/>
        <v>4.9112713895738125E-11</v>
      </c>
      <c r="BN76" s="8">
        <f t="shared" si="81"/>
        <v>4.9112713895738125E-11</v>
      </c>
      <c r="BO76" s="8">
        <f t="shared" si="81"/>
        <v>4.9112713895738125E-11</v>
      </c>
      <c r="BP76" s="8">
        <f t="shared" si="81"/>
        <v>4.9112713895738125E-11</v>
      </c>
      <c r="BQ76" s="8">
        <f t="shared" si="81"/>
        <v>4.9112713895738125E-11</v>
      </c>
      <c r="BR76" s="8">
        <f t="shared" si="81"/>
        <v>4.9112713895738125E-11</v>
      </c>
      <c r="BS76" s="8">
        <f t="shared" si="81"/>
        <v>4.9112713895738125E-11</v>
      </c>
      <c r="BT76" s="8">
        <f t="shared" si="81"/>
        <v>4.9112713895738125E-11</v>
      </c>
      <c r="BU76" s="8">
        <f t="shared" si="81"/>
        <v>4.9112713895738125E-11</v>
      </c>
      <c r="BV76" s="8">
        <f t="shared" ref="BV76:DA76" si="82">AVERAGE(BV69:BV70)+AVERAGE(BV73:BV74)</f>
        <v>4.9112713895738125E-11</v>
      </c>
      <c r="BW76" s="8">
        <f t="shared" si="82"/>
        <v>4.9112713895738125E-11</v>
      </c>
      <c r="BX76" s="8">
        <f t="shared" si="82"/>
        <v>4.9112713895738125E-11</v>
      </c>
      <c r="BY76" s="8">
        <f t="shared" si="82"/>
        <v>4.9112713895738125E-11</v>
      </c>
      <c r="BZ76" s="8">
        <f t="shared" si="82"/>
        <v>4.9112713895738125E-11</v>
      </c>
      <c r="CA76" s="8">
        <f t="shared" si="82"/>
        <v>4.9112713895738125E-11</v>
      </c>
      <c r="CB76" s="8">
        <f t="shared" si="82"/>
        <v>4.9112713895738125E-11</v>
      </c>
      <c r="CC76" s="8">
        <f t="shared" si="82"/>
        <v>4.9112713895738125E-11</v>
      </c>
      <c r="CD76" s="8">
        <f t="shared" si="82"/>
        <v>4.9112713895738125E-11</v>
      </c>
      <c r="CE76" s="8">
        <f t="shared" si="82"/>
        <v>4.9112713895738125E-11</v>
      </c>
      <c r="CF76" s="8">
        <f t="shared" si="82"/>
        <v>4.9112713895738125E-11</v>
      </c>
      <c r="CG76" s="8">
        <f t="shared" si="82"/>
        <v>4.9112713895738125E-11</v>
      </c>
      <c r="CH76" s="8">
        <f t="shared" si="82"/>
        <v>4.9112713895738125E-11</v>
      </c>
      <c r="CI76" s="8">
        <f t="shared" si="82"/>
        <v>4.9112713895738125E-11</v>
      </c>
      <c r="CJ76" s="8">
        <f t="shared" si="82"/>
        <v>4.9112713895738125E-11</v>
      </c>
      <c r="CK76" s="8">
        <f t="shared" si="82"/>
        <v>4.9112713895738125E-11</v>
      </c>
      <c r="CL76" s="8">
        <f t="shared" si="82"/>
        <v>4.9112713895738125E-11</v>
      </c>
      <c r="CM76" s="8">
        <f t="shared" si="82"/>
        <v>4.9112713895738125E-11</v>
      </c>
      <c r="CN76" s="8">
        <f t="shared" si="82"/>
        <v>4.9112713895738125E-11</v>
      </c>
      <c r="CO76" s="8">
        <f t="shared" si="82"/>
        <v>4.9112713895738125E-11</v>
      </c>
      <c r="CP76" s="8">
        <f t="shared" si="82"/>
        <v>4.9112713895738125E-11</v>
      </c>
      <c r="CQ76" s="8">
        <f t="shared" si="82"/>
        <v>4.9112713895738125E-11</v>
      </c>
      <c r="CR76" s="8">
        <f t="shared" si="82"/>
        <v>4.9112713895738125E-11</v>
      </c>
      <c r="CS76" s="8">
        <f t="shared" si="82"/>
        <v>4.9112713895738125E-11</v>
      </c>
      <c r="CT76" s="8">
        <f t="shared" si="82"/>
        <v>4.9112713895738125E-11</v>
      </c>
      <c r="CU76" s="8">
        <f t="shared" si="82"/>
        <v>4.9112713895738125E-11</v>
      </c>
      <c r="CV76" s="8">
        <f t="shared" si="82"/>
        <v>4.9112713895738125E-11</v>
      </c>
      <c r="CW76" s="8">
        <f t="shared" si="82"/>
        <v>4.9112713895738125E-11</v>
      </c>
      <c r="CX76" s="8">
        <f t="shared" si="82"/>
        <v>4.9112713895738125E-11</v>
      </c>
      <c r="CY76" s="8">
        <f t="shared" si="82"/>
        <v>4.9112713895738125E-11</v>
      </c>
      <c r="CZ76" s="8">
        <f t="shared" si="82"/>
        <v>4.9112713895738125E-11</v>
      </c>
      <c r="DA76" s="8">
        <f t="shared" si="82"/>
        <v>4.9112713895738125E-11</v>
      </c>
    </row>
    <row r="77" spans="1:105" x14ac:dyDescent="0.4"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</row>
    <row r="78" spans="1:105" x14ac:dyDescent="0.4">
      <c r="D78" t="s">
        <v>209</v>
      </c>
      <c r="H78" s="8"/>
      <c r="I78" s="8">
        <f t="shared" ref="I78:AN78" si="83">I76*AVG_PRE_TAX_RATE</f>
        <v>94434.576141198981</v>
      </c>
      <c r="J78" s="8">
        <f t="shared" si="83"/>
        <v>91598.666004600236</v>
      </c>
      <c r="K78" s="8">
        <f t="shared" si="83"/>
        <v>88374.901590817375</v>
      </c>
      <c r="L78" s="8">
        <f t="shared" si="83"/>
        <v>85289.211709602285</v>
      </c>
      <c r="M78" s="8">
        <f t="shared" si="83"/>
        <v>82331.260647384624</v>
      </c>
      <c r="N78" s="8">
        <f t="shared" si="83"/>
        <v>79491.507745484065</v>
      </c>
      <c r="O78" s="8">
        <f t="shared" si="83"/>
        <v>76761.074890962045</v>
      </c>
      <c r="P78" s="8">
        <f t="shared" si="83"/>
        <v>74131.746516621584</v>
      </c>
      <c r="Q78" s="8">
        <f t="shared" si="83"/>
        <v>71558.867039472942</v>
      </c>
      <c r="R78" s="8">
        <f t="shared" si="83"/>
        <v>68994.070620372891</v>
      </c>
      <c r="S78" s="8">
        <f t="shared" si="83"/>
        <v>66429.274201272827</v>
      </c>
      <c r="T78" s="8">
        <f t="shared" si="83"/>
        <v>63864.477782172777</v>
      </c>
      <c r="U78" s="8">
        <f t="shared" si="83"/>
        <v>61299.681363072719</v>
      </c>
      <c r="V78" s="8">
        <f t="shared" si="83"/>
        <v>58734.884943972655</v>
      </c>
      <c r="W78" s="8">
        <f t="shared" si="83"/>
        <v>56170.088524872604</v>
      </c>
      <c r="X78" s="8">
        <f t="shared" si="83"/>
        <v>53605.29210577254</v>
      </c>
      <c r="Y78" s="8">
        <f t="shared" si="83"/>
        <v>51040.49568667249</v>
      </c>
      <c r="Z78" s="8">
        <f t="shared" si="83"/>
        <v>48475.699267572418</v>
      </c>
      <c r="AA78" s="8">
        <f t="shared" si="83"/>
        <v>45910.902848472368</v>
      </c>
      <c r="AB78" s="8">
        <f t="shared" si="83"/>
        <v>43346.106429372303</v>
      </c>
      <c r="AC78" s="8">
        <f t="shared" si="83"/>
        <v>41076.937920213401</v>
      </c>
      <c r="AD78" s="8">
        <f t="shared" si="83"/>
        <v>39398.892721788434</v>
      </c>
      <c r="AE78" s="8">
        <f t="shared" si="83"/>
        <v>38016.475433304644</v>
      </c>
      <c r="AF78" s="8">
        <f t="shared" si="83"/>
        <v>36634.058144820818</v>
      </c>
      <c r="AG78" s="8">
        <f t="shared" si="83"/>
        <v>35251.640856337028</v>
      </c>
      <c r="AH78" s="8">
        <f t="shared" si="83"/>
        <v>33869.223567853202</v>
      </c>
      <c r="AI78" s="8">
        <f t="shared" si="83"/>
        <v>32486.806279369401</v>
      </c>
      <c r="AJ78" s="8">
        <f t="shared" si="83"/>
        <v>31104.3889908856</v>
      </c>
      <c r="AK78" s="8">
        <f t="shared" si="83"/>
        <v>29721.971702401788</v>
      </c>
      <c r="AL78" s="8">
        <f t="shared" si="83"/>
        <v>28339.554413917984</v>
      </c>
      <c r="AM78" s="8">
        <f t="shared" si="83"/>
        <v>26957.137125434172</v>
      </c>
      <c r="AN78" s="8">
        <f t="shared" si="83"/>
        <v>25574.719836950371</v>
      </c>
      <c r="AO78" s="8">
        <f t="shared" ref="AO78:BT78" si="84">AO76*AVG_PRE_TAX_RATE</f>
        <v>24192.30254846656</v>
      </c>
      <c r="AP78" s="8">
        <f t="shared" si="84"/>
        <v>22809.885259982755</v>
      </c>
      <c r="AQ78" s="8">
        <f t="shared" si="84"/>
        <v>21427.467971498947</v>
      </c>
      <c r="AR78" s="8">
        <f t="shared" si="84"/>
        <v>20045.050683015139</v>
      </c>
      <c r="AS78" s="8">
        <f t="shared" si="84"/>
        <v>18662.633394531334</v>
      </c>
      <c r="AT78" s="8">
        <f t="shared" si="84"/>
        <v>17280.216106047526</v>
      </c>
      <c r="AU78" s="8">
        <f t="shared" si="84"/>
        <v>15897.798817563718</v>
      </c>
      <c r="AV78" s="8">
        <f t="shared" si="84"/>
        <v>14515.38152907991</v>
      </c>
      <c r="AW78" s="8">
        <f t="shared" si="84"/>
        <v>13132.964240596102</v>
      </c>
      <c r="AX78" s="8">
        <f t="shared" si="84"/>
        <v>11750.546952112296</v>
      </c>
      <c r="AY78" s="8">
        <f t="shared" si="84"/>
        <v>10368.129663628488</v>
      </c>
      <c r="AZ78" s="8">
        <f t="shared" si="84"/>
        <v>8985.7123751446798</v>
      </c>
      <c r="BA78" s="8">
        <f t="shared" si="84"/>
        <v>7603.2950866608726</v>
      </c>
      <c r="BB78" s="8">
        <f t="shared" si="84"/>
        <v>6220.8777981770645</v>
      </c>
      <c r="BC78" s="8">
        <f t="shared" si="84"/>
        <v>4838.4605096932582</v>
      </c>
      <c r="BD78" s="8">
        <f t="shared" si="84"/>
        <v>3456.0432212094502</v>
      </c>
      <c r="BE78" s="8">
        <f t="shared" si="84"/>
        <v>2073.625932725643</v>
      </c>
      <c r="BF78" s="8">
        <f t="shared" si="84"/>
        <v>691.20864424187175</v>
      </c>
      <c r="BG78" s="8">
        <f t="shared" si="84"/>
        <v>4.385765350889415E-12</v>
      </c>
      <c r="BH78" s="8">
        <f t="shared" si="84"/>
        <v>4.385765350889415E-12</v>
      </c>
      <c r="BI78" s="8">
        <f t="shared" si="84"/>
        <v>4.385765350889415E-12</v>
      </c>
      <c r="BJ78" s="8">
        <f t="shared" si="84"/>
        <v>4.385765350889415E-12</v>
      </c>
      <c r="BK78" s="8">
        <f t="shared" si="84"/>
        <v>4.385765350889415E-12</v>
      </c>
      <c r="BL78" s="8">
        <f t="shared" si="84"/>
        <v>4.385765350889415E-12</v>
      </c>
      <c r="BM78" s="8">
        <f t="shared" si="84"/>
        <v>4.385765350889415E-12</v>
      </c>
      <c r="BN78" s="8">
        <f t="shared" si="84"/>
        <v>4.385765350889415E-12</v>
      </c>
      <c r="BO78" s="8">
        <f t="shared" si="84"/>
        <v>4.385765350889415E-12</v>
      </c>
      <c r="BP78" s="8">
        <f t="shared" si="84"/>
        <v>4.385765350889415E-12</v>
      </c>
      <c r="BQ78" s="8">
        <f t="shared" si="84"/>
        <v>4.385765350889415E-12</v>
      </c>
      <c r="BR78" s="8">
        <f t="shared" si="84"/>
        <v>4.385765350889415E-12</v>
      </c>
      <c r="BS78" s="8">
        <f t="shared" si="84"/>
        <v>4.385765350889415E-12</v>
      </c>
      <c r="BT78" s="8">
        <f t="shared" si="84"/>
        <v>4.385765350889415E-12</v>
      </c>
      <c r="BU78" s="8">
        <f t="shared" ref="BU78:DA78" si="85">BU76*AVG_PRE_TAX_RATE</f>
        <v>4.385765350889415E-12</v>
      </c>
      <c r="BV78" s="8">
        <f t="shared" si="85"/>
        <v>4.385765350889415E-12</v>
      </c>
      <c r="BW78" s="8">
        <f t="shared" si="85"/>
        <v>4.385765350889415E-12</v>
      </c>
      <c r="BX78" s="8">
        <f t="shared" si="85"/>
        <v>4.385765350889415E-12</v>
      </c>
      <c r="BY78" s="8">
        <f t="shared" si="85"/>
        <v>4.385765350889415E-12</v>
      </c>
      <c r="BZ78" s="8">
        <f t="shared" si="85"/>
        <v>4.385765350889415E-12</v>
      </c>
      <c r="CA78" s="8">
        <f t="shared" si="85"/>
        <v>4.385765350889415E-12</v>
      </c>
      <c r="CB78" s="8">
        <f t="shared" si="85"/>
        <v>4.385765350889415E-12</v>
      </c>
      <c r="CC78" s="8">
        <f t="shared" si="85"/>
        <v>4.385765350889415E-12</v>
      </c>
      <c r="CD78" s="8">
        <f t="shared" si="85"/>
        <v>4.385765350889415E-12</v>
      </c>
      <c r="CE78" s="8">
        <f t="shared" si="85"/>
        <v>4.385765350889415E-12</v>
      </c>
      <c r="CF78" s="8">
        <f t="shared" si="85"/>
        <v>4.385765350889415E-12</v>
      </c>
      <c r="CG78" s="8">
        <f t="shared" si="85"/>
        <v>4.385765350889415E-12</v>
      </c>
      <c r="CH78" s="8">
        <f t="shared" si="85"/>
        <v>4.385765350889415E-12</v>
      </c>
      <c r="CI78" s="8">
        <f t="shared" si="85"/>
        <v>4.385765350889415E-12</v>
      </c>
      <c r="CJ78" s="8">
        <f t="shared" si="85"/>
        <v>4.385765350889415E-12</v>
      </c>
      <c r="CK78" s="8">
        <f t="shared" si="85"/>
        <v>4.385765350889415E-12</v>
      </c>
      <c r="CL78" s="8">
        <f t="shared" si="85"/>
        <v>4.385765350889415E-12</v>
      </c>
      <c r="CM78" s="8">
        <f t="shared" si="85"/>
        <v>4.385765350889415E-12</v>
      </c>
      <c r="CN78" s="8">
        <f t="shared" si="85"/>
        <v>4.385765350889415E-12</v>
      </c>
      <c r="CO78" s="8">
        <f t="shared" si="85"/>
        <v>4.385765350889415E-12</v>
      </c>
      <c r="CP78" s="8">
        <f t="shared" si="85"/>
        <v>4.385765350889415E-12</v>
      </c>
      <c r="CQ78" s="8">
        <f t="shared" si="85"/>
        <v>4.385765350889415E-12</v>
      </c>
      <c r="CR78" s="8">
        <f t="shared" si="85"/>
        <v>4.385765350889415E-12</v>
      </c>
      <c r="CS78" s="8">
        <f t="shared" si="85"/>
        <v>4.385765350889415E-12</v>
      </c>
      <c r="CT78" s="8">
        <f t="shared" si="85"/>
        <v>4.385765350889415E-12</v>
      </c>
      <c r="CU78" s="8">
        <f t="shared" si="85"/>
        <v>4.385765350889415E-12</v>
      </c>
      <c r="CV78" s="8">
        <f t="shared" si="85"/>
        <v>4.385765350889415E-12</v>
      </c>
      <c r="CW78" s="8">
        <f t="shared" si="85"/>
        <v>4.385765350889415E-12</v>
      </c>
      <c r="CX78" s="8">
        <f t="shared" si="85"/>
        <v>4.385765350889415E-12</v>
      </c>
      <c r="CY78" s="8">
        <f t="shared" si="85"/>
        <v>4.385765350889415E-12</v>
      </c>
      <c r="CZ78" s="8">
        <f t="shared" si="85"/>
        <v>4.385765350889415E-12</v>
      </c>
      <c r="DA78" s="8">
        <f t="shared" si="85"/>
        <v>4.385765350889415E-12</v>
      </c>
    </row>
    <row r="81" spans="3:106" x14ac:dyDescent="0.4">
      <c r="C81" s="58" t="str">
        <f>C64</f>
        <v>Investment year in service</v>
      </c>
      <c r="E81" t="str">
        <f>IF(E82&lt;$C82,"",E82-$C82)</f>
        <v/>
      </c>
      <c r="F81" t="str">
        <f>IF(F82&lt;$C82,"",F82-$C82)</f>
        <v/>
      </c>
      <c r="G81" t="str">
        <f t="shared" ref="G81:BR81" si="86">IF(G82&lt;$C82,"",G82-$C82)</f>
        <v/>
      </c>
      <c r="H81" t="str">
        <f t="shared" si="86"/>
        <v/>
      </c>
      <c r="I81">
        <f t="shared" si="86"/>
        <v>0</v>
      </c>
      <c r="J81">
        <f t="shared" si="86"/>
        <v>1</v>
      </c>
      <c r="K81">
        <f t="shared" si="86"/>
        <v>2</v>
      </c>
      <c r="L81">
        <f t="shared" si="86"/>
        <v>3</v>
      </c>
      <c r="M81">
        <f t="shared" si="86"/>
        <v>4</v>
      </c>
      <c r="N81">
        <f t="shared" si="86"/>
        <v>5</v>
      </c>
      <c r="O81">
        <f t="shared" si="86"/>
        <v>6</v>
      </c>
      <c r="P81">
        <f t="shared" si="86"/>
        <v>7</v>
      </c>
      <c r="Q81">
        <f t="shared" si="86"/>
        <v>8</v>
      </c>
      <c r="R81">
        <f t="shared" si="86"/>
        <v>9</v>
      </c>
      <c r="S81">
        <f t="shared" si="86"/>
        <v>10</v>
      </c>
      <c r="T81">
        <f t="shared" si="86"/>
        <v>11</v>
      </c>
      <c r="U81">
        <f t="shared" si="86"/>
        <v>12</v>
      </c>
      <c r="V81">
        <f t="shared" si="86"/>
        <v>13</v>
      </c>
      <c r="W81">
        <f t="shared" si="86"/>
        <v>14</v>
      </c>
      <c r="X81">
        <f t="shared" si="86"/>
        <v>15</v>
      </c>
      <c r="Y81">
        <f t="shared" si="86"/>
        <v>16</v>
      </c>
      <c r="Z81">
        <f t="shared" si="86"/>
        <v>17</v>
      </c>
      <c r="AA81">
        <f t="shared" si="86"/>
        <v>18</v>
      </c>
      <c r="AB81">
        <f t="shared" si="86"/>
        <v>19</v>
      </c>
      <c r="AC81">
        <f t="shared" si="86"/>
        <v>20</v>
      </c>
      <c r="AD81">
        <f t="shared" si="86"/>
        <v>21</v>
      </c>
      <c r="AE81">
        <f t="shared" si="86"/>
        <v>22</v>
      </c>
      <c r="AF81">
        <f t="shared" si="86"/>
        <v>23</v>
      </c>
      <c r="AG81">
        <f t="shared" si="86"/>
        <v>24</v>
      </c>
      <c r="AH81">
        <f t="shared" si="86"/>
        <v>25</v>
      </c>
      <c r="AI81">
        <f t="shared" si="86"/>
        <v>26</v>
      </c>
      <c r="AJ81">
        <f t="shared" si="86"/>
        <v>27</v>
      </c>
      <c r="AK81">
        <f t="shared" si="86"/>
        <v>28</v>
      </c>
      <c r="AL81">
        <f t="shared" si="86"/>
        <v>29</v>
      </c>
      <c r="AM81">
        <f t="shared" si="86"/>
        <v>30</v>
      </c>
      <c r="AN81">
        <f t="shared" si="86"/>
        <v>31</v>
      </c>
      <c r="AO81">
        <f t="shared" si="86"/>
        <v>32</v>
      </c>
      <c r="AP81">
        <f t="shared" si="86"/>
        <v>33</v>
      </c>
      <c r="AQ81">
        <f t="shared" si="86"/>
        <v>34</v>
      </c>
      <c r="AR81">
        <f t="shared" si="86"/>
        <v>35</v>
      </c>
      <c r="AS81">
        <f t="shared" si="86"/>
        <v>36</v>
      </c>
      <c r="AT81">
        <f t="shared" si="86"/>
        <v>37</v>
      </c>
      <c r="AU81">
        <f t="shared" si="86"/>
        <v>38</v>
      </c>
      <c r="AV81">
        <f t="shared" si="86"/>
        <v>39</v>
      </c>
      <c r="AW81">
        <f t="shared" si="86"/>
        <v>40</v>
      </c>
      <c r="AX81">
        <f t="shared" si="86"/>
        <v>41</v>
      </c>
      <c r="AY81">
        <f t="shared" si="86"/>
        <v>42</v>
      </c>
      <c r="AZ81">
        <f t="shared" si="86"/>
        <v>43</v>
      </c>
      <c r="BA81">
        <f t="shared" si="86"/>
        <v>44</v>
      </c>
      <c r="BB81">
        <f t="shared" si="86"/>
        <v>45</v>
      </c>
      <c r="BC81">
        <f t="shared" si="86"/>
        <v>46</v>
      </c>
      <c r="BD81">
        <f t="shared" si="86"/>
        <v>47</v>
      </c>
      <c r="BE81">
        <f t="shared" si="86"/>
        <v>48</v>
      </c>
      <c r="BF81">
        <f t="shared" si="86"/>
        <v>49</v>
      </c>
      <c r="BG81">
        <f t="shared" si="86"/>
        <v>50</v>
      </c>
      <c r="BH81">
        <f t="shared" si="86"/>
        <v>51</v>
      </c>
      <c r="BI81">
        <f t="shared" si="86"/>
        <v>52</v>
      </c>
      <c r="BJ81">
        <f t="shared" si="86"/>
        <v>53</v>
      </c>
      <c r="BK81">
        <f t="shared" si="86"/>
        <v>54</v>
      </c>
      <c r="BL81">
        <f t="shared" si="86"/>
        <v>55</v>
      </c>
      <c r="BM81">
        <f t="shared" si="86"/>
        <v>56</v>
      </c>
      <c r="BN81">
        <f t="shared" si="86"/>
        <v>57</v>
      </c>
      <c r="BO81">
        <f t="shared" si="86"/>
        <v>58</v>
      </c>
      <c r="BP81">
        <f t="shared" si="86"/>
        <v>59</v>
      </c>
      <c r="BQ81">
        <f t="shared" si="86"/>
        <v>60</v>
      </c>
      <c r="BR81">
        <f t="shared" si="86"/>
        <v>61</v>
      </c>
      <c r="BS81">
        <f t="shared" ref="BS81:DA81" si="87">IF(BS82&lt;$C82,"",BS82-$C82)</f>
        <v>62</v>
      </c>
      <c r="BT81">
        <f t="shared" si="87"/>
        <v>63</v>
      </c>
      <c r="BU81">
        <f t="shared" si="87"/>
        <v>64</v>
      </c>
      <c r="BV81">
        <f t="shared" si="87"/>
        <v>65</v>
      </c>
      <c r="BW81">
        <f t="shared" si="87"/>
        <v>66</v>
      </c>
      <c r="BX81">
        <f t="shared" si="87"/>
        <v>67</v>
      </c>
      <c r="BY81">
        <f t="shared" si="87"/>
        <v>68</v>
      </c>
      <c r="BZ81">
        <f t="shared" si="87"/>
        <v>69</v>
      </c>
      <c r="CA81">
        <f t="shared" si="87"/>
        <v>70</v>
      </c>
      <c r="CB81">
        <f t="shared" si="87"/>
        <v>71</v>
      </c>
      <c r="CC81">
        <f t="shared" si="87"/>
        <v>72</v>
      </c>
      <c r="CD81">
        <f t="shared" si="87"/>
        <v>73</v>
      </c>
      <c r="CE81">
        <f t="shared" si="87"/>
        <v>74</v>
      </c>
      <c r="CF81">
        <f t="shared" si="87"/>
        <v>75</v>
      </c>
      <c r="CG81">
        <f t="shared" si="87"/>
        <v>76</v>
      </c>
      <c r="CH81">
        <f t="shared" si="87"/>
        <v>77</v>
      </c>
      <c r="CI81">
        <f t="shared" si="87"/>
        <v>78</v>
      </c>
      <c r="CJ81">
        <f t="shared" si="87"/>
        <v>79</v>
      </c>
      <c r="CK81">
        <f t="shared" si="87"/>
        <v>80</v>
      </c>
      <c r="CL81">
        <f t="shared" si="87"/>
        <v>81</v>
      </c>
      <c r="CM81">
        <f t="shared" si="87"/>
        <v>82</v>
      </c>
      <c r="CN81">
        <f t="shared" si="87"/>
        <v>83</v>
      </c>
      <c r="CO81">
        <f t="shared" si="87"/>
        <v>84</v>
      </c>
      <c r="CP81">
        <f t="shared" si="87"/>
        <v>85</v>
      </c>
      <c r="CQ81">
        <f t="shared" si="87"/>
        <v>86</v>
      </c>
      <c r="CR81">
        <f t="shared" si="87"/>
        <v>87</v>
      </c>
      <c r="CS81">
        <f t="shared" si="87"/>
        <v>88</v>
      </c>
      <c r="CT81">
        <f t="shared" si="87"/>
        <v>89</v>
      </c>
      <c r="CU81">
        <f t="shared" si="87"/>
        <v>90</v>
      </c>
      <c r="CV81">
        <f t="shared" si="87"/>
        <v>91</v>
      </c>
      <c r="CW81">
        <f t="shared" si="87"/>
        <v>92</v>
      </c>
      <c r="CX81">
        <f t="shared" si="87"/>
        <v>93</v>
      </c>
      <c r="CY81">
        <f t="shared" si="87"/>
        <v>94</v>
      </c>
      <c r="CZ81">
        <f t="shared" si="87"/>
        <v>95</v>
      </c>
      <c r="DA81">
        <f t="shared" si="87"/>
        <v>96</v>
      </c>
    </row>
    <row r="82" spans="3:106" x14ac:dyDescent="0.4">
      <c r="C82">
        <f>C65+1</f>
        <v>2031</v>
      </c>
      <c r="D82" s="5" t="s">
        <v>434</v>
      </c>
      <c r="E82" s="5">
        <v>2027</v>
      </c>
      <c r="F82" s="5">
        <v>2028</v>
      </c>
      <c r="G82" s="5">
        <v>2029</v>
      </c>
      <c r="H82" s="5">
        <v>2030</v>
      </c>
      <c r="I82" s="5">
        <v>2031</v>
      </c>
      <c r="J82" s="5">
        <v>2032</v>
      </c>
      <c r="K82" s="5">
        <v>2033</v>
      </c>
      <c r="L82" s="5">
        <v>2034</v>
      </c>
      <c r="M82" s="5">
        <v>2035</v>
      </c>
      <c r="N82" s="5">
        <v>2036</v>
      </c>
      <c r="O82" s="5">
        <v>2037</v>
      </c>
      <c r="P82" s="5">
        <v>2038</v>
      </c>
      <c r="Q82" s="5">
        <v>2039</v>
      </c>
      <c r="R82" s="5">
        <v>2040</v>
      </c>
      <c r="S82" s="5">
        <v>2041</v>
      </c>
      <c r="T82" s="5">
        <v>2042</v>
      </c>
      <c r="U82" s="5">
        <v>2043</v>
      </c>
      <c r="V82" s="5">
        <v>2044</v>
      </c>
      <c r="W82" s="5">
        <v>2045</v>
      </c>
      <c r="X82" s="5">
        <v>2046</v>
      </c>
      <c r="Y82" s="5">
        <v>2047</v>
      </c>
      <c r="Z82" s="5">
        <v>2048</v>
      </c>
      <c r="AA82" s="5">
        <v>2049</v>
      </c>
      <c r="AB82" s="5">
        <v>2050</v>
      </c>
      <c r="AC82" s="5">
        <v>2051</v>
      </c>
      <c r="AD82" s="5">
        <v>2052</v>
      </c>
      <c r="AE82" s="5">
        <v>2053</v>
      </c>
      <c r="AF82" s="5">
        <v>2054</v>
      </c>
      <c r="AG82" s="5">
        <v>2055</v>
      </c>
      <c r="AH82" s="5">
        <v>2056</v>
      </c>
      <c r="AI82" s="5">
        <v>2057</v>
      </c>
      <c r="AJ82" s="5">
        <v>2058</v>
      </c>
      <c r="AK82" s="5">
        <v>2059</v>
      </c>
      <c r="AL82" s="5">
        <v>2060</v>
      </c>
      <c r="AM82" s="5">
        <v>2061</v>
      </c>
      <c r="AN82" s="5">
        <v>2062</v>
      </c>
      <c r="AO82" s="5">
        <v>2063</v>
      </c>
      <c r="AP82" s="5">
        <v>2064</v>
      </c>
      <c r="AQ82" s="5">
        <v>2065</v>
      </c>
      <c r="AR82" s="5">
        <v>2066</v>
      </c>
      <c r="AS82" s="5">
        <v>2067</v>
      </c>
      <c r="AT82" s="5">
        <v>2068</v>
      </c>
      <c r="AU82" s="5">
        <v>2069</v>
      </c>
      <c r="AV82" s="5">
        <v>2070</v>
      </c>
      <c r="AW82" s="5">
        <v>2071</v>
      </c>
      <c r="AX82" s="5">
        <v>2072</v>
      </c>
      <c r="AY82" s="5">
        <v>2073</v>
      </c>
      <c r="AZ82" s="5">
        <v>2074</v>
      </c>
      <c r="BA82" s="5">
        <v>2075</v>
      </c>
      <c r="BB82" s="5">
        <v>2076</v>
      </c>
      <c r="BC82" s="5">
        <v>2077</v>
      </c>
      <c r="BD82" s="5">
        <v>2078</v>
      </c>
      <c r="BE82" s="5">
        <v>2079</v>
      </c>
      <c r="BF82" s="5">
        <v>2080</v>
      </c>
      <c r="BG82" s="5">
        <v>2081</v>
      </c>
      <c r="BH82" s="5">
        <v>2082</v>
      </c>
      <c r="BI82" s="5">
        <v>2083</v>
      </c>
      <c r="BJ82" s="5">
        <v>2084</v>
      </c>
      <c r="BK82" s="5">
        <v>2085</v>
      </c>
      <c r="BL82" s="5">
        <v>2086</v>
      </c>
      <c r="BM82" s="5">
        <v>2087</v>
      </c>
      <c r="BN82" s="5">
        <v>2088</v>
      </c>
      <c r="BO82" s="5">
        <v>2089</v>
      </c>
      <c r="BP82" s="5">
        <v>2090</v>
      </c>
      <c r="BQ82" s="5">
        <v>2091</v>
      </c>
      <c r="BR82" s="5">
        <v>2092</v>
      </c>
      <c r="BS82" s="5">
        <v>2093</v>
      </c>
      <c r="BT82" s="5">
        <v>2094</v>
      </c>
      <c r="BU82" s="5">
        <v>2095</v>
      </c>
      <c r="BV82" s="5">
        <v>2096</v>
      </c>
      <c r="BW82" s="5">
        <v>2097</v>
      </c>
      <c r="BX82" s="5">
        <v>2098</v>
      </c>
      <c r="BY82" s="5">
        <v>2099</v>
      </c>
      <c r="BZ82" s="5">
        <v>2100</v>
      </c>
      <c r="CA82" s="5">
        <v>2101</v>
      </c>
      <c r="CB82" s="5">
        <v>2102</v>
      </c>
      <c r="CC82" s="5">
        <v>2103</v>
      </c>
      <c r="CD82" s="5">
        <v>2104</v>
      </c>
      <c r="CE82" s="5">
        <v>2105</v>
      </c>
      <c r="CF82" s="5">
        <v>2106</v>
      </c>
      <c r="CG82" s="5">
        <v>2107</v>
      </c>
      <c r="CH82" s="5">
        <v>2108</v>
      </c>
      <c r="CI82" s="5">
        <v>2109</v>
      </c>
      <c r="CJ82" s="5">
        <v>2110</v>
      </c>
      <c r="CK82" s="5">
        <v>2111</v>
      </c>
      <c r="CL82" s="5">
        <v>2112</v>
      </c>
      <c r="CM82" s="5">
        <v>2113</v>
      </c>
      <c r="CN82" s="5">
        <v>2114</v>
      </c>
      <c r="CO82" s="5">
        <v>2115</v>
      </c>
      <c r="CP82" s="5">
        <v>2116</v>
      </c>
      <c r="CQ82" s="5">
        <v>2117</v>
      </c>
      <c r="CR82" s="5">
        <v>2118</v>
      </c>
      <c r="CS82" s="5">
        <v>2119</v>
      </c>
      <c r="CT82" s="5">
        <v>2120</v>
      </c>
      <c r="CU82" s="5">
        <v>2121</v>
      </c>
      <c r="CV82" s="5">
        <v>2122</v>
      </c>
      <c r="CW82" s="5">
        <v>2123</v>
      </c>
      <c r="CX82" s="5">
        <v>2124</v>
      </c>
      <c r="CY82" s="5">
        <v>2125</v>
      </c>
      <c r="CZ82" s="5">
        <v>2126</v>
      </c>
      <c r="DA82" s="5">
        <v>2127</v>
      </c>
    </row>
    <row r="83" spans="3:106" x14ac:dyDescent="0.4">
      <c r="D83" t="s">
        <v>207</v>
      </c>
      <c r="J83" s="8">
        <f>IF(J$13&lt;=$B$3,J84/$B$3,0)</f>
        <v>21887.210159400758</v>
      </c>
      <c r="K83" s="8">
        <f>IF(K81&lt;=$B$3,J83,0)</f>
        <v>21887.210159400758</v>
      </c>
      <c r="L83" s="8">
        <f t="shared" ref="L83:BW83" si="88">IF(L81&lt;=$B$3,K83,0)</f>
        <v>21887.210159400758</v>
      </c>
      <c r="M83" s="8">
        <f t="shared" si="88"/>
        <v>21887.210159400758</v>
      </c>
      <c r="N83" s="8">
        <f t="shared" si="88"/>
        <v>21887.210159400758</v>
      </c>
      <c r="O83" s="8">
        <f t="shared" si="88"/>
        <v>21887.210159400758</v>
      </c>
      <c r="P83" s="8">
        <f t="shared" si="88"/>
        <v>21887.210159400758</v>
      </c>
      <c r="Q83" s="8">
        <f t="shared" si="88"/>
        <v>21887.210159400758</v>
      </c>
      <c r="R83" s="8">
        <f t="shared" si="88"/>
        <v>21887.210159400758</v>
      </c>
      <c r="S83" s="8">
        <f t="shared" si="88"/>
        <v>21887.210159400758</v>
      </c>
      <c r="T83" s="8">
        <f t="shared" si="88"/>
        <v>21887.210159400758</v>
      </c>
      <c r="U83" s="8">
        <f t="shared" si="88"/>
        <v>21887.210159400758</v>
      </c>
      <c r="V83" s="8">
        <f t="shared" si="88"/>
        <v>21887.210159400758</v>
      </c>
      <c r="W83" s="8">
        <f t="shared" si="88"/>
        <v>21887.210159400758</v>
      </c>
      <c r="X83" s="8">
        <f t="shared" si="88"/>
        <v>21887.210159400758</v>
      </c>
      <c r="Y83" s="8">
        <f t="shared" si="88"/>
        <v>21887.210159400758</v>
      </c>
      <c r="Z83" s="8">
        <f t="shared" si="88"/>
        <v>21887.210159400758</v>
      </c>
      <c r="AA83" s="8">
        <f t="shared" si="88"/>
        <v>21887.210159400758</v>
      </c>
      <c r="AB83" s="8">
        <f t="shared" si="88"/>
        <v>21887.210159400758</v>
      </c>
      <c r="AC83" s="8">
        <f t="shared" si="88"/>
        <v>21887.210159400758</v>
      </c>
      <c r="AD83" s="8">
        <f t="shared" si="88"/>
        <v>21887.210159400758</v>
      </c>
      <c r="AE83" s="8">
        <f t="shared" si="88"/>
        <v>21887.210159400758</v>
      </c>
      <c r="AF83" s="8">
        <f t="shared" si="88"/>
        <v>21887.210159400758</v>
      </c>
      <c r="AG83" s="8">
        <f t="shared" si="88"/>
        <v>21887.210159400758</v>
      </c>
      <c r="AH83" s="8">
        <f t="shared" si="88"/>
        <v>21887.210159400758</v>
      </c>
      <c r="AI83" s="8">
        <f t="shared" si="88"/>
        <v>21887.210159400758</v>
      </c>
      <c r="AJ83" s="8">
        <f t="shared" si="88"/>
        <v>21887.210159400758</v>
      </c>
      <c r="AK83" s="8">
        <f t="shared" si="88"/>
        <v>21887.210159400758</v>
      </c>
      <c r="AL83" s="8">
        <f t="shared" si="88"/>
        <v>21887.210159400758</v>
      </c>
      <c r="AM83" s="8">
        <f t="shared" si="88"/>
        <v>21887.210159400758</v>
      </c>
      <c r="AN83" s="8">
        <f t="shared" si="88"/>
        <v>21887.210159400758</v>
      </c>
      <c r="AO83" s="8">
        <f t="shared" si="88"/>
        <v>21887.210159400758</v>
      </c>
      <c r="AP83" s="8">
        <f t="shared" si="88"/>
        <v>21887.210159400758</v>
      </c>
      <c r="AQ83" s="8">
        <f t="shared" si="88"/>
        <v>21887.210159400758</v>
      </c>
      <c r="AR83" s="8">
        <f t="shared" si="88"/>
        <v>21887.210159400758</v>
      </c>
      <c r="AS83" s="8">
        <f t="shared" si="88"/>
        <v>21887.210159400758</v>
      </c>
      <c r="AT83" s="8">
        <f t="shared" si="88"/>
        <v>21887.210159400758</v>
      </c>
      <c r="AU83" s="8">
        <f t="shared" si="88"/>
        <v>21887.210159400758</v>
      </c>
      <c r="AV83" s="8">
        <f t="shared" si="88"/>
        <v>21887.210159400758</v>
      </c>
      <c r="AW83" s="8">
        <f t="shared" si="88"/>
        <v>21887.210159400758</v>
      </c>
      <c r="AX83" s="8">
        <f t="shared" si="88"/>
        <v>21887.210159400758</v>
      </c>
      <c r="AY83" s="8">
        <f t="shared" si="88"/>
        <v>21887.210159400758</v>
      </c>
      <c r="AZ83" s="8">
        <f t="shared" si="88"/>
        <v>21887.210159400758</v>
      </c>
      <c r="BA83" s="8">
        <f t="shared" si="88"/>
        <v>21887.210159400758</v>
      </c>
      <c r="BB83" s="8">
        <f t="shared" si="88"/>
        <v>21887.210159400758</v>
      </c>
      <c r="BC83" s="8">
        <f t="shared" si="88"/>
        <v>21887.210159400758</v>
      </c>
      <c r="BD83" s="8">
        <f t="shared" si="88"/>
        <v>21887.210159400758</v>
      </c>
      <c r="BE83" s="8">
        <f t="shared" si="88"/>
        <v>21887.210159400758</v>
      </c>
      <c r="BF83" s="8">
        <f t="shared" si="88"/>
        <v>21887.210159400758</v>
      </c>
      <c r="BG83" s="8">
        <f t="shared" si="88"/>
        <v>21887.210159400758</v>
      </c>
      <c r="BH83" s="8">
        <f t="shared" si="88"/>
        <v>0</v>
      </c>
      <c r="BI83" s="8">
        <f t="shared" si="88"/>
        <v>0</v>
      </c>
      <c r="BJ83" s="8">
        <f t="shared" si="88"/>
        <v>0</v>
      </c>
      <c r="BK83" s="8">
        <f t="shared" si="88"/>
        <v>0</v>
      </c>
      <c r="BL83" s="8">
        <f t="shared" si="88"/>
        <v>0</v>
      </c>
      <c r="BM83" s="8">
        <f t="shared" si="88"/>
        <v>0</v>
      </c>
      <c r="BN83" s="8">
        <f t="shared" si="88"/>
        <v>0</v>
      </c>
      <c r="BO83" s="8">
        <f t="shared" si="88"/>
        <v>0</v>
      </c>
      <c r="BP83" s="8">
        <f t="shared" si="88"/>
        <v>0</v>
      </c>
      <c r="BQ83" s="8">
        <f t="shared" si="88"/>
        <v>0</v>
      </c>
      <c r="BR83" s="8">
        <f t="shared" si="88"/>
        <v>0</v>
      </c>
      <c r="BS83" s="8">
        <f t="shared" si="88"/>
        <v>0</v>
      </c>
      <c r="BT83" s="8">
        <f t="shared" si="88"/>
        <v>0</v>
      </c>
      <c r="BU83" s="8">
        <f t="shared" si="88"/>
        <v>0</v>
      </c>
      <c r="BV83" s="8">
        <f t="shared" si="88"/>
        <v>0</v>
      </c>
      <c r="BW83" s="8">
        <f t="shared" si="88"/>
        <v>0</v>
      </c>
      <c r="BX83" s="8">
        <f t="shared" ref="BX83:DA83" si="89">IF(BX81&lt;=$B$3,BW83,0)</f>
        <v>0</v>
      </c>
      <c r="BY83" s="8">
        <f t="shared" si="89"/>
        <v>0</v>
      </c>
      <c r="BZ83" s="8">
        <f t="shared" si="89"/>
        <v>0</v>
      </c>
      <c r="CA83" s="8">
        <f t="shared" si="89"/>
        <v>0</v>
      </c>
      <c r="CB83" s="8">
        <f t="shared" si="89"/>
        <v>0</v>
      </c>
      <c r="CC83" s="8">
        <f t="shared" si="89"/>
        <v>0</v>
      </c>
      <c r="CD83" s="8">
        <f t="shared" si="89"/>
        <v>0</v>
      </c>
      <c r="CE83" s="8">
        <f t="shared" si="89"/>
        <v>0</v>
      </c>
      <c r="CF83" s="8">
        <f t="shared" si="89"/>
        <v>0</v>
      </c>
      <c r="CG83" s="8">
        <f t="shared" si="89"/>
        <v>0</v>
      </c>
      <c r="CH83" s="8">
        <f t="shared" si="89"/>
        <v>0</v>
      </c>
      <c r="CI83" s="8">
        <f t="shared" si="89"/>
        <v>0</v>
      </c>
      <c r="CJ83" s="8">
        <f t="shared" si="89"/>
        <v>0</v>
      </c>
      <c r="CK83" s="8">
        <f t="shared" si="89"/>
        <v>0</v>
      </c>
      <c r="CL83" s="8">
        <f t="shared" si="89"/>
        <v>0</v>
      </c>
      <c r="CM83" s="8">
        <f t="shared" si="89"/>
        <v>0</v>
      </c>
      <c r="CN83" s="8">
        <f t="shared" si="89"/>
        <v>0</v>
      </c>
      <c r="CO83" s="8">
        <f t="shared" si="89"/>
        <v>0</v>
      </c>
      <c r="CP83" s="8">
        <f t="shared" si="89"/>
        <v>0</v>
      </c>
      <c r="CQ83" s="8">
        <f t="shared" si="89"/>
        <v>0</v>
      </c>
      <c r="CR83" s="8">
        <f t="shared" si="89"/>
        <v>0</v>
      </c>
      <c r="CS83" s="8">
        <f t="shared" si="89"/>
        <v>0</v>
      </c>
      <c r="CT83" s="8">
        <f t="shared" si="89"/>
        <v>0</v>
      </c>
      <c r="CU83" s="8">
        <f t="shared" si="89"/>
        <v>0</v>
      </c>
      <c r="CV83" s="8">
        <f t="shared" si="89"/>
        <v>0</v>
      </c>
      <c r="CW83" s="8">
        <f t="shared" si="89"/>
        <v>0</v>
      </c>
      <c r="CX83" s="8">
        <f t="shared" si="89"/>
        <v>0</v>
      </c>
      <c r="CY83" s="8">
        <f t="shared" si="89"/>
        <v>0</v>
      </c>
      <c r="CZ83" s="8">
        <f t="shared" si="89"/>
        <v>0</v>
      </c>
      <c r="DA83" s="8">
        <f t="shared" si="89"/>
        <v>0</v>
      </c>
      <c r="DB83" s="8"/>
    </row>
    <row r="84" spans="3:106" x14ac:dyDescent="0.4">
      <c r="D84" t="s">
        <v>154</v>
      </c>
      <c r="I84" s="8">
        <f>HLOOKUP(J82,$F$3:$O$10,7,0)</f>
        <v>1094360.5079700379</v>
      </c>
      <c r="J84" s="8">
        <f t="shared" ref="J84:BU84" si="90">IF(ROUND(I85,4)=-ROUND(I84,4),0,I84)</f>
        <v>1094360.5079700379</v>
      </c>
      <c r="K84" s="8">
        <f t="shared" si="90"/>
        <v>1094360.5079700379</v>
      </c>
      <c r="L84" s="8">
        <f t="shared" si="90"/>
        <v>1094360.5079700379</v>
      </c>
      <c r="M84" s="8">
        <f t="shared" si="90"/>
        <v>1094360.5079700379</v>
      </c>
      <c r="N84" s="8">
        <f t="shared" si="90"/>
        <v>1094360.5079700379</v>
      </c>
      <c r="O84" s="8">
        <f t="shared" si="90"/>
        <v>1094360.5079700379</v>
      </c>
      <c r="P84" s="8">
        <f t="shared" si="90"/>
        <v>1094360.5079700379</v>
      </c>
      <c r="Q84" s="8">
        <f t="shared" si="90"/>
        <v>1094360.5079700379</v>
      </c>
      <c r="R84" s="8">
        <f t="shared" si="90"/>
        <v>1094360.5079700379</v>
      </c>
      <c r="S84" s="8">
        <f t="shared" si="90"/>
        <v>1094360.5079700379</v>
      </c>
      <c r="T84" s="8">
        <f t="shared" si="90"/>
        <v>1094360.5079700379</v>
      </c>
      <c r="U84" s="8">
        <f t="shared" si="90"/>
        <v>1094360.5079700379</v>
      </c>
      <c r="V84" s="8">
        <f t="shared" si="90"/>
        <v>1094360.5079700379</v>
      </c>
      <c r="W84" s="8">
        <f t="shared" si="90"/>
        <v>1094360.5079700379</v>
      </c>
      <c r="X84" s="8">
        <f t="shared" si="90"/>
        <v>1094360.5079700379</v>
      </c>
      <c r="Y84" s="8">
        <f t="shared" si="90"/>
        <v>1094360.5079700379</v>
      </c>
      <c r="Z84" s="8">
        <f t="shared" si="90"/>
        <v>1094360.5079700379</v>
      </c>
      <c r="AA84" s="8">
        <f t="shared" si="90"/>
        <v>1094360.5079700379</v>
      </c>
      <c r="AB84" s="8">
        <f t="shared" si="90"/>
        <v>1094360.5079700379</v>
      </c>
      <c r="AC84" s="8">
        <f t="shared" si="90"/>
        <v>1094360.5079700379</v>
      </c>
      <c r="AD84" s="8">
        <f t="shared" si="90"/>
        <v>1094360.5079700379</v>
      </c>
      <c r="AE84" s="8">
        <f t="shared" si="90"/>
        <v>1094360.5079700379</v>
      </c>
      <c r="AF84" s="8">
        <f t="shared" si="90"/>
        <v>1094360.5079700379</v>
      </c>
      <c r="AG84" s="8">
        <f t="shared" si="90"/>
        <v>1094360.5079700379</v>
      </c>
      <c r="AH84" s="8">
        <f t="shared" si="90"/>
        <v>1094360.5079700379</v>
      </c>
      <c r="AI84" s="8">
        <f t="shared" si="90"/>
        <v>1094360.5079700379</v>
      </c>
      <c r="AJ84" s="8">
        <f t="shared" si="90"/>
        <v>1094360.5079700379</v>
      </c>
      <c r="AK84" s="8">
        <f t="shared" si="90"/>
        <v>1094360.5079700379</v>
      </c>
      <c r="AL84" s="8">
        <f t="shared" si="90"/>
        <v>1094360.5079700379</v>
      </c>
      <c r="AM84" s="8">
        <f t="shared" si="90"/>
        <v>1094360.5079700379</v>
      </c>
      <c r="AN84" s="8">
        <f t="shared" si="90"/>
        <v>1094360.5079700379</v>
      </c>
      <c r="AO84" s="8">
        <f t="shared" si="90"/>
        <v>1094360.5079700379</v>
      </c>
      <c r="AP84" s="8">
        <f t="shared" si="90"/>
        <v>1094360.5079700379</v>
      </c>
      <c r="AQ84" s="8">
        <f t="shared" si="90"/>
        <v>1094360.5079700379</v>
      </c>
      <c r="AR84" s="8">
        <f t="shared" si="90"/>
        <v>1094360.5079700379</v>
      </c>
      <c r="AS84" s="8">
        <f t="shared" si="90"/>
        <v>1094360.5079700379</v>
      </c>
      <c r="AT84" s="8">
        <f t="shared" si="90"/>
        <v>1094360.5079700379</v>
      </c>
      <c r="AU84" s="8">
        <f t="shared" si="90"/>
        <v>1094360.5079700379</v>
      </c>
      <c r="AV84" s="8">
        <f t="shared" si="90"/>
        <v>1094360.5079700379</v>
      </c>
      <c r="AW84" s="8">
        <f t="shared" si="90"/>
        <v>1094360.5079700379</v>
      </c>
      <c r="AX84" s="8">
        <f t="shared" si="90"/>
        <v>1094360.5079700379</v>
      </c>
      <c r="AY84" s="8">
        <f t="shared" si="90"/>
        <v>1094360.5079700379</v>
      </c>
      <c r="AZ84" s="8">
        <f t="shared" si="90"/>
        <v>1094360.5079700379</v>
      </c>
      <c r="BA84" s="8">
        <f t="shared" si="90"/>
        <v>1094360.5079700379</v>
      </c>
      <c r="BB84" s="8">
        <f t="shared" si="90"/>
        <v>1094360.5079700379</v>
      </c>
      <c r="BC84" s="8">
        <f t="shared" si="90"/>
        <v>1094360.5079700379</v>
      </c>
      <c r="BD84" s="8">
        <f t="shared" si="90"/>
        <v>1094360.5079700379</v>
      </c>
      <c r="BE84" s="8">
        <f t="shared" si="90"/>
        <v>1094360.5079700379</v>
      </c>
      <c r="BF84" s="8">
        <f t="shared" si="90"/>
        <v>1094360.5079700379</v>
      </c>
      <c r="BG84" s="8">
        <f t="shared" si="90"/>
        <v>1094360.5079700379</v>
      </c>
      <c r="BH84" s="8">
        <f t="shared" si="90"/>
        <v>0</v>
      </c>
      <c r="BI84" s="8">
        <f t="shared" si="90"/>
        <v>0</v>
      </c>
      <c r="BJ84" s="8">
        <f t="shared" si="90"/>
        <v>0</v>
      </c>
      <c r="BK84" s="8">
        <f t="shared" si="90"/>
        <v>0</v>
      </c>
      <c r="BL84" s="8">
        <f t="shared" si="90"/>
        <v>0</v>
      </c>
      <c r="BM84" s="8">
        <f t="shared" si="90"/>
        <v>0</v>
      </c>
      <c r="BN84" s="8">
        <f t="shared" si="90"/>
        <v>0</v>
      </c>
      <c r="BO84" s="8">
        <f t="shared" si="90"/>
        <v>0</v>
      </c>
      <c r="BP84" s="8">
        <f t="shared" si="90"/>
        <v>0</v>
      </c>
      <c r="BQ84" s="8">
        <f t="shared" si="90"/>
        <v>0</v>
      </c>
      <c r="BR84" s="8">
        <f t="shared" si="90"/>
        <v>0</v>
      </c>
      <c r="BS84" s="8">
        <f t="shared" si="90"/>
        <v>0</v>
      </c>
      <c r="BT84" s="8">
        <f t="shared" si="90"/>
        <v>0</v>
      </c>
      <c r="BU84" s="8">
        <f t="shared" si="90"/>
        <v>0</v>
      </c>
      <c r="BV84" s="8">
        <f t="shared" ref="BV84:DA84" si="91">IF(ROUND(BU85,4)=-ROUND(BU84,4),0,BU84)</f>
        <v>0</v>
      </c>
      <c r="BW84" s="8">
        <f t="shared" si="91"/>
        <v>0</v>
      </c>
      <c r="BX84" s="8">
        <f t="shared" si="91"/>
        <v>0</v>
      </c>
      <c r="BY84" s="8">
        <f t="shared" si="91"/>
        <v>0</v>
      </c>
      <c r="BZ84" s="8">
        <f t="shared" si="91"/>
        <v>0</v>
      </c>
      <c r="CA84" s="8">
        <f t="shared" si="91"/>
        <v>0</v>
      </c>
      <c r="CB84" s="8">
        <f t="shared" si="91"/>
        <v>0</v>
      </c>
      <c r="CC84" s="8">
        <f t="shared" si="91"/>
        <v>0</v>
      </c>
      <c r="CD84" s="8">
        <f t="shared" si="91"/>
        <v>0</v>
      </c>
      <c r="CE84" s="8">
        <f t="shared" si="91"/>
        <v>0</v>
      </c>
      <c r="CF84" s="8">
        <f t="shared" si="91"/>
        <v>0</v>
      </c>
      <c r="CG84" s="8">
        <f t="shared" si="91"/>
        <v>0</v>
      </c>
      <c r="CH84" s="8">
        <f t="shared" si="91"/>
        <v>0</v>
      </c>
      <c r="CI84" s="8">
        <f t="shared" si="91"/>
        <v>0</v>
      </c>
      <c r="CJ84" s="8">
        <f t="shared" si="91"/>
        <v>0</v>
      </c>
      <c r="CK84" s="8">
        <f t="shared" si="91"/>
        <v>0</v>
      </c>
      <c r="CL84" s="8">
        <f t="shared" si="91"/>
        <v>0</v>
      </c>
      <c r="CM84" s="8">
        <f t="shared" si="91"/>
        <v>0</v>
      </c>
      <c r="CN84" s="8">
        <f t="shared" si="91"/>
        <v>0</v>
      </c>
      <c r="CO84" s="8">
        <f t="shared" si="91"/>
        <v>0</v>
      </c>
      <c r="CP84" s="8">
        <f t="shared" si="91"/>
        <v>0</v>
      </c>
      <c r="CQ84" s="8">
        <f t="shared" si="91"/>
        <v>0</v>
      </c>
      <c r="CR84" s="8">
        <f t="shared" si="91"/>
        <v>0</v>
      </c>
      <c r="CS84" s="8">
        <f t="shared" si="91"/>
        <v>0</v>
      </c>
      <c r="CT84" s="8">
        <f t="shared" si="91"/>
        <v>0</v>
      </c>
      <c r="CU84" s="8">
        <f t="shared" si="91"/>
        <v>0</v>
      </c>
      <c r="CV84" s="8">
        <f t="shared" si="91"/>
        <v>0</v>
      </c>
      <c r="CW84" s="8">
        <f t="shared" si="91"/>
        <v>0</v>
      </c>
      <c r="CX84" s="8">
        <f t="shared" si="91"/>
        <v>0</v>
      </c>
      <c r="CY84" s="8">
        <f t="shared" si="91"/>
        <v>0</v>
      </c>
      <c r="CZ84" s="8">
        <f t="shared" si="91"/>
        <v>0</v>
      </c>
      <c r="DA84" s="8">
        <f t="shared" si="91"/>
        <v>0</v>
      </c>
      <c r="DB84" s="8"/>
    </row>
    <row r="85" spans="3:106" x14ac:dyDescent="0.4">
      <c r="D85" t="s">
        <v>208</v>
      </c>
      <c r="I85" s="8"/>
      <c r="J85" s="8">
        <f>IF(J81&lt;=$B$3,-SUM($E83:J83),0)</f>
        <v>-21887.210159400758</v>
      </c>
      <c r="K85" s="8">
        <f>IF(K81&lt;=$B$3,-SUM($E83:K83),0)</f>
        <v>-43774.420318801516</v>
      </c>
      <c r="L85" s="8">
        <f>IF(L81&lt;=$B$3,-SUM($E83:L83),0)</f>
        <v>-65661.630478202278</v>
      </c>
      <c r="M85" s="8">
        <f>IF(M81&lt;=$B$3,-SUM($E83:M83),0)</f>
        <v>-87548.840637603033</v>
      </c>
      <c r="N85" s="8">
        <f>IF(N81&lt;=$B$3,-SUM($E83:N83),0)</f>
        <v>-109436.05079700379</v>
      </c>
      <c r="O85" s="8">
        <f>IF(O81&lt;=$B$3,-SUM($E83:O83),0)</f>
        <v>-131323.26095640456</v>
      </c>
      <c r="P85" s="8">
        <f>IF(P81&lt;=$B$3,-SUM($E83:P83),0)</f>
        <v>-153210.47111580533</v>
      </c>
      <c r="Q85" s="8">
        <f>IF(Q81&lt;=$B$3,-SUM($E83:Q83),0)</f>
        <v>-175097.68127520609</v>
      </c>
      <c r="R85" s="8">
        <f>IF(R81&lt;=$B$3,-SUM($E83:R83),0)</f>
        <v>-196984.89143460686</v>
      </c>
      <c r="S85" s="8">
        <f>IF(S81&lt;=$B$3,-SUM($E83:S83),0)</f>
        <v>-218872.10159400763</v>
      </c>
      <c r="T85" s="8">
        <f>IF(T81&lt;=$B$3,-SUM($E83:T83),0)</f>
        <v>-240759.3117534084</v>
      </c>
      <c r="U85" s="8">
        <f>IF(U81&lt;=$B$3,-SUM($E83:U83),0)</f>
        <v>-262646.52191280917</v>
      </c>
      <c r="V85" s="8">
        <f>IF(V81&lt;=$B$3,-SUM($E83:V83),0)</f>
        <v>-284533.73207220994</v>
      </c>
      <c r="W85" s="8">
        <f>IF(W81&lt;=$B$3,-SUM($E83:W83),0)</f>
        <v>-306420.94223161071</v>
      </c>
      <c r="X85" s="8">
        <f>IF(X81&lt;=$B$3,-SUM($E83:X83),0)</f>
        <v>-328308.15239101148</v>
      </c>
      <c r="Y85" s="8">
        <f>IF(Y81&lt;=$B$3,-SUM($E83:Y83),0)</f>
        <v>-350195.36255041225</v>
      </c>
      <c r="Z85" s="8">
        <f>IF(Z81&lt;=$B$3,-SUM($E83:Z83),0)</f>
        <v>-372082.57270981302</v>
      </c>
      <c r="AA85" s="8">
        <f>IF(AA81&lt;=$B$3,-SUM($E83:AA83),0)</f>
        <v>-393969.78286921378</v>
      </c>
      <c r="AB85" s="8">
        <f>IF(AB81&lt;=$B$3,-SUM($E83:AB83),0)</f>
        <v>-415856.99302861455</v>
      </c>
      <c r="AC85" s="8">
        <f>IF(AC81&lt;=$B$3,-SUM($E83:AC83),0)</f>
        <v>-437744.20318801532</v>
      </c>
      <c r="AD85" s="8">
        <f>IF(AD81&lt;=$B$3,-SUM($E83:AD83),0)</f>
        <v>-459631.41334741609</v>
      </c>
      <c r="AE85" s="8">
        <f>IF(AE81&lt;=$B$3,-SUM($E83:AE83),0)</f>
        <v>-481518.62350681686</v>
      </c>
      <c r="AF85" s="8">
        <f>IF(AF81&lt;=$B$3,-SUM($E83:AF83),0)</f>
        <v>-503405.83366621763</v>
      </c>
      <c r="AG85" s="8">
        <f>IF(AG81&lt;=$B$3,-SUM($E83:AG83),0)</f>
        <v>-525293.04382561834</v>
      </c>
      <c r="AH85" s="8">
        <f>IF(AH81&lt;=$B$3,-SUM($E83:AH83),0)</f>
        <v>-547180.25398501905</v>
      </c>
      <c r="AI85" s="8">
        <f>IF(AI81&lt;=$B$3,-SUM($E83:AI83),0)</f>
        <v>-569067.46414441976</v>
      </c>
      <c r="AJ85" s="8">
        <f>IF(AJ81&lt;=$B$3,-SUM($E83:AJ83),0)</f>
        <v>-590954.67430382047</v>
      </c>
      <c r="AK85" s="8">
        <f>IF(AK81&lt;=$B$3,-SUM($E83:AK83),0)</f>
        <v>-612841.88446322118</v>
      </c>
      <c r="AL85" s="8">
        <f>IF(AL81&lt;=$B$3,-SUM($E83:AL83),0)</f>
        <v>-634729.09462262189</v>
      </c>
      <c r="AM85" s="8">
        <f>IF(AM81&lt;=$B$3,-SUM($E83:AM83),0)</f>
        <v>-656616.30478202261</v>
      </c>
      <c r="AN85" s="8">
        <f>IF(AN81&lt;=$B$3,-SUM($E83:AN83),0)</f>
        <v>-678503.51494142332</v>
      </c>
      <c r="AO85" s="8">
        <f>IF(AO81&lt;=$B$3,-SUM($E83:AO83),0)</f>
        <v>-700390.72510082403</v>
      </c>
      <c r="AP85" s="8">
        <f>IF(AP81&lt;=$B$3,-SUM($E83:AP83),0)</f>
        <v>-722277.93526022474</v>
      </c>
      <c r="AQ85" s="8">
        <f>IF(AQ81&lt;=$B$3,-SUM($E83:AQ83),0)</f>
        <v>-744165.14541962545</v>
      </c>
      <c r="AR85" s="8">
        <f>IF(AR81&lt;=$B$3,-SUM($E83:AR83),0)</f>
        <v>-766052.35557902616</v>
      </c>
      <c r="AS85" s="8">
        <f>IF(AS81&lt;=$B$3,-SUM($E83:AS83),0)</f>
        <v>-787939.56573842687</v>
      </c>
      <c r="AT85" s="8">
        <f>IF(AT81&lt;=$B$3,-SUM($E83:AT83),0)</f>
        <v>-809826.77589782758</v>
      </c>
      <c r="AU85" s="8">
        <f>IF(AU81&lt;=$B$3,-SUM($E83:AU83),0)</f>
        <v>-831713.98605722829</v>
      </c>
      <c r="AV85" s="8">
        <f>IF(AV81&lt;=$B$3,-SUM($E83:AV83),0)</f>
        <v>-853601.196216629</v>
      </c>
      <c r="AW85" s="8">
        <f>IF(AW81&lt;=$B$3,-SUM($E83:AW83),0)</f>
        <v>-875488.40637602971</v>
      </c>
      <c r="AX85" s="8">
        <f>IF(AX81&lt;=$B$3,-SUM($E83:AX83),0)</f>
        <v>-897375.61653543042</v>
      </c>
      <c r="AY85" s="8">
        <f>IF(AY81&lt;=$B$3,-SUM($E83:AY83),0)</f>
        <v>-919262.82669483114</v>
      </c>
      <c r="AZ85" s="8">
        <f>IF(AZ81&lt;=$B$3,-SUM($E83:AZ83),0)</f>
        <v>-941150.03685423185</v>
      </c>
      <c r="BA85" s="8">
        <f>IF(BA81&lt;=$B$3,-SUM($E83:BA83),0)</f>
        <v>-963037.24701363256</v>
      </c>
      <c r="BB85" s="8">
        <f>IF(BB81&lt;=$B$3,-SUM($E83:BB83),0)</f>
        <v>-984924.45717303327</v>
      </c>
      <c r="BC85" s="8">
        <f>IF(BC81&lt;=$B$3,-SUM($E83:BC83),0)</f>
        <v>-1006811.667332434</v>
      </c>
      <c r="BD85" s="8">
        <f>IF(BD81&lt;=$B$3,-SUM($E83:BD83),0)</f>
        <v>-1028698.8774918347</v>
      </c>
      <c r="BE85" s="8">
        <f>IF(BE81&lt;=$B$3,-SUM($E83:BE83),0)</f>
        <v>-1050586.0876512355</v>
      </c>
      <c r="BF85" s="8">
        <f>IF(BF81&lt;=$B$3,-SUM($E83:BF83),0)</f>
        <v>-1072473.2978106362</v>
      </c>
      <c r="BG85" s="8">
        <f>IF(BG81&lt;=$B$3,-SUM($E83:BG83),0)</f>
        <v>-1094360.5079700369</v>
      </c>
      <c r="BH85" s="8">
        <f>IF(BH81&lt;=$B$3,-SUM($E83:BH83),0)</f>
        <v>0</v>
      </c>
      <c r="BI85" s="8">
        <f>IF(BI81&lt;=$B$3,-SUM($E83:BI83),0)</f>
        <v>0</v>
      </c>
      <c r="BJ85" s="8">
        <f>IF(BJ81&lt;=$B$3,-SUM($E83:BJ83),0)</f>
        <v>0</v>
      </c>
      <c r="BK85" s="8">
        <f>IF(BK81&lt;=$B$3,-SUM($E83:BK83),0)</f>
        <v>0</v>
      </c>
      <c r="BL85" s="8">
        <f>IF(BL81&lt;=$B$3,-SUM($E83:BL83),0)</f>
        <v>0</v>
      </c>
      <c r="BM85" s="8">
        <f>IF(BM81&lt;=$B$3,-SUM($E83:BM83),0)</f>
        <v>0</v>
      </c>
      <c r="BN85" s="8">
        <f>IF(BN81&lt;=$B$3,-SUM($E83:BN83),0)</f>
        <v>0</v>
      </c>
      <c r="BO85" s="8">
        <f>IF(BO81&lt;=$B$3,-SUM($E83:BO83),0)</f>
        <v>0</v>
      </c>
      <c r="BP85" s="8">
        <f>IF(BP81&lt;=$B$3,-SUM($E83:BP83),0)</f>
        <v>0</v>
      </c>
      <c r="BQ85" s="8">
        <f>IF(BQ81&lt;=$B$3,-SUM($E83:BQ83),0)</f>
        <v>0</v>
      </c>
      <c r="BR85" s="8">
        <f>IF(BR81&lt;=$B$3,-SUM($E83:BR83),0)</f>
        <v>0</v>
      </c>
      <c r="BS85" s="8">
        <f>IF(BS81&lt;=$B$3,-SUM($E83:BS83),0)</f>
        <v>0</v>
      </c>
      <c r="BT85" s="8">
        <f>IF(BT81&lt;=$B$3,-SUM($E83:BT83),0)</f>
        <v>0</v>
      </c>
      <c r="BU85" s="8">
        <f>IF(BU81&lt;=$B$3,-SUM($E83:BU83),0)</f>
        <v>0</v>
      </c>
      <c r="BV85" s="8">
        <f>IF(BV81&lt;=$B$3,-SUM($E83:BV83),0)</f>
        <v>0</v>
      </c>
      <c r="BW85" s="8">
        <f>IF(BW81&lt;=$B$3,-SUM($E83:BW83),0)</f>
        <v>0</v>
      </c>
      <c r="BX85" s="8">
        <f>IF(BX81&lt;=$B$3,-SUM($E83:BX83),0)</f>
        <v>0</v>
      </c>
      <c r="BY85" s="8">
        <f>IF(BY81&lt;=$B$3,-SUM($E83:BY83),0)</f>
        <v>0</v>
      </c>
      <c r="BZ85" s="8">
        <f>IF(BZ81&lt;=$B$3,-SUM($E83:BZ83),0)</f>
        <v>0</v>
      </c>
      <c r="CA85" s="8">
        <f>IF(CA81&lt;=$B$3,-SUM($E83:CA83),0)</f>
        <v>0</v>
      </c>
      <c r="CB85" s="8">
        <f>IF(CB81&lt;=$B$3,-SUM($E83:CB83),0)</f>
        <v>0</v>
      </c>
      <c r="CC85" s="8">
        <f>IF(CC81&lt;=$B$3,-SUM($E83:CC83),0)</f>
        <v>0</v>
      </c>
      <c r="CD85" s="8">
        <f>IF(CD81&lt;=$B$3,-SUM($E83:CD83),0)</f>
        <v>0</v>
      </c>
      <c r="CE85" s="8">
        <f>IF(CE81&lt;=$B$3,-SUM($E83:CE83),0)</f>
        <v>0</v>
      </c>
      <c r="CF85" s="8">
        <f>IF(CF81&lt;=$B$3,-SUM($E83:CF83),0)</f>
        <v>0</v>
      </c>
      <c r="CG85" s="8">
        <f>IF(CG81&lt;=$B$3,-SUM($E83:CG83),0)</f>
        <v>0</v>
      </c>
      <c r="CH85" s="8">
        <f>IF(CH81&lt;=$B$3,-SUM($E83:CH83),0)</f>
        <v>0</v>
      </c>
      <c r="CI85" s="8">
        <f>IF(CI81&lt;=$B$3,-SUM($E83:CI83),0)</f>
        <v>0</v>
      </c>
      <c r="CJ85" s="8">
        <f>IF(CJ81&lt;=$B$3,-SUM($E83:CJ83),0)</f>
        <v>0</v>
      </c>
      <c r="CK85" s="8">
        <f>IF(CK81&lt;=$B$3,-SUM($E83:CK83),0)</f>
        <v>0</v>
      </c>
      <c r="CL85" s="8">
        <f>IF(CL81&lt;=$B$3,-SUM($E83:CL83),0)</f>
        <v>0</v>
      </c>
      <c r="CM85" s="8">
        <f>IF(CM81&lt;=$B$3,-SUM($E83:CM83),0)</f>
        <v>0</v>
      </c>
      <c r="CN85" s="8">
        <f>IF(CN81&lt;=$B$3,-SUM($E83:CN83),0)</f>
        <v>0</v>
      </c>
      <c r="CO85" s="8">
        <f>IF(CO81&lt;=$B$3,-SUM($E83:CO83),0)</f>
        <v>0</v>
      </c>
      <c r="CP85" s="8">
        <f>IF(CP81&lt;=$B$3,-SUM($E83:CP83),0)</f>
        <v>0</v>
      </c>
      <c r="CQ85" s="8">
        <f>IF(CQ81&lt;=$B$3,-SUM($E83:CQ83),0)</f>
        <v>0</v>
      </c>
      <c r="CR85" s="8">
        <f>IF(CR81&lt;=$B$3,-SUM($E83:CR83),0)</f>
        <v>0</v>
      </c>
      <c r="CS85" s="8">
        <f>IF(CS81&lt;=$B$3,-SUM($E83:CS83),0)</f>
        <v>0</v>
      </c>
      <c r="CT85" s="8">
        <f>IF(CT81&lt;=$B$3,-SUM($E83:CT83),0)</f>
        <v>0</v>
      </c>
      <c r="CU85" s="8">
        <f>IF(CU81&lt;=$B$3,-SUM($E83:CU83),0)</f>
        <v>0</v>
      </c>
      <c r="CV85" s="8">
        <f>IF(CV81&lt;=$B$3,-SUM($E83:CV83),0)</f>
        <v>0</v>
      </c>
      <c r="CW85" s="8">
        <f>IF(CW81&lt;=$B$3,-SUM($E83:CW83),0)</f>
        <v>0</v>
      </c>
      <c r="CX85" s="8">
        <f>IF(CX81&lt;=$B$3,-SUM($E83:CX83),0)</f>
        <v>0</v>
      </c>
      <c r="CY85" s="8">
        <f>IF(CY81&lt;=$B$3,-SUM($E83:CY83),0)</f>
        <v>0</v>
      </c>
      <c r="CZ85" s="8">
        <f>IF(CZ81&lt;=$B$3,-SUM($E83:CZ83),0)</f>
        <v>0</v>
      </c>
      <c r="DA85" s="8">
        <f>IF(DA81&lt;=$B$3,-SUM($E83:DA83),0)</f>
        <v>0</v>
      </c>
      <c r="DB85" s="8"/>
    </row>
    <row r="86" spans="3:106" x14ac:dyDescent="0.4">
      <c r="D86" t="s">
        <v>167</v>
      </c>
      <c r="I86" s="8"/>
      <c r="J86" s="8">
        <f>I87</f>
        <v>1094360.5079700379</v>
      </c>
      <c r="K86" s="8">
        <f t="shared" ref="K86:BV86" si="92">J87</f>
        <v>1072473.2978106372</v>
      </c>
      <c r="L86" s="8">
        <f t="shared" si="92"/>
        <v>1050586.0876512364</v>
      </c>
      <c r="M86" s="8">
        <f t="shared" si="92"/>
        <v>1028698.8774918356</v>
      </c>
      <c r="N86" s="8">
        <f t="shared" si="92"/>
        <v>1006811.6673324348</v>
      </c>
      <c r="O86" s="8">
        <f t="shared" si="92"/>
        <v>984924.45717303408</v>
      </c>
      <c r="P86" s="8">
        <f t="shared" si="92"/>
        <v>963037.24701363337</v>
      </c>
      <c r="Q86" s="8">
        <f t="shared" si="92"/>
        <v>941150.03685423255</v>
      </c>
      <c r="R86" s="8">
        <f t="shared" si="92"/>
        <v>919262.82669483172</v>
      </c>
      <c r="S86" s="8">
        <f t="shared" si="92"/>
        <v>897375.61653543101</v>
      </c>
      <c r="T86" s="8">
        <f t="shared" si="92"/>
        <v>875488.4063760303</v>
      </c>
      <c r="U86" s="8">
        <f t="shared" si="92"/>
        <v>853601.19621662947</v>
      </c>
      <c r="V86" s="8">
        <f t="shared" si="92"/>
        <v>831713.98605722864</v>
      </c>
      <c r="W86" s="8">
        <f t="shared" si="92"/>
        <v>809826.77589782793</v>
      </c>
      <c r="X86" s="8">
        <f t="shared" si="92"/>
        <v>787939.56573842722</v>
      </c>
      <c r="Y86" s="8">
        <f t="shared" si="92"/>
        <v>766052.35557902639</v>
      </c>
      <c r="Z86" s="8">
        <f t="shared" si="92"/>
        <v>744165.14541962557</v>
      </c>
      <c r="AA86" s="8">
        <f t="shared" si="92"/>
        <v>722277.93526022485</v>
      </c>
      <c r="AB86" s="8">
        <f t="shared" si="92"/>
        <v>700390.72510082414</v>
      </c>
      <c r="AC86" s="8">
        <f t="shared" si="92"/>
        <v>678503.51494142332</v>
      </c>
      <c r="AD86" s="8">
        <f t="shared" si="92"/>
        <v>656616.30478202249</v>
      </c>
      <c r="AE86" s="8">
        <f t="shared" si="92"/>
        <v>634729.09462262178</v>
      </c>
      <c r="AF86" s="8">
        <f t="shared" si="92"/>
        <v>612841.88446322107</v>
      </c>
      <c r="AG86" s="8">
        <f t="shared" si="92"/>
        <v>590954.67430382024</v>
      </c>
      <c r="AH86" s="8">
        <f t="shared" si="92"/>
        <v>569067.46414441953</v>
      </c>
      <c r="AI86" s="8">
        <f t="shared" si="92"/>
        <v>547180.25398501882</v>
      </c>
      <c r="AJ86" s="8">
        <f t="shared" si="92"/>
        <v>525293.04382561811</v>
      </c>
      <c r="AK86" s="8">
        <f t="shared" si="92"/>
        <v>503405.8336662174</v>
      </c>
      <c r="AL86" s="8">
        <f t="shared" si="92"/>
        <v>481518.62350681669</v>
      </c>
      <c r="AM86" s="8">
        <f t="shared" si="92"/>
        <v>459631.41334741598</v>
      </c>
      <c r="AN86" s="8">
        <f t="shared" si="92"/>
        <v>437744.20318801526</v>
      </c>
      <c r="AO86" s="8">
        <f t="shared" si="92"/>
        <v>415856.99302861455</v>
      </c>
      <c r="AP86" s="8">
        <f t="shared" si="92"/>
        <v>393969.78286921384</v>
      </c>
      <c r="AQ86" s="8">
        <f t="shared" si="92"/>
        <v>372082.57270981313</v>
      </c>
      <c r="AR86" s="8">
        <f t="shared" si="92"/>
        <v>350195.36255041242</v>
      </c>
      <c r="AS86" s="8">
        <f t="shared" si="92"/>
        <v>328308.15239101171</v>
      </c>
      <c r="AT86" s="8">
        <f t="shared" si="92"/>
        <v>306420.942231611</v>
      </c>
      <c r="AU86" s="8">
        <f t="shared" si="92"/>
        <v>284533.73207221029</v>
      </c>
      <c r="AV86" s="8">
        <f t="shared" si="92"/>
        <v>262646.52191280958</v>
      </c>
      <c r="AW86" s="8">
        <f t="shared" si="92"/>
        <v>240759.31175340887</v>
      </c>
      <c r="AX86" s="8">
        <f t="shared" si="92"/>
        <v>218872.10159400816</v>
      </c>
      <c r="AY86" s="8">
        <f t="shared" si="92"/>
        <v>196984.89143460745</v>
      </c>
      <c r="AZ86" s="8">
        <f t="shared" si="92"/>
        <v>175097.68127520673</v>
      </c>
      <c r="BA86" s="8">
        <f t="shared" si="92"/>
        <v>153210.47111580602</v>
      </c>
      <c r="BB86" s="8">
        <f t="shared" si="92"/>
        <v>131323.26095640531</v>
      </c>
      <c r="BC86" s="8">
        <f t="shared" si="92"/>
        <v>109436.0507970046</v>
      </c>
      <c r="BD86" s="8">
        <f t="shared" si="92"/>
        <v>87548.840637603891</v>
      </c>
      <c r="BE86" s="8">
        <f t="shared" si="92"/>
        <v>65661.63047820318</v>
      </c>
      <c r="BF86" s="8">
        <f t="shared" si="92"/>
        <v>43774.420318802353</v>
      </c>
      <c r="BG86" s="8">
        <f t="shared" si="92"/>
        <v>21887.210159401642</v>
      </c>
      <c r="BH86" s="8">
        <f t="shared" si="92"/>
        <v>0</v>
      </c>
      <c r="BI86" s="8">
        <f t="shared" si="92"/>
        <v>0</v>
      </c>
      <c r="BJ86" s="8">
        <f t="shared" si="92"/>
        <v>0</v>
      </c>
      <c r="BK86" s="8">
        <f t="shared" si="92"/>
        <v>0</v>
      </c>
      <c r="BL86" s="8">
        <f t="shared" si="92"/>
        <v>0</v>
      </c>
      <c r="BM86" s="8">
        <f t="shared" si="92"/>
        <v>0</v>
      </c>
      <c r="BN86" s="8">
        <f t="shared" si="92"/>
        <v>0</v>
      </c>
      <c r="BO86" s="8">
        <f t="shared" si="92"/>
        <v>0</v>
      </c>
      <c r="BP86" s="8">
        <f t="shared" si="92"/>
        <v>0</v>
      </c>
      <c r="BQ86" s="8">
        <f t="shared" si="92"/>
        <v>0</v>
      </c>
      <c r="BR86" s="8">
        <f t="shared" si="92"/>
        <v>0</v>
      </c>
      <c r="BS86" s="8">
        <f t="shared" si="92"/>
        <v>0</v>
      </c>
      <c r="BT86" s="8">
        <f t="shared" si="92"/>
        <v>0</v>
      </c>
      <c r="BU86" s="8">
        <f t="shared" si="92"/>
        <v>0</v>
      </c>
      <c r="BV86" s="8">
        <f t="shared" si="92"/>
        <v>0</v>
      </c>
      <c r="BW86" s="8">
        <f t="shared" ref="BW86:DA86" si="93">BV87</f>
        <v>0</v>
      </c>
      <c r="BX86" s="8">
        <f t="shared" si="93"/>
        <v>0</v>
      </c>
      <c r="BY86" s="8">
        <f t="shared" si="93"/>
        <v>0</v>
      </c>
      <c r="BZ86" s="8">
        <f t="shared" si="93"/>
        <v>0</v>
      </c>
      <c r="CA86" s="8">
        <f t="shared" si="93"/>
        <v>0</v>
      </c>
      <c r="CB86" s="8">
        <f t="shared" si="93"/>
        <v>0</v>
      </c>
      <c r="CC86" s="8">
        <f t="shared" si="93"/>
        <v>0</v>
      </c>
      <c r="CD86" s="8">
        <f t="shared" si="93"/>
        <v>0</v>
      </c>
      <c r="CE86" s="8">
        <f t="shared" si="93"/>
        <v>0</v>
      </c>
      <c r="CF86" s="8">
        <f t="shared" si="93"/>
        <v>0</v>
      </c>
      <c r="CG86" s="8">
        <f t="shared" si="93"/>
        <v>0</v>
      </c>
      <c r="CH86" s="8">
        <f t="shared" si="93"/>
        <v>0</v>
      </c>
      <c r="CI86" s="8">
        <f t="shared" si="93"/>
        <v>0</v>
      </c>
      <c r="CJ86" s="8">
        <f t="shared" si="93"/>
        <v>0</v>
      </c>
      <c r="CK86" s="8">
        <f t="shared" si="93"/>
        <v>0</v>
      </c>
      <c r="CL86" s="8">
        <f t="shared" si="93"/>
        <v>0</v>
      </c>
      <c r="CM86" s="8">
        <f t="shared" si="93"/>
        <v>0</v>
      </c>
      <c r="CN86" s="8">
        <f t="shared" si="93"/>
        <v>0</v>
      </c>
      <c r="CO86" s="8">
        <f t="shared" si="93"/>
        <v>0</v>
      </c>
      <c r="CP86" s="8">
        <f t="shared" si="93"/>
        <v>0</v>
      </c>
      <c r="CQ86" s="8">
        <f t="shared" si="93"/>
        <v>0</v>
      </c>
      <c r="CR86" s="8">
        <f t="shared" si="93"/>
        <v>0</v>
      </c>
      <c r="CS86" s="8">
        <f t="shared" si="93"/>
        <v>0</v>
      </c>
      <c r="CT86" s="8">
        <f t="shared" si="93"/>
        <v>0</v>
      </c>
      <c r="CU86" s="8">
        <f t="shared" si="93"/>
        <v>0</v>
      </c>
      <c r="CV86" s="8">
        <f t="shared" si="93"/>
        <v>0</v>
      </c>
      <c r="CW86" s="8">
        <f t="shared" si="93"/>
        <v>0</v>
      </c>
      <c r="CX86" s="8">
        <f t="shared" si="93"/>
        <v>0</v>
      </c>
      <c r="CY86" s="8">
        <f t="shared" si="93"/>
        <v>0</v>
      </c>
      <c r="CZ86" s="8">
        <f t="shared" si="93"/>
        <v>0</v>
      </c>
      <c r="DA86" s="8">
        <f t="shared" si="93"/>
        <v>0</v>
      </c>
      <c r="DB86" s="8"/>
    </row>
    <row r="87" spans="3:106" x14ac:dyDescent="0.4">
      <c r="D87" t="s">
        <v>168</v>
      </c>
      <c r="I87" s="8">
        <f>I84+I85</f>
        <v>1094360.5079700379</v>
      </c>
      <c r="J87" s="8">
        <f>J84+J85</f>
        <v>1072473.2978106372</v>
      </c>
      <c r="K87" s="8">
        <f t="shared" ref="K87:BV87" si="94">K84+K85</f>
        <v>1050586.0876512364</v>
      </c>
      <c r="L87" s="8">
        <f t="shared" si="94"/>
        <v>1028698.8774918356</v>
      </c>
      <c r="M87" s="8">
        <f t="shared" si="94"/>
        <v>1006811.6673324348</v>
      </c>
      <c r="N87" s="8">
        <f t="shared" si="94"/>
        <v>984924.45717303408</v>
      </c>
      <c r="O87" s="8">
        <f t="shared" si="94"/>
        <v>963037.24701363337</v>
      </c>
      <c r="P87" s="8">
        <f t="shared" si="94"/>
        <v>941150.03685423255</v>
      </c>
      <c r="Q87" s="8">
        <f t="shared" si="94"/>
        <v>919262.82669483172</v>
      </c>
      <c r="R87" s="8">
        <f t="shared" si="94"/>
        <v>897375.61653543101</v>
      </c>
      <c r="S87" s="8">
        <f t="shared" si="94"/>
        <v>875488.4063760303</v>
      </c>
      <c r="T87" s="8">
        <f t="shared" si="94"/>
        <v>853601.19621662947</v>
      </c>
      <c r="U87" s="8">
        <f t="shared" si="94"/>
        <v>831713.98605722864</v>
      </c>
      <c r="V87" s="8">
        <f t="shared" si="94"/>
        <v>809826.77589782793</v>
      </c>
      <c r="W87" s="8">
        <f t="shared" si="94"/>
        <v>787939.56573842722</v>
      </c>
      <c r="X87" s="8">
        <f t="shared" si="94"/>
        <v>766052.35557902639</v>
      </c>
      <c r="Y87" s="8">
        <f t="shared" si="94"/>
        <v>744165.14541962557</v>
      </c>
      <c r="Z87" s="8">
        <f t="shared" si="94"/>
        <v>722277.93526022485</v>
      </c>
      <c r="AA87" s="8">
        <f t="shared" si="94"/>
        <v>700390.72510082414</v>
      </c>
      <c r="AB87" s="8">
        <f t="shared" si="94"/>
        <v>678503.51494142332</v>
      </c>
      <c r="AC87" s="8">
        <f t="shared" si="94"/>
        <v>656616.30478202249</v>
      </c>
      <c r="AD87" s="8">
        <f t="shared" si="94"/>
        <v>634729.09462262178</v>
      </c>
      <c r="AE87" s="8">
        <f t="shared" si="94"/>
        <v>612841.88446322107</v>
      </c>
      <c r="AF87" s="8">
        <f t="shared" si="94"/>
        <v>590954.67430382024</v>
      </c>
      <c r="AG87" s="8">
        <f t="shared" si="94"/>
        <v>569067.46414441953</v>
      </c>
      <c r="AH87" s="8">
        <f t="shared" si="94"/>
        <v>547180.25398501882</v>
      </c>
      <c r="AI87" s="8">
        <f t="shared" si="94"/>
        <v>525293.04382561811</v>
      </c>
      <c r="AJ87" s="8">
        <f t="shared" si="94"/>
        <v>503405.8336662174</v>
      </c>
      <c r="AK87" s="8">
        <f t="shared" si="94"/>
        <v>481518.62350681669</v>
      </c>
      <c r="AL87" s="8">
        <f t="shared" si="94"/>
        <v>459631.41334741598</v>
      </c>
      <c r="AM87" s="8">
        <f t="shared" si="94"/>
        <v>437744.20318801526</v>
      </c>
      <c r="AN87" s="8">
        <f t="shared" si="94"/>
        <v>415856.99302861455</v>
      </c>
      <c r="AO87" s="8">
        <f t="shared" si="94"/>
        <v>393969.78286921384</v>
      </c>
      <c r="AP87" s="8">
        <f t="shared" si="94"/>
        <v>372082.57270981313</v>
      </c>
      <c r="AQ87" s="8">
        <f t="shared" si="94"/>
        <v>350195.36255041242</v>
      </c>
      <c r="AR87" s="8">
        <f t="shared" si="94"/>
        <v>328308.15239101171</v>
      </c>
      <c r="AS87" s="8">
        <f t="shared" si="94"/>
        <v>306420.942231611</v>
      </c>
      <c r="AT87" s="8">
        <f t="shared" si="94"/>
        <v>284533.73207221029</v>
      </c>
      <c r="AU87" s="8">
        <f t="shared" si="94"/>
        <v>262646.52191280958</v>
      </c>
      <c r="AV87" s="8">
        <f t="shared" si="94"/>
        <v>240759.31175340887</v>
      </c>
      <c r="AW87" s="8">
        <f t="shared" si="94"/>
        <v>218872.10159400816</v>
      </c>
      <c r="AX87" s="8">
        <f t="shared" si="94"/>
        <v>196984.89143460745</v>
      </c>
      <c r="AY87" s="8">
        <f t="shared" si="94"/>
        <v>175097.68127520673</v>
      </c>
      <c r="AZ87" s="8">
        <f t="shared" si="94"/>
        <v>153210.47111580602</v>
      </c>
      <c r="BA87" s="8">
        <f t="shared" si="94"/>
        <v>131323.26095640531</v>
      </c>
      <c r="BB87" s="8">
        <f t="shared" si="94"/>
        <v>109436.0507970046</v>
      </c>
      <c r="BC87" s="8">
        <f t="shared" si="94"/>
        <v>87548.840637603891</v>
      </c>
      <c r="BD87" s="8">
        <f t="shared" si="94"/>
        <v>65661.63047820318</v>
      </c>
      <c r="BE87" s="8">
        <f t="shared" si="94"/>
        <v>43774.420318802353</v>
      </c>
      <c r="BF87" s="8">
        <f t="shared" si="94"/>
        <v>21887.210159401642</v>
      </c>
      <c r="BG87" s="8">
        <f t="shared" si="94"/>
        <v>0</v>
      </c>
      <c r="BH87" s="8">
        <f t="shared" si="94"/>
        <v>0</v>
      </c>
      <c r="BI87" s="8">
        <f t="shared" si="94"/>
        <v>0</v>
      </c>
      <c r="BJ87" s="8">
        <f t="shared" si="94"/>
        <v>0</v>
      </c>
      <c r="BK87" s="8">
        <f t="shared" si="94"/>
        <v>0</v>
      </c>
      <c r="BL87" s="8">
        <f t="shared" si="94"/>
        <v>0</v>
      </c>
      <c r="BM87" s="8">
        <f t="shared" si="94"/>
        <v>0</v>
      </c>
      <c r="BN87" s="8">
        <f t="shared" si="94"/>
        <v>0</v>
      </c>
      <c r="BO87" s="8">
        <f t="shared" si="94"/>
        <v>0</v>
      </c>
      <c r="BP87" s="8">
        <f t="shared" si="94"/>
        <v>0</v>
      </c>
      <c r="BQ87" s="8">
        <f t="shared" si="94"/>
        <v>0</v>
      </c>
      <c r="BR87" s="8">
        <f t="shared" si="94"/>
        <v>0</v>
      </c>
      <c r="BS87" s="8">
        <f t="shared" si="94"/>
        <v>0</v>
      </c>
      <c r="BT87" s="8">
        <f t="shared" si="94"/>
        <v>0</v>
      </c>
      <c r="BU87" s="8">
        <f t="shared" si="94"/>
        <v>0</v>
      </c>
      <c r="BV87" s="8">
        <f t="shared" si="94"/>
        <v>0</v>
      </c>
      <c r="BW87" s="8">
        <f t="shared" ref="BW87:DA87" si="95">BW84+BW85</f>
        <v>0</v>
      </c>
      <c r="BX87" s="8">
        <f t="shared" si="95"/>
        <v>0</v>
      </c>
      <c r="BY87" s="8">
        <f t="shared" si="95"/>
        <v>0</v>
      </c>
      <c r="BZ87" s="8">
        <f t="shared" si="95"/>
        <v>0</v>
      </c>
      <c r="CA87" s="8">
        <f t="shared" si="95"/>
        <v>0</v>
      </c>
      <c r="CB87" s="8">
        <f t="shared" si="95"/>
        <v>0</v>
      </c>
      <c r="CC87" s="8">
        <f t="shared" si="95"/>
        <v>0</v>
      </c>
      <c r="CD87" s="8">
        <f t="shared" si="95"/>
        <v>0</v>
      </c>
      <c r="CE87" s="8">
        <f t="shared" si="95"/>
        <v>0</v>
      </c>
      <c r="CF87" s="8">
        <f t="shared" si="95"/>
        <v>0</v>
      </c>
      <c r="CG87" s="8">
        <f t="shared" si="95"/>
        <v>0</v>
      </c>
      <c r="CH87" s="8">
        <f t="shared" si="95"/>
        <v>0</v>
      </c>
      <c r="CI87" s="8">
        <f t="shared" si="95"/>
        <v>0</v>
      </c>
      <c r="CJ87" s="8">
        <f t="shared" si="95"/>
        <v>0</v>
      </c>
      <c r="CK87" s="8">
        <f t="shared" si="95"/>
        <v>0</v>
      </c>
      <c r="CL87" s="8">
        <f t="shared" si="95"/>
        <v>0</v>
      </c>
      <c r="CM87" s="8">
        <f t="shared" si="95"/>
        <v>0</v>
      </c>
      <c r="CN87" s="8">
        <f t="shared" si="95"/>
        <v>0</v>
      </c>
      <c r="CO87" s="8">
        <f t="shared" si="95"/>
        <v>0</v>
      </c>
      <c r="CP87" s="8">
        <f t="shared" si="95"/>
        <v>0</v>
      </c>
      <c r="CQ87" s="8">
        <f t="shared" si="95"/>
        <v>0</v>
      </c>
      <c r="CR87" s="8">
        <f t="shared" si="95"/>
        <v>0</v>
      </c>
      <c r="CS87" s="8">
        <f t="shared" si="95"/>
        <v>0</v>
      </c>
      <c r="CT87" s="8">
        <f t="shared" si="95"/>
        <v>0</v>
      </c>
      <c r="CU87" s="8">
        <f t="shared" si="95"/>
        <v>0</v>
      </c>
      <c r="CV87" s="8">
        <f t="shared" si="95"/>
        <v>0</v>
      </c>
      <c r="CW87" s="8">
        <f t="shared" si="95"/>
        <v>0</v>
      </c>
      <c r="CX87" s="8">
        <f t="shared" si="95"/>
        <v>0</v>
      </c>
      <c r="CY87" s="8">
        <f t="shared" si="95"/>
        <v>0</v>
      </c>
      <c r="CZ87" s="8">
        <f t="shared" si="95"/>
        <v>0</v>
      </c>
      <c r="DA87" s="8">
        <f t="shared" si="95"/>
        <v>0</v>
      </c>
      <c r="DB87" s="8"/>
    </row>
    <row r="88" spans="3:106" x14ac:dyDescent="0.4"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</row>
    <row r="89" spans="3:106" x14ac:dyDescent="0.4">
      <c r="D89" t="s">
        <v>169</v>
      </c>
      <c r="I89" s="8"/>
      <c r="J89" s="8">
        <f>IF(J81&lt;=$B$4+1,J84*VLOOKUP(J81,Assumptions!$A$70:$B$90,2,0),0)</f>
        <v>41038.51904887642</v>
      </c>
      <c r="K89" s="8">
        <f>IF(K81&lt;=$B$4+1,K84*VLOOKUP(K81,Assumptions!$A$70:$B$90,2,0),0)</f>
        <v>79001.885070357035</v>
      </c>
      <c r="L89" s="8">
        <f>IF(L81&lt;=$B$4+1,L84*VLOOKUP(L81,Assumptions!$A$70:$B$90,2,0),0)</f>
        <v>73070.45111715942</v>
      </c>
      <c r="M89" s="8">
        <f>IF(M81&lt;=$B$4+1,M84*VLOOKUP(M81,Assumptions!$A$70:$B$90,2,0),0)</f>
        <v>67598.648577309243</v>
      </c>
      <c r="N89" s="8">
        <f>IF(N81&lt;=$B$4+1,N84*VLOOKUP(N81,Assumptions!$A$70:$B$90,2,0),0)</f>
        <v>62520.815820328266</v>
      </c>
      <c r="O89" s="8">
        <f>IF(O81&lt;=$B$4+1,O84*VLOOKUP(O81,Assumptions!$A$70:$B$90,2,0),0)</f>
        <v>57836.952846216504</v>
      </c>
      <c r="P89" s="8">
        <f>IF(P81&lt;=$B$4+1,P84*VLOOKUP(P81,Assumptions!$A$70:$B$90,2,0),0)</f>
        <v>53492.34162957545</v>
      </c>
      <c r="Q89" s="8">
        <f>IF(Q81&lt;=$B$4+1,Q84*VLOOKUP(Q81,Assumptions!$A$70:$B$90,2,0),0)</f>
        <v>49486.982170405114</v>
      </c>
      <c r="R89" s="8">
        <f>IF(R81&lt;=$B$4+1,R84*VLOOKUP(R81,Assumptions!$A$70:$B$90,2,0),0)</f>
        <v>48830.365865623091</v>
      </c>
      <c r="S89" s="8">
        <f>IF(S81&lt;=$B$4+1,S84*VLOOKUP(S81,Assumptions!$A$70:$B$90,2,0),0)</f>
        <v>48819.422260543382</v>
      </c>
      <c r="T89" s="8">
        <f>IF(T81&lt;=$B$4+1,T84*VLOOKUP(T81,Assumptions!$A$70:$B$90,2,0),0)</f>
        <v>48830.365865623091</v>
      </c>
      <c r="U89" s="8">
        <f>IF(U81&lt;=$B$4+1,U84*VLOOKUP(U81,Assumptions!$A$70:$B$90,2,0),0)</f>
        <v>48819.422260543382</v>
      </c>
      <c r="V89" s="8">
        <f>IF(V81&lt;=$B$4+1,V84*VLOOKUP(V81,Assumptions!$A$70:$B$90,2,0),0)</f>
        <v>48830.365865623091</v>
      </c>
      <c r="W89" s="8">
        <f>IF(W81&lt;=$B$4+1,W84*VLOOKUP(W81,Assumptions!$A$70:$B$90,2,0),0)</f>
        <v>48819.422260543382</v>
      </c>
      <c r="X89" s="8">
        <f>IF(X81&lt;=$B$4+1,X84*VLOOKUP(X81,Assumptions!$A$70:$B$90,2,0),0)</f>
        <v>48830.365865623091</v>
      </c>
      <c r="Y89" s="8">
        <f>IF(Y81&lt;=$B$4+1,Y84*VLOOKUP(Y81,Assumptions!$A$70:$B$90,2,0),0)</f>
        <v>48819.422260543382</v>
      </c>
      <c r="Z89" s="8">
        <f>IF(Z81&lt;=$B$4+1,Z84*VLOOKUP(Z81,Assumptions!$A$70:$B$90,2,0),0)</f>
        <v>48830.365865623091</v>
      </c>
      <c r="AA89" s="8">
        <f>IF(AA81&lt;=$B$4+1,AA84*VLOOKUP(AA81,Assumptions!$A$70:$B$90,2,0),0)</f>
        <v>48819.422260543382</v>
      </c>
      <c r="AB89" s="8">
        <f>IF(AB81&lt;=$B$4+1,AB84*VLOOKUP(AB81,Assumptions!$A$70:$B$90,2,0),0)</f>
        <v>48830.365865623091</v>
      </c>
      <c r="AC89" s="8">
        <f>IF(AC81&lt;=$B$4+1,AC84*VLOOKUP(AC81,Assumptions!$A$70:$B$90,2,0),0)</f>
        <v>48819.422260543382</v>
      </c>
      <c r="AD89" s="8">
        <f>IF(AD81&lt;=$B$4+1,AD84*VLOOKUP(AD81,Assumptions!$A$70:$B$90,2,0),0)</f>
        <v>24415.182932811545</v>
      </c>
      <c r="AE89" s="8">
        <f>IF(AE81&lt;=$B$4+1,AE84*VLOOKUP(AE81,Assumptions!$A$70:$B$90,2,0),0)</f>
        <v>0</v>
      </c>
      <c r="AF89" s="8">
        <f>IF(AF81&lt;=$B$4+1,AF84*VLOOKUP(AF81,Assumptions!$A$70:$B$90,2,0),0)</f>
        <v>0</v>
      </c>
      <c r="AG89" s="8">
        <f>IF(AG81&lt;=$B$4+1,AG84*VLOOKUP(AG81,Assumptions!$A$70:$B$90,2,0),0)</f>
        <v>0</v>
      </c>
      <c r="AH89" s="8">
        <f>IF(AH81&lt;=$B$4+1,AH84*VLOOKUP(AH81,Assumptions!$A$70:$B$90,2,0),0)</f>
        <v>0</v>
      </c>
      <c r="AI89" s="8">
        <f>IF(AI81&lt;=$B$4+1,AI84*VLOOKUP(AI81,Assumptions!$A$70:$B$90,2,0),0)</f>
        <v>0</v>
      </c>
      <c r="AJ89" s="8">
        <f>IF(AJ81&lt;=$B$4+1,AJ84*VLOOKUP(AJ81,Assumptions!$A$70:$B$90,2,0),0)</f>
        <v>0</v>
      </c>
      <c r="AK89" s="8">
        <f>IF(AK81&lt;=$B$4+1,AK84*VLOOKUP(AK81,Assumptions!$A$70:$B$90,2,0),0)</f>
        <v>0</v>
      </c>
      <c r="AL89" s="8">
        <f>IF(AL81&lt;=$B$4+1,AL84*VLOOKUP(AL81,Assumptions!$A$70:$B$90,2,0),0)</f>
        <v>0</v>
      </c>
      <c r="AM89" s="8">
        <f>IF(AM81&lt;=$B$4+1,AM84*VLOOKUP(AM81,Assumptions!$A$70:$B$90,2,0),0)</f>
        <v>0</v>
      </c>
      <c r="AN89" s="8">
        <f>IF(AN81&lt;=$B$4+1,AN84*VLOOKUP(AN81,Assumptions!$A$70:$B$90,2,0),0)</f>
        <v>0</v>
      </c>
      <c r="AO89" s="8">
        <f>IF(AO81&lt;=$B$4+1,AO84*VLOOKUP(AO81,Assumptions!$A$70:$B$90,2,0),0)</f>
        <v>0</v>
      </c>
      <c r="AP89" s="8">
        <f>IF(AP81&lt;=$B$4+1,AP84*VLOOKUP(AP81,Assumptions!$A$70:$B$90,2,0),0)</f>
        <v>0</v>
      </c>
      <c r="AQ89" s="8">
        <f>IF(AQ81&lt;=$B$4+1,AQ84*VLOOKUP(AQ81,Assumptions!$A$70:$B$90,2,0),0)</f>
        <v>0</v>
      </c>
      <c r="AR89" s="8">
        <f>IF(AR81&lt;=$B$4+1,AR84*VLOOKUP(AR81,Assumptions!$A$70:$B$90,2,0),0)</f>
        <v>0</v>
      </c>
      <c r="AS89" s="8">
        <f>IF(AS81&lt;=$B$4+1,AS84*VLOOKUP(AS81,Assumptions!$A$70:$B$90,2,0),0)</f>
        <v>0</v>
      </c>
      <c r="AT89" s="8">
        <f>IF(AT81&lt;=$B$4+1,AT84*VLOOKUP(AT81,Assumptions!$A$70:$B$90,2,0),0)</f>
        <v>0</v>
      </c>
      <c r="AU89" s="8">
        <f>IF(AU81&lt;=$B$4+1,AU84*VLOOKUP(AU81,Assumptions!$A$70:$B$90,2,0),0)</f>
        <v>0</v>
      </c>
      <c r="AV89" s="8">
        <f>IF(AV81&lt;=$B$4+1,AV84*VLOOKUP(AV81,Assumptions!$A$70:$B$90,2,0),0)</f>
        <v>0</v>
      </c>
      <c r="AW89" s="8">
        <f>IF(AW81&lt;=$B$4+1,AW84*VLOOKUP(AW81,Assumptions!$A$70:$B$90,2,0),0)</f>
        <v>0</v>
      </c>
      <c r="AX89" s="8">
        <f>IF(AX81&lt;=$B$4+1,AX84*VLOOKUP(AX81,Assumptions!$A$70:$B$90,2,0),0)</f>
        <v>0</v>
      </c>
      <c r="AY89" s="8">
        <f>IF(AY81&lt;=$B$4+1,AY84*VLOOKUP(AY81,Assumptions!$A$70:$B$90,2,0),0)</f>
        <v>0</v>
      </c>
      <c r="AZ89" s="8">
        <f>IF(AZ81&lt;=$B$4+1,AZ84*VLOOKUP(AZ81,Assumptions!$A$70:$B$90,2,0),0)</f>
        <v>0</v>
      </c>
      <c r="BA89" s="8">
        <f>IF(BA81&lt;=$B$4+1,BA84*VLOOKUP(BA81,Assumptions!$A$70:$B$90,2,0),0)</f>
        <v>0</v>
      </c>
      <c r="BB89" s="8">
        <f>IF(BB81&lt;=$B$4+1,BB84*VLOOKUP(BB81,Assumptions!$A$70:$B$90,2,0),0)</f>
        <v>0</v>
      </c>
      <c r="BC89" s="8">
        <f>IF(BC81&lt;=$B$4+1,BC84*VLOOKUP(BC81,Assumptions!$A$70:$B$90,2,0),0)</f>
        <v>0</v>
      </c>
      <c r="BD89" s="8">
        <f>IF(BD81&lt;=$B$4+1,BD84*VLOOKUP(BD81,Assumptions!$A$70:$B$90,2,0),0)</f>
        <v>0</v>
      </c>
      <c r="BE89" s="8">
        <f>IF(BE81&lt;=$B$4+1,BE84*VLOOKUP(BE81,Assumptions!$A$70:$B$90,2,0),0)</f>
        <v>0</v>
      </c>
      <c r="BF89" s="8">
        <f>IF(BF81&lt;=$B$4+1,BF84*VLOOKUP(BF81,Assumptions!$A$70:$B$90,2,0),0)</f>
        <v>0</v>
      </c>
      <c r="BG89" s="8">
        <f>IF(BG81&lt;=$B$4+1,BG84*VLOOKUP(BG81,Assumptions!$A$70:$B$90,2,0),0)</f>
        <v>0</v>
      </c>
      <c r="BH89" s="8">
        <f>IF(BH81&lt;=$B$4+1,BH84*VLOOKUP(BH81,Assumptions!$A$70:$B$90,2,0),0)</f>
        <v>0</v>
      </c>
      <c r="BI89" s="8">
        <f>IF(BI81&lt;=$B$4+1,BI84*VLOOKUP(BI81,Assumptions!$A$70:$B$90,2,0),0)</f>
        <v>0</v>
      </c>
      <c r="BJ89" s="8">
        <f>IF(BJ81&lt;=$B$4+1,BJ84*VLOOKUP(BJ81,Assumptions!$A$70:$B$90,2,0),0)</f>
        <v>0</v>
      </c>
      <c r="BK89" s="8">
        <f>IF(BK81&lt;=$B$4+1,BK84*VLOOKUP(BK81,Assumptions!$A$70:$B$90,2,0),0)</f>
        <v>0</v>
      </c>
      <c r="BL89" s="8">
        <f>IF(BL81&lt;=$B$4+1,BL84*VLOOKUP(BL81,Assumptions!$A$70:$B$90,2,0),0)</f>
        <v>0</v>
      </c>
      <c r="BM89" s="8">
        <f>IF(BM81&lt;=$B$4+1,BM84*VLOOKUP(BM81,Assumptions!$A$70:$B$90,2,0),0)</f>
        <v>0</v>
      </c>
      <c r="BN89" s="8">
        <f>IF(BN81&lt;=$B$4+1,BN84*VLOOKUP(BN81,Assumptions!$A$70:$B$90,2,0),0)</f>
        <v>0</v>
      </c>
      <c r="BO89" s="8">
        <f>IF(BO81&lt;=$B$4+1,BO84*VLOOKUP(BO81,Assumptions!$A$70:$B$90,2,0),0)</f>
        <v>0</v>
      </c>
      <c r="BP89" s="8">
        <f>IF(BP81&lt;=$B$4+1,BP84*VLOOKUP(BP81,Assumptions!$A$70:$B$90,2,0),0)</f>
        <v>0</v>
      </c>
      <c r="BQ89" s="8">
        <f>IF(BQ81&lt;=$B$4+1,BQ84*VLOOKUP(BQ81,Assumptions!$A$70:$B$90,2,0),0)</f>
        <v>0</v>
      </c>
      <c r="BR89" s="8">
        <f>IF(BR81&lt;=$B$4+1,BR84*VLOOKUP(BR81,Assumptions!$A$70:$B$90,2,0),0)</f>
        <v>0</v>
      </c>
      <c r="BS89" s="8">
        <f>IF(BS81&lt;=$B$4+1,BS84*VLOOKUP(BS81,Assumptions!$A$70:$B$90,2,0),0)</f>
        <v>0</v>
      </c>
      <c r="BT89" s="8">
        <f>IF(BT81&lt;=$B$4+1,BT84*VLOOKUP(BT81,Assumptions!$A$70:$B$90,2,0),0)</f>
        <v>0</v>
      </c>
      <c r="BU89" s="8">
        <f>IF(BU81&lt;=$B$4+1,BU84*VLOOKUP(BU81,Assumptions!$A$70:$B$90,2,0),0)</f>
        <v>0</v>
      </c>
      <c r="BV89" s="8">
        <f>IF(BV81&lt;=$B$4+1,BV84*VLOOKUP(BV81,Assumptions!$A$70:$B$90,2,0),0)</f>
        <v>0</v>
      </c>
      <c r="BW89" s="8">
        <f>IF(BW81&lt;=$B$4+1,BW84*VLOOKUP(BW81,Assumptions!$A$70:$B$90,2,0),0)</f>
        <v>0</v>
      </c>
      <c r="BX89" s="8">
        <f>IF(BX81&lt;=$B$4+1,BX84*VLOOKUP(BX81,Assumptions!$A$70:$B$90,2,0),0)</f>
        <v>0</v>
      </c>
      <c r="BY89" s="8">
        <f>IF(BY81&lt;=$B$4+1,BY84*VLOOKUP(BY81,Assumptions!$A$70:$B$90,2,0),0)</f>
        <v>0</v>
      </c>
      <c r="BZ89" s="8">
        <f>IF(BZ81&lt;=$B$4+1,BZ84*VLOOKUP(BZ81,Assumptions!$A$70:$B$90,2,0),0)</f>
        <v>0</v>
      </c>
      <c r="CA89" s="8">
        <f>IF(CA81&lt;=$B$4+1,CA84*VLOOKUP(CA81,Assumptions!$A$70:$B$90,2,0),0)</f>
        <v>0</v>
      </c>
      <c r="CB89" s="8">
        <f>IF(CB81&lt;=$B$4+1,CB84*VLOOKUP(CB81,Assumptions!$A$70:$B$90,2,0),0)</f>
        <v>0</v>
      </c>
      <c r="CC89" s="8">
        <f>IF(CC81&lt;=$B$4+1,CC84*VLOOKUP(CC81,Assumptions!$A$70:$B$90,2,0),0)</f>
        <v>0</v>
      </c>
      <c r="CD89" s="8">
        <f>IF(CD81&lt;=$B$4+1,CD84*VLOOKUP(CD81,Assumptions!$A$70:$B$90,2,0),0)</f>
        <v>0</v>
      </c>
      <c r="CE89" s="8">
        <f>IF(CE81&lt;=$B$4+1,CE84*VLOOKUP(CE81,Assumptions!$A$70:$B$90,2,0),0)</f>
        <v>0</v>
      </c>
      <c r="CF89" s="8">
        <f>IF(CF81&lt;=$B$4+1,CF84*VLOOKUP(CF81,Assumptions!$A$70:$B$90,2,0),0)</f>
        <v>0</v>
      </c>
      <c r="CG89" s="8">
        <f>IF(CG81&lt;=$B$4+1,CG84*VLOOKUP(CG81,Assumptions!$A$70:$B$90,2,0),0)</f>
        <v>0</v>
      </c>
      <c r="CH89" s="8">
        <f>IF(CH81&lt;=$B$4+1,CH84*VLOOKUP(CH81,Assumptions!$A$70:$B$90,2,0),0)</f>
        <v>0</v>
      </c>
      <c r="CI89" s="8">
        <f>IF(CI81&lt;=$B$4+1,CI84*VLOOKUP(CI81,Assumptions!$A$70:$B$90,2,0),0)</f>
        <v>0</v>
      </c>
      <c r="CJ89" s="8">
        <f>IF(CJ81&lt;=$B$4+1,CJ84*VLOOKUP(CJ81,Assumptions!$A$70:$B$90,2,0),0)</f>
        <v>0</v>
      </c>
      <c r="CK89" s="8">
        <f>IF(CK81&lt;=$B$4+1,CK84*VLOOKUP(CK81,Assumptions!$A$70:$B$90,2,0),0)</f>
        <v>0</v>
      </c>
      <c r="CL89" s="8">
        <f>IF(CL81&lt;=$B$4+1,CL84*VLOOKUP(CL81,Assumptions!$A$70:$B$90,2,0),0)</f>
        <v>0</v>
      </c>
      <c r="CM89" s="8">
        <f>IF(CM81&lt;=$B$4+1,CM84*VLOOKUP(CM81,Assumptions!$A$70:$B$90,2,0),0)</f>
        <v>0</v>
      </c>
      <c r="CN89" s="8">
        <f>IF(CN81&lt;=$B$4+1,CN84*VLOOKUP(CN81,Assumptions!$A$70:$B$90,2,0),0)</f>
        <v>0</v>
      </c>
      <c r="CO89" s="8">
        <f>IF(CO81&lt;=$B$4+1,CO84*VLOOKUP(CO81,Assumptions!$A$70:$B$90,2,0),0)</f>
        <v>0</v>
      </c>
      <c r="CP89" s="8">
        <f>IF(CP81&lt;=$B$4+1,CP84*VLOOKUP(CP81,Assumptions!$A$70:$B$90,2,0),0)</f>
        <v>0</v>
      </c>
      <c r="CQ89" s="8">
        <f>IF(CQ81&lt;=$B$4+1,CQ84*VLOOKUP(CQ81,Assumptions!$A$70:$B$90,2,0),0)</f>
        <v>0</v>
      </c>
      <c r="CR89" s="8">
        <f>IF(CR81&lt;=$B$4+1,CR84*VLOOKUP(CR81,Assumptions!$A$70:$B$90,2,0),0)</f>
        <v>0</v>
      </c>
      <c r="CS89" s="8">
        <f>IF(CS81&lt;=$B$4+1,CS84*VLOOKUP(CS81,Assumptions!$A$70:$B$90,2,0),0)</f>
        <v>0</v>
      </c>
      <c r="CT89" s="8">
        <f>IF(CT81&lt;=$B$4+1,CT84*VLOOKUP(CT81,Assumptions!$A$70:$B$90,2,0),0)</f>
        <v>0</v>
      </c>
      <c r="CU89" s="8">
        <f>IF(CU81&lt;=$B$4+1,CU84*VLOOKUP(CU81,Assumptions!$A$70:$B$90,2,0),0)</f>
        <v>0</v>
      </c>
      <c r="CV89" s="8">
        <f>IF(CV81&lt;=$B$4+1,CV84*VLOOKUP(CV81,Assumptions!$A$70:$B$90,2,0),0)</f>
        <v>0</v>
      </c>
      <c r="CW89" s="8">
        <f>IF(CW81&lt;=$B$4+1,CW84*VLOOKUP(CW81,Assumptions!$A$70:$B$90,2,0),0)</f>
        <v>0</v>
      </c>
      <c r="CX89" s="8">
        <f>IF(CX81&lt;=$B$4+1,CX84*VLOOKUP(CX81,Assumptions!$A$70:$B$90,2,0),0)</f>
        <v>0</v>
      </c>
      <c r="CY89" s="8">
        <f>IF(CY81&lt;=$B$4+1,CY84*VLOOKUP(CY81,Assumptions!$A$70:$B$90,2,0),0)</f>
        <v>0</v>
      </c>
      <c r="CZ89" s="8">
        <f>IF(CZ81&lt;=$B$4+1,CZ84*VLOOKUP(CZ81,Assumptions!$A$70:$B$90,2,0),0)</f>
        <v>0</v>
      </c>
      <c r="DA89" s="8">
        <f>IF(DA81&lt;=$B$4+1,DA84*VLOOKUP(DA81,Assumptions!$A$70:$B$90,2,0),0)</f>
        <v>0</v>
      </c>
      <c r="DB89" s="8"/>
    </row>
    <row r="90" spans="3:106" x14ac:dyDescent="0.4">
      <c r="D90" t="s">
        <v>170</v>
      </c>
      <c r="I90" s="8"/>
      <c r="J90" s="8">
        <f>I91</f>
        <v>0</v>
      </c>
      <c r="K90" s="8">
        <f t="shared" ref="K90:BV90" si="96">J91</f>
        <v>-5307.7852587181796</v>
      </c>
      <c r="L90" s="8">
        <f t="shared" si="96"/>
        <v>-21137.117410289713</v>
      </c>
      <c r="M90" s="8">
        <f t="shared" si="96"/>
        <v>-35322.552641732531</v>
      </c>
      <c r="N90" s="8">
        <f t="shared" si="96"/>
        <v>-47991.477799255867</v>
      </c>
      <c r="O90" s="8">
        <f t="shared" si="96"/>
        <v>-59253.081608181928</v>
      </c>
      <c r="P90" s="8">
        <f t="shared" si="96"/>
        <v>-69216.552793832918</v>
      </c>
      <c r="Q90" s="8">
        <f t="shared" si="96"/>
        <v>-77975.914980791829</v>
      </c>
      <c r="R90" s="8">
        <f t="shared" si="96"/>
        <v>-85625.191793641687</v>
      </c>
      <c r="S90" s="8">
        <f t="shared" si="96"/>
        <v>-93092.487397621211</v>
      </c>
      <c r="T90" s="8">
        <f t="shared" si="96"/>
        <v>-100556.74998145289</v>
      </c>
      <c r="U90" s="8">
        <f t="shared" si="96"/>
        <v>-108024.04558543241</v>
      </c>
      <c r="V90" s="8">
        <f t="shared" si="96"/>
        <v>-115488.30816926408</v>
      </c>
      <c r="W90" s="8">
        <f t="shared" si="96"/>
        <v>-122955.60377324361</v>
      </c>
      <c r="X90" s="8">
        <f t="shared" si="96"/>
        <v>-130419.86635707528</v>
      </c>
      <c r="Y90" s="8">
        <f t="shared" si="96"/>
        <v>-137887.16196105481</v>
      </c>
      <c r="Z90" s="8">
        <f t="shared" si="96"/>
        <v>-145351.42454488648</v>
      </c>
      <c r="AA90" s="8">
        <f t="shared" si="96"/>
        <v>-152818.72014886601</v>
      </c>
      <c r="AB90" s="8">
        <f t="shared" si="96"/>
        <v>-160282.98273269768</v>
      </c>
      <c r="AC90" s="8">
        <f t="shared" si="96"/>
        <v>-167750.27833667721</v>
      </c>
      <c r="AD90" s="8">
        <f t="shared" si="96"/>
        <v>-175214.54092050888</v>
      </c>
      <c r="AE90" s="8">
        <f t="shared" si="96"/>
        <v>-175915.16857465968</v>
      </c>
      <c r="AF90" s="8">
        <f t="shared" si="96"/>
        <v>-169849.12827898175</v>
      </c>
      <c r="AG90" s="8">
        <f t="shared" si="96"/>
        <v>-163783.08798330382</v>
      </c>
      <c r="AH90" s="8">
        <f t="shared" si="96"/>
        <v>-157717.04768762589</v>
      </c>
      <c r="AI90" s="8">
        <f t="shared" si="96"/>
        <v>-151651.00739194796</v>
      </c>
      <c r="AJ90" s="8">
        <f t="shared" si="96"/>
        <v>-145584.96709627003</v>
      </c>
      <c r="AK90" s="8">
        <f t="shared" si="96"/>
        <v>-139518.9268005921</v>
      </c>
      <c r="AL90" s="8">
        <f t="shared" si="96"/>
        <v>-133452.88650491418</v>
      </c>
      <c r="AM90" s="8">
        <f t="shared" si="96"/>
        <v>-127386.84620923626</v>
      </c>
      <c r="AN90" s="8">
        <f t="shared" si="96"/>
        <v>-121320.80591355835</v>
      </c>
      <c r="AO90" s="8">
        <f t="shared" si="96"/>
        <v>-115254.76561788043</v>
      </c>
      <c r="AP90" s="8">
        <f t="shared" si="96"/>
        <v>-109188.72532220252</v>
      </c>
      <c r="AQ90" s="8">
        <f t="shared" si="96"/>
        <v>-103122.6850265246</v>
      </c>
      <c r="AR90" s="8">
        <f t="shared" si="96"/>
        <v>-97056.644730846689</v>
      </c>
      <c r="AS90" s="8">
        <f t="shared" si="96"/>
        <v>-90990.604435168774</v>
      </c>
      <c r="AT90" s="8">
        <f t="shared" si="96"/>
        <v>-84924.56413949086</v>
      </c>
      <c r="AU90" s="8">
        <f t="shared" si="96"/>
        <v>-78858.523843812945</v>
      </c>
      <c r="AV90" s="8">
        <f t="shared" si="96"/>
        <v>-72792.483548135031</v>
      </c>
      <c r="AW90" s="8">
        <f t="shared" si="96"/>
        <v>-66726.443252457117</v>
      </c>
      <c r="AX90" s="8">
        <f t="shared" si="96"/>
        <v>-60660.402956779195</v>
      </c>
      <c r="AY90" s="8">
        <f t="shared" si="96"/>
        <v>-54594.362661101273</v>
      </c>
      <c r="AZ90" s="8">
        <f t="shared" si="96"/>
        <v>-48528.322365423352</v>
      </c>
      <c r="BA90" s="8">
        <f t="shared" si="96"/>
        <v>-42462.28206974543</v>
      </c>
      <c r="BB90" s="8">
        <f t="shared" si="96"/>
        <v>-36396.241774067508</v>
      </c>
      <c r="BC90" s="8">
        <f t="shared" si="96"/>
        <v>-30330.201478389587</v>
      </c>
      <c r="BD90" s="8">
        <f t="shared" si="96"/>
        <v>-24264.161182711665</v>
      </c>
      <c r="BE90" s="8">
        <f t="shared" si="96"/>
        <v>-18198.120887033743</v>
      </c>
      <c r="BF90" s="8">
        <f t="shared" si="96"/>
        <v>-12132.080591355823</v>
      </c>
      <c r="BG90" s="8">
        <f t="shared" si="96"/>
        <v>-6066.0402956779035</v>
      </c>
      <c r="BH90" s="8">
        <f t="shared" si="96"/>
        <v>1.6370904631912708E-11</v>
      </c>
      <c r="BI90" s="8">
        <f t="shared" si="96"/>
        <v>1.6370904631912708E-11</v>
      </c>
      <c r="BJ90" s="8">
        <f t="shared" si="96"/>
        <v>1.6370904631912708E-11</v>
      </c>
      <c r="BK90" s="8">
        <f t="shared" si="96"/>
        <v>1.6370904631912708E-11</v>
      </c>
      <c r="BL90" s="8">
        <f t="shared" si="96"/>
        <v>1.6370904631912708E-11</v>
      </c>
      <c r="BM90" s="8">
        <f t="shared" si="96"/>
        <v>1.6370904631912708E-11</v>
      </c>
      <c r="BN90" s="8">
        <f t="shared" si="96"/>
        <v>1.6370904631912708E-11</v>
      </c>
      <c r="BO90" s="8">
        <f t="shared" si="96"/>
        <v>1.6370904631912708E-11</v>
      </c>
      <c r="BP90" s="8">
        <f t="shared" si="96"/>
        <v>1.6370904631912708E-11</v>
      </c>
      <c r="BQ90" s="8">
        <f t="shared" si="96"/>
        <v>1.6370904631912708E-11</v>
      </c>
      <c r="BR90" s="8">
        <f t="shared" si="96"/>
        <v>1.6370904631912708E-11</v>
      </c>
      <c r="BS90" s="8">
        <f t="shared" si="96"/>
        <v>1.6370904631912708E-11</v>
      </c>
      <c r="BT90" s="8">
        <f t="shared" si="96"/>
        <v>1.6370904631912708E-11</v>
      </c>
      <c r="BU90" s="8">
        <f t="shared" si="96"/>
        <v>1.6370904631912708E-11</v>
      </c>
      <c r="BV90" s="8">
        <f t="shared" si="96"/>
        <v>1.6370904631912708E-11</v>
      </c>
      <c r="BW90" s="8">
        <f t="shared" ref="BW90:DA90" si="97">BV91</f>
        <v>1.6370904631912708E-11</v>
      </c>
      <c r="BX90" s="8">
        <f t="shared" si="97"/>
        <v>1.6370904631912708E-11</v>
      </c>
      <c r="BY90" s="8">
        <f t="shared" si="97"/>
        <v>1.6370904631912708E-11</v>
      </c>
      <c r="BZ90" s="8">
        <f t="shared" si="97"/>
        <v>1.6370904631912708E-11</v>
      </c>
      <c r="CA90" s="8">
        <f t="shared" si="97"/>
        <v>1.6370904631912708E-11</v>
      </c>
      <c r="CB90" s="8">
        <f t="shared" si="97"/>
        <v>1.6370904631912708E-11</v>
      </c>
      <c r="CC90" s="8">
        <f t="shared" si="97"/>
        <v>1.6370904631912708E-11</v>
      </c>
      <c r="CD90" s="8">
        <f t="shared" si="97"/>
        <v>1.6370904631912708E-11</v>
      </c>
      <c r="CE90" s="8">
        <f t="shared" si="97"/>
        <v>1.6370904631912708E-11</v>
      </c>
      <c r="CF90" s="8">
        <f t="shared" si="97"/>
        <v>1.6370904631912708E-11</v>
      </c>
      <c r="CG90" s="8">
        <f t="shared" si="97"/>
        <v>1.6370904631912708E-11</v>
      </c>
      <c r="CH90" s="8">
        <f t="shared" si="97"/>
        <v>1.6370904631912708E-11</v>
      </c>
      <c r="CI90" s="8">
        <f t="shared" si="97"/>
        <v>1.6370904631912708E-11</v>
      </c>
      <c r="CJ90" s="8">
        <f t="shared" si="97"/>
        <v>1.6370904631912708E-11</v>
      </c>
      <c r="CK90" s="8">
        <f t="shared" si="97"/>
        <v>1.6370904631912708E-11</v>
      </c>
      <c r="CL90" s="8">
        <f t="shared" si="97"/>
        <v>1.6370904631912708E-11</v>
      </c>
      <c r="CM90" s="8">
        <f t="shared" si="97"/>
        <v>1.6370904631912708E-11</v>
      </c>
      <c r="CN90" s="8">
        <f t="shared" si="97"/>
        <v>1.6370904631912708E-11</v>
      </c>
      <c r="CO90" s="8">
        <f t="shared" si="97"/>
        <v>1.6370904631912708E-11</v>
      </c>
      <c r="CP90" s="8">
        <f t="shared" si="97"/>
        <v>1.6370904631912708E-11</v>
      </c>
      <c r="CQ90" s="8">
        <f t="shared" si="97"/>
        <v>1.6370904631912708E-11</v>
      </c>
      <c r="CR90" s="8">
        <f t="shared" si="97"/>
        <v>1.6370904631912708E-11</v>
      </c>
      <c r="CS90" s="8">
        <f t="shared" si="97"/>
        <v>1.6370904631912708E-11</v>
      </c>
      <c r="CT90" s="8">
        <f t="shared" si="97"/>
        <v>1.6370904631912708E-11</v>
      </c>
      <c r="CU90" s="8">
        <f t="shared" si="97"/>
        <v>1.6370904631912708E-11</v>
      </c>
      <c r="CV90" s="8">
        <f t="shared" si="97"/>
        <v>1.6370904631912708E-11</v>
      </c>
      <c r="CW90" s="8">
        <f t="shared" si="97"/>
        <v>1.6370904631912708E-11</v>
      </c>
      <c r="CX90" s="8">
        <f t="shared" si="97"/>
        <v>1.6370904631912708E-11</v>
      </c>
      <c r="CY90" s="8">
        <f t="shared" si="97"/>
        <v>1.6370904631912708E-11</v>
      </c>
      <c r="CZ90" s="8">
        <f t="shared" si="97"/>
        <v>1.6370904631912708E-11</v>
      </c>
      <c r="DA90" s="8">
        <f t="shared" si="97"/>
        <v>1.6370904631912708E-11</v>
      </c>
      <c r="DB90" s="8"/>
    </row>
    <row r="91" spans="3:106" x14ac:dyDescent="0.4">
      <c r="D91" t="s">
        <v>171</v>
      </c>
      <c r="I91" s="8"/>
      <c r="J91" s="8">
        <f t="shared" ref="J91:AO91" si="98">I91+((J83-J89)*INC_TAX_RATE)</f>
        <v>-5307.7852587181796</v>
      </c>
      <c r="K91" s="8">
        <f t="shared" si="98"/>
        <v>-21137.117410289713</v>
      </c>
      <c r="L91" s="8">
        <f t="shared" si="98"/>
        <v>-35322.552641732531</v>
      </c>
      <c r="M91" s="8">
        <f t="shared" si="98"/>
        <v>-47991.477799255867</v>
      </c>
      <c r="N91" s="8">
        <f t="shared" si="98"/>
        <v>-59253.081608181928</v>
      </c>
      <c r="O91" s="8">
        <f t="shared" si="98"/>
        <v>-69216.552793832918</v>
      </c>
      <c r="P91" s="8">
        <f t="shared" si="98"/>
        <v>-77975.914980791829</v>
      </c>
      <c r="Q91" s="8">
        <f t="shared" si="98"/>
        <v>-85625.191793641687</v>
      </c>
      <c r="R91" s="8">
        <f t="shared" si="98"/>
        <v>-93092.487397621211</v>
      </c>
      <c r="S91" s="8">
        <f t="shared" si="98"/>
        <v>-100556.74998145289</v>
      </c>
      <c r="T91" s="8">
        <f t="shared" si="98"/>
        <v>-108024.04558543241</v>
      </c>
      <c r="U91" s="8">
        <f t="shared" si="98"/>
        <v>-115488.30816926408</v>
      </c>
      <c r="V91" s="8">
        <f t="shared" si="98"/>
        <v>-122955.60377324361</v>
      </c>
      <c r="W91" s="8">
        <f t="shared" si="98"/>
        <v>-130419.86635707528</v>
      </c>
      <c r="X91" s="8">
        <f t="shared" si="98"/>
        <v>-137887.16196105481</v>
      </c>
      <c r="Y91" s="8">
        <f t="shared" si="98"/>
        <v>-145351.42454488648</v>
      </c>
      <c r="Z91" s="8">
        <f t="shared" si="98"/>
        <v>-152818.72014886601</v>
      </c>
      <c r="AA91" s="8">
        <f t="shared" si="98"/>
        <v>-160282.98273269768</v>
      </c>
      <c r="AB91" s="8">
        <f t="shared" si="98"/>
        <v>-167750.27833667721</v>
      </c>
      <c r="AC91" s="8">
        <f t="shared" si="98"/>
        <v>-175214.54092050888</v>
      </c>
      <c r="AD91" s="8">
        <f t="shared" si="98"/>
        <v>-175915.16857465968</v>
      </c>
      <c r="AE91" s="8">
        <f t="shared" si="98"/>
        <v>-169849.12827898175</v>
      </c>
      <c r="AF91" s="8">
        <f t="shared" si="98"/>
        <v>-163783.08798330382</v>
      </c>
      <c r="AG91" s="8">
        <f t="shared" si="98"/>
        <v>-157717.04768762589</v>
      </c>
      <c r="AH91" s="8">
        <f t="shared" si="98"/>
        <v>-151651.00739194796</v>
      </c>
      <c r="AI91" s="8">
        <f t="shared" si="98"/>
        <v>-145584.96709627003</v>
      </c>
      <c r="AJ91" s="8">
        <f t="shared" si="98"/>
        <v>-139518.9268005921</v>
      </c>
      <c r="AK91" s="8">
        <f t="shared" si="98"/>
        <v>-133452.88650491418</v>
      </c>
      <c r="AL91" s="8">
        <f t="shared" si="98"/>
        <v>-127386.84620923626</v>
      </c>
      <c r="AM91" s="8">
        <f t="shared" si="98"/>
        <v>-121320.80591355835</v>
      </c>
      <c r="AN91" s="8">
        <f t="shared" si="98"/>
        <v>-115254.76561788043</v>
      </c>
      <c r="AO91" s="8">
        <f t="shared" si="98"/>
        <v>-109188.72532220252</v>
      </c>
      <c r="AP91" s="8">
        <f t="shared" ref="AP91:BU91" si="99">AO91+((AP83-AP89)*INC_TAX_RATE)</f>
        <v>-103122.6850265246</v>
      </c>
      <c r="AQ91" s="8">
        <f t="shared" si="99"/>
        <v>-97056.644730846689</v>
      </c>
      <c r="AR91" s="8">
        <f t="shared" si="99"/>
        <v>-90990.604435168774</v>
      </c>
      <c r="AS91" s="8">
        <f t="shared" si="99"/>
        <v>-84924.56413949086</v>
      </c>
      <c r="AT91" s="8">
        <f t="shared" si="99"/>
        <v>-78858.523843812945</v>
      </c>
      <c r="AU91" s="8">
        <f t="shared" si="99"/>
        <v>-72792.483548135031</v>
      </c>
      <c r="AV91" s="8">
        <f t="shared" si="99"/>
        <v>-66726.443252457117</v>
      </c>
      <c r="AW91" s="8">
        <f t="shared" si="99"/>
        <v>-60660.402956779195</v>
      </c>
      <c r="AX91" s="8">
        <f t="shared" si="99"/>
        <v>-54594.362661101273</v>
      </c>
      <c r="AY91" s="8">
        <f t="shared" si="99"/>
        <v>-48528.322365423352</v>
      </c>
      <c r="AZ91" s="8">
        <f t="shared" si="99"/>
        <v>-42462.28206974543</v>
      </c>
      <c r="BA91" s="8">
        <f t="shared" si="99"/>
        <v>-36396.241774067508</v>
      </c>
      <c r="BB91" s="8">
        <f t="shared" si="99"/>
        <v>-30330.201478389587</v>
      </c>
      <c r="BC91" s="8">
        <f t="shared" si="99"/>
        <v>-24264.161182711665</v>
      </c>
      <c r="BD91" s="8">
        <f t="shared" si="99"/>
        <v>-18198.120887033743</v>
      </c>
      <c r="BE91" s="8">
        <f t="shared" si="99"/>
        <v>-12132.080591355823</v>
      </c>
      <c r="BF91" s="8">
        <f t="shared" si="99"/>
        <v>-6066.0402956779035</v>
      </c>
      <c r="BG91" s="8">
        <f t="shared" si="99"/>
        <v>1.6370904631912708E-11</v>
      </c>
      <c r="BH91" s="8">
        <f t="shared" si="99"/>
        <v>1.6370904631912708E-11</v>
      </c>
      <c r="BI91" s="8">
        <f t="shared" si="99"/>
        <v>1.6370904631912708E-11</v>
      </c>
      <c r="BJ91" s="8">
        <f t="shared" si="99"/>
        <v>1.6370904631912708E-11</v>
      </c>
      <c r="BK91" s="8">
        <f t="shared" si="99"/>
        <v>1.6370904631912708E-11</v>
      </c>
      <c r="BL91" s="8">
        <f t="shared" si="99"/>
        <v>1.6370904631912708E-11</v>
      </c>
      <c r="BM91" s="8">
        <f t="shared" si="99"/>
        <v>1.6370904631912708E-11</v>
      </c>
      <c r="BN91" s="8">
        <f t="shared" si="99"/>
        <v>1.6370904631912708E-11</v>
      </c>
      <c r="BO91" s="8">
        <f t="shared" si="99"/>
        <v>1.6370904631912708E-11</v>
      </c>
      <c r="BP91" s="8">
        <f t="shared" si="99"/>
        <v>1.6370904631912708E-11</v>
      </c>
      <c r="BQ91" s="8">
        <f t="shared" si="99"/>
        <v>1.6370904631912708E-11</v>
      </c>
      <c r="BR91" s="8">
        <f t="shared" si="99"/>
        <v>1.6370904631912708E-11</v>
      </c>
      <c r="BS91" s="8">
        <f t="shared" si="99"/>
        <v>1.6370904631912708E-11</v>
      </c>
      <c r="BT91" s="8">
        <f t="shared" si="99"/>
        <v>1.6370904631912708E-11</v>
      </c>
      <c r="BU91" s="8">
        <f t="shared" si="99"/>
        <v>1.6370904631912708E-11</v>
      </c>
      <c r="BV91" s="8">
        <f t="shared" ref="BV91:DA91" si="100">BU91+((BV83-BV89)*INC_TAX_RATE)</f>
        <v>1.6370904631912708E-11</v>
      </c>
      <c r="BW91" s="8">
        <f t="shared" si="100"/>
        <v>1.6370904631912708E-11</v>
      </c>
      <c r="BX91" s="8">
        <f t="shared" si="100"/>
        <v>1.6370904631912708E-11</v>
      </c>
      <c r="BY91" s="8">
        <f t="shared" si="100"/>
        <v>1.6370904631912708E-11</v>
      </c>
      <c r="BZ91" s="8">
        <f t="shared" si="100"/>
        <v>1.6370904631912708E-11</v>
      </c>
      <c r="CA91" s="8">
        <f t="shared" si="100"/>
        <v>1.6370904631912708E-11</v>
      </c>
      <c r="CB91" s="8">
        <f t="shared" si="100"/>
        <v>1.6370904631912708E-11</v>
      </c>
      <c r="CC91" s="8">
        <f t="shared" si="100"/>
        <v>1.6370904631912708E-11</v>
      </c>
      <c r="CD91" s="8">
        <f t="shared" si="100"/>
        <v>1.6370904631912708E-11</v>
      </c>
      <c r="CE91" s="8">
        <f t="shared" si="100"/>
        <v>1.6370904631912708E-11</v>
      </c>
      <c r="CF91" s="8">
        <f t="shared" si="100"/>
        <v>1.6370904631912708E-11</v>
      </c>
      <c r="CG91" s="8">
        <f t="shared" si="100"/>
        <v>1.6370904631912708E-11</v>
      </c>
      <c r="CH91" s="8">
        <f t="shared" si="100"/>
        <v>1.6370904631912708E-11</v>
      </c>
      <c r="CI91" s="8">
        <f t="shared" si="100"/>
        <v>1.6370904631912708E-11</v>
      </c>
      <c r="CJ91" s="8">
        <f t="shared" si="100"/>
        <v>1.6370904631912708E-11</v>
      </c>
      <c r="CK91" s="8">
        <f t="shared" si="100"/>
        <v>1.6370904631912708E-11</v>
      </c>
      <c r="CL91" s="8">
        <f t="shared" si="100"/>
        <v>1.6370904631912708E-11</v>
      </c>
      <c r="CM91" s="8">
        <f t="shared" si="100"/>
        <v>1.6370904631912708E-11</v>
      </c>
      <c r="CN91" s="8">
        <f t="shared" si="100"/>
        <v>1.6370904631912708E-11</v>
      </c>
      <c r="CO91" s="8">
        <f t="shared" si="100"/>
        <v>1.6370904631912708E-11</v>
      </c>
      <c r="CP91" s="8">
        <f t="shared" si="100"/>
        <v>1.6370904631912708E-11</v>
      </c>
      <c r="CQ91" s="8">
        <f t="shared" si="100"/>
        <v>1.6370904631912708E-11</v>
      </c>
      <c r="CR91" s="8">
        <f t="shared" si="100"/>
        <v>1.6370904631912708E-11</v>
      </c>
      <c r="CS91" s="8">
        <f t="shared" si="100"/>
        <v>1.6370904631912708E-11</v>
      </c>
      <c r="CT91" s="8">
        <f t="shared" si="100"/>
        <v>1.6370904631912708E-11</v>
      </c>
      <c r="CU91" s="8">
        <f t="shared" si="100"/>
        <v>1.6370904631912708E-11</v>
      </c>
      <c r="CV91" s="8">
        <f t="shared" si="100"/>
        <v>1.6370904631912708E-11</v>
      </c>
      <c r="CW91" s="8">
        <f t="shared" si="100"/>
        <v>1.6370904631912708E-11</v>
      </c>
      <c r="CX91" s="8">
        <f t="shared" si="100"/>
        <v>1.6370904631912708E-11</v>
      </c>
      <c r="CY91" s="8">
        <f t="shared" si="100"/>
        <v>1.6370904631912708E-11</v>
      </c>
      <c r="CZ91" s="8">
        <f t="shared" si="100"/>
        <v>1.6370904631912708E-11</v>
      </c>
      <c r="DA91" s="8">
        <f t="shared" si="100"/>
        <v>1.6370904631912708E-11</v>
      </c>
      <c r="DB91" s="8"/>
    </row>
    <row r="92" spans="3:106" x14ac:dyDescent="0.4"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</row>
    <row r="93" spans="3:106" x14ac:dyDescent="0.4">
      <c r="D93" t="s">
        <v>158</v>
      </c>
      <c r="I93" s="8"/>
      <c r="J93" s="8">
        <f>AVERAGE(J86:J87)+AVERAGE(J90:J91)</f>
        <v>1080763.0102609785</v>
      </c>
      <c r="K93" s="8">
        <f t="shared" ref="K93:BV93" si="101">AVERAGE(K86:K87)+AVERAGE(K90:K91)</f>
        <v>1048307.2413964327</v>
      </c>
      <c r="L93" s="8">
        <f t="shared" si="101"/>
        <v>1011412.6475455249</v>
      </c>
      <c r="M93" s="8">
        <f t="shared" si="101"/>
        <v>976098.25719164102</v>
      </c>
      <c r="N93" s="8">
        <f t="shared" si="101"/>
        <v>942245.78254901548</v>
      </c>
      <c r="O93" s="8">
        <f t="shared" si="101"/>
        <v>909746.03489232634</v>
      </c>
      <c r="P93" s="8">
        <f t="shared" si="101"/>
        <v>878497.40804662055</v>
      </c>
      <c r="Q93" s="8">
        <f t="shared" si="101"/>
        <v>848405.87838731543</v>
      </c>
      <c r="R93" s="8">
        <f t="shared" si="101"/>
        <v>818960.3820194999</v>
      </c>
      <c r="S93" s="8">
        <f t="shared" si="101"/>
        <v>789607.3927661936</v>
      </c>
      <c r="T93" s="8">
        <f t="shared" si="101"/>
        <v>760254.40351288719</v>
      </c>
      <c r="U93" s="8">
        <f t="shared" si="101"/>
        <v>730901.4142595809</v>
      </c>
      <c r="V93" s="8">
        <f t="shared" si="101"/>
        <v>701548.42500627448</v>
      </c>
      <c r="W93" s="8">
        <f t="shared" si="101"/>
        <v>672195.43575296807</v>
      </c>
      <c r="X93" s="8">
        <f t="shared" si="101"/>
        <v>642842.44649966178</v>
      </c>
      <c r="Y93" s="8">
        <f t="shared" si="101"/>
        <v>613489.45724635536</v>
      </c>
      <c r="Z93" s="8">
        <f t="shared" si="101"/>
        <v>584136.46799304895</v>
      </c>
      <c r="AA93" s="8">
        <f t="shared" si="101"/>
        <v>554783.47873974266</v>
      </c>
      <c r="AB93" s="8">
        <f t="shared" si="101"/>
        <v>525430.48948643624</v>
      </c>
      <c r="AC93" s="8">
        <f t="shared" si="101"/>
        <v>496077.50023312995</v>
      </c>
      <c r="AD93" s="8">
        <f t="shared" si="101"/>
        <v>470107.84495473787</v>
      </c>
      <c r="AE93" s="8">
        <f t="shared" si="101"/>
        <v>450903.34111610072</v>
      </c>
      <c r="AF93" s="8">
        <f t="shared" si="101"/>
        <v>435082.1712523778</v>
      </c>
      <c r="AG93" s="8">
        <f t="shared" si="101"/>
        <v>419261.00138865504</v>
      </c>
      <c r="AH93" s="8">
        <f t="shared" si="101"/>
        <v>403439.83152493223</v>
      </c>
      <c r="AI93" s="8">
        <f t="shared" si="101"/>
        <v>387618.66166120948</v>
      </c>
      <c r="AJ93" s="8">
        <f t="shared" si="101"/>
        <v>371797.49179748667</v>
      </c>
      <c r="AK93" s="8">
        <f t="shared" si="101"/>
        <v>355976.32193376392</v>
      </c>
      <c r="AL93" s="8">
        <f t="shared" si="101"/>
        <v>340155.15207004111</v>
      </c>
      <c r="AM93" s="8">
        <f t="shared" si="101"/>
        <v>324333.98220631829</v>
      </c>
      <c r="AN93" s="8">
        <f t="shared" si="101"/>
        <v>308512.81234259554</v>
      </c>
      <c r="AO93" s="8">
        <f t="shared" si="101"/>
        <v>292691.64247887273</v>
      </c>
      <c r="AP93" s="8">
        <f t="shared" si="101"/>
        <v>276870.47261514992</v>
      </c>
      <c r="AQ93" s="8">
        <f t="shared" si="101"/>
        <v>261049.30275142714</v>
      </c>
      <c r="AR93" s="8">
        <f t="shared" si="101"/>
        <v>245228.13288770433</v>
      </c>
      <c r="AS93" s="8">
        <f t="shared" si="101"/>
        <v>229406.96302398155</v>
      </c>
      <c r="AT93" s="8">
        <f t="shared" si="101"/>
        <v>213585.79316025873</v>
      </c>
      <c r="AU93" s="8">
        <f t="shared" si="101"/>
        <v>197764.62329653595</v>
      </c>
      <c r="AV93" s="8">
        <f t="shared" si="101"/>
        <v>181943.45343281314</v>
      </c>
      <c r="AW93" s="8">
        <f t="shared" si="101"/>
        <v>166122.28356909036</v>
      </c>
      <c r="AX93" s="8">
        <f t="shared" si="101"/>
        <v>150301.11370536755</v>
      </c>
      <c r="AY93" s="8">
        <f t="shared" si="101"/>
        <v>134479.9438416448</v>
      </c>
      <c r="AZ93" s="8">
        <f t="shared" si="101"/>
        <v>118658.77397792198</v>
      </c>
      <c r="BA93" s="8">
        <f t="shared" si="101"/>
        <v>102837.6041141992</v>
      </c>
      <c r="BB93" s="8">
        <f t="shared" si="101"/>
        <v>87016.434250476406</v>
      </c>
      <c r="BC93" s="8">
        <f t="shared" si="101"/>
        <v>71195.264386753624</v>
      </c>
      <c r="BD93" s="8">
        <f t="shared" si="101"/>
        <v>55374.094523030828</v>
      </c>
      <c r="BE93" s="8">
        <f t="shared" si="101"/>
        <v>39552.924659307988</v>
      </c>
      <c r="BF93" s="8">
        <f t="shared" si="101"/>
        <v>23731.754795585133</v>
      </c>
      <c r="BG93" s="8">
        <f t="shared" si="101"/>
        <v>7910.5849318618775</v>
      </c>
      <c r="BH93" s="8">
        <f t="shared" si="101"/>
        <v>1.6370904631912708E-11</v>
      </c>
      <c r="BI93" s="8">
        <f t="shared" si="101"/>
        <v>1.6370904631912708E-11</v>
      </c>
      <c r="BJ93" s="8">
        <f t="shared" si="101"/>
        <v>1.6370904631912708E-11</v>
      </c>
      <c r="BK93" s="8">
        <f t="shared" si="101"/>
        <v>1.6370904631912708E-11</v>
      </c>
      <c r="BL93" s="8">
        <f t="shared" si="101"/>
        <v>1.6370904631912708E-11</v>
      </c>
      <c r="BM93" s="8">
        <f t="shared" si="101"/>
        <v>1.6370904631912708E-11</v>
      </c>
      <c r="BN93" s="8">
        <f t="shared" si="101"/>
        <v>1.6370904631912708E-11</v>
      </c>
      <c r="BO93" s="8">
        <f t="shared" si="101"/>
        <v>1.6370904631912708E-11</v>
      </c>
      <c r="BP93" s="8">
        <f t="shared" si="101"/>
        <v>1.6370904631912708E-11</v>
      </c>
      <c r="BQ93" s="8">
        <f t="shared" si="101"/>
        <v>1.6370904631912708E-11</v>
      </c>
      <c r="BR93" s="8">
        <f t="shared" si="101"/>
        <v>1.6370904631912708E-11</v>
      </c>
      <c r="BS93" s="8">
        <f t="shared" si="101"/>
        <v>1.6370904631912708E-11</v>
      </c>
      <c r="BT93" s="8">
        <f t="shared" si="101"/>
        <v>1.6370904631912708E-11</v>
      </c>
      <c r="BU93" s="8">
        <f t="shared" si="101"/>
        <v>1.6370904631912708E-11</v>
      </c>
      <c r="BV93" s="8">
        <f t="shared" si="101"/>
        <v>1.6370904631912708E-11</v>
      </c>
      <c r="BW93" s="8">
        <f t="shared" ref="BW93:DA93" si="102">AVERAGE(BW86:BW87)+AVERAGE(BW90:BW91)</f>
        <v>1.6370904631912708E-11</v>
      </c>
      <c r="BX93" s="8">
        <f t="shared" si="102"/>
        <v>1.6370904631912708E-11</v>
      </c>
      <c r="BY93" s="8">
        <f t="shared" si="102"/>
        <v>1.6370904631912708E-11</v>
      </c>
      <c r="BZ93" s="8">
        <f t="shared" si="102"/>
        <v>1.6370904631912708E-11</v>
      </c>
      <c r="CA93" s="8">
        <f t="shared" si="102"/>
        <v>1.6370904631912708E-11</v>
      </c>
      <c r="CB93" s="8">
        <f t="shared" si="102"/>
        <v>1.6370904631912708E-11</v>
      </c>
      <c r="CC93" s="8">
        <f t="shared" si="102"/>
        <v>1.6370904631912708E-11</v>
      </c>
      <c r="CD93" s="8">
        <f t="shared" si="102"/>
        <v>1.6370904631912708E-11</v>
      </c>
      <c r="CE93" s="8">
        <f t="shared" si="102"/>
        <v>1.6370904631912708E-11</v>
      </c>
      <c r="CF93" s="8">
        <f t="shared" si="102"/>
        <v>1.6370904631912708E-11</v>
      </c>
      <c r="CG93" s="8">
        <f t="shared" si="102"/>
        <v>1.6370904631912708E-11</v>
      </c>
      <c r="CH93" s="8">
        <f t="shared" si="102"/>
        <v>1.6370904631912708E-11</v>
      </c>
      <c r="CI93" s="8">
        <f t="shared" si="102"/>
        <v>1.6370904631912708E-11</v>
      </c>
      <c r="CJ93" s="8">
        <f t="shared" si="102"/>
        <v>1.6370904631912708E-11</v>
      </c>
      <c r="CK93" s="8">
        <f t="shared" si="102"/>
        <v>1.6370904631912708E-11</v>
      </c>
      <c r="CL93" s="8">
        <f t="shared" si="102"/>
        <v>1.6370904631912708E-11</v>
      </c>
      <c r="CM93" s="8">
        <f t="shared" si="102"/>
        <v>1.6370904631912708E-11</v>
      </c>
      <c r="CN93" s="8">
        <f t="shared" si="102"/>
        <v>1.6370904631912708E-11</v>
      </c>
      <c r="CO93" s="8">
        <f t="shared" si="102"/>
        <v>1.6370904631912708E-11</v>
      </c>
      <c r="CP93" s="8">
        <f t="shared" si="102"/>
        <v>1.6370904631912708E-11</v>
      </c>
      <c r="CQ93" s="8">
        <f t="shared" si="102"/>
        <v>1.6370904631912708E-11</v>
      </c>
      <c r="CR93" s="8">
        <f t="shared" si="102"/>
        <v>1.6370904631912708E-11</v>
      </c>
      <c r="CS93" s="8">
        <f t="shared" si="102"/>
        <v>1.6370904631912708E-11</v>
      </c>
      <c r="CT93" s="8">
        <f t="shared" si="102"/>
        <v>1.6370904631912708E-11</v>
      </c>
      <c r="CU93" s="8">
        <f t="shared" si="102"/>
        <v>1.6370904631912708E-11</v>
      </c>
      <c r="CV93" s="8">
        <f t="shared" si="102"/>
        <v>1.6370904631912708E-11</v>
      </c>
      <c r="CW93" s="8">
        <f t="shared" si="102"/>
        <v>1.6370904631912708E-11</v>
      </c>
      <c r="CX93" s="8">
        <f t="shared" si="102"/>
        <v>1.6370904631912708E-11</v>
      </c>
      <c r="CY93" s="8">
        <f t="shared" si="102"/>
        <v>1.6370904631912708E-11</v>
      </c>
      <c r="CZ93" s="8">
        <f t="shared" si="102"/>
        <v>1.6370904631912708E-11</v>
      </c>
      <c r="DA93" s="8">
        <f t="shared" si="102"/>
        <v>1.6370904631912708E-11</v>
      </c>
      <c r="DB93" s="8"/>
    </row>
    <row r="94" spans="3:106" x14ac:dyDescent="0.4"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</row>
    <row r="95" spans="3:106" x14ac:dyDescent="0.4">
      <c r="D95" t="s">
        <v>209</v>
      </c>
      <c r="I95" s="8"/>
      <c r="J95" s="8">
        <f t="shared" ref="J95:AO95" si="103">J93*AVG_PRE_TAX_RATE</f>
        <v>96512.136816305385</v>
      </c>
      <c r="K95" s="8">
        <f t="shared" si="103"/>
        <v>93613.836656701445</v>
      </c>
      <c r="L95" s="8">
        <f t="shared" si="103"/>
        <v>90319.149425815369</v>
      </c>
      <c r="M95" s="8">
        <f t="shared" si="103"/>
        <v>87165.574367213543</v>
      </c>
      <c r="N95" s="8">
        <f t="shared" si="103"/>
        <v>84142.548381627086</v>
      </c>
      <c r="O95" s="8">
        <f t="shared" si="103"/>
        <v>81240.320915884746</v>
      </c>
      <c r="P95" s="8">
        <f t="shared" si="103"/>
        <v>78449.818538563224</v>
      </c>
      <c r="Q95" s="8">
        <f t="shared" si="103"/>
        <v>75762.644939987265</v>
      </c>
      <c r="R95" s="8">
        <f t="shared" si="103"/>
        <v>73133.16211434135</v>
      </c>
      <c r="S95" s="8">
        <f t="shared" si="103"/>
        <v>70511.940174021089</v>
      </c>
      <c r="T95" s="8">
        <f t="shared" si="103"/>
        <v>67890.718233700827</v>
      </c>
      <c r="U95" s="8">
        <f t="shared" si="103"/>
        <v>65269.49629338058</v>
      </c>
      <c r="V95" s="8">
        <f t="shared" si="103"/>
        <v>62648.274353060311</v>
      </c>
      <c r="W95" s="8">
        <f t="shared" si="103"/>
        <v>60027.052412740049</v>
      </c>
      <c r="X95" s="8">
        <f t="shared" si="103"/>
        <v>57405.830472419802</v>
      </c>
      <c r="Y95" s="8">
        <f t="shared" si="103"/>
        <v>54784.608532099533</v>
      </c>
      <c r="Z95" s="8">
        <f t="shared" si="103"/>
        <v>52163.386591779272</v>
      </c>
      <c r="AA95" s="8">
        <f t="shared" si="103"/>
        <v>49542.164651459025</v>
      </c>
      <c r="AB95" s="8">
        <f t="shared" si="103"/>
        <v>46920.942711138756</v>
      </c>
      <c r="AC95" s="8">
        <f t="shared" si="103"/>
        <v>44299.720770818509</v>
      </c>
      <c r="AD95" s="8">
        <f t="shared" si="103"/>
        <v>41980.630554458097</v>
      </c>
      <c r="AE95" s="8">
        <f t="shared" si="103"/>
        <v>40265.668361667798</v>
      </c>
      <c r="AF95" s="8">
        <f t="shared" si="103"/>
        <v>38852.837892837342</v>
      </c>
      <c r="AG95" s="8">
        <f t="shared" si="103"/>
        <v>37440.007424006901</v>
      </c>
      <c r="AH95" s="8">
        <f t="shared" si="103"/>
        <v>36027.176955176452</v>
      </c>
      <c r="AI95" s="8">
        <f t="shared" si="103"/>
        <v>34614.34648634601</v>
      </c>
      <c r="AJ95" s="8">
        <f t="shared" si="103"/>
        <v>33201.516017515562</v>
      </c>
      <c r="AK95" s="8">
        <f t="shared" si="103"/>
        <v>31788.68554868512</v>
      </c>
      <c r="AL95" s="8">
        <f t="shared" si="103"/>
        <v>30375.855079854671</v>
      </c>
      <c r="AM95" s="8">
        <f t="shared" si="103"/>
        <v>28963.024611024226</v>
      </c>
      <c r="AN95" s="8">
        <f t="shared" si="103"/>
        <v>27550.194142193785</v>
      </c>
      <c r="AO95" s="8">
        <f t="shared" si="103"/>
        <v>26137.363673363336</v>
      </c>
      <c r="AP95" s="8">
        <f t="shared" ref="AP95:BU95" si="104">AP93*AVG_PRE_TAX_RATE</f>
        <v>24724.533204532891</v>
      </c>
      <c r="AQ95" s="8">
        <f t="shared" si="104"/>
        <v>23311.702735702445</v>
      </c>
      <c r="AR95" s="8">
        <f t="shared" si="104"/>
        <v>21898.872266871997</v>
      </c>
      <c r="AS95" s="8">
        <f t="shared" si="104"/>
        <v>20486.041798041551</v>
      </c>
      <c r="AT95" s="8">
        <f t="shared" si="104"/>
        <v>19073.211329211106</v>
      </c>
      <c r="AU95" s="8">
        <f t="shared" si="104"/>
        <v>17660.380860380661</v>
      </c>
      <c r="AV95" s="8">
        <f t="shared" si="104"/>
        <v>16247.550391550214</v>
      </c>
      <c r="AW95" s="8">
        <f t="shared" si="104"/>
        <v>14834.719922719771</v>
      </c>
      <c r="AX95" s="8">
        <f t="shared" si="104"/>
        <v>13421.889453889322</v>
      </c>
      <c r="AY95" s="8">
        <f t="shared" si="104"/>
        <v>12009.05898505888</v>
      </c>
      <c r="AZ95" s="8">
        <f t="shared" si="104"/>
        <v>10596.228516228433</v>
      </c>
      <c r="BA95" s="8">
        <f t="shared" si="104"/>
        <v>9183.39804739799</v>
      </c>
      <c r="BB95" s="8">
        <f t="shared" si="104"/>
        <v>7770.567578567543</v>
      </c>
      <c r="BC95" s="8">
        <f t="shared" si="104"/>
        <v>6357.7371097370988</v>
      </c>
      <c r="BD95" s="8">
        <f t="shared" si="104"/>
        <v>4944.9066409066536</v>
      </c>
      <c r="BE95" s="8">
        <f t="shared" si="104"/>
        <v>3532.0761720762034</v>
      </c>
      <c r="BF95" s="8">
        <f t="shared" si="104"/>
        <v>2119.2457032457523</v>
      </c>
      <c r="BG95" s="8">
        <f t="shared" si="104"/>
        <v>706.41523441526567</v>
      </c>
      <c r="BH95" s="8">
        <f t="shared" si="104"/>
        <v>1.461921783629805E-12</v>
      </c>
      <c r="BI95" s="8">
        <f t="shared" si="104"/>
        <v>1.461921783629805E-12</v>
      </c>
      <c r="BJ95" s="8">
        <f t="shared" si="104"/>
        <v>1.461921783629805E-12</v>
      </c>
      <c r="BK95" s="8">
        <f t="shared" si="104"/>
        <v>1.461921783629805E-12</v>
      </c>
      <c r="BL95" s="8">
        <f t="shared" si="104"/>
        <v>1.461921783629805E-12</v>
      </c>
      <c r="BM95" s="8">
        <f t="shared" si="104"/>
        <v>1.461921783629805E-12</v>
      </c>
      <c r="BN95" s="8">
        <f t="shared" si="104"/>
        <v>1.461921783629805E-12</v>
      </c>
      <c r="BO95" s="8">
        <f t="shared" si="104"/>
        <v>1.461921783629805E-12</v>
      </c>
      <c r="BP95" s="8">
        <f t="shared" si="104"/>
        <v>1.461921783629805E-12</v>
      </c>
      <c r="BQ95" s="8">
        <f t="shared" si="104"/>
        <v>1.461921783629805E-12</v>
      </c>
      <c r="BR95" s="8">
        <f t="shared" si="104"/>
        <v>1.461921783629805E-12</v>
      </c>
      <c r="BS95" s="8">
        <f t="shared" si="104"/>
        <v>1.461921783629805E-12</v>
      </c>
      <c r="BT95" s="8">
        <f t="shared" si="104"/>
        <v>1.461921783629805E-12</v>
      </c>
      <c r="BU95" s="8">
        <f t="shared" si="104"/>
        <v>1.461921783629805E-12</v>
      </c>
      <c r="BV95" s="8">
        <f t="shared" ref="BV95:DA95" si="105">BV93*AVG_PRE_TAX_RATE</f>
        <v>1.461921783629805E-12</v>
      </c>
      <c r="BW95" s="8">
        <f t="shared" si="105"/>
        <v>1.461921783629805E-12</v>
      </c>
      <c r="BX95" s="8">
        <f t="shared" si="105"/>
        <v>1.461921783629805E-12</v>
      </c>
      <c r="BY95" s="8">
        <f t="shared" si="105"/>
        <v>1.461921783629805E-12</v>
      </c>
      <c r="BZ95" s="8">
        <f t="shared" si="105"/>
        <v>1.461921783629805E-12</v>
      </c>
      <c r="CA95" s="8">
        <f t="shared" si="105"/>
        <v>1.461921783629805E-12</v>
      </c>
      <c r="CB95" s="8">
        <f t="shared" si="105"/>
        <v>1.461921783629805E-12</v>
      </c>
      <c r="CC95" s="8">
        <f t="shared" si="105"/>
        <v>1.461921783629805E-12</v>
      </c>
      <c r="CD95" s="8">
        <f t="shared" si="105"/>
        <v>1.461921783629805E-12</v>
      </c>
      <c r="CE95" s="8">
        <f t="shared" si="105"/>
        <v>1.461921783629805E-12</v>
      </c>
      <c r="CF95" s="8">
        <f t="shared" si="105"/>
        <v>1.461921783629805E-12</v>
      </c>
      <c r="CG95" s="8">
        <f t="shared" si="105"/>
        <v>1.461921783629805E-12</v>
      </c>
      <c r="CH95" s="8">
        <f t="shared" si="105"/>
        <v>1.461921783629805E-12</v>
      </c>
      <c r="CI95" s="8">
        <f t="shared" si="105"/>
        <v>1.461921783629805E-12</v>
      </c>
      <c r="CJ95" s="8">
        <f t="shared" si="105"/>
        <v>1.461921783629805E-12</v>
      </c>
      <c r="CK95" s="8">
        <f t="shared" si="105"/>
        <v>1.461921783629805E-12</v>
      </c>
      <c r="CL95" s="8">
        <f t="shared" si="105"/>
        <v>1.461921783629805E-12</v>
      </c>
      <c r="CM95" s="8">
        <f t="shared" si="105"/>
        <v>1.461921783629805E-12</v>
      </c>
      <c r="CN95" s="8">
        <f t="shared" si="105"/>
        <v>1.461921783629805E-12</v>
      </c>
      <c r="CO95" s="8">
        <f t="shared" si="105"/>
        <v>1.461921783629805E-12</v>
      </c>
      <c r="CP95" s="8">
        <f t="shared" si="105"/>
        <v>1.461921783629805E-12</v>
      </c>
      <c r="CQ95" s="8">
        <f t="shared" si="105"/>
        <v>1.461921783629805E-12</v>
      </c>
      <c r="CR95" s="8">
        <f t="shared" si="105"/>
        <v>1.461921783629805E-12</v>
      </c>
      <c r="CS95" s="8">
        <f t="shared" si="105"/>
        <v>1.461921783629805E-12</v>
      </c>
      <c r="CT95" s="8">
        <f t="shared" si="105"/>
        <v>1.461921783629805E-12</v>
      </c>
      <c r="CU95" s="8">
        <f t="shared" si="105"/>
        <v>1.461921783629805E-12</v>
      </c>
      <c r="CV95" s="8">
        <f t="shared" si="105"/>
        <v>1.461921783629805E-12</v>
      </c>
      <c r="CW95" s="8">
        <f t="shared" si="105"/>
        <v>1.461921783629805E-12</v>
      </c>
      <c r="CX95" s="8">
        <f t="shared" si="105"/>
        <v>1.461921783629805E-12</v>
      </c>
      <c r="CY95" s="8">
        <f t="shared" si="105"/>
        <v>1.461921783629805E-12</v>
      </c>
      <c r="CZ95" s="8">
        <f t="shared" si="105"/>
        <v>1.461921783629805E-12</v>
      </c>
      <c r="DA95" s="8">
        <f t="shared" si="105"/>
        <v>1.461921783629805E-12</v>
      </c>
      <c r="DB95" s="8"/>
    </row>
    <row r="98" spans="3:107" x14ac:dyDescent="0.4">
      <c r="C98" s="58" t="str">
        <f>C81</f>
        <v>Investment year in service</v>
      </c>
      <c r="E98" t="str">
        <f>IF(E99&lt;$C99,"",E99-$C99)</f>
        <v/>
      </c>
      <c r="F98" t="str">
        <f>IF(F99&lt;$C99,"",F99-$C99)</f>
        <v/>
      </c>
      <c r="G98" t="str">
        <f t="shared" ref="G98:BR98" si="106">IF(G99&lt;$C99,"",G99-$C99)</f>
        <v/>
      </c>
      <c r="H98" t="str">
        <f t="shared" si="106"/>
        <v/>
      </c>
      <c r="I98" t="str">
        <f t="shared" si="106"/>
        <v/>
      </c>
      <c r="J98">
        <f t="shared" si="106"/>
        <v>0</v>
      </c>
      <c r="K98">
        <f t="shared" si="106"/>
        <v>1</v>
      </c>
      <c r="L98">
        <f t="shared" si="106"/>
        <v>2</v>
      </c>
      <c r="M98">
        <f t="shared" si="106"/>
        <v>3</v>
      </c>
      <c r="N98">
        <f t="shared" si="106"/>
        <v>4</v>
      </c>
      <c r="O98">
        <f t="shared" si="106"/>
        <v>5</v>
      </c>
      <c r="P98">
        <f t="shared" si="106"/>
        <v>6</v>
      </c>
      <c r="Q98">
        <f t="shared" si="106"/>
        <v>7</v>
      </c>
      <c r="R98">
        <f t="shared" si="106"/>
        <v>8</v>
      </c>
      <c r="S98">
        <f t="shared" si="106"/>
        <v>9</v>
      </c>
      <c r="T98">
        <f t="shared" si="106"/>
        <v>10</v>
      </c>
      <c r="U98">
        <f t="shared" si="106"/>
        <v>11</v>
      </c>
      <c r="V98">
        <f t="shared" si="106"/>
        <v>12</v>
      </c>
      <c r="W98">
        <f t="shared" si="106"/>
        <v>13</v>
      </c>
      <c r="X98">
        <f t="shared" si="106"/>
        <v>14</v>
      </c>
      <c r="Y98">
        <f t="shared" si="106"/>
        <v>15</v>
      </c>
      <c r="Z98">
        <f t="shared" si="106"/>
        <v>16</v>
      </c>
      <c r="AA98">
        <f t="shared" si="106"/>
        <v>17</v>
      </c>
      <c r="AB98">
        <f t="shared" si="106"/>
        <v>18</v>
      </c>
      <c r="AC98">
        <f t="shared" si="106"/>
        <v>19</v>
      </c>
      <c r="AD98">
        <f t="shared" si="106"/>
        <v>20</v>
      </c>
      <c r="AE98">
        <f t="shared" si="106"/>
        <v>21</v>
      </c>
      <c r="AF98">
        <f t="shared" si="106"/>
        <v>22</v>
      </c>
      <c r="AG98">
        <f t="shared" si="106"/>
        <v>23</v>
      </c>
      <c r="AH98">
        <f t="shared" si="106"/>
        <v>24</v>
      </c>
      <c r="AI98">
        <f t="shared" si="106"/>
        <v>25</v>
      </c>
      <c r="AJ98">
        <f t="shared" si="106"/>
        <v>26</v>
      </c>
      <c r="AK98">
        <f t="shared" si="106"/>
        <v>27</v>
      </c>
      <c r="AL98">
        <f t="shared" si="106"/>
        <v>28</v>
      </c>
      <c r="AM98">
        <f t="shared" si="106"/>
        <v>29</v>
      </c>
      <c r="AN98">
        <f t="shared" si="106"/>
        <v>30</v>
      </c>
      <c r="AO98">
        <f t="shared" si="106"/>
        <v>31</v>
      </c>
      <c r="AP98">
        <f t="shared" si="106"/>
        <v>32</v>
      </c>
      <c r="AQ98">
        <f t="shared" si="106"/>
        <v>33</v>
      </c>
      <c r="AR98">
        <f t="shared" si="106"/>
        <v>34</v>
      </c>
      <c r="AS98">
        <f t="shared" si="106"/>
        <v>35</v>
      </c>
      <c r="AT98">
        <f t="shared" si="106"/>
        <v>36</v>
      </c>
      <c r="AU98">
        <f t="shared" si="106"/>
        <v>37</v>
      </c>
      <c r="AV98">
        <f t="shared" si="106"/>
        <v>38</v>
      </c>
      <c r="AW98">
        <f t="shared" si="106"/>
        <v>39</v>
      </c>
      <c r="AX98">
        <f t="shared" si="106"/>
        <v>40</v>
      </c>
      <c r="AY98">
        <f t="shared" si="106"/>
        <v>41</v>
      </c>
      <c r="AZ98">
        <f t="shared" si="106"/>
        <v>42</v>
      </c>
      <c r="BA98">
        <f t="shared" si="106"/>
        <v>43</v>
      </c>
      <c r="BB98">
        <f t="shared" si="106"/>
        <v>44</v>
      </c>
      <c r="BC98">
        <f t="shared" si="106"/>
        <v>45</v>
      </c>
      <c r="BD98">
        <f t="shared" si="106"/>
        <v>46</v>
      </c>
      <c r="BE98">
        <f t="shared" si="106"/>
        <v>47</v>
      </c>
      <c r="BF98">
        <f t="shared" si="106"/>
        <v>48</v>
      </c>
      <c r="BG98">
        <f t="shared" si="106"/>
        <v>49</v>
      </c>
      <c r="BH98">
        <f t="shared" si="106"/>
        <v>50</v>
      </c>
      <c r="BI98">
        <f t="shared" si="106"/>
        <v>51</v>
      </c>
      <c r="BJ98">
        <f t="shared" si="106"/>
        <v>52</v>
      </c>
      <c r="BK98">
        <f t="shared" si="106"/>
        <v>53</v>
      </c>
      <c r="BL98">
        <f t="shared" si="106"/>
        <v>54</v>
      </c>
      <c r="BM98">
        <f t="shared" si="106"/>
        <v>55</v>
      </c>
      <c r="BN98">
        <f t="shared" si="106"/>
        <v>56</v>
      </c>
      <c r="BO98">
        <f t="shared" si="106"/>
        <v>57</v>
      </c>
      <c r="BP98">
        <f t="shared" si="106"/>
        <v>58</v>
      </c>
      <c r="BQ98">
        <f t="shared" si="106"/>
        <v>59</v>
      </c>
      <c r="BR98">
        <f t="shared" si="106"/>
        <v>60</v>
      </c>
      <c r="BS98">
        <f t="shared" ref="BS98:DA98" si="107">IF(BS99&lt;$C99,"",BS99-$C99)</f>
        <v>61</v>
      </c>
      <c r="BT98">
        <f t="shared" si="107"/>
        <v>62</v>
      </c>
      <c r="BU98">
        <f t="shared" si="107"/>
        <v>63</v>
      </c>
      <c r="BV98">
        <f t="shared" si="107"/>
        <v>64</v>
      </c>
      <c r="BW98">
        <f t="shared" si="107"/>
        <v>65</v>
      </c>
      <c r="BX98">
        <f t="shared" si="107"/>
        <v>66</v>
      </c>
      <c r="BY98">
        <f t="shared" si="107"/>
        <v>67</v>
      </c>
      <c r="BZ98">
        <f t="shared" si="107"/>
        <v>68</v>
      </c>
      <c r="CA98">
        <f t="shared" si="107"/>
        <v>69</v>
      </c>
      <c r="CB98">
        <f t="shared" si="107"/>
        <v>70</v>
      </c>
      <c r="CC98">
        <f t="shared" si="107"/>
        <v>71</v>
      </c>
      <c r="CD98">
        <f t="shared" si="107"/>
        <v>72</v>
      </c>
      <c r="CE98">
        <f t="shared" si="107"/>
        <v>73</v>
      </c>
      <c r="CF98">
        <f t="shared" si="107"/>
        <v>74</v>
      </c>
      <c r="CG98">
        <f t="shared" si="107"/>
        <v>75</v>
      </c>
      <c r="CH98">
        <f t="shared" si="107"/>
        <v>76</v>
      </c>
      <c r="CI98">
        <f t="shared" si="107"/>
        <v>77</v>
      </c>
      <c r="CJ98">
        <f t="shared" si="107"/>
        <v>78</v>
      </c>
      <c r="CK98">
        <f t="shared" si="107"/>
        <v>79</v>
      </c>
      <c r="CL98">
        <f t="shared" si="107"/>
        <v>80</v>
      </c>
      <c r="CM98">
        <f t="shared" si="107"/>
        <v>81</v>
      </c>
      <c r="CN98">
        <f t="shared" si="107"/>
        <v>82</v>
      </c>
      <c r="CO98">
        <f t="shared" si="107"/>
        <v>83</v>
      </c>
      <c r="CP98">
        <f t="shared" si="107"/>
        <v>84</v>
      </c>
      <c r="CQ98">
        <f t="shared" si="107"/>
        <v>85</v>
      </c>
      <c r="CR98">
        <f t="shared" si="107"/>
        <v>86</v>
      </c>
      <c r="CS98">
        <f t="shared" si="107"/>
        <v>87</v>
      </c>
      <c r="CT98">
        <f t="shared" si="107"/>
        <v>88</v>
      </c>
      <c r="CU98">
        <f t="shared" si="107"/>
        <v>89</v>
      </c>
      <c r="CV98">
        <f t="shared" si="107"/>
        <v>90</v>
      </c>
      <c r="CW98">
        <f t="shared" si="107"/>
        <v>91</v>
      </c>
      <c r="CX98">
        <f t="shared" si="107"/>
        <v>92</v>
      </c>
      <c r="CY98">
        <f t="shared" si="107"/>
        <v>93</v>
      </c>
      <c r="CZ98">
        <f t="shared" si="107"/>
        <v>94</v>
      </c>
      <c r="DA98">
        <f t="shared" si="107"/>
        <v>95</v>
      </c>
    </row>
    <row r="99" spans="3:107" x14ac:dyDescent="0.4">
      <c r="C99">
        <f>C82+1</f>
        <v>2032</v>
      </c>
      <c r="D99" s="5" t="s">
        <v>434</v>
      </c>
      <c r="E99" s="5">
        <v>2027</v>
      </c>
      <c r="F99" s="5">
        <v>2028</v>
      </c>
      <c r="G99" s="5">
        <v>2029</v>
      </c>
      <c r="H99" s="5">
        <v>2030</v>
      </c>
      <c r="I99" s="5">
        <v>2031</v>
      </c>
      <c r="J99" s="5">
        <v>2032</v>
      </c>
      <c r="K99" s="5">
        <v>2033</v>
      </c>
      <c r="L99" s="5">
        <v>2034</v>
      </c>
      <c r="M99" s="5">
        <v>2035</v>
      </c>
      <c r="N99" s="5">
        <v>2036</v>
      </c>
      <c r="O99" s="5">
        <v>2037</v>
      </c>
      <c r="P99" s="5">
        <v>2038</v>
      </c>
      <c r="Q99" s="5">
        <v>2039</v>
      </c>
      <c r="R99" s="5">
        <v>2040</v>
      </c>
      <c r="S99" s="5">
        <v>2041</v>
      </c>
      <c r="T99" s="5">
        <v>2042</v>
      </c>
      <c r="U99" s="5">
        <v>2043</v>
      </c>
      <c r="V99" s="5">
        <v>2044</v>
      </c>
      <c r="W99" s="5">
        <v>2045</v>
      </c>
      <c r="X99" s="5">
        <v>2046</v>
      </c>
      <c r="Y99" s="5">
        <v>2047</v>
      </c>
      <c r="Z99" s="5">
        <v>2048</v>
      </c>
      <c r="AA99" s="5">
        <v>2049</v>
      </c>
      <c r="AB99" s="5">
        <v>2050</v>
      </c>
      <c r="AC99" s="5">
        <v>2051</v>
      </c>
      <c r="AD99" s="5">
        <v>2052</v>
      </c>
      <c r="AE99" s="5">
        <v>2053</v>
      </c>
      <c r="AF99" s="5">
        <v>2054</v>
      </c>
      <c r="AG99" s="5">
        <v>2055</v>
      </c>
      <c r="AH99" s="5">
        <v>2056</v>
      </c>
      <c r="AI99" s="5">
        <v>2057</v>
      </c>
      <c r="AJ99" s="5">
        <v>2058</v>
      </c>
      <c r="AK99" s="5">
        <v>2059</v>
      </c>
      <c r="AL99" s="5">
        <v>2060</v>
      </c>
      <c r="AM99" s="5">
        <v>2061</v>
      </c>
      <c r="AN99" s="5">
        <v>2062</v>
      </c>
      <c r="AO99" s="5">
        <v>2063</v>
      </c>
      <c r="AP99" s="5">
        <v>2064</v>
      </c>
      <c r="AQ99" s="5">
        <v>2065</v>
      </c>
      <c r="AR99" s="5">
        <v>2066</v>
      </c>
      <c r="AS99" s="5">
        <v>2067</v>
      </c>
      <c r="AT99" s="5">
        <v>2068</v>
      </c>
      <c r="AU99" s="5">
        <v>2069</v>
      </c>
      <c r="AV99" s="5">
        <v>2070</v>
      </c>
      <c r="AW99" s="5">
        <v>2071</v>
      </c>
      <c r="AX99" s="5">
        <v>2072</v>
      </c>
      <c r="AY99" s="5">
        <v>2073</v>
      </c>
      <c r="AZ99" s="5">
        <v>2074</v>
      </c>
      <c r="BA99" s="5">
        <v>2075</v>
      </c>
      <c r="BB99" s="5">
        <v>2076</v>
      </c>
      <c r="BC99" s="5">
        <v>2077</v>
      </c>
      <c r="BD99" s="5">
        <v>2078</v>
      </c>
      <c r="BE99" s="5">
        <v>2079</v>
      </c>
      <c r="BF99" s="5">
        <v>2080</v>
      </c>
      <c r="BG99" s="5">
        <v>2081</v>
      </c>
      <c r="BH99" s="5">
        <v>2082</v>
      </c>
      <c r="BI99" s="5">
        <v>2083</v>
      </c>
      <c r="BJ99" s="5">
        <v>2084</v>
      </c>
      <c r="BK99" s="5">
        <v>2085</v>
      </c>
      <c r="BL99" s="5">
        <v>2086</v>
      </c>
      <c r="BM99" s="5">
        <v>2087</v>
      </c>
      <c r="BN99" s="5">
        <v>2088</v>
      </c>
      <c r="BO99" s="5">
        <v>2089</v>
      </c>
      <c r="BP99" s="5">
        <v>2090</v>
      </c>
      <c r="BQ99" s="5">
        <v>2091</v>
      </c>
      <c r="BR99" s="5">
        <v>2092</v>
      </c>
      <c r="BS99" s="5">
        <v>2093</v>
      </c>
      <c r="BT99" s="5">
        <v>2094</v>
      </c>
      <c r="BU99" s="5">
        <v>2095</v>
      </c>
      <c r="BV99" s="5">
        <v>2096</v>
      </c>
      <c r="BW99" s="5">
        <v>2097</v>
      </c>
      <c r="BX99" s="5">
        <v>2098</v>
      </c>
      <c r="BY99" s="5">
        <v>2099</v>
      </c>
      <c r="BZ99" s="5">
        <v>2100</v>
      </c>
      <c r="CA99" s="5">
        <v>2101</v>
      </c>
      <c r="CB99" s="5">
        <v>2102</v>
      </c>
      <c r="CC99" s="5">
        <v>2103</v>
      </c>
      <c r="CD99" s="5">
        <v>2104</v>
      </c>
      <c r="CE99" s="5">
        <v>2105</v>
      </c>
      <c r="CF99" s="5">
        <v>2106</v>
      </c>
      <c r="CG99" s="5">
        <v>2107</v>
      </c>
      <c r="CH99" s="5">
        <v>2108</v>
      </c>
      <c r="CI99" s="5">
        <v>2109</v>
      </c>
      <c r="CJ99" s="5">
        <v>2110</v>
      </c>
      <c r="CK99" s="5">
        <v>2111</v>
      </c>
      <c r="CL99" s="5">
        <v>2112</v>
      </c>
      <c r="CM99" s="5">
        <v>2113</v>
      </c>
      <c r="CN99" s="5">
        <v>2114</v>
      </c>
      <c r="CO99" s="5">
        <v>2115</v>
      </c>
      <c r="CP99" s="5">
        <v>2116</v>
      </c>
      <c r="CQ99" s="5">
        <v>2117</v>
      </c>
      <c r="CR99" s="5">
        <v>2118</v>
      </c>
      <c r="CS99" s="5">
        <v>2119</v>
      </c>
      <c r="CT99" s="5">
        <v>2120</v>
      </c>
      <c r="CU99" s="5">
        <v>2121</v>
      </c>
      <c r="CV99" s="5">
        <v>2122</v>
      </c>
      <c r="CW99" s="5">
        <v>2123</v>
      </c>
      <c r="CX99" s="5">
        <v>2124</v>
      </c>
      <c r="CY99" s="5">
        <v>2125</v>
      </c>
      <c r="CZ99" s="5">
        <v>2126</v>
      </c>
      <c r="DA99" s="5">
        <v>2127</v>
      </c>
    </row>
    <row r="100" spans="3:107" x14ac:dyDescent="0.4">
      <c r="D100" t="s">
        <v>207</v>
      </c>
      <c r="K100" s="8">
        <f>IF(K$13&lt;=$B$3,K101/$B$3,0)</f>
        <v>22368.728782907572</v>
      </c>
      <c r="L100" s="8">
        <f>IF(L98&lt;=$B$3,K100,0)</f>
        <v>22368.728782907572</v>
      </c>
      <c r="M100" s="8">
        <f t="shared" ref="M100:BX100" si="108">IF(M98&lt;=$B$3,L100,0)</f>
        <v>22368.728782907572</v>
      </c>
      <c r="N100" s="8">
        <f t="shared" si="108"/>
        <v>22368.728782907572</v>
      </c>
      <c r="O100" s="8">
        <f t="shared" si="108"/>
        <v>22368.728782907572</v>
      </c>
      <c r="P100" s="8">
        <f t="shared" si="108"/>
        <v>22368.728782907572</v>
      </c>
      <c r="Q100" s="8">
        <f t="shared" si="108"/>
        <v>22368.728782907572</v>
      </c>
      <c r="R100" s="8">
        <f t="shared" si="108"/>
        <v>22368.728782907572</v>
      </c>
      <c r="S100" s="8">
        <f t="shared" si="108"/>
        <v>22368.728782907572</v>
      </c>
      <c r="T100" s="8">
        <f t="shared" si="108"/>
        <v>22368.728782907572</v>
      </c>
      <c r="U100" s="8">
        <f t="shared" si="108"/>
        <v>22368.728782907572</v>
      </c>
      <c r="V100" s="8">
        <f t="shared" si="108"/>
        <v>22368.728782907572</v>
      </c>
      <c r="W100" s="8">
        <f t="shared" si="108"/>
        <v>22368.728782907572</v>
      </c>
      <c r="X100" s="8">
        <f t="shared" si="108"/>
        <v>22368.728782907572</v>
      </c>
      <c r="Y100" s="8">
        <f t="shared" si="108"/>
        <v>22368.728782907572</v>
      </c>
      <c r="Z100" s="8">
        <f t="shared" si="108"/>
        <v>22368.728782907572</v>
      </c>
      <c r="AA100" s="8">
        <f t="shared" si="108"/>
        <v>22368.728782907572</v>
      </c>
      <c r="AB100" s="8">
        <f t="shared" si="108"/>
        <v>22368.728782907572</v>
      </c>
      <c r="AC100" s="8">
        <f t="shared" si="108"/>
        <v>22368.728782907572</v>
      </c>
      <c r="AD100" s="8">
        <f t="shared" si="108"/>
        <v>22368.728782907572</v>
      </c>
      <c r="AE100" s="8">
        <f t="shared" si="108"/>
        <v>22368.728782907572</v>
      </c>
      <c r="AF100" s="8">
        <f t="shared" si="108"/>
        <v>22368.728782907572</v>
      </c>
      <c r="AG100" s="8">
        <f t="shared" si="108"/>
        <v>22368.728782907572</v>
      </c>
      <c r="AH100" s="8">
        <f t="shared" si="108"/>
        <v>22368.728782907572</v>
      </c>
      <c r="AI100" s="8">
        <f t="shared" si="108"/>
        <v>22368.728782907572</v>
      </c>
      <c r="AJ100" s="8">
        <f t="shared" si="108"/>
        <v>22368.728782907572</v>
      </c>
      <c r="AK100" s="8">
        <f t="shared" si="108"/>
        <v>22368.728782907572</v>
      </c>
      <c r="AL100" s="8">
        <f t="shared" si="108"/>
        <v>22368.728782907572</v>
      </c>
      <c r="AM100" s="8">
        <f t="shared" si="108"/>
        <v>22368.728782907572</v>
      </c>
      <c r="AN100" s="8">
        <f t="shared" si="108"/>
        <v>22368.728782907572</v>
      </c>
      <c r="AO100" s="8">
        <f t="shared" si="108"/>
        <v>22368.728782907572</v>
      </c>
      <c r="AP100" s="8">
        <f t="shared" si="108"/>
        <v>22368.728782907572</v>
      </c>
      <c r="AQ100" s="8">
        <f t="shared" si="108"/>
        <v>22368.728782907572</v>
      </c>
      <c r="AR100" s="8">
        <f t="shared" si="108"/>
        <v>22368.728782907572</v>
      </c>
      <c r="AS100" s="8">
        <f t="shared" si="108"/>
        <v>22368.728782907572</v>
      </c>
      <c r="AT100" s="8">
        <f t="shared" si="108"/>
        <v>22368.728782907572</v>
      </c>
      <c r="AU100" s="8">
        <f t="shared" si="108"/>
        <v>22368.728782907572</v>
      </c>
      <c r="AV100" s="8">
        <f t="shared" si="108"/>
        <v>22368.728782907572</v>
      </c>
      <c r="AW100" s="8">
        <f t="shared" si="108"/>
        <v>22368.728782907572</v>
      </c>
      <c r="AX100" s="8">
        <f t="shared" si="108"/>
        <v>22368.728782907572</v>
      </c>
      <c r="AY100" s="8">
        <f t="shared" si="108"/>
        <v>22368.728782907572</v>
      </c>
      <c r="AZ100" s="8">
        <f t="shared" si="108"/>
        <v>22368.728782907572</v>
      </c>
      <c r="BA100" s="8">
        <f t="shared" si="108"/>
        <v>22368.728782907572</v>
      </c>
      <c r="BB100" s="8">
        <f t="shared" si="108"/>
        <v>22368.728782907572</v>
      </c>
      <c r="BC100" s="8">
        <f t="shared" si="108"/>
        <v>22368.728782907572</v>
      </c>
      <c r="BD100" s="8">
        <f t="shared" si="108"/>
        <v>22368.728782907572</v>
      </c>
      <c r="BE100" s="8">
        <f t="shared" si="108"/>
        <v>22368.728782907572</v>
      </c>
      <c r="BF100" s="8">
        <f t="shared" si="108"/>
        <v>22368.728782907572</v>
      </c>
      <c r="BG100" s="8">
        <f t="shared" si="108"/>
        <v>22368.728782907572</v>
      </c>
      <c r="BH100" s="8">
        <f t="shared" si="108"/>
        <v>22368.728782907572</v>
      </c>
      <c r="BI100" s="8">
        <f t="shared" si="108"/>
        <v>0</v>
      </c>
      <c r="BJ100" s="8">
        <f t="shared" si="108"/>
        <v>0</v>
      </c>
      <c r="BK100" s="8">
        <f t="shared" si="108"/>
        <v>0</v>
      </c>
      <c r="BL100" s="8">
        <f t="shared" si="108"/>
        <v>0</v>
      </c>
      <c r="BM100" s="8">
        <f t="shared" si="108"/>
        <v>0</v>
      </c>
      <c r="BN100" s="8">
        <f t="shared" si="108"/>
        <v>0</v>
      </c>
      <c r="BO100" s="8">
        <f t="shared" si="108"/>
        <v>0</v>
      </c>
      <c r="BP100" s="8">
        <f t="shared" si="108"/>
        <v>0</v>
      </c>
      <c r="BQ100" s="8">
        <f t="shared" si="108"/>
        <v>0</v>
      </c>
      <c r="BR100" s="8">
        <f t="shared" si="108"/>
        <v>0</v>
      </c>
      <c r="BS100" s="8">
        <f t="shared" si="108"/>
        <v>0</v>
      </c>
      <c r="BT100" s="8">
        <f t="shared" si="108"/>
        <v>0</v>
      </c>
      <c r="BU100" s="8">
        <f t="shared" si="108"/>
        <v>0</v>
      </c>
      <c r="BV100" s="8">
        <f t="shared" si="108"/>
        <v>0</v>
      </c>
      <c r="BW100" s="8">
        <f t="shared" si="108"/>
        <v>0</v>
      </c>
      <c r="BX100" s="8">
        <f t="shared" si="108"/>
        <v>0</v>
      </c>
      <c r="BY100" s="8">
        <f t="shared" ref="BY100:DA100" si="109">IF(BY98&lt;=$B$3,BX100,0)</f>
        <v>0</v>
      </c>
      <c r="BZ100" s="8">
        <f t="shared" si="109"/>
        <v>0</v>
      </c>
      <c r="CA100" s="8">
        <f t="shared" si="109"/>
        <v>0</v>
      </c>
      <c r="CB100" s="8">
        <f t="shared" si="109"/>
        <v>0</v>
      </c>
      <c r="CC100" s="8">
        <f t="shared" si="109"/>
        <v>0</v>
      </c>
      <c r="CD100" s="8">
        <f t="shared" si="109"/>
        <v>0</v>
      </c>
      <c r="CE100" s="8">
        <f t="shared" si="109"/>
        <v>0</v>
      </c>
      <c r="CF100" s="8">
        <f t="shared" si="109"/>
        <v>0</v>
      </c>
      <c r="CG100" s="8">
        <f t="shared" si="109"/>
        <v>0</v>
      </c>
      <c r="CH100" s="8">
        <f t="shared" si="109"/>
        <v>0</v>
      </c>
      <c r="CI100" s="8">
        <f t="shared" si="109"/>
        <v>0</v>
      </c>
      <c r="CJ100" s="8">
        <f t="shared" si="109"/>
        <v>0</v>
      </c>
      <c r="CK100" s="8">
        <f t="shared" si="109"/>
        <v>0</v>
      </c>
      <c r="CL100" s="8">
        <f t="shared" si="109"/>
        <v>0</v>
      </c>
      <c r="CM100" s="8">
        <f t="shared" si="109"/>
        <v>0</v>
      </c>
      <c r="CN100" s="8">
        <f t="shared" si="109"/>
        <v>0</v>
      </c>
      <c r="CO100" s="8">
        <f t="shared" si="109"/>
        <v>0</v>
      </c>
      <c r="CP100" s="8">
        <f t="shared" si="109"/>
        <v>0</v>
      </c>
      <c r="CQ100" s="8">
        <f t="shared" si="109"/>
        <v>0</v>
      </c>
      <c r="CR100" s="8">
        <f t="shared" si="109"/>
        <v>0</v>
      </c>
      <c r="CS100" s="8">
        <f t="shared" si="109"/>
        <v>0</v>
      </c>
      <c r="CT100" s="8">
        <f t="shared" si="109"/>
        <v>0</v>
      </c>
      <c r="CU100" s="8">
        <f t="shared" si="109"/>
        <v>0</v>
      </c>
      <c r="CV100" s="8">
        <f t="shared" si="109"/>
        <v>0</v>
      </c>
      <c r="CW100" s="8">
        <f t="shared" si="109"/>
        <v>0</v>
      </c>
      <c r="CX100" s="8">
        <f t="shared" si="109"/>
        <v>0</v>
      </c>
      <c r="CY100" s="8">
        <f t="shared" si="109"/>
        <v>0</v>
      </c>
      <c r="CZ100" s="8">
        <f t="shared" si="109"/>
        <v>0</v>
      </c>
      <c r="DA100" s="8">
        <f t="shared" si="109"/>
        <v>0</v>
      </c>
      <c r="DB100" s="8"/>
      <c r="DC100" s="8"/>
    </row>
    <row r="101" spans="3:107" x14ac:dyDescent="0.4">
      <c r="D101" t="s">
        <v>154</v>
      </c>
      <c r="J101" s="8">
        <f>HLOOKUP(K99,$F$3:$O$10,7,0)</f>
        <v>1118436.4391453785</v>
      </c>
      <c r="K101" s="8">
        <f t="shared" ref="K101:BV101" si="110">IF(ROUND(J102,4)=-ROUND(J101,4),0,J101)</f>
        <v>1118436.4391453785</v>
      </c>
      <c r="L101" s="8">
        <f t="shared" si="110"/>
        <v>1118436.4391453785</v>
      </c>
      <c r="M101" s="8">
        <f t="shared" si="110"/>
        <v>1118436.4391453785</v>
      </c>
      <c r="N101" s="8">
        <f t="shared" si="110"/>
        <v>1118436.4391453785</v>
      </c>
      <c r="O101" s="8">
        <f t="shared" si="110"/>
        <v>1118436.4391453785</v>
      </c>
      <c r="P101" s="8">
        <f t="shared" si="110"/>
        <v>1118436.4391453785</v>
      </c>
      <c r="Q101" s="8">
        <f t="shared" si="110"/>
        <v>1118436.4391453785</v>
      </c>
      <c r="R101" s="8">
        <f t="shared" si="110"/>
        <v>1118436.4391453785</v>
      </c>
      <c r="S101" s="8">
        <f t="shared" si="110"/>
        <v>1118436.4391453785</v>
      </c>
      <c r="T101" s="8">
        <f t="shared" si="110"/>
        <v>1118436.4391453785</v>
      </c>
      <c r="U101" s="8">
        <f t="shared" si="110"/>
        <v>1118436.4391453785</v>
      </c>
      <c r="V101" s="8">
        <f t="shared" si="110"/>
        <v>1118436.4391453785</v>
      </c>
      <c r="W101" s="8">
        <f t="shared" si="110"/>
        <v>1118436.4391453785</v>
      </c>
      <c r="X101" s="8">
        <f t="shared" si="110"/>
        <v>1118436.4391453785</v>
      </c>
      <c r="Y101" s="8">
        <f t="shared" si="110"/>
        <v>1118436.4391453785</v>
      </c>
      <c r="Z101" s="8">
        <f t="shared" si="110"/>
        <v>1118436.4391453785</v>
      </c>
      <c r="AA101" s="8">
        <f t="shared" si="110"/>
        <v>1118436.4391453785</v>
      </c>
      <c r="AB101" s="8">
        <f t="shared" si="110"/>
        <v>1118436.4391453785</v>
      </c>
      <c r="AC101" s="8">
        <f t="shared" si="110"/>
        <v>1118436.4391453785</v>
      </c>
      <c r="AD101" s="8">
        <f t="shared" si="110"/>
        <v>1118436.4391453785</v>
      </c>
      <c r="AE101" s="8">
        <f t="shared" si="110"/>
        <v>1118436.4391453785</v>
      </c>
      <c r="AF101" s="8">
        <f t="shared" si="110"/>
        <v>1118436.4391453785</v>
      </c>
      <c r="AG101" s="8">
        <f t="shared" si="110"/>
        <v>1118436.4391453785</v>
      </c>
      <c r="AH101" s="8">
        <f t="shared" si="110"/>
        <v>1118436.4391453785</v>
      </c>
      <c r="AI101" s="8">
        <f t="shared" si="110"/>
        <v>1118436.4391453785</v>
      </c>
      <c r="AJ101" s="8">
        <f t="shared" si="110"/>
        <v>1118436.4391453785</v>
      </c>
      <c r="AK101" s="8">
        <f t="shared" si="110"/>
        <v>1118436.4391453785</v>
      </c>
      <c r="AL101" s="8">
        <f t="shared" si="110"/>
        <v>1118436.4391453785</v>
      </c>
      <c r="AM101" s="8">
        <f t="shared" si="110"/>
        <v>1118436.4391453785</v>
      </c>
      <c r="AN101" s="8">
        <f t="shared" si="110"/>
        <v>1118436.4391453785</v>
      </c>
      <c r="AO101" s="8">
        <f t="shared" si="110"/>
        <v>1118436.4391453785</v>
      </c>
      <c r="AP101" s="8">
        <f t="shared" si="110"/>
        <v>1118436.4391453785</v>
      </c>
      <c r="AQ101" s="8">
        <f t="shared" si="110"/>
        <v>1118436.4391453785</v>
      </c>
      <c r="AR101" s="8">
        <f t="shared" si="110"/>
        <v>1118436.4391453785</v>
      </c>
      <c r="AS101" s="8">
        <f t="shared" si="110"/>
        <v>1118436.4391453785</v>
      </c>
      <c r="AT101" s="8">
        <f t="shared" si="110"/>
        <v>1118436.4391453785</v>
      </c>
      <c r="AU101" s="8">
        <f t="shared" si="110"/>
        <v>1118436.4391453785</v>
      </c>
      <c r="AV101" s="8">
        <f t="shared" si="110"/>
        <v>1118436.4391453785</v>
      </c>
      <c r="AW101" s="8">
        <f t="shared" si="110"/>
        <v>1118436.4391453785</v>
      </c>
      <c r="AX101" s="8">
        <f t="shared" si="110"/>
        <v>1118436.4391453785</v>
      </c>
      <c r="AY101" s="8">
        <f t="shared" si="110"/>
        <v>1118436.4391453785</v>
      </c>
      <c r="AZ101" s="8">
        <f t="shared" si="110"/>
        <v>1118436.4391453785</v>
      </c>
      <c r="BA101" s="8">
        <f t="shared" si="110"/>
        <v>1118436.4391453785</v>
      </c>
      <c r="BB101" s="8">
        <f t="shared" si="110"/>
        <v>1118436.4391453785</v>
      </c>
      <c r="BC101" s="8">
        <f t="shared" si="110"/>
        <v>1118436.4391453785</v>
      </c>
      <c r="BD101" s="8">
        <f t="shared" si="110"/>
        <v>1118436.4391453785</v>
      </c>
      <c r="BE101" s="8">
        <f t="shared" si="110"/>
        <v>1118436.4391453785</v>
      </c>
      <c r="BF101" s="8">
        <f t="shared" si="110"/>
        <v>1118436.4391453785</v>
      </c>
      <c r="BG101" s="8">
        <f t="shared" si="110"/>
        <v>1118436.4391453785</v>
      </c>
      <c r="BH101" s="8">
        <f t="shared" si="110"/>
        <v>1118436.4391453785</v>
      </c>
      <c r="BI101" s="8">
        <f t="shared" si="110"/>
        <v>0</v>
      </c>
      <c r="BJ101" s="8">
        <f t="shared" si="110"/>
        <v>0</v>
      </c>
      <c r="BK101" s="8">
        <f t="shared" si="110"/>
        <v>0</v>
      </c>
      <c r="BL101" s="8">
        <f t="shared" si="110"/>
        <v>0</v>
      </c>
      <c r="BM101" s="8">
        <f t="shared" si="110"/>
        <v>0</v>
      </c>
      <c r="BN101" s="8">
        <f t="shared" si="110"/>
        <v>0</v>
      </c>
      <c r="BO101" s="8">
        <f t="shared" si="110"/>
        <v>0</v>
      </c>
      <c r="BP101" s="8">
        <f t="shared" si="110"/>
        <v>0</v>
      </c>
      <c r="BQ101" s="8">
        <f t="shared" si="110"/>
        <v>0</v>
      </c>
      <c r="BR101" s="8">
        <f t="shared" si="110"/>
        <v>0</v>
      </c>
      <c r="BS101" s="8">
        <f t="shared" si="110"/>
        <v>0</v>
      </c>
      <c r="BT101" s="8">
        <f t="shared" si="110"/>
        <v>0</v>
      </c>
      <c r="BU101" s="8">
        <f t="shared" si="110"/>
        <v>0</v>
      </c>
      <c r="BV101" s="8">
        <f t="shared" si="110"/>
        <v>0</v>
      </c>
      <c r="BW101" s="8">
        <f t="shared" ref="BW101:DA101" si="111">IF(ROUND(BV102,4)=-ROUND(BV101,4),0,BV101)</f>
        <v>0</v>
      </c>
      <c r="BX101" s="8">
        <f t="shared" si="111"/>
        <v>0</v>
      </c>
      <c r="BY101" s="8">
        <f t="shared" si="111"/>
        <v>0</v>
      </c>
      <c r="BZ101" s="8">
        <f t="shared" si="111"/>
        <v>0</v>
      </c>
      <c r="CA101" s="8">
        <f t="shared" si="111"/>
        <v>0</v>
      </c>
      <c r="CB101" s="8">
        <f t="shared" si="111"/>
        <v>0</v>
      </c>
      <c r="CC101" s="8">
        <f t="shared" si="111"/>
        <v>0</v>
      </c>
      <c r="CD101" s="8">
        <f t="shared" si="111"/>
        <v>0</v>
      </c>
      <c r="CE101" s="8">
        <f t="shared" si="111"/>
        <v>0</v>
      </c>
      <c r="CF101" s="8">
        <f t="shared" si="111"/>
        <v>0</v>
      </c>
      <c r="CG101" s="8">
        <f t="shared" si="111"/>
        <v>0</v>
      </c>
      <c r="CH101" s="8">
        <f t="shared" si="111"/>
        <v>0</v>
      </c>
      <c r="CI101" s="8">
        <f t="shared" si="111"/>
        <v>0</v>
      </c>
      <c r="CJ101" s="8">
        <f t="shared" si="111"/>
        <v>0</v>
      </c>
      <c r="CK101" s="8">
        <f t="shared" si="111"/>
        <v>0</v>
      </c>
      <c r="CL101" s="8">
        <f t="shared" si="111"/>
        <v>0</v>
      </c>
      <c r="CM101" s="8">
        <f t="shared" si="111"/>
        <v>0</v>
      </c>
      <c r="CN101" s="8">
        <f t="shared" si="111"/>
        <v>0</v>
      </c>
      <c r="CO101" s="8">
        <f t="shared" si="111"/>
        <v>0</v>
      </c>
      <c r="CP101" s="8">
        <f t="shared" si="111"/>
        <v>0</v>
      </c>
      <c r="CQ101" s="8">
        <f t="shared" si="111"/>
        <v>0</v>
      </c>
      <c r="CR101" s="8">
        <f t="shared" si="111"/>
        <v>0</v>
      </c>
      <c r="CS101" s="8">
        <f t="shared" si="111"/>
        <v>0</v>
      </c>
      <c r="CT101" s="8">
        <f t="shared" si="111"/>
        <v>0</v>
      </c>
      <c r="CU101" s="8">
        <f t="shared" si="111"/>
        <v>0</v>
      </c>
      <c r="CV101" s="8">
        <f t="shared" si="111"/>
        <v>0</v>
      </c>
      <c r="CW101" s="8">
        <f t="shared" si="111"/>
        <v>0</v>
      </c>
      <c r="CX101" s="8">
        <f t="shared" si="111"/>
        <v>0</v>
      </c>
      <c r="CY101" s="8">
        <f t="shared" si="111"/>
        <v>0</v>
      </c>
      <c r="CZ101" s="8">
        <f t="shared" si="111"/>
        <v>0</v>
      </c>
      <c r="DA101" s="8">
        <f t="shared" si="111"/>
        <v>0</v>
      </c>
      <c r="DB101" s="8"/>
      <c r="DC101" s="8"/>
    </row>
    <row r="102" spans="3:107" x14ac:dyDescent="0.4">
      <c r="D102" t="s">
        <v>208</v>
      </c>
      <c r="J102" s="8"/>
      <c r="K102" s="8">
        <f>IF(K98&lt;=$B$3,-SUM($E100:K100),0)</f>
        <v>-22368.728782907572</v>
      </c>
      <c r="L102" s="8">
        <f>IF(L98&lt;=$B$3,-SUM($E100:L100),0)</f>
        <v>-44737.457565815144</v>
      </c>
      <c r="M102" s="8">
        <f>IF(M98&lt;=$B$3,-SUM($E100:M100),0)</f>
        <v>-67106.186348722724</v>
      </c>
      <c r="N102" s="8">
        <f>IF(N98&lt;=$B$3,-SUM($E100:N100),0)</f>
        <v>-89474.915131630289</v>
      </c>
      <c r="O102" s="8">
        <f>IF(O98&lt;=$B$3,-SUM($E100:O100),0)</f>
        <v>-111843.64391453785</v>
      </c>
      <c r="P102" s="8">
        <f>IF(P98&lt;=$B$3,-SUM($E100:P100),0)</f>
        <v>-134212.37269744542</v>
      </c>
      <c r="Q102" s="8">
        <f>IF(Q98&lt;=$B$3,-SUM($E100:Q100),0)</f>
        <v>-156581.10148035298</v>
      </c>
      <c r="R102" s="8">
        <f>IF(R98&lt;=$B$3,-SUM($E100:R100),0)</f>
        <v>-178949.83026326055</v>
      </c>
      <c r="S102" s="8">
        <f>IF(S98&lt;=$B$3,-SUM($E100:S100),0)</f>
        <v>-201318.55904616811</v>
      </c>
      <c r="T102" s="8">
        <f>IF(T98&lt;=$B$3,-SUM($E100:T100),0)</f>
        <v>-223687.28782907568</v>
      </c>
      <c r="U102" s="8">
        <f>IF(U98&lt;=$B$3,-SUM($E100:U100),0)</f>
        <v>-246056.01661198324</v>
      </c>
      <c r="V102" s="8">
        <f>IF(V98&lt;=$B$3,-SUM($E100:V100),0)</f>
        <v>-268424.74539489084</v>
      </c>
      <c r="W102" s="8">
        <f>IF(W98&lt;=$B$3,-SUM($E100:W100),0)</f>
        <v>-290793.47417779843</v>
      </c>
      <c r="X102" s="8">
        <f>IF(X98&lt;=$B$3,-SUM($E100:X100),0)</f>
        <v>-313162.20296070602</v>
      </c>
      <c r="Y102" s="8">
        <f>IF(Y98&lt;=$B$3,-SUM($E100:Y100),0)</f>
        <v>-335530.93174361362</v>
      </c>
      <c r="Z102" s="8">
        <f>IF(Z98&lt;=$B$3,-SUM($E100:Z100),0)</f>
        <v>-357899.66052652121</v>
      </c>
      <c r="AA102" s="8">
        <f>IF(AA98&lt;=$B$3,-SUM($E100:AA100),0)</f>
        <v>-380268.38930942881</v>
      </c>
      <c r="AB102" s="8">
        <f>IF(AB98&lt;=$B$3,-SUM($E100:AB100),0)</f>
        <v>-402637.1180923364</v>
      </c>
      <c r="AC102" s="8">
        <f>IF(AC98&lt;=$B$3,-SUM($E100:AC100),0)</f>
        <v>-425005.84687524399</v>
      </c>
      <c r="AD102" s="8">
        <f>IF(AD98&lt;=$B$3,-SUM($E100:AD100),0)</f>
        <v>-447374.57565815159</v>
      </c>
      <c r="AE102" s="8">
        <f>IF(AE98&lt;=$B$3,-SUM($E100:AE100),0)</f>
        <v>-469743.30444105918</v>
      </c>
      <c r="AF102" s="8">
        <f>IF(AF98&lt;=$B$3,-SUM($E100:AF100),0)</f>
        <v>-492112.03322396678</v>
      </c>
      <c r="AG102" s="8">
        <f>IF(AG98&lt;=$B$3,-SUM($E100:AG100),0)</f>
        <v>-514480.76200687437</v>
      </c>
      <c r="AH102" s="8">
        <f>IF(AH98&lt;=$B$3,-SUM($E100:AH100),0)</f>
        <v>-536849.49078978191</v>
      </c>
      <c r="AI102" s="8">
        <f>IF(AI98&lt;=$B$3,-SUM($E100:AI100),0)</f>
        <v>-559218.2195726895</v>
      </c>
      <c r="AJ102" s="8">
        <f>IF(AJ98&lt;=$B$3,-SUM($E100:AJ100),0)</f>
        <v>-581586.94835559709</v>
      </c>
      <c r="AK102" s="8">
        <f>IF(AK98&lt;=$B$3,-SUM($E100:AK100),0)</f>
        <v>-603955.67713850469</v>
      </c>
      <c r="AL102" s="8">
        <f>IF(AL98&lt;=$B$3,-SUM($E100:AL100),0)</f>
        <v>-626324.40592141228</v>
      </c>
      <c r="AM102" s="8">
        <f>IF(AM98&lt;=$B$3,-SUM($E100:AM100),0)</f>
        <v>-648693.13470431988</v>
      </c>
      <c r="AN102" s="8">
        <f>IF(AN98&lt;=$B$3,-SUM($E100:AN100),0)</f>
        <v>-671061.86348722747</v>
      </c>
      <c r="AO102" s="8">
        <f>IF(AO98&lt;=$B$3,-SUM($E100:AO100),0)</f>
        <v>-693430.59227013506</v>
      </c>
      <c r="AP102" s="8">
        <f>IF(AP98&lt;=$B$3,-SUM($E100:AP100),0)</f>
        <v>-715799.32105304266</v>
      </c>
      <c r="AQ102" s="8">
        <f>IF(AQ98&lt;=$B$3,-SUM($E100:AQ100),0)</f>
        <v>-738168.04983595025</v>
      </c>
      <c r="AR102" s="8">
        <f>IF(AR98&lt;=$B$3,-SUM($E100:AR100),0)</f>
        <v>-760536.77861885785</v>
      </c>
      <c r="AS102" s="8">
        <f>IF(AS98&lt;=$B$3,-SUM($E100:AS100),0)</f>
        <v>-782905.50740176544</v>
      </c>
      <c r="AT102" s="8">
        <f>IF(AT98&lt;=$B$3,-SUM($E100:AT100),0)</f>
        <v>-805274.23618467303</v>
      </c>
      <c r="AU102" s="8">
        <f>IF(AU98&lt;=$B$3,-SUM($E100:AU100),0)</f>
        <v>-827642.96496758063</v>
      </c>
      <c r="AV102" s="8">
        <f>IF(AV98&lt;=$B$3,-SUM($E100:AV100),0)</f>
        <v>-850011.69375048822</v>
      </c>
      <c r="AW102" s="8">
        <f>IF(AW98&lt;=$B$3,-SUM($E100:AW100),0)</f>
        <v>-872380.42253339582</v>
      </c>
      <c r="AX102" s="8">
        <f>IF(AX98&lt;=$B$3,-SUM($E100:AX100),0)</f>
        <v>-894749.15131630341</v>
      </c>
      <c r="AY102" s="8">
        <f>IF(AY98&lt;=$B$3,-SUM($E100:AY100),0)</f>
        <v>-917117.880099211</v>
      </c>
      <c r="AZ102" s="8">
        <f>IF(AZ98&lt;=$B$3,-SUM($E100:AZ100),0)</f>
        <v>-939486.6088821186</v>
      </c>
      <c r="BA102" s="8">
        <f>IF(BA98&lt;=$B$3,-SUM($E100:BA100),0)</f>
        <v>-961855.33766502619</v>
      </c>
      <c r="BB102" s="8">
        <f>IF(BB98&lt;=$B$3,-SUM($E100:BB100),0)</f>
        <v>-984224.06644793379</v>
      </c>
      <c r="BC102" s="8">
        <f>IF(BC98&lt;=$B$3,-SUM($E100:BC100),0)</f>
        <v>-1006592.7952308414</v>
      </c>
      <c r="BD102" s="8">
        <f>IF(BD98&lt;=$B$3,-SUM($E100:BD100),0)</f>
        <v>-1028961.524013749</v>
      </c>
      <c r="BE102" s="8">
        <f>IF(BE98&lt;=$B$3,-SUM($E100:BE100),0)</f>
        <v>-1051330.2527966565</v>
      </c>
      <c r="BF102" s="8">
        <f>IF(BF98&lt;=$B$3,-SUM($E100:BF100),0)</f>
        <v>-1073698.981579564</v>
      </c>
      <c r="BG102" s="8">
        <f>IF(BG98&lt;=$B$3,-SUM($E100:BG100),0)</f>
        <v>-1096067.7103624716</v>
      </c>
      <c r="BH102" s="8">
        <f>IF(BH98&lt;=$B$3,-SUM($E100:BH100),0)</f>
        <v>-1118436.4391453792</v>
      </c>
      <c r="BI102" s="8">
        <f>IF(BI98&lt;=$B$3,-SUM($E100:BI100),0)</f>
        <v>0</v>
      </c>
      <c r="BJ102" s="8">
        <f>IF(BJ98&lt;=$B$3,-SUM($E100:BJ100),0)</f>
        <v>0</v>
      </c>
      <c r="BK102" s="8">
        <f>IF(BK98&lt;=$B$3,-SUM($E100:BK100),0)</f>
        <v>0</v>
      </c>
      <c r="BL102" s="8">
        <f>IF(BL98&lt;=$B$3,-SUM($E100:BL100),0)</f>
        <v>0</v>
      </c>
      <c r="BM102" s="8">
        <f>IF(BM98&lt;=$B$3,-SUM($E100:BM100),0)</f>
        <v>0</v>
      </c>
      <c r="BN102" s="8">
        <f>IF(BN98&lt;=$B$3,-SUM($E100:BN100),0)</f>
        <v>0</v>
      </c>
      <c r="BO102" s="8">
        <f>IF(BO98&lt;=$B$3,-SUM($E100:BO100),0)</f>
        <v>0</v>
      </c>
      <c r="BP102" s="8">
        <f>IF(BP98&lt;=$B$3,-SUM($E100:BP100),0)</f>
        <v>0</v>
      </c>
      <c r="BQ102" s="8">
        <f>IF(BQ98&lt;=$B$3,-SUM($E100:BQ100),0)</f>
        <v>0</v>
      </c>
      <c r="BR102" s="8">
        <f>IF(BR98&lt;=$B$3,-SUM($E100:BR100),0)</f>
        <v>0</v>
      </c>
      <c r="BS102" s="8">
        <f>IF(BS98&lt;=$B$3,-SUM($E100:BS100),0)</f>
        <v>0</v>
      </c>
      <c r="BT102" s="8">
        <f>IF(BT98&lt;=$B$3,-SUM($E100:BT100),0)</f>
        <v>0</v>
      </c>
      <c r="BU102" s="8">
        <f>IF(BU98&lt;=$B$3,-SUM($E100:BU100),0)</f>
        <v>0</v>
      </c>
      <c r="BV102" s="8">
        <f>IF(BV98&lt;=$B$3,-SUM($E100:BV100),0)</f>
        <v>0</v>
      </c>
      <c r="BW102" s="8">
        <f>IF(BW98&lt;=$B$3,-SUM($E100:BW100),0)</f>
        <v>0</v>
      </c>
      <c r="BX102" s="8">
        <f>IF(BX98&lt;=$B$3,-SUM($E100:BX100),0)</f>
        <v>0</v>
      </c>
      <c r="BY102" s="8">
        <f>IF(BY98&lt;=$B$3,-SUM($E100:BY100),0)</f>
        <v>0</v>
      </c>
      <c r="BZ102" s="8">
        <f>IF(BZ98&lt;=$B$3,-SUM($E100:BZ100),0)</f>
        <v>0</v>
      </c>
      <c r="CA102" s="8">
        <f>IF(CA98&lt;=$B$3,-SUM($E100:CA100),0)</f>
        <v>0</v>
      </c>
      <c r="CB102" s="8">
        <f>IF(CB98&lt;=$B$3,-SUM($E100:CB100),0)</f>
        <v>0</v>
      </c>
      <c r="CC102" s="8">
        <f>IF(CC98&lt;=$B$3,-SUM($E100:CC100),0)</f>
        <v>0</v>
      </c>
      <c r="CD102" s="8">
        <f>IF(CD98&lt;=$B$3,-SUM($E100:CD100),0)</f>
        <v>0</v>
      </c>
      <c r="CE102" s="8">
        <f>IF(CE98&lt;=$B$3,-SUM($E100:CE100),0)</f>
        <v>0</v>
      </c>
      <c r="CF102" s="8">
        <f>IF(CF98&lt;=$B$3,-SUM($E100:CF100),0)</f>
        <v>0</v>
      </c>
      <c r="CG102" s="8">
        <f>IF(CG98&lt;=$B$3,-SUM($E100:CG100),0)</f>
        <v>0</v>
      </c>
      <c r="CH102" s="8">
        <f>IF(CH98&lt;=$B$3,-SUM($E100:CH100),0)</f>
        <v>0</v>
      </c>
      <c r="CI102" s="8">
        <f>IF(CI98&lt;=$B$3,-SUM($E100:CI100),0)</f>
        <v>0</v>
      </c>
      <c r="CJ102" s="8">
        <f>IF(CJ98&lt;=$B$3,-SUM($E100:CJ100),0)</f>
        <v>0</v>
      </c>
      <c r="CK102" s="8">
        <f>IF(CK98&lt;=$B$3,-SUM($E100:CK100),0)</f>
        <v>0</v>
      </c>
      <c r="CL102" s="8">
        <f>IF(CL98&lt;=$B$3,-SUM($E100:CL100),0)</f>
        <v>0</v>
      </c>
      <c r="CM102" s="8">
        <f>IF(CM98&lt;=$B$3,-SUM($E100:CM100),0)</f>
        <v>0</v>
      </c>
      <c r="CN102" s="8">
        <f>IF(CN98&lt;=$B$3,-SUM($E100:CN100),0)</f>
        <v>0</v>
      </c>
      <c r="CO102" s="8">
        <f>IF(CO98&lt;=$B$3,-SUM($E100:CO100),0)</f>
        <v>0</v>
      </c>
      <c r="CP102" s="8">
        <f>IF(CP98&lt;=$B$3,-SUM($E100:CP100),0)</f>
        <v>0</v>
      </c>
      <c r="CQ102" s="8">
        <f>IF(CQ98&lt;=$B$3,-SUM($E100:CQ100),0)</f>
        <v>0</v>
      </c>
      <c r="CR102" s="8">
        <f>IF(CR98&lt;=$B$3,-SUM($E100:CR100),0)</f>
        <v>0</v>
      </c>
      <c r="CS102" s="8">
        <f>IF(CS98&lt;=$B$3,-SUM($E100:CS100),0)</f>
        <v>0</v>
      </c>
      <c r="CT102" s="8">
        <f>IF(CT98&lt;=$B$3,-SUM($E100:CT100),0)</f>
        <v>0</v>
      </c>
      <c r="CU102" s="8">
        <f>IF(CU98&lt;=$B$3,-SUM($E100:CU100),0)</f>
        <v>0</v>
      </c>
      <c r="CV102" s="8">
        <f>IF(CV98&lt;=$B$3,-SUM($E100:CV100),0)</f>
        <v>0</v>
      </c>
      <c r="CW102" s="8">
        <f>IF(CW98&lt;=$B$3,-SUM($E100:CW100),0)</f>
        <v>0</v>
      </c>
      <c r="CX102" s="8">
        <f>IF(CX98&lt;=$B$3,-SUM($E100:CX100),0)</f>
        <v>0</v>
      </c>
      <c r="CY102" s="8">
        <f>IF(CY98&lt;=$B$3,-SUM($E100:CY100),0)</f>
        <v>0</v>
      </c>
      <c r="CZ102" s="8">
        <f>IF(CZ98&lt;=$B$3,-SUM($E100:CZ100),0)</f>
        <v>0</v>
      </c>
      <c r="DA102" s="8">
        <f>IF(DA98&lt;=$B$3,-SUM($E100:DA100),0)</f>
        <v>0</v>
      </c>
      <c r="DB102" s="8"/>
      <c r="DC102" s="8"/>
    </row>
    <row r="103" spans="3:107" x14ac:dyDescent="0.4">
      <c r="D103" t="s">
        <v>167</v>
      </c>
      <c r="J103" s="8"/>
      <c r="K103" s="8">
        <f>J104</f>
        <v>1118436.4391453785</v>
      </c>
      <c r="L103" s="8">
        <f t="shared" ref="L103:BW103" si="112">K104</f>
        <v>1096067.7103624709</v>
      </c>
      <c r="M103" s="8">
        <f t="shared" si="112"/>
        <v>1073698.9815795633</v>
      </c>
      <c r="N103" s="8">
        <f t="shared" si="112"/>
        <v>1051330.2527966558</v>
      </c>
      <c r="O103" s="8">
        <f t="shared" si="112"/>
        <v>1028961.5240137483</v>
      </c>
      <c r="P103" s="8">
        <f t="shared" si="112"/>
        <v>1006592.7952308407</v>
      </c>
      <c r="Q103" s="8">
        <f t="shared" si="112"/>
        <v>984224.06644793309</v>
      </c>
      <c r="R103" s="8">
        <f t="shared" si="112"/>
        <v>961855.33766502561</v>
      </c>
      <c r="S103" s="8">
        <f t="shared" si="112"/>
        <v>939486.60888211802</v>
      </c>
      <c r="T103" s="8">
        <f t="shared" si="112"/>
        <v>917117.88009921042</v>
      </c>
      <c r="U103" s="8">
        <f t="shared" si="112"/>
        <v>894749.15131630283</v>
      </c>
      <c r="V103" s="8">
        <f t="shared" si="112"/>
        <v>872380.42253339523</v>
      </c>
      <c r="W103" s="8">
        <f t="shared" si="112"/>
        <v>850011.69375048764</v>
      </c>
      <c r="X103" s="8">
        <f t="shared" si="112"/>
        <v>827642.96496758005</v>
      </c>
      <c r="Y103" s="8">
        <f t="shared" si="112"/>
        <v>805274.23618467245</v>
      </c>
      <c r="Z103" s="8">
        <f t="shared" si="112"/>
        <v>782905.50740176486</v>
      </c>
      <c r="AA103" s="8">
        <f t="shared" si="112"/>
        <v>760536.77861885726</v>
      </c>
      <c r="AB103" s="8">
        <f t="shared" si="112"/>
        <v>738168.04983594967</v>
      </c>
      <c r="AC103" s="8">
        <f t="shared" si="112"/>
        <v>715799.32105304208</v>
      </c>
      <c r="AD103" s="8">
        <f t="shared" si="112"/>
        <v>693430.59227013448</v>
      </c>
      <c r="AE103" s="8">
        <f t="shared" si="112"/>
        <v>671061.86348722689</v>
      </c>
      <c r="AF103" s="8">
        <f t="shared" si="112"/>
        <v>648693.13470431929</v>
      </c>
      <c r="AG103" s="8">
        <f t="shared" si="112"/>
        <v>626324.4059214117</v>
      </c>
      <c r="AH103" s="8">
        <f t="shared" si="112"/>
        <v>603955.67713850411</v>
      </c>
      <c r="AI103" s="8">
        <f t="shared" si="112"/>
        <v>581586.94835559663</v>
      </c>
      <c r="AJ103" s="8">
        <f t="shared" si="112"/>
        <v>559218.21957268903</v>
      </c>
      <c r="AK103" s="8">
        <f t="shared" si="112"/>
        <v>536849.49078978144</v>
      </c>
      <c r="AL103" s="8">
        <f t="shared" si="112"/>
        <v>514480.76200687385</v>
      </c>
      <c r="AM103" s="8">
        <f t="shared" si="112"/>
        <v>492112.03322396625</v>
      </c>
      <c r="AN103" s="8">
        <f t="shared" si="112"/>
        <v>469743.30444105866</v>
      </c>
      <c r="AO103" s="8">
        <f t="shared" si="112"/>
        <v>447374.57565815106</v>
      </c>
      <c r="AP103" s="8">
        <f t="shared" si="112"/>
        <v>425005.84687524347</v>
      </c>
      <c r="AQ103" s="8">
        <f t="shared" si="112"/>
        <v>402637.11809233588</v>
      </c>
      <c r="AR103" s="8">
        <f t="shared" si="112"/>
        <v>380268.38930942828</v>
      </c>
      <c r="AS103" s="8">
        <f t="shared" si="112"/>
        <v>357899.66052652069</v>
      </c>
      <c r="AT103" s="8">
        <f t="shared" si="112"/>
        <v>335530.9317436131</v>
      </c>
      <c r="AU103" s="8">
        <f t="shared" si="112"/>
        <v>313162.2029607055</v>
      </c>
      <c r="AV103" s="8">
        <f t="shared" si="112"/>
        <v>290793.47417779791</v>
      </c>
      <c r="AW103" s="8">
        <f t="shared" si="112"/>
        <v>268424.74539489031</v>
      </c>
      <c r="AX103" s="8">
        <f t="shared" si="112"/>
        <v>246056.01661198272</v>
      </c>
      <c r="AY103" s="8">
        <f t="shared" si="112"/>
        <v>223687.28782907513</v>
      </c>
      <c r="AZ103" s="8">
        <f t="shared" si="112"/>
        <v>201318.55904616753</v>
      </c>
      <c r="BA103" s="8">
        <f t="shared" si="112"/>
        <v>178949.83026325994</v>
      </c>
      <c r="BB103" s="8">
        <f t="shared" si="112"/>
        <v>156581.10148035234</v>
      </c>
      <c r="BC103" s="8">
        <f t="shared" si="112"/>
        <v>134212.37269744475</v>
      </c>
      <c r="BD103" s="8">
        <f t="shared" si="112"/>
        <v>111843.64391453716</v>
      </c>
      <c r="BE103" s="8">
        <f t="shared" si="112"/>
        <v>89474.915131629561</v>
      </c>
      <c r="BF103" s="8">
        <f t="shared" si="112"/>
        <v>67106.186348722083</v>
      </c>
      <c r="BG103" s="8">
        <f t="shared" si="112"/>
        <v>44737.457565814489</v>
      </c>
      <c r="BH103" s="8">
        <f t="shared" si="112"/>
        <v>22368.728782906896</v>
      </c>
      <c r="BI103" s="8">
        <f t="shared" si="112"/>
        <v>0</v>
      </c>
      <c r="BJ103" s="8">
        <f t="shared" si="112"/>
        <v>0</v>
      </c>
      <c r="BK103" s="8">
        <f t="shared" si="112"/>
        <v>0</v>
      </c>
      <c r="BL103" s="8">
        <f t="shared" si="112"/>
        <v>0</v>
      </c>
      <c r="BM103" s="8">
        <f t="shared" si="112"/>
        <v>0</v>
      </c>
      <c r="BN103" s="8">
        <f t="shared" si="112"/>
        <v>0</v>
      </c>
      <c r="BO103" s="8">
        <f t="shared" si="112"/>
        <v>0</v>
      </c>
      <c r="BP103" s="8">
        <f t="shared" si="112"/>
        <v>0</v>
      </c>
      <c r="BQ103" s="8">
        <f t="shared" si="112"/>
        <v>0</v>
      </c>
      <c r="BR103" s="8">
        <f t="shared" si="112"/>
        <v>0</v>
      </c>
      <c r="BS103" s="8">
        <f t="shared" si="112"/>
        <v>0</v>
      </c>
      <c r="BT103" s="8">
        <f t="shared" si="112"/>
        <v>0</v>
      </c>
      <c r="BU103" s="8">
        <f t="shared" si="112"/>
        <v>0</v>
      </c>
      <c r="BV103" s="8">
        <f t="shared" si="112"/>
        <v>0</v>
      </c>
      <c r="BW103" s="8">
        <f t="shared" si="112"/>
        <v>0</v>
      </c>
      <c r="BX103" s="8">
        <f t="shared" ref="BX103:DA103" si="113">BW104</f>
        <v>0</v>
      </c>
      <c r="BY103" s="8">
        <f t="shared" si="113"/>
        <v>0</v>
      </c>
      <c r="BZ103" s="8">
        <f t="shared" si="113"/>
        <v>0</v>
      </c>
      <c r="CA103" s="8">
        <f t="shared" si="113"/>
        <v>0</v>
      </c>
      <c r="CB103" s="8">
        <f t="shared" si="113"/>
        <v>0</v>
      </c>
      <c r="CC103" s="8">
        <f t="shared" si="113"/>
        <v>0</v>
      </c>
      <c r="CD103" s="8">
        <f t="shared" si="113"/>
        <v>0</v>
      </c>
      <c r="CE103" s="8">
        <f t="shared" si="113"/>
        <v>0</v>
      </c>
      <c r="CF103" s="8">
        <f t="shared" si="113"/>
        <v>0</v>
      </c>
      <c r="CG103" s="8">
        <f t="shared" si="113"/>
        <v>0</v>
      </c>
      <c r="CH103" s="8">
        <f t="shared" si="113"/>
        <v>0</v>
      </c>
      <c r="CI103" s="8">
        <f t="shared" si="113"/>
        <v>0</v>
      </c>
      <c r="CJ103" s="8">
        <f t="shared" si="113"/>
        <v>0</v>
      </c>
      <c r="CK103" s="8">
        <f t="shared" si="113"/>
        <v>0</v>
      </c>
      <c r="CL103" s="8">
        <f t="shared" si="113"/>
        <v>0</v>
      </c>
      <c r="CM103" s="8">
        <f t="shared" si="113"/>
        <v>0</v>
      </c>
      <c r="CN103" s="8">
        <f t="shared" si="113"/>
        <v>0</v>
      </c>
      <c r="CO103" s="8">
        <f t="shared" si="113"/>
        <v>0</v>
      </c>
      <c r="CP103" s="8">
        <f t="shared" si="113"/>
        <v>0</v>
      </c>
      <c r="CQ103" s="8">
        <f t="shared" si="113"/>
        <v>0</v>
      </c>
      <c r="CR103" s="8">
        <f t="shared" si="113"/>
        <v>0</v>
      </c>
      <c r="CS103" s="8">
        <f t="shared" si="113"/>
        <v>0</v>
      </c>
      <c r="CT103" s="8">
        <f t="shared" si="113"/>
        <v>0</v>
      </c>
      <c r="CU103" s="8">
        <f t="shared" si="113"/>
        <v>0</v>
      </c>
      <c r="CV103" s="8">
        <f t="shared" si="113"/>
        <v>0</v>
      </c>
      <c r="CW103" s="8">
        <f t="shared" si="113"/>
        <v>0</v>
      </c>
      <c r="CX103" s="8">
        <f t="shared" si="113"/>
        <v>0</v>
      </c>
      <c r="CY103" s="8">
        <f t="shared" si="113"/>
        <v>0</v>
      </c>
      <c r="CZ103" s="8">
        <f t="shared" si="113"/>
        <v>0</v>
      </c>
      <c r="DA103" s="8">
        <f t="shared" si="113"/>
        <v>0</v>
      </c>
      <c r="DB103" s="8"/>
      <c r="DC103" s="8"/>
    </row>
    <row r="104" spans="3:107" x14ac:dyDescent="0.4">
      <c r="D104" t="s">
        <v>168</v>
      </c>
      <c r="J104" s="8">
        <f>J101+J102</f>
        <v>1118436.4391453785</v>
      </c>
      <c r="K104" s="8">
        <f>K101+K102</f>
        <v>1096067.7103624709</v>
      </c>
      <c r="L104" s="8">
        <f t="shared" ref="L104:BW104" si="114">L101+L102</f>
        <v>1073698.9815795633</v>
      </c>
      <c r="M104" s="8">
        <f t="shared" si="114"/>
        <v>1051330.2527966558</v>
      </c>
      <c r="N104" s="8">
        <f t="shared" si="114"/>
        <v>1028961.5240137483</v>
      </c>
      <c r="O104" s="8">
        <f t="shared" si="114"/>
        <v>1006592.7952308407</v>
      </c>
      <c r="P104" s="8">
        <f t="shared" si="114"/>
        <v>984224.06644793309</v>
      </c>
      <c r="Q104" s="8">
        <f t="shared" si="114"/>
        <v>961855.33766502561</v>
      </c>
      <c r="R104" s="8">
        <f t="shared" si="114"/>
        <v>939486.60888211802</v>
      </c>
      <c r="S104" s="8">
        <f t="shared" si="114"/>
        <v>917117.88009921042</v>
      </c>
      <c r="T104" s="8">
        <f t="shared" si="114"/>
        <v>894749.15131630283</v>
      </c>
      <c r="U104" s="8">
        <f t="shared" si="114"/>
        <v>872380.42253339523</v>
      </c>
      <c r="V104" s="8">
        <f t="shared" si="114"/>
        <v>850011.69375048764</v>
      </c>
      <c r="W104" s="8">
        <f t="shared" si="114"/>
        <v>827642.96496758005</v>
      </c>
      <c r="X104" s="8">
        <f t="shared" si="114"/>
        <v>805274.23618467245</v>
      </c>
      <c r="Y104" s="8">
        <f t="shared" si="114"/>
        <v>782905.50740176486</v>
      </c>
      <c r="Z104" s="8">
        <f t="shared" si="114"/>
        <v>760536.77861885726</v>
      </c>
      <c r="AA104" s="8">
        <f t="shared" si="114"/>
        <v>738168.04983594967</v>
      </c>
      <c r="AB104" s="8">
        <f t="shared" si="114"/>
        <v>715799.32105304208</v>
      </c>
      <c r="AC104" s="8">
        <f t="shared" si="114"/>
        <v>693430.59227013448</v>
      </c>
      <c r="AD104" s="8">
        <f t="shared" si="114"/>
        <v>671061.86348722689</v>
      </c>
      <c r="AE104" s="8">
        <f t="shared" si="114"/>
        <v>648693.13470431929</v>
      </c>
      <c r="AF104" s="8">
        <f t="shared" si="114"/>
        <v>626324.4059214117</v>
      </c>
      <c r="AG104" s="8">
        <f t="shared" si="114"/>
        <v>603955.67713850411</v>
      </c>
      <c r="AH104" s="8">
        <f t="shared" si="114"/>
        <v>581586.94835559663</v>
      </c>
      <c r="AI104" s="8">
        <f t="shared" si="114"/>
        <v>559218.21957268903</v>
      </c>
      <c r="AJ104" s="8">
        <f t="shared" si="114"/>
        <v>536849.49078978144</v>
      </c>
      <c r="AK104" s="8">
        <f t="shared" si="114"/>
        <v>514480.76200687385</v>
      </c>
      <c r="AL104" s="8">
        <f t="shared" si="114"/>
        <v>492112.03322396625</v>
      </c>
      <c r="AM104" s="8">
        <f t="shared" si="114"/>
        <v>469743.30444105866</v>
      </c>
      <c r="AN104" s="8">
        <f t="shared" si="114"/>
        <v>447374.57565815106</v>
      </c>
      <c r="AO104" s="8">
        <f t="shared" si="114"/>
        <v>425005.84687524347</v>
      </c>
      <c r="AP104" s="8">
        <f t="shared" si="114"/>
        <v>402637.11809233588</v>
      </c>
      <c r="AQ104" s="8">
        <f t="shared" si="114"/>
        <v>380268.38930942828</v>
      </c>
      <c r="AR104" s="8">
        <f t="shared" si="114"/>
        <v>357899.66052652069</v>
      </c>
      <c r="AS104" s="8">
        <f t="shared" si="114"/>
        <v>335530.9317436131</v>
      </c>
      <c r="AT104" s="8">
        <f t="shared" si="114"/>
        <v>313162.2029607055</v>
      </c>
      <c r="AU104" s="8">
        <f t="shared" si="114"/>
        <v>290793.47417779791</v>
      </c>
      <c r="AV104" s="8">
        <f t="shared" si="114"/>
        <v>268424.74539489031</v>
      </c>
      <c r="AW104" s="8">
        <f t="shared" si="114"/>
        <v>246056.01661198272</v>
      </c>
      <c r="AX104" s="8">
        <f t="shared" si="114"/>
        <v>223687.28782907513</v>
      </c>
      <c r="AY104" s="8">
        <f t="shared" si="114"/>
        <v>201318.55904616753</v>
      </c>
      <c r="AZ104" s="8">
        <f t="shared" si="114"/>
        <v>178949.83026325994</v>
      </c>
      <c r="BA104" s="8">
        <f t="shared" si="114"/>
        <v>156581.10148035234</v>
      </c>
      <c r="BB104" s="8">
        <f t="shared" si="114"/>
        <v>134212.37269744475</v>
      </c>
      <c r="BC104" s="8">
        <f t="shared" si="114"/>
        <v>111843.64391453716</v>
      </c>
      <c r="BD104" s="8">
        <f t="shared" si="114"/>
        <v>89474.915131629561</v>
      </c>
      <c r="BE104" s="8">
        <f t="shared" si="114"/>
        <v>67106.186348722083</v>
      </c>
      <c r="BF104" s="8">
        <f t="shared" si="114"/>
        <v>44737.457565814489</v>
      </c>
      <c r="BG104" s="8">
        <f t="shared" si="114"/>
        <v>22368.728782906896</v>
      </c>
      <c r="BH104" s="8">
        <f t="shared" si="114"/>
        <v>0</v>
      </c>
      <c r="BI104" s="8">
        <f t="shared" si="114"/>
        <v>0</v>
      </c>
      <c r="BJ104" s="8">
        <f t="shared" si="114"/>
        <v>0</v>
      </c>
      <c r="BK104" s="8">
        <f t="shared" si="114"/>
        <v>0</v>
      </c>
      <c r="BL104" s="8">
        <f t="shared" si="114"/>
        <v>0</v>
      </c>
      <c r="BM104" s="8">
        <f t="shared" si="114"/>
        <v>0</v>
      </c>
      <c r="BN104" s="8">
        <f t="shared" si="114"/>
        <v>0</v>
      </c>
      <c r="BO104" s="8">
        <f t="shared" si="114"/>
        <v>0</v>
      </c>
      <c r="BP104" s="8">
        <f t="shared" si="114"/>
        <v>0</v>
      </c>
      <c r="BQ104" s="8">
        <f t="shared" si="114"/>
        <v>0</v>
      </c>
      <c r="BR104" s="8">
        <f t="shared" si="114"/>
        <v>0</v>
      </c>
      <c r="BS104" s="8">
        <f t="shared" si="114"/>
        <v>0</v>
      </c>
      <c r="BT104" s="8">
        <f t="shared" si="114"/>
        <v>0</v>
      </c>
      <c r="BU104" s="8">
        <f t="shared" si="114"/>
        <v>0</v>
      </c>
      <c r="BV104" s="8">
        <f t="shared" si="114"/>
        <v>0</v>
      </c>
      <c r="BW104" s="8">
        <f t="shared" si="114"/>
        <v>0</v>
      </c>
      <c r="BX104" s="8">
        <f t="shared" ref="BX104:DA104" si="115">BX101+BX102</f>
        <v>0</v>
      </c>
      <c r="BY104" s="8">
        <f t="shared" si="115"/>
        <v>0</v>
      </c>
      <c r="BZ104" s="8">
        <f t="shared" si="115"/>
        <v>0</v>
      </c>
      <c r="CA104" s="8">
        <f t="shared" si="115"/>
        <v>0</v>
      </c>
      <c r="CB104" s="8">
        <f t="shared" si="115"/>
        <v>0</v>
      </c>
      <c r="CC104" s="8">
        <f t="shared" si="115"/>
        <v>0</v>
      </c>
      <c r="CD104" s="8">
        <f t="shared" si="115"/>
        <v>0</v>
      </c>
      <c r="CE104" s="8">
        <f t="shared" si="115"/>
        <v>0</v>
      </c>
      <c r="CF104" s="8">
        <f t="shared" si="115"/>
        <v>0</v>
      </c>
      <c r="CG104" s="8">
        <f t="shared" si="115"/>
        <v>0</v>
      </c>
      <c r="CH104" s="8">
        <f t="shared" si="115"/>
        <v>0</v>
      </c>
      <c r="CI104" s="8">
        <f t="shared" si="115"/>
        <v>0</v>
      </c>
      <c r="CJ104" s="8">
        <f t="shared" si="115"/>
        <v>0</v>
      </c>
      <c r="CK104" s="8">
        <f t="shared" si="115"/>
        <v>0</v>
      </c>
      <c r="CL104" s="8">
        <f t="shared" si="115"/>
        <v>0</v>
      </c>
      <c r="CM104" s="8">
        <f t="shared" si="115"/>
        <v>0</v>
      </c>
      <c r="CN104" s="8">
        <f t="shared" si="115"/>
        <v>0</v>
      </c>
      <c r="CO104" s="8">
        <f t="shared" si="115"/>
        <v>0</v>
      </c>
      <c r="CP104" s="8">
        <f t="shared" si="115"/>
        <v>0</v>
      </c>
      <c r="CQ104" s="8">
        <f t="shared" si="115"/>
        <v>0</v>
      </c>
      <c r="CR104" s="8">
        <f t="shared" si="115"/>
        <v>0</v>
      </c>
      <c r="CS104" s="8">
        <f t="shared" si="115"/>
        <v>0</v>
      </c>
      <c r="CT104" s="8">
        <f t="shared" si="115"/>
        <v>0</v>
      </c>
      <c r="CU104" s="8">
        <f t="shared" si="115"/>
        <v>0</v>
      </c>
      <c r="CV104" s="8">
        <f t="shared" si="115"/>
        <v>0</v>
      </c>
      <c r="CW104" s="8">
        <f t="shared" si="115"/>
        <v>0</v>
      </c>
      <c r="CX104" s="8">
        <f t="shared" si="115"/>
        <v>0</v>
      </c>
      <c r="CY104" s="8">
        <f t="shared" si="115"/>
        <v>0</v>
      </c>
      <c r="CZ104" s="8">
        <f t="shared" si="115"/>
        <v>0</v>
      </c>
      <c r="DA104" s="8">
        <f t="shared" si="115"/>
        <v>0</v>
      </c>
      <c r="DB104" s="8"/>
      <c r="DC104" s="8"/>
    </row>
    <row r="105" spans="3:107" x14ac:dyDescent="0.4"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</row>
    <row r="106" spans="3:107" x14ac:dyDescent="0.4">
      <c r="D106" t="s">
        <v>169</v>
      </c>
      <c r="J106" s="8"/>
      <c r="K106" s="8">
        <f>IF(K98&lt;=$B$4+1,K101*VLOOKUP(K98,Assumptions!$A$70:$B$90,2,0),0)</f>
        <v>41941.366467951695</v>
      </c>
      <c r="L106" s="8">
        <f>IF(L98&lt;=$B$4+1,L101*VLOOKUP(L98,Assumptions!$A$70:$B$90,2,0),0)</f>
        <v>80739.926541904875</v>
      </c>
      <c r="M106" s="8">
        <f>IF(M98&lt;=$B$4+1,M101*VLOOKUP(M98,Assumptions!$A$70:$B$90,2,0),0)</f>
        <v>74678.001041736919</v>
      </c>
      <c r="N106" s="8">
        <f>IF(N98&lt;=$B$4+1,N101*VLOOKUP(N98,Assumptions!$A$70:$B$90,2,0),0)</f>
        <v>69085.818846010035</v>
      </c>
      <c r="O106" s="8">
        <f>IF(O98&lt;=$B$4+1,O101*VLOOKUP(O98,Assumptions!$A$70:$B$90,2,0),0)</f>
        <v>63896.273768375475</v>
      </c>
      <c r="P106" s="8">
        <f>IF(P98&lt;=$B$4+1,P101*VLOOKUP(P98,Assumptions!$A$70:$B$90,2,0),0)</f>
        <v>59109.36580883326</v>
      </c>
      <c r="Q106" s="8">
        <f>IF(Q98&lt;=$B$4+1,Q101*VLOOKUP(Q98,Assumptions!$A$70:$B$90,2,0),0)</f>
        <v>54669.173145426103</v>
      </c>
      <c r="R106" s="8">
        <f>IF(R98&lt;=$B$4+1,R101*VLOOKUP(R98,Assumptions!$A$70:$B$90,2,0),0)</f>
        <v>50575.695778154019</v>
      </c>
      <c r="S106" s="8">
        <f>IF(S98&lt;=$B$4+1,S101*VLOOKUP(S98,Assumptions!$A$70:$B$90,2,0),0)</f>
        <v>49904.633914666789</v>
      </c>
      <c r="T106" s="8">
        <f>IF(T98&lt;=$B$4+1,T101*VLOOKUP(T98,Assumptions!$A$70:$B$90,2,0),0)</f>
        <v>49893.449550275334</v>
      </c>
      <c r="U106" s="8">
        <f>IF(U98&lt;=$B$4+1,U101*VLOOKUP(U98,Assumptions!$A$70:$B$90,2,0),0)</f>
        <v>49904.633914666789</v>
      </c>
      <c r="V106" s="8">
        <f>IF(V98&lt;=$B$4+1,V101*VLOOKUP(V98,Assumptions!$A$70:$B$90,2,0),0)</f>
        <v>49893.449550275334</v>
      </c>
      <c r="W106" s="8">
        <f>IF(W98&lt;=$B$4+1,W101*VLOOKUP(W98,Assumptions!$A$70:$B$90,2,0),0)</f>
        <v>49904.633914666789</v>
      </c>
      <c r="X106" s="8">
        <f>IF(X98&lt;=$B$4+1,X101*VLOOKUP(X98,Assumptions!$A$70:$B$90,2,0),0)</f>
        <v>49893.449550275334</v>
      </c>
      <c r="Y106" s="8">
        <f>IF(Y98&lt;=$B$4+1,Y101*VLOOKUP(Y98,Assumptions!$A$70:$B$90,2,0),0)</f>
        <v>49904.633914666789</v>
      </c>
      <c r="Z106" s="8">
        <f>IF(Z98&lt;=$B$4+1,Z101*VLOOKUP(Z98,Assumptions!$A$70:$B$90,2,0),0)</f>
        <v>49893.449550275334</v>
      </c>
      <c r="AA106" s="8">
        <f>IF(AA98&lt;=$B$4+1,AA101*VLOOKUP(AA98,Assumptions!$A$70:$B$90,2,0),0)</f>
        <v>49904.633914666789</v>
      </c>
      <c r="AB106" s="8">
        <f>IF(AB98&lt;=$B$4+1,AB101*VLOOKUP(AB98,Assumptions!$A$70:$B$90,2,0),0)</f>
        <v>49893.449550275334</v>
      </c>
      <c r="AC106" s="8">
        <f>IF(AC98&lt;=$B$4+1,AC101*VLOOKUP(AC98,Assumptions!$A$70:$B$90,2,0),0)</f>
        <v>49904.633914666789</v>
      </c>
      <c r="AD106" s="8">
        <f>IF(AD98&lt;=$B$4+1,AD101*VLOOKUP(AD98,Assumptions!$A$70:$B$90,2,0),0)</f>
        <v>49893.449550275334</v>
      </c>
      <c r="AE106" s="8">
        <f>IF(AE98&lt;=$B$4+1,AE101*VLOOKUP(AE98,Assumptions!$A$70:$B$90,2,0),0)</f>
        <v>24952.316957333394</v>
      </c>
      <c r="AF106" s="8">
        <f>IF(AF98&lt;=$B$4+1,AF101*VLOOKUP(AF98,Assumptions!$A$70:$B$90,2,0),0)</f>
        <v>0</v>
      </c>
      <c r="AG106" s="8">
        <f>IF(AG98&lt;=$B$4+1,AG101*VLOOKUP(AG98,Assumptions!$A$70:$B$90,2,0),0)</f>
        <v>0</v>
      </c>
      <c r="AH106" s="8">
        <f>IF(AH98&lt;=$B$4+1,AH101*VLOOKUP(AH98,Assumptions!$A$70:$B$90,2,0),0)</f>
        <v>0</v>
      </c>
      <c r="AI106" s="8">
        <f>IF(AI98&lt;=$B$4+1,AI101*VLOOKUP(AI98,Assumptions!$A$70:$B$90,2,0),0)</f>
        <v>0</v>
      </c>
      <c r="AJ106" s="8">
        <f>IF(AJ98&lt;=$B$4+1,AJ101*VLOOKUP(AJ98,Assumptions!$A$70:$B$90,2,0),0)</f>
        <v>0</v>
      </c>
      <c r="AK106" s="8">
        <f>IF(AK98&lt;=$B$4+1,AK101*VLOOKUP(AK98,Assumptions!$A$70:$B$90,2,0),0)</f>
        <v>0</v>
      </c>
      <c r="AL106" s="8">
        <f>IF(AL98&lt;=$B$4+1,AL101*VLOOKUP(AL98,Assumptions!$A$70:$B$90,2,0),0)</f>
        <v>0</v>
      </c>
      <c r="AM106" s="8">
        <f>IF(AM98&lt;=$B$4+1,AM101*VLOOKUP(AM98,Assumptions!$A$70:$B$90,2,0),0)</f>
        <v>0</v>
      </c>
      <c r="AN106" s="8">
        <f>IF(AN98&lt;=$B$4+1,AN101*VLOOKUP(AN98,Assumptions!$A$70:$B$90,2,0),0)</f>
        <v>0</v>
      </c>
      <c r="AO106" s="8">
        <f>IF(AO98&lt;=$B$4+1,AO101*VLOOKUP(AO98,Assumptions!$A$70:$B$90,2,0),0)</f>
        <v>0</v>
      </c>
      <c r="AP106" s="8">
        <f>IF(AP98&lt;=$B$4+1,AP101*VLOOKUP(AP98,Assumptions!$A$70:$B$90,2,0),0)</f>
        <v>0</v>
      </c>
      <c r="AQ106" s="8">
        <f>IF(AQ98&lt;=$B$4+1,AQ101*VLOOKUP(AQ98,Assumptions!$A$70:$B$90,2,0),0)</f>
        <v>0</v>
      </c>
      <c r="AR106" s="8">
        <f>IF(AR98&lt;=$B$4+1,AR101*VLOOKUP(AR98,Assumptions!$A$70:$B$90,2,0),0)</f>
        <v>0</v>
      </c>
      <c r="AS106" s="8">
        <f>IF(AS98&lt;=$B$4+1,AS101*VLOOKUP(AS98,Assumptions!$A$70:$B$90,2,0),0)</f>
        <v>0</v>
      </c>
      <c r="AT106" s="8">
        <f>IF(AT98&lt;=$B$4+1,AT101*VLOOKUP(AT98,Assumptions!$A$70:$B$90,2,0),0)</f>
        <v>0</v>
      </c>
      <c r="AU106" s="8">
        <f>IF(AU98&lt;=$B$4+1,AU101*VLOOKUP(AU98,Assumptions!$A$70:$B$90,2,0),0)</f>
        <v>0</v>
      </c>
      <c r="AV106" s="8">
        <f>IF(AV98&lt;=$B$4+1,AV101*VLOOKUP(AV98,Assumptions!$A$70:$B$90,2,0),0)</f>
        <v>0</v>
      </c>
      <c r="AW106" s="8">
        <f>IF(AW98&lt;=$B$4+1,AW101*VLOOKUP(AW98,Assumptions!$A$70:$B$90,2,0),0)</f>
        <v>0</v>
      </c>
      <c r="AX106" s="8">
        <f>IF(AX98&lt;=$B$4+1,AX101*VLOOKUP(AX98,Assumptions!$A$70:$B$90,2,0),0)</f>
        <v>0</v>
      </c>
      <c r="AY106" s="8">
        <f>IF(AY98&lt;=$B$4+1,AY101*VLOOKUP(AY98,Assumptions!$A$70:$B$90,2,0),0)</f>
        <v>0</v>
      </c>
      <c r="AZ106" s="8">
        <f>IF(AZ98&lt;=$B$4+1,AZ101*VLOOKUP(AZ98,Assumptions!$A$70:$B$90,2,0),0)</f>
        <v>0</v>
      </c>
      <c r="BA106" s="8">
        <f>IF(BA98&lt;=$B$4+1,BA101*VLOOKUP(BA98,Assumptions!$A$70:$B$90,2,0),0)</f>
        <v>0</v>
      </c>
      <c r="BB106" s="8">
        <f>IF(BB98&lt;=$B$4+1,BB101*VLOOKUP(BB98,Assumptions!$A$70:$B$90,2,0),0)</f>
        <v>0</v>
      </c>
      <c r="BC106" s="8">
        <f>IF(BC98&lt;=$B$4+1,BC101*VLOOKUP(BC98,Assumptions!$A$70:$B$90,2,0),0)</f>
        <v>0</v>
      </c>
      <c r="BD106" s="8">
        <f>IF(BD98&lt;=$B$4+1,BD101*VLOOKUP(BD98,Assumptions!$A$70:$B$90,2,0),0)</f>
        <v>0</v>
      </c>
      <c r="BE106" s="8">
        <f>IF(BE98&lt;=$B$4+1,BE101*VLOOKUP(BE98,Assumptions!$A$70:$B$90,2,0),0)</f>
        <v>0</v>
      </c>
      <c r="BF106" s="8">
        <f>IF(BF98&lt;=$B$4+1,BF101*VLOOKUP(BF98,Assumptions!$A$70:$B$90,2,0),0)</f>
        <v>0</v>
      </c>
      <c r="BG106" s="8">
        <f>IF(BG98&lt;=$B$4+1,BG101*VLOOKUP(BG98,Assumptions!$A$70:$B$90,2,0),0)</f>
        <v>0</v>
      </c>
      <c r="BH106" s="8">
        <f>IF(BH98&lt;=$B$4+1,BH101*VLOOKUP(BH98,Assumptions!$A$70:$B$90,2,0),0)</f>
        <v>0</v>
      </c>
      <c r="BI106" s="8">
        <f>IF(BI98&lt;=$B$4+1,BI101*VLOOKUP(BI98,Assumptions!$A$70:$B$90,2,0),0)</f>
        <v>0</v>
      </c>
      <c r="BJ106" s="8">
        <f>IF(BJ98&lt;=$B$4+1,BJ101*VLOOKUP(BJ98,Assumptions!$A$70:$B$90,2,0),0)</f>
        <v>0</v>
      </c>
      <c r="BK106" s="8">
        <f>IF(BK98&lt;=$B$4+1,BK101*VLOOKUP(BK98,Assumptions!$A$70:$B$90,2,0),0)</f>
        <v>0</v>
      </c>
      <c r="BL106" s="8">
        <f>IF(BL98&lt;=$B$4+1,BL101*VLOOKUP(BL98,Assumptions!$A$70:$B$90,2,0),0)</f>
        <v>0</v>
      </c>
      <c r="BM106" s="8">
        <f>IF(BM98&lt;=$B$4+1,BM101*VLOOKUP(BM98,Assumptions!$A$70:$B$90,2,0),0)</f>
        <v>0</v>
      </c>
      <c r="BN106" s="8">
        <f>IF(BN98&lt;=$B$4+1,BN101*VLOOKUP(BN98,Assumptions!$A$70:$B$90,2,0),0)</f>
        <v>0</v>
      </c>
      <c r="BO106" s="8">
        <f>IF(BO98&lt;=$B$4+1,BO101*VLOOKUP(BO98,Assumptions!$A$70:$B$90,2,0),0)</f>
        <v>0</v>
      </c>
      <c r="BP106" s="8">
        <f>IF(BP98&lt;=$B$4+1,BP101*VLOOKUP(BP98,Assumptions!$A$70:$B$90,2,0),0)</f>
        <v>0</v>
      </c>
      <c r="BQ106" s="8">
        <f>IF(BQ98&lt;=$B$4+1,BQ101*VLOOKUP(BQ98,Assumptions!$A$70:$B$90,2,0),0)</f>
        <v>0</v>
      </c>
      <c r="BR106" s="8">
        <f>IF(BR98&lt;=$B$4+1,BR101*VLOOKUP(BR98,Assumptions!$A$70:$B$90,2,0),0)</f>
        <v>0</v>
      </c>
      <c r="BS106" s="8">
        <f>IF(BS98&lt;=$B$4+1,BS101*VLOOKUP(BS98,Assumptions!$A$70:$B$90,2,0),0)</f>
        <v>0</v>
      </c>
      <c r="BT106" s="8">
        <f>IF(BT98&lt;=$B$4+1,BT101*VLOOKUP(BT98,Assumptions!$A$70:$B$90,2,0),0)</f>
        <v>0</v>
      </c>
      <c r="BU106" s="8">
        <f>IF(BU98&lt;=$B$4+1,BU101*VLOOKUP(BU98,Assumptions!$A$70:$B$90,2,0),0)</f>
        <v>0</v>
      </c>
      <c r="BV106" s="8">
        <f>IF(BV98&lt;=$B$4+1,BV101*VLOOKUP(BV98,Assumptions!$A$70:$B$90,2,0),0)</f>
        <v>0</v>
      </c>
      <c r="BW106" s="8">
        <f>IF(BW98&lt;=$B$4+1,BW101*VLOOKUP(BW98,Assumptions!$A$70:$B$90,2,0),0)</f>
        <v>0</v>
      </c>
      <c r="BX106" s="8">
        <f>IF(BX98&lt;=$B$4+1,BX101*VLOOKUP(BX98,Assumptions!$A$70:$B$90,2,0),0)</f>
        <v>0</v>
      </c>
      <c r="BY106" s="8">
        <f>IF(BY98&lt;=$B$4+1,BY101*VLOOKUP(BY98,Assumptions!$A$70:$B$90,2,0),0)</f>
        <v>0</v>
      </c>
      <c r="BZ106" s="8">
        <f>IF(BZ98&lt;=$B$4+1,BZ101*VLOOKUP(BZ98,Assumptions!$A$70:$B$90,2,0),0)</f>
        <v>0</v>
      </c>
      <c r="CA106" s="8">
        <f>IF(CA98&lt;=$B$4+1,CA101*VLOOKUP(CA98,Assumptions!$A$70:$B$90,2,0),0)</f>
        <v>0</v>
      </c>
      <c r="CB106" s="8">
        <f>IF(CB98&lt;=$B$4+1,CB101*VLOOKUP(CB98,Assumptions!$A$70:$B$90,2,0),0)</f>
        <v>0</v>
      </c>
      <c r="CC106" s="8">
        <f>IF(CC98&lt;=$B$4+1,CC101*VLOOKUP(CC98,Assumptions!$A$70:$B$90,2,0),0)</f>
        <v>0</v>
      </c>
      <c r="CD106" s="8">
        <f>IF(CD98&lt;=$B$4+1,CD101*VLOOKUP(CD98,Assumptions!$A$70:$B$90,2,0),0)</f>
        <v>0</v>
      </c>
      <c r="CE106" s="8">
        <f>IF(CE98&lt;=$B$4+1,CE101*VLOOKUP(CE98,Assumptions!$A$70:$B$90,2,0),0)</f>
        <v>0</v>
      </c>
      <c r="CF106" s="8">
        <f>IF(CF98&lt;=$B$4+1,CF101*VLOOKUP(CF98,Assumptions!$A$70:$B$90,2,0),0)</f>
        <v>0</v>
      </c>
      <c r="CG106" s="8">
        <f>IF(CG98&lt;=$B$4+1,CG101*VLOOKUP(CG98,Assumptions!$A$70:$B$90,2,0),0)</f>
        <v>0</v>
      </c>
      <c r="CH106" s="8">
        <f>IF(CH98&lt;=$B$4+1,CH101*VLOOKUP(CH98,Assumptions!$A$70:$B$90,2,0),0)</f>
        <v>0</v>
      </c>
      <c r="CI106" s="8">
        <f>IF(CI98&lt;=$B$4+1,CI101*VLOOKUP(CI98,Assumptions!$A$70:$B$90,2,0),0)</f>
        <v>0</v>
      </c>
      <c r="CJ106" s="8">
        <f>IF(CJ98&lt;=$B$4+1,CJ101*VLOOKUP(CJ98,Assumptions!$A$70:$B$90,2,0),0)</f>
        <v>0</v>
      </c>
      <c r="CK106" s="8">
        <f>IF(CK98&lt;=$B$4+1,CK101*VLOOKUP(CK98,Assumptions!$A$70:$B$90,2,0),0)</f>
        <v>0</v>
      </c>
      <c r="CL106" s="8">
        <f>IF(CL98&lt;=$B$4+1,CL101*VLOOKUP(CL98,Assumptions!$A$70:$B$90,2,0),0)</f>
        <v>0</v>
      </c>
      <c r="CM106" s="8">
        <f>IF(CM98&lt;=$B$4+1,CM101*VLOOKUP(CM98,Assumptions!$A$70:$B$90,2,0),0)</f>
        <v>0</v>
      </c>
      <c r="CN106" s="8">
        <f>IF(CN98&lt;=$B$4+1,CN101*VLOOKUP(CN98,Assumptions!$A$70:$B$90,2,0),0)</f>
        <v>0</v>
      </c>
      <c r="CO106" s="8">
        <f>IF(CO98&lt;=$B$4+1,CO101*VLOOKUP(CO98,Assumptions!$A$70:$B$90,2,0),0)</f>
        <v>0</v>
      </c>
      <c r="CP106" s="8">
        <f>IF(CP98&lt;=$B$4+1,CP101*VLOOKUP(CP98,Assumptions!$A$70:$B$90,2,0),0)</f>
        <v>0</v>
      </c>
      <c r="CQ106" s="8">
        <f>IF(CQ98&lt;=$B$4+1,CQ101*VLOOKUP(CQ98,Assumptions!$A$70:$B$90,2,0),0)</f>
        <v>0</v>
      </c>
      <c r="CR106" s="8">
        <f>IF(CR98&lt;=$B$4+1,CR101*VLOOKUP(CR98,Assumptions!$A$70:$B$90,2,0),0)</f>
        <v>0</v>
      </c>
      <c r="CS106" s="8">
        <f>IF(CS98&lt;=$B$4+1,CS101*VLOOKUP(CS98,Assumptions!$A$70:$B$90,2,0),0)</f>
        <v>0</v>
      </c>
      <c r="CT106" s="8">
        <f>IF(CT98&lt;=$B$4+1,CT101*VLOOKUP(CT98,Assumptions!$A$70:$B$90,2,0),0)</f>
        <v>0</v>
      </c>
      <c r="CU106" s="8">
        <f>IF(CU98&lt;=$B$4+1,CU101*VLOOKUP(CU98,Assumptions!$A$70:$B$90,2,0),0)</f>
        <v>0</v>
      </c>
      <c r="CV106" s="8">
        <f>IF(CV98&lt;=$B$4+1,CV101*VLOOKUP(CV98,Assumptions!$A$70:$B$90,2,0),0)</f>
        <v>0</v>
      </c>
      <c r="CW106" s="8">
        <f>IF(CW98&lt;=$B$4+1,CW101*VLOOKUP(CW98,Assumptions!$A$70:$B$90,2,0),0)</f>
        <v>0</v>
      </c>
      <c r="CX106" s="8">
        <f>IF(CX98&lt;=$B$4+1,CX101*VLOOKUP(CX98,Assumptions!$A$70:$B$90,2,0),0)</f>
        <v>0</v>
      </c>
      <c r="CY106" s="8">
        <f>IF(CY98&lt;=$B$4+1,CY101*VLOOKUP(CY98,Assumptions!$A$70:$B$90,2,0),0)</f>
        <v>0</v>
      </c>
      <c r="CZ106" s="8">
        <f>IF(CZ98&lt;=$B$4+1,CZ101*VLOOKUP(CZ98,Assumptions!$A$70:$B$90,2,0),0)</f>
        <v>0</v>
      </c>
      <c r="DA106" s="8">
        <f>IF(DA98&lt;=$B$4+1,DA101*VLOOKUP(DA98,Assumptions!$A$70:$B$90,2,0),0)</f>
        <v>0</v>
      </c>
      <c r="DB106" s="8"/>
      <c r="DC106" s="8"/>
    </row>
    <row r="107" spans="3:107" x14ac:dyDescent="0.4">
      <c r="D107" t="s">
        <v>170</v>
      </c>
      <c r="J107" s="8"/>
      <c r="K107" s="8">
        <f>J108</f>
        <v>0</v>
      </c>
      <c r="L107" s="8">
        <f t="shared" ref="L107:BW107" si="116">K108</f>
        <v>-5424.5565344099787</v>
      </c>
      <c r="M107" s="8">
        <f t="shared" si="116"/>
        <v>-21602.133993316082</v>
      </c>
      <c r="N107" s="8">
        <f t="shared" si="116"/>
        <v>-36099.648799850635</v>
      </c>
      <c r="O107" s="8">
        <f t="shared" si="116"/>
        <v>-49047.290310839482</v>
      </c>
      <c r="P107" s="8">
        <f t="shared" si="116"/>
        <v>-60556.649403561911</v>
      </c>
      <c r="Q107" s="8">
        <f t="shared" si="116"/>
        <v>-70739.31695529721</v>
      </c>
      <c r="R107" s="8">
        <f t="shared" si="116"/>
        <v>-79691.385110369214</v>
      </c>
      <c r="S107" s="8">
        <f t="shared" si="116"/>
        <v>-87508.946013101769</v>
      </c>
      <c r="T107" s="8">
        <f t="shared" si="116"/>
        <v>-95140.522120368842</v>
      </c>
      <c r="U107" s="8">
        <f t="shared" si="116"/>
        <v>-102768.99848104482</v>
      </c>
      <c r="V107" s="8">
        <f t="shared" si="116"/>
        <v>-110400.57458831189</v>
      </c>
      <c r="W107" s="8">
        <f t="shared" si="116"/>
        <v>-118029.05094898788</v>
      </c>
      <c r="X107" s="8">
        <f t="shared" si="116"/>
        <v>-125660.62705625495</v>
      </c>
      <c r="Y107" s="8">
        <f t="shared" si="116"/>
        <v>-133289.10341693091</v>
      </c>
      <c r="Z107" s="8">
        <f t="shared" si="116"/>
        <v>-140920.67952419797</v>
      </c>
      <c r="AA107" s="8">
        <f t="shared" si="116"/>
        <v>-148549.15588487394</v>
      </c>
      <c r="AB107" s="8">
        <f t="shared" si="116"/>
        <v>-156180.73199214099</v>
      </c>
      <c r="AC107" s="8">
        <f t="shared" si="116"/>
        <v>-163809.20835281696</v>
      </c>
      <c r="AD107" s="8">
        <f t="shared" si="116"/>
        <v>-171440.78446008402</v>
      </c>
      <c r="AE107" s="8">
        <f t="shared" si="116"/>
        <v>-179069.26082075998</v>
      </c>
      <c r="AF107" s="8">
        <f t="shared" si="116"/>
        <v>-179785.3022833021</v>
      </c>
      <c r="AG107" s="8">
        <f t="shared" si="116"/>
        <v>-173585.80910111926</v>
      </c>
      <c r="AH107" s="8">
        <f t="shared" si="116"/>
        <v>-167386.31591893642</v>
      </c>
      <c r="AI107" s="8">
        <f t="shared" si="116"/>
        <v>-161186.82273675359</v>
      </c>
      <c r="AJ107" s="8">
        <f t="shared" si="116"/>
        <v>-154987.32955457075</v>
      </c>
      <c r="AK107" s="8">
        <f t="shared" si="116"/>
        <v>-148787.83637238792</v>
      </c>
      <c r="AL107" s="8">
        <f t="shared" si="116"/>
        <v>-142588.34319020508</v>
      </c>
      <c r="AM107" s="8">
        <f t="shared" si="116"/>
        <v>-136388.85000802224</v>
      </c>
      <c r="AN107" s="8">
        <f t="shared" si="116"/>
        <v>-130189.35682583941</v>
      </c>
      <c r="AO107" s="8">
        <f t="shared" si="116"/>
        <v>-123989.86364365657</v>
      </c>
      <c r="AP107" s="8">
        <f t="shared" si="116"/>
        <v>-117790.37046147374</v>
      </c>
      <c r="AQ107" s="8">
        <f t="shared" si="116"/>
        <v>-111590.8772792909</v>
      </c>
      <c r="AR107" s="8">
        <f t="shared" si="116"/>
        <v>-105391.38409710806</v>
      </c>
      <c r="AS107" s="8">
        <f t="shared" si="116"/>
        <v>-99191.890914925229</v>
      </c>
      <c r="AT107" s="8">
        <f t="shared" si="116"/>
        <v>-92992.397732742393</v>
      </c>
      <c r="AU107" s="8">
        <f t="shared" si="116"/>
        <v>-86792.904550559557</v>
      </c>
      <c r="AV107" s="8">
        <f t="shared" si="116"/>
        <v>-80593.411368376721</v>
      </c>
      <c r="AW107" s="8">
        <f t="shared" si="116"/>
        <v>-74393.918186193885</v>
      </c>
      <c r="AX107" s="8">
        <f t="shared" si="116"/>
        <v>-68194.425004011049</v>
      </c>
      <c r="AY107" s="8">
        <f t="shared" si="116"/>
        <v>-61994.931821828213</v>
      </c>
      <c r="AZ107" s="8">
        <f t="shared" si="116"/>
        <v>-55795.438639645377</v>
      </c>
      <c r="BA107" s="8">
        <f t="shared" si="116"/>
        <v>-49595.945457462542</v>
      </c>
      <c r="BB107" s="8">
        <f t="shared" si="116"/>
        <v>-43396.452275279706</v>
      </c>
      <c r="BC107" s="8">
        <f t="shared" si="116"/>
        <v>-37196.95909309687</v>
      </c>
      <c r="BD107" s="8">
        <f t="shared" si="116"/>
        <v>-30997.465910914034</v>
      </c>
      <c r="BE107" s="8">
        <f t="shared" si="116"/>
        <v>-24797.972728731198</v>
      </c>
      <c r="BF107" s="8">
        <f t="shared" si="116"/>
        <v>-18598.479546548362</v>
      </c>
      <c r="BG107" s="8">
        <f t="shared" si="116"/>
        <v>-12398.986364365528</v>
      </c>
      <c r="BH107" s="8">
        <f t="shared" si="116"/>
        <v>-6199.493182182694</v>
      </c>
      <c r="BI107" s="8">
        <f t="shared" si="116"/>
        <v>1.4006218407303095E-10</v>
      </c>
      <c r="BJ107" s="8">
        <f t="shared" si="116"/>
        <v>1.4006218407303095E-10</v>
      </c>
      <c r="BK107" s="8">
        <f t="shared" si="116"/>
        <v>1.4006218407303095E-10</v>
      </c>
      <c r="BL107" s="8">
        <f t="shared" si="116"/>
        <v>1.4006218407303095E-10</v>
      </c>
      <c r="BM107" s="8">
        <f t="shared" si="116"/>
        <v>1.4006218407303095E-10</v>
      </c>
      <c r="BN107" s="8">
        <f t="shared" si="116"/>
        <v>1.4006218407303095E-10</v>
      </c>
      <c r="BO107" s="8">
        <f t="shared" si="116"/>
        <v>1.4006218407303095E-10</v>
      </c>
      <c r="BP107" s="8">
        <f t="shared" si="116"/>
        <v>1.4006218407303095E-10</v>
      </c>
      <c r="BQ107" s="8">
        <f t="shared" si="116"/>
        <v>1.4006218407303095E-10</v>
      </c>
      <c r="BR107" s="8">
        <f t="shared" si="116"/>
        <v>1.4006218407303095E-10</v>
      </c>
      <c r="BS107" s="8">
        <f t="shared" si="116"/>
        <v>1.4006218407303095E-10</v>
      </c>
      <c r="BT107" s="8">
        <f t="shared" si="116"/>
        <v>1.4006218407303095E-10</v>
      </c>
      <c r="BU107" s="8">
        <f t="shared" si="116"/>
        <v>1.4006218407303095E-10</v>
      </c>
      <c r="BV107" s="8">
        <f t="shared" si="116"/>
        <v>1.4006218407303095E-10</v>
      </c>
      <c r="BW107" s="8">
        <f t="shared" si="116"/>
        <v>1.4006218407303095E-10</v>
      </c>
      <c r="BX107" s="8">
        <f t="shared" ref="BX107:DA107" si="117">BW108</f>
        <v>1.4006218407303095E-10</v>
      </c>
      <c r="BY107" s="8">
        <f t="shared" si="117"/>
        <v>1.4006218407303095E-10</v>
      </c>
      <c r="BZ107" s="8">
        <f t="shared" si="117"/>
        <v>1.4006218407303095E-10</v>
      </c>
      <c r="CA107" s="8">
        <f t="shared" si="117"/>
        <v>1.4006218407303095E-10</v>
      </c>
      <c r="CB107" s="8">
        <f t="shared" si="117"/>
        <v>1.4006218407303095E-10</v>
      </c>
      <c r="CC107" s="8">
        <f t="shared" si="117"/>
        <v>1.4006218407303095E-10</v>
      </c>
      <c r="CD107" s="8">
        <f t="shared" si="117"/>
        <v>1.4006218407303095E-10</v>
      </c>
      <c r="CE107" s="8">
        <f t="shared" si="117"/>
        <v>1.4006218407303095E-10</v>
      </c>
      <c r="CF107" s="8">
        <f t="shared" si="117"/>
        <v>1.4006218407303095E-10</v>
      </c>
      <c r="CG107" s="8">
        <f t="shared" si="117"/>
        <v>1.4006218407303095E-10</v>
      </c>
      <c r="CH107" s="8">
        <f t="shared" si="117"/>
        <v>1.4006218407303095E-10</v>
      </c>
      <c r="CI107" s="8">
        <f t="shared" si="117"/>
        <v>1.4006218407303095E-10</v>
      </c>
      <c r="CJ107" s="8">
        <f t="shared" si="117"/>
        <v>1.4006218407303095E-10</v>
      </c>
      <c r="CK107" s="8">
        <f t="shared" si="117"/>
        <v>1.4006218407303095E-10</v>
      </c>
      <c r="CL107" s="8">
        <f t="shared" si="117"/>
        <v>1.4006218407303095E-10</v>
      </c>
      <c r="CM107" s="8">
        <f t="shared" si="117"/>
        <v>1.4006218407303095E-10</v>
      </c>
      <c r="CN107" s="8">
        <f t="shared" si="117"/>
        <v>1.4006218407303095E-10</v>
      </c>
      <c r="CO107" s="8">
        <f t="shared" si="117"/>
        <v>1.4006218407303095E-10</v>
      </c>
      <c r="CP107" s="8">
        <f t="shared" si="117"/>
        <v>1.4006218407303095E-10</v>
      </c>
      <c r="CQ107" s="8">
        <f t="shared" si="117"/>
        <v>1.4006218407303095E-10</v>
      </c>
      <c r="CR107" s="8">
        <f t="shared" si="117"/>
        <v>1.4006218407303095E-10</v>
      </c>
      <c r="CS107" s="8">
        <f t="shared" si="117"/>
        <v>1.4006218407303095E-10</v>
      </c>
      <c r="CT107" s="8">
        <f t="shared" si="117"/>
        <v>1.4006218407303095E-10</v>
      </c>
      <c r="CU107" s="8">
        <f t="shared" si="117"/>
        <v>1.4006218407303095E-10</v>
      </c>
      <c r="CV107" s="8">
        <f t="shared" si="117"/>
        <v>1.4006218407303095E-10</v>
      </c>
      <c r="CW107" s="8">
        <f t="shared" si="117"/>
        <v>1.4006218407303095E-10</v>
      </c>
      <c r="CX107" s="8">
        <f t="shared" si="117"/>
        <v>1.4006218407303095E-10</v>
      </c>
      <c r="CY107" s="8">
        <f t="shared" si="117"/>
        <v>1.4006218407303095E-10</v>
      </c>
      <c r="CZ107" s="8">
        <f t="shared" si="117"/>
        <v>1.4006218407303095E-10</v>
      </c>
      <c r="DA107" s="8">
        <f t="shared" si="117"/>
        <v>1.4006218407303095E-10</v>
      </c>
      <c r="DB107" s="8"/>
      <c r="DC107" s="8"/>
    </row>
    <row r="108" spans="3:107" x14ac:dyDescent="0.4">
      <c r="D108" t="s">
        <v>171</v>
      </c>
      <c r="J108" s="8"/>
      <c r="K108" s="8">
        <f t="shared" ref="K108:AP108" si="118">J108+((K100-K106)*INC_TAX_RATE)</f>
        <v>-5424.5565344099787</v>
      </c>
      <c r="L108" s="8">
        <f t="shared" si="118"/>
        <v>-21602.133993316082</v>
      </c>
      <c r="M108" s="8">
        <f t="shared" si="118"/>
        <v>-36099.648799850635</v>
      </c>
      <c r="N108" s="8">
        <f t="shared" si="118"/>
        <v>-49047.290310839482</v>
      </c>
      <c r="O108" s="8">
        <f t="shared" si="118"/>
        <v>-60556.649403561911</v>
      </c>
      <c r="P108" s="8">
        <f t="shared" si="118"/>
        <v>-70739.31695529721</v>
      </c>
      <c r="Q108" s="8">
        <f t="shared" si="118"/>
        <v>-79691.385110369214</v>
      </c>
      <c r="R108" s="8">
        <f t="shared" si="118"/>
        <v>-87508.946013101769</v>
      </c>
      <c r="S108" s="8">
        <f t="shared" si="118"/>
        <v>-95140.522120368842</v>
      </c>
      <c r="T108" s="8">
        <f t="shared" si="118"/>
        <v>-102768.99848104482</v>
      </c>
      <c r="U108" s="8">
        <f t="shared" si="118"/>
        <v>-110400.57458831189</v>
      </c>
      <c r="V108" s="8">
        <f t="shared" si="118"/>
        <v>-118029.05094898788</v>
      </c>
      <c r="W108" s="8">
        <f t="shared" si="118"/>
        <v>-125660.62705625495</v>
      </c>
      <c r="X108" s="8">
        <f t="shared" si="118"/>
        <v>-133289.10341693091</v>
      </c>
      <c r="Y108" s="8">
        <f t="shared" si="118"/>
        <v>-140920.67952419797</v>
      </c>
      <c r="Z108" s="8">
        <f t="shared" si="118"/>
        <v>-148549.15588487394</v>
      </c>
      <c r="AA108" s="8">
        <f t="shared" si="118"/>
        <v>-156180.73199214099</v>
      </c>
      <c r="AB108" s="8">
        <f t="shared" si="118"/>
        <v>-163809.20835281696</v>
      </c>
      <c r="AC108" s="8">
        <f t="shared" si="118"/>
        <v>-171440.78446008402</v>
      </c>
      <c r="AD108" s="8">
        <f t="shared" si="118"/>
        <v>-179069.26082075998</v>
      </c>
      <c r="AE108" s="8">
        <f t="shared" si="118"/>
        <v>-179785.3022833021</v>
      </c>
      <c r="AF108" s="8">
        <f t="shared" si="118"/>
        <v>-173585.80910111926</v>
      </c>
      <c r="AG108" s="8">
        <f t="shared" si="118"/>
        <v>-167386.31591893642</v>
      </c>
      <c r="AH108" s="8">
        <f t="shared" si="118"/>
        <v>-161186.82273675359</v>
      </c>
      <c r="AI108" s="8">
        <f t="shared" si="118"/>
        <v>-154987.32955457075</v>
      </c>
      <c r="AJ108" s="8">
        <f t="shared" si="118"/>
        <v>-148787.83637238792</v>
      </c>
      <c r="AK108" s="8">
        <f t="shared" si="118"/>
        <v>-142588.34319020508</v>
      </c>
      <c r="AL108" s="8">
        <f t="shared" si="118"/>
        <v>-136388.85000802224</v>
      </c>
      <c r="AM108" s="8">
        <f t="shared" si="118"/>
        <v>-130189.35682583941</v>
      </c>
      <c r="AN108" s="8">
        <f t="shared" si="118"/>
        <v>-123989.86364365657</v>
      </c>
      <c r="AO108" s="8">
        <f t="shared" si="118"/>
        <v>-117790.37046147374</v>
      </c>
      <c r="AP108" s="8">
        <f t="shared" si="118"/>
        <v>-111590.8772792909</v>
      </c>
      <c r="AQ108" s="8">
        <f t="shared" ref="AQ108:BV108" si="119">AP108+((AQ100-AQ106)*INC_TAX_RATE)</f>
        <v>-105391.38409710806</v>
      </c>
      <c r="AR108" s="8">
        <f t="shared" si="119"/>
        <v>-99191.890914925229</v>
      </c>
      <c r="AS108" s="8">
        <f t="shared" si="119"/>
        <v>-92992.397732742393</v>
      </c>
      <c r="AT108" s="8">
        <f t="shared" si="119"/>
        <v>-86792.904550559557</v>
      </c>
      <c r="AU108" s="8">
        <f t="shared" si="119"/>
        <v>-80593.411368376721</v>
      </c>
      <c r="AV108" s="8">
        <f t="shared" si="119"/>
        <v>-74393.918186193885</v>
      </c>
      <c r="AW108" s="8">
        <f t="shared" si="119"/>
        <v>-68194.425004011049</v>
      </c>
      <c r="AX108" s="8">
        <f t="shared" si="119"/>
        <v>-61994.931821828213</v>
      </c>
      <c r="AY108" s="8">
        <f t="shared" si="119"/>
        <v>-55795.438639645377</v>
      </c>
      <c r="AZ108" s="8">
        <f t="shared" si="119"/>
        <v>-49595.945457462542</v>
      </c>
      <c r="BA108" s="8">
        <f t="shared" si="119"/>
        <v>-43396.452275279706</v>
      </c>
      <c r="BB108" s="8">
        <f t="shared" si="119"/>
        <v>-37196.95909309687</v>
      </c>
      <c r="BC108" s="8">
        <f t="shared" si="119"/>
        <v>-30997.465910914034</v>
      </c>
      <c r="BD108" s="8">
        <f t="shared" si="119"/>
        <v>-24797.972728731198</v>
      </c>
      <c r="BE108" s="8">
        <f t="shared" si="119"/>
        <v>-18598.479546548362</v>
      </c>
      <c r="BF108" s="8">
        <f t="shared" si="119"/>
        <v>-12398.986364365528</v>
      </c>
      <c r="BG108" s="8">
        <f t="shared" si="119"/>
        <v>-6199.493182182694</v>
      </c>
      <c r="BH108" s="8">
        <f t="shared" si="119"/>
        <v>1.4006218407303095E-10</v>
      </c>
      <c r="BI108" s="8">
        <f t="shared" si="119"/>
        <v>1.4006218407303095E-10</v>
      </c>
      <c r="BJ108" s="8">
        <f t="shared" si="119"/>
        <v>1.4006218407303095E-10</v>
      </c>
      <c r="BK108" s="8">
        <f t="shared" si="119"/>
        <v>1.4006218407303095E-10</v>
      </c>
      <c r="BL108" s="8">
        <f t="shared" si="119"/>
        <v>1.4006218407303095E-10</v>
      </c>
      <c r="BM108" s="8">
        <f t="shared" si="119"/>
        <v>1.4006218407303095E-10</v>
      </c>
      <c r="BN108" s="8">
        <f t="shared" si="119"/>
        <v>1.4006218407303095E-10</v>
      </c>
      <c r="BO108" s="8">
        <f t="shared" si="119"/>
        <v>1.4006218407303095E-10</v>
      </c>
      <c r="BP108" s="8">
        <f t="shared" si="119"/>
        <v>1.4006218407303095E-10</v>
      </c>
      <c r="BQ108" s="8">
        <f t="shared" si="119"/>
        <v>1.4006218407303095E-10</v>
      </c>
      <c r="BR108" s="8">
        <f t="shared" si="119"/>
        <v>1.4006218407303095E-10</v>
      </c>
      <c r="BS108" s="8">
        <f t="shared" si="119"/>
        <v>1.4006218407303095E-10</v>
      </c>
      <c r="BT108" s="8">
        <f t="shared" si="119"/>
        <v>1.4006218407303095E-10</v>
      </c>
      <c r="BU108" s="8">
        <f t="shared" si="119"/>
        <v>1.4006218407303095E-10</v>
      </c>
      <c r="BV108" s="8">
        <f t="shared" si="119"/>
        <v>1.4006218407303095E-10</v>
      </c>
      <c r="BW108" s="8">
        <f t="shared" ref="BW108:DA108" si="120">BV108+((BW100-BW106)*INC_TAX_RATE)</f>
        <v>1.4006218407303095E-10</v>
      </c>
      <c r="BX108" s="8">
        <f t="shared" si="120"/>
        <v>1.4006218407303095E-10</v>
      </c>
      <c r="BY108" s="8">
        <f t="shared" si="120"/>
        <v>1.4006218407303095E-10</v>
      </c>
      <c r="BZ108" s="8">
        <f t="shared" si="120"/>
        <v>1.4006218407303095E-10</v>
      </c>
      <c r="CA108" s="8">
        <f t="shared" si="120"/>
        <v>1.4006218407303095E-10</v>
      </c>
      <c r="CB108" s="8">
        <f t="shared" si="120"/>
        <v>1.4006218407303095E-10</v>
      </c>
      <c r="CC108" s="8">
        <f t="shared" si="120"/>
        <v>1.4006218407303095E-10</v>
      </c>
      <c r="CD108" s="8">
        <f t="shared" si="120"/>
        <v>1.4006218407303095E-10</v>
      </c>
      <c r="CE108" s="8">
        <f t="shared" si="120"/>
        <v>1.4006218407303095E-10</v>
      </c>
      <c r="CF108" s="8">
        <f t="shared" si="120"/>
        <v>1.4006218407303095E-10</v>
      </c>
      <c r="CG108" s="8">
        <f t="shared" si="120"/>
        <v>1.4006218407303095E-10</v>
      </c>
      <c r="CH108" s="8">
        <f t="shared" si="120"/>
        <v>1.4006218407303095E-10</v>
      </c>
      <c r="CI108" s="8">
        <f t="shared" si="120"/>
        <v>1.4006218407303095E-10</v>
      </c>
      <c r="CJ108" s="8">
        <f t="shared" si="120"/>
        <v>1.4006218407303095E-10</v>
      </c>
      <c r="CK108" s="8">
        <f t="shared" si="120"/>
        <v>1.4006218407303095E-10</v>
      </c>
      <c r="CL108" s="8">
        <f t="shared" si="120"/>
        <v>1.4006218407303095E-10</v>
      </c>
      <c r="CM108" s="8">
        <f t="shared" si="120"/>
        <v>1.4006218407303095E-10</v>
      </c>
      <c r="CN108" s="8">
        <f t="shared" si="120"/>
        <v>1.4006218407303095E-10</v>
      </c>
      <c r="CO108" s="8">
        <f t="shared" si="120"/>
        <v>1.4006218407303095E-10</v>
      </c>
      <c r="CP108" s="8">
        <f t="shared" si="120"/>
        <v>1.4006218407303095E-10</v>
      </c>
      <c r="CQ108" s="8">
        <f t="shared" si="120"/>
        <v>1.4006218407303095E-10</v>
      </c>
      <c r="CR108" s="8">
        <f t="shared" si="120"/>
        <v>1.4006218407303095E-10</v>
      </c>
      <c r="CS108" s="8">
        <f t="shared" si="120"/>
        <v>1.4006218407303095E-10</v>
      </c>
      <c r="CT108" s="8">
        <f t="shared" si="120"/>
        <v>1.4006218407303095E-10</v>
      </c>
      <c r="CU108" s="8">
        <f t="shared" si="120"/>
        <v>1.4006218407303095E-10</v>
      </c>
      <c r="CV108" s="8">
        <f t="shared" si="120"/>
        <v>1.4006218407303095E-10</v>
      </c>
      <c r="CW108" s="8">
        <f t="shared" si="120"/>
        <v>1.4006218407303095E-10</v>
      </c>
      <c r="CX108" s="8">
        <f t="shared" si="120"/>
        <v>1.4006218407303095E-10</v>
      </c>
      <c r="CY108" s="8">
        <f t="shared" si="120"/>
        <v>1.4006218407303095E-10</v>
      </c>
      <c r="CZ108" s="8">
        <f t="shared" si="120"/>
        <v>1.4006218407303095E-10</v>
      </c>
      <c r="DA108" s="8">
        <f t="shared" si="120"/>
        <v>1.4006218407303095E-10</v>
      </c>
      <c r="DB108" s="8"/>
      <c r="DC108" s="8"/>
    </row>
    <row r="109" spans="3:107" x14ac:dyDescent="0.4"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</row>
    <row r="110" spans="3:107" x14ac:dyDescent="0.4">
      <c r="D110" t="s">
        <v>158</v>
      </c>
      <c r="J110" s="8"/>
      <c r="K110" s="8">
        <f>AVERAGE(K103:K104)+AVERAGE(K107:K108)</f>
        <v>1104539.7964867197</v>
      </c>
      <c r="L110" s="8">
        <f t="shared" ref="L110:BW110" si="121">AVERAGE(L103:L104)+AVERAGE(L107:L108)</f>
        <v>1071370.0007071542</v>
      </c>
      <c r="M110" s="8">
        <f t="shared" si="121"/>
        <v>1033663.7257915261</v>
      </c>
      <c r="N110" s="8">
        <f t="shared" si="121"/>
        <v>997572.41884985694</v>
      </c>
      <c r="O110" s="8">
        <f t="shared" si="121"/>
        <v>962975.18976509373</v>
      </c>
      <c r="P110" s="8">
        <f t="shared" si="121"/>
        <v>929760.44765995734</v>
      </c>
      <c r="Q110" s="8">
        <f t="shared" si="121"/>
        <v>897824.35102364619</v>
      </c>
      <c r="R110" s="8">
        <f t="shared" si="121"/>
        <v>867070.8077118363</v>
      </c>
      <c r="S110" s="8">
        <f t="shared" si="121"/>
        <v>836977.51042392896</v>
      </c>
      <c r="T110" s="8">
        <f t="shared" si="121"/>
        <v>806978.75540704979</v>
      </c>
      <c r="U110" s="8">
        <f t="shared" si="121"/>
        <v>776980.00039017061</v>
      </c>
      <c r="V110" s="8">
        <f t="shared" si="121"/>
        <v>746981.24537329155</v>
      </c>
      <c r="W110" s="8">
        <f t="shared" si="121"/>
        <v>716982.49035641248</v>
      </c>
      <c r="X110" s="8">
        <f t="shared" si="121"/>
        <v>686983.7353395333</v>
      </c>
      <c r="Y110" s="8">
        <f t="shared" si="121"/>
        <v>656984.98032265424</v>
      </c>
      <c r="Z110" s="8">
        <f t="shared" si="121"/>
        <v>626986.22530577518</v>
      </c>
      <c r="AA110" s="8">
        <f t="shared" si="121"/>
        <v>596987.470288896</v>
      </c>
      <c r="AB110" s="8">
        <f t="shared" si="121"/>
        <v>566988.71527201682</v>
      </c>
      <c r="AC110" s="8">
        <f t="shared" si="121"/>
        <v>536989.96025513776</v>
      </c>
      <c r="AD110" s="8">
        <f t="shared" si="121"/>
        <v>506991.2052382587</v>
      </c>
      <c r="AE110" s="8">
        <f t="shared" si="121"/>
        <v>480450.21754374204</v>
      </c>
      <c r="AF110" s="8">
        <f t="shared" si="121"/>
        <v>460823.21462065482</v>
      </c>
      <c r="AG110" s="8">
        <f t="shared" si="121"/>
        <v>444653.97901993006</v>
      </c>
      <c r="AH110" s="8">
        <f t="shared" si="121"/>
        <v>428484.7434192053</v>
      </c>
      <c r="AI110" s="8">
        <f t="shared" si="121"/>
        <v>412315.50781848066</v>
      </c>
      <c r="AJ110" s="8">
        <f t="shared" si="121"/>
        <v>396146.2722177559</v>
      </c>
      <c r="AK110" s="8">
        <f t="shared" si="121"/>
        <v>379977.03661703115</v>
      </c>
      <c r="AL110" s="8">
        <f t="shared" si="121"/>
        <v>363807.80101630639</v>
      </c>
      <c r="AM110" s="8">
        <f t="shared" si="121"/>
        <v>347638.56541558163</v>
      </c>
      <c r="AN110" s="8">
        <f t="shared" si="121"/>
        <v>331469.32981485687</v>
      </c>
      <c r="AO110" s="8">
        <f t="shared" si="121"/>
        <v>315300.09421413211</v>
      </c>
      <c r="AP110" s="8">
        <f t="shared" si="121"/>
        <v>299130.85861340736</v>
      </c>
      <c r="AQ110" s="8">
        <f t="shared" si="121"/>
        <v>282961.6230126826</v>
      </c>
      <c r="AR110" s="8">
        <f t="shared" si="121"/>
        <v>266792.38741195784</v>
      </c>
      <c r="AS110" s="8">
        <f t="shared" si="121"/>
        <v>250623.15181123308</v>
      </c>
      <c r="AT110" s="8">
        <f t="shared" si="121"/>
        <v>234453.91621050832</v>
      </c>
      <c r="AU110" s="8">
        <f t="shared" si="121"/>
        <v>218284.68060978357</v>
      </c>
      <c r="AV110" s="8">
        <f t="shared" si="121"/>
        <v>202115.44500905881</v>
      </c>
      <c r="AW110" s="8">
        <f t="shared" si="121"/>
        <v>185946.20940833405</v>
      </c>
      <c r="AX110" s="8">
        <f t="shared" si="121"/>
        <v>169776.97380760929</v>
      </c>
      <c r="AY110" s="8">
        <f t="shared" si="121"/>
        <v>153607.73820688453</v>
      </c>
      <c r="AZ110" s="8">
        <f t="shared" si="121"/>
        <v>137438.50260615977</v>
      </c>
      <c r="BA110" s="8">
        <f t="shared" si="121"/>
        <v>121269.26700543502</v>
      </c>
      <c r="BB110" s="8">
        <f t="shared" si="121"/>
        <v>105100.03140471026</v>
      </c>
      <c r="BC110" s="8">
        <f t="shared" si="121"/>
        <v>88930.7958039855</v>
      </c>
      <c r="BD110" s="8">
        <f t="shared" si="121"/>
        <v>72761.560203260742</v>
      </c>
      <c r="BE110" s="8">
        <f t="shared" si="121"/>
        <v>56592.324602536042</v>
      </c>
      <c r="BF110" s="8">
        <f t="shared" si="121"/>
        <v>40423.089001811342</v>
      </c>
      <c r="BG110" s="8">
        <f t="shared" si="121"/>
        <v>24253.853401086581</v>
      </c>
      <c r="BH110" s="8">
        <f t="shared" si="121"/>
        <v>8084.6178003621708</v>
      </c>
      <c r="BI110" s="8">
        <f t="shared" si="121"/>
        <v>1.4006218407303095E-10</v>
      </c>
      <c r="BJ110" s="8">
        <f t="shared" si="121"/>
        <v>1.4006218407303095E-10</v>
      </c>
      <c r="BK110" s="8">
        <f t="shared" si="121"/>
        <v>1.4006218407303095E-10</v>
      </c>
      <c r="BL110" s="8">
        <f t="shared" si="121"/>
        <v>1.4006218407303095E-10</v>
      </c>
      <c r="BM110" s="8">
        <f t="shared" si="121"/>
        <v>1.4006218407303095E-10</v>
      </c>
      <c r="BN110" s="8">
        <f t="shared" si="121"/>
        <v>1.4006218407303095E-10</v>
      </c>
      <c r="BO110" s="8">
        <f t="shared" si="121"/>
        <v>1.4006218407303095E-10</v>
      </c>
      <c r="BP110" s="8">
        <f t="shared" si="121"/>
        <v>1.4006218407303095E-10</v>
      </c>
      <c r="BQ110" s="8">
        <f t="shared" si="121"/>
        <v>1.4006218407303095E-10</v>
      </c>
      <c r="BR110" s="8">
        <f t="shared" si="121"/>
        <v>1.4006218407303095E-10</v>
      </c>
      <c r="BS110" s="8">
        <f t="shared" si="121"/>
        <v>1.4006218407303095E-10</v>
      </c>
      <c r="BT110" s="8">
        <f t="shared" si="121"/>
        <v>1.4006218407303095E-10</v>
      </c>
      <c r="BU110" s="8">
        <f t="shared" si="121"/>
        <v>1.4006218407303095E-10</v>
      </c>
      <c r="BV110" s="8">
        <f t="shared" si="121"/>
        <v>1.4006218407303095E-10</v>
      </c>
      <c r="BW110" s="8">
        <f t="shared" si="121"/>
        <v>1.4006218407303095E-10</v>
      </c>
      <c r="BX110" s="8">
        <f t="shared" ref="BX110:DA110" si="122">AVERAGE(BX103:BX104)+AVERAGE(BX107:BX108)</f>
        <v>1.4006218407303095E-10</v>
      </c>
      <c r="BY110" s="8">
        <f t="shared" si="122"/>
        <v>1.4006218407303095E-10</v>
      </c>
      <c r="BZ110" s="8">
        <f t="shared" si="122"/>
        <v>1.4006218407303095E-10</v>
      </c>
      <c r="CA110" s="8">
        <f t="shared" si="122"/>
        <v>1.4006218407303095E-10</v>
      </c>
      <c r="CB110" s="8">
        <f t="shared" si="122"/>
        <v>1.4006218407303095E-10</v>
      </c>
      <c r="CC110" s="8">
        <f t="shared" si="122"/>
        <v>1.4006218407303095E-10</v>
      </c>
      <c r="CD110" s="8">
        <f t="shared" si="122"/>
        <v>1.4006218407303095E-10</v>
      </c>
      <c r="CE110" s="8">
        <f t="shared" si="122"/>
        <v>1.4006218407303095E-10</v>
      </c>
      <c r="CF110" s="8">
        <f t="shared" si="122"/>
        <v>1.4006218407303095E-10</v>
      </c>
      <c r="CG110" s="8">
        <f t="shared" si="122"/>
        <v>1.4006218407303095E-10</v>
      </c>
      <c r="CH110" s="8">
        <f t="shared" si="122"/>
        <v>1.4006218407303095E-10</v>
      </c>
      <c r="CI110" s="8">
        <f t="shared" si="122"/>
        <v>1.4006218407303095E-10</v>
      </c>
      <c r="CJ110" s="8">
        <f t="shared" si="122"/>
        <v>1.4006218407303095E-10</v>
      </c>
      <c r="CK110" s="8">
        <f t="shared" si="122"/>
        <v>1.4006218407303095E-10</v>
      </c>
      <c r="CL110" s="8">
        <f t="shared" si="122"/>
        <v>1.4006218407303095E-10</v>
      </c>
      <c r="CM110" s="8">
        <f t="shared" si="122"/>
        <v>1.4006218407303095E-10</v>
      </c>
      <c r="CN110" s="8">
        <f t="shared" si="122"/>
        <v>1.4006218407303095E-10</v>
      </c>
      <c r="CO110" s="8">
        <f t="shared" si="122"/>
        <v>1.4006218407303095E-10</v>
      </c>
      <c r="CP110" s="8">
        <f t="shared" si="122"/>
        <v>1.4006218407303095E-10</v>
      </c>
      <c r="CQ110" s="8">
        <f t="shared" si="122"/>
        <v>1.4006218407303095E-10</v>
      </c>
      <c r="CR110" s="8">
        <f t="shared" si="122"/>
        <v>1.4006218407303095E-10</v>
      </c>
      <c r="CS110" s="8">
        <f t="shared" si="122"/>
        <v>1.4006218407303095E-10</v>
      </c>
      <c r="CT110" s="8">
        <f t="shared" si="122"/>
        <v>1.4006218407303095E-10</v>
      </c>
      <c r="CU110" s="8">
        <f t="shared" si="122"/>
        <v>1.4006218407303095E-10</v>
      </c>
      <c r="CV110" s="8">
        <f t="shared" si="122"/>
        <v>1.4006218407303095E-10</v>
      </c>
      <c r="CW110" s="8">
        <f t="shared" si="122"/>
        <v>1.4006218407303095E-10</v>
      </c>
      <c r="CX110" s="8">
        <f t="shared" si="122"/>
        <v>1.4006218407303095E-10</v>
      </c>
      <c r="CY110" s="8">
        <f t="shared" si="122"/>
        <v>1.4006218407303095E-10</v>
      </c>
      <c r="CZ110" s="8">
        <f t="shared" si="122"/>
        <v>1.4006218407303095E-10</v>
      </c>
      <c r="DA110" s="8">
        <f t="shared" si="122"/>
        <v>1.4006218407303095E-10</v>
      </c>
      <c r="DB110" s="8"/>
      <c r="DC110" s="8"/>
    </row>
    <row r="111" spans="3:107" x14ac:dyDescent="0.4"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</row>
    <row r="112" spans="3:107" x14ac:dyDescent="0.4">
      <c r="D112" t="s">
        <v>209</v>
      </c>
      <c r="J112" s="8"/>
      <c r="K112" s="8">
        <f t="shared" ref="K112:AP112" si="123">K110*AVG_PRE_TAX_RATE</f>
        <v>98635.403826264082</v>
      </c>
      <c r="L112" s="8">
        <f t="shared" si="123"/>
        <v>95673.341063148866</v>
      </c>
      <c r="M112" s="8">
        <f t="shared" si="123"/>
        <v>92306.170713183295</v>
      </c>
      <c r="N112" s="8">
        <f t="shared" si="123"/>
        <v>89083.217003292229</v>
      </c>
      <c r="O112" s="8">
        <f t="shared" si="123"/>
        <v>85993.684446022875</v>
      </c>
      <c r="P112" s="8">
        <f t="shared" si="123"/>
        <v>83027.607976034196</v>
      </c>
      <c r="Q112" s="8">
        <f t="shared" si="123"/>
        <v>80175.714546411604</v>
      </c>
      <c r="R112" s="8">
        <f t="shared" si="123"/>
        <v>77429.423128666982</v>
      </c>
      <c r="S112" s="8">
        <f t="shared" si="123"/>
        <v>74742.091680856858</v>
      </c>
      <c r="T112" s="8">
        <f t="shared" si="123"/>
        <v>72063.202857849552</v>
      </c>
      <c r="U112" s="8">
        <f t="shared" si="123"/>
        <v>69384.314034842246</v>
      </c>
      <c r="V112" s="8">
        <f t="shared" si="123"/>
        <v>66705.42521183494</v>
      </c>
      <c r="W112" s="8">
        <f t="shared" si="123"/>
        <v>64026.536388827641</v>
      </c>
      <c r="X112" s="8">
        <f t="shared" si="123"/>
        <v>61347.647565820327</v>
      </c>
      <c r="Y112" s="8">
        <f t="shared" si="123"/>
        <v>58668.758742813028</v>
      </c>
      <c r="Z112" s="8">
        <f t="shared" si="123"/>
        <v>55989.869919805729</v>
      </c>
      <c r="AA112" s="8">
        <f t="shared" si="123"/>
        <v>53310.981096798416</v>
      </c>
      <c r="AB112" s="8">
        <f t="shared" si="123"/>
        <v>50632.092273791102</v>
      </c>
      <c r="AC112" s="8">
        <f t="shared" si="123"/>
        <v>47953.203450783803</v>
      </c>
      <c r="AD112" s="8">
        <f t="shared" si="123"/>
        <v>45274.314627776504</v>
      </c>
      <c r="AE112" s="8">
        <f t="shared" si="123"/>
        <v>42904.204426656164</v>
      </c>
      <c r="AF112" s="8">
        <f t="shared" si="123"/>
        <v>41151.51306562448</v>
      </c>
      <c r="AG112" s="8">
        <f t="shared" si="123"/>
        <v>39707.600326479755</v>
      </c>
      <c r="AH112" s="8">
        <f t="shared" si="123"/>
        <v>38263.687587335036</v>
      </c>
      <c r="AI112" s="8">
        <f t="shared" si="123"/>
        <v>36819.774848190325</v>
      </c>
      <c r="AJ112" s="8">
        <f t="shared" si="123"/>
        <v>35375.862109045607</v>
      </c>
      <c r="AK112" s="8">
        <f t="shared" si="123"/>
        <v>33931.949369900882</v>
      </c>
      <c r="AL112" s="8">
        <f t="shared" si="123"/>
        <v>32488.036630756164</v>
      </c>
      <c r="AM112" s="8">
        <f t="shared" si="123"/>
        <v>31044.123891611442</v>
      </c>
      <c r="AN112" s="8">
        <f t="shared" si="123"/>
        <v>29600.21115246672</v>
      </c>
      <c r="AO112" s="8">
        <f t="shared" si="123"/>
        <v>28156.298413321998</v>
      </c>
      <c r="AP112" s="8">
        <f t="shared" si="123"/>
        <v>26712.38567417728</v>
      </c>
      <c r="AQ112" s="8">
        <f t="shared" ref="AQ112:BV112" si="124">AQ110*AVG_PRE_TAX_RATE</f>
        <v>25268.472935032558</v>
      </c>
      <c r="AR112" s="8">
        <f t="shared" si="124"/>
        <v>23824.560195887836</v>
      </c>
      <c r="AS112" s="8">
        <f t="shared" si="124"/>
        <v>22380.647456743114</v>
      </c>
      <c r="AT112" s="8">
        <f t="shared" si="124"/>
        <v>20936.734717598396</v>
      </c>
      <c r="AU112" s="8">
        <f t="shared" si="124"/>
        <v>19492.821978453674</v>
      </c>
      <c r="AV112" s="8">
        <f t="shared" si="124"/>
        <v>18048.909239308952</v>
      </c>
      <c r="AW112" s="8">
        <f t="shared" si="124"/>
        <v>16604.99650016423</v>
      </c>
      <c r="AX112" s="8">
        <f t="shared" si="124"/>
        <v>15161.08376101951</v>
      </c>
      <c r="AY112" s="8">
        <f t="shared" si="124"/>
        <v>13717.17102187479</v>
      </c>
      <c r="AZ112" s="8">
        <f t="shared" si="124"/>
        <v>12273.258282730068</v>
      </c>
      <c r="BA112" s="8">
        <f t="shared" si="124"/>
        <v>10829.345543585347</v>
      </c>
      <c r="BB112" s="8">
        <f t="shared" si="124"/>
        <v>9385.4328044406266</v>
      </c>
      <c r="BC112" s="8">
        <f t="shared" si="124"/>
        <v>7941.5200652959056</v>
      </c>
      <c r="BD112" s="8">
        <f t="shared" si="124"/>
        <v>6497.6073261511847</v>
      </c>
      <c r="BE112" s="8">
        <f t="shared" si="124"/>
        <v>5053.6945870064692</v>
      </c>
      <c r="BF112" s="8">
        <f t="shared" si="124"/>
        <v>3609.7818478617532</v>
      </c>
      <c r="BG112" s="8">
        <f t="shared" si="124"/>
        <v>2165.8691087170318</v>
      </c>
      <c r="BH112" s="8">
        <f t="shared" si="124"/>
        <v>721.95636957234194</v>
      </c>
      <c r="BI112" s="8">
        <f t="shared" si="124"/>
        <v>1.2507553037721664E-11</v>
      </c>
      <c r="BJ112" s="8">
        <f t="shared" si="124"/>
        <v>1.2507553037721664E-11</v>
      </c>
      <c r="BK112" s="8">
        <f t="shared" si="124"/>
        <v>1.2507553037721664E-11</v>
      </c>
      <c r="BL112" s="8">
        <f t="shared" si="124"/>
        <v>1.2507553037721664E-11</v>
      </c>
      <c r="BM112" s="8">
        <f t="shared" si="124"/>
        <v>1.2507553037721664E-11</v>
      </c>
      <c r="BN112" s="8">
        <f t="shared" si="124"/>
        <v>1.2507553037721664E-11</v>
      </c>
      <c r="BO112" s="8">
        <f t="shared" si="124"/>
        <v>1.2507553037721664E-11</v>
      </c>
      <c r="BP112" s="8">
        <f t="shared" si="124"/>
        <v>1.2507553037721664E-11</v>
      </c>
      <c r="BQ112" s="8">
        <f t="shared" si="124"/>
        <v>1.2507553037721664E-11</v>
      </c>
      <c r="BR112" s="8">
        <f t="shared" si="124"/>
        <v>1.2507553037721664E-11</v>
      </c>
      <c r="BS112" s="8">
        <f t="shared" si="124"/>
        <v>1.2507553037721664E-11</v>
      </c>
      <c r="BT112" s="8">
        <f t="shared" si="124"/>
        <v>1.2507553037721664E-11</v>
      </c>
      <c r="BU112" s="8">
        <f t="shared" si="124"/>
        <v>1.2507553037721664E-11</v>
      </c>
      <c r="BV112" s="8">
        <f t="shared" si="124"/>
        <v>1.2507553037721664E-11</v>
      </c>
      <c r="BW112" s="8">
        <f t="shared" ref="BW112:DA112" si="125">BW110*AVG_PRE_TAX_RATE</f>
        <v>1.2507553037721664E-11</v>
      </c>
      <c r="BX112" s="8">
        <f t="shared" si="125"/>
        <v>1.2507553037721664E-11</v>
      </c>
      <c r="BY112" s="8">
        <f t="shared" si="125"/>
        <v>1.2507553037721664E-11</v>
      </c>
      <c r="BZ112" s="8">
        <f t="shared" si="125"/>
        <v>1.2507553037721664E-11</v>
      </c>
      <c r="CA112" s="8">
        <f t="shared" si="125"/>
        <v>1.2507553037721664E-11</v>
      </c>
      <c r="CB112" s="8">
        <f t="shared" si="125"/>
        <v>1.2507553037721664E-11</v>
      </c>
      <c r="CC112" s="8">
        <f t="shared" si="125"/>
        <v>1.2507553037721664E-11</v>
      </c>
      <c r="CD112" s="8">
        <f t="shared" si="125"/>
        <v>1.2507553037721664E-11</v>
      </c>
      <c r="CE112" s="8">
        <f t="shared" si="125"/>
        <v>1.2507553037721664E-11</v>
      </c>
      <c r="CF112" s="8">
        <f t="shared" si="125"/>
        <v>1.2507553037721664E-11</v>
      </c>
      <c r="CG112" s="8">
        <f t="shared" si="125"/>
        <v>1.2507553037721664E-11</v>
      </c>
      <c r="CH112" s="8">
        <f t="shared" si="125"/>
        <v>1.2507553037721664E-11</v>
      </c>
      <c r="CI112" s="8">
        <f t="shared" si="125"/>
        <v>1.2507553037721664E-11</v>
      </c>
      <c r="CJ112" s="8">
        <f t="shared" si="125"/>
        <v>1.2507553037721664E-11</v>
      </c>
      <c r="CK112" s="8">
        <f t="shared" si="125"/>
        <v>1.2507553037721664E-11</v>
      </c>
      <c r="CL112" s="8">
        <f t="shared" si="125"/>
        <v>1.2507553037721664E-11</v>
      </c>
      <c r="CM112" s="8">
        <f t="shared" si="125"/>
        <v>1.2507553037721664E-11</v>
      </c>
      <c r="CN112" s="8">
        <f t="shared" si="125"/>
        <v>1.2507553037721664E-11</v>
      </c>
      <c r="CO112" s="8">
        <f t="shared" si="125"/>
        <v>1.2507553037721664E-11</v>
      </c>
      <c r="CP112" s="8">
        <f t="shared" si="125"/>
        <v>1.2507553037721664E-11</v>
      </c>
      <c r="CQ112" s="8">
        <f t="shared" si="125"/>
        <v>1.2507553037721664E-11</v>
      </c>
      <c r="CR112" s="8">
        <f t="shared" si="125"/>
        <v>1.2507553037721664E-11</v>
      </c>
      <c r="CS112" s="8">
        <f t="shared" si="125"/>
        <v>1.2507553037721664E-11</v>
      </c>
      <c r="CT112" s="8">
        <f t="shared" si="125"/>
        <v>1.2507553037721664E-11</v>
      </c>
      <c r="CU112" s="8">
        <f t="shared" si="125"/>
        <v>1.2507553037721664E-11</v>
      </c>
      <c r="CV112" s="8">
        <f t="shared" si="125"/>
        <v>1.2507553037721664E-11</v>
      </c>
      <c r="CW112" s="8">
        <f t="shared" si="125"/>
        <v>1.2507553037721664E-11</v>
      </c>
      <c r="CX112" s="8">
        <f t="shared" si="125"/>
        <v>1.2507553037721664E-11</v>
      </c>
      <c r="CY112" s="8">
        <f t="shared" si="125"/>
        <v>1.2507553037721664E-11</v>
      </c>
      <c r="CZ112" s="8">
        <f t="shared" si="125"/>
        <v>1.2507553037721664E-11</v>
      </c>
      <c r="DA112" s="8">
        <f t="shared" si="125"/>
        <v>1.2507553037721664E-11</v>
      </c>
      <c r="DB112" s="8"/>
      <c r="DC112" s="8"/>
    </row>
    <row r="115" spans="3:108" x14ac:dyDescent="0.4">
      <c r="C115" s="58" t="str">
        <f>C98</f>
        <v>Investment year in service</v>
      </c>
      <c r="E115" t="str">
        <f>IF(E116&lt;$C116,"",E116-$C116)</f>
        <v/>
      </c>
      <c r="F115" t="str">
        <f>IF(F116&lt;$C116,"",F116-$C116)</f>
        <v/>
      </c>
      <c r="G115" t="str">
        <f t="shared" ref="G115:BR115" si="126">IF(G116&lt;$C116,"",G116-$C116)</f>
        <v/>
      </c>
      <c r="H115" t="str">
        <f t="shared" si="126"/>
        <v/>
      </c>
      <c r="I115" t="str">
        <f t="shared" si="126"/>
        <v/>
      </c>
      <c r="J115" t="str">
        <f t="shared" si="126"/>
        <v/>
      </c>
      <c r="K115">
        <f t="shared" si="126"/>
        <v>0</v>
      </c>
      <c r="L115">
        <f t="shared" si="126"/>
        <v>1</v>
      </c>
      <c r="M115">
        <f t="shared" si="126"/>
        <v>2</v>
      </c>
      <c r="N115">
        <f t="shared" si="126"/>
        <v>3</v>
      </c>
      <c r="O115">
        <f t="shared" si="126"/>
        <v>4</v>
      </c>
      <c r="P115">
        <f t="shared" si="126"/>
        <v>5</v>
      </c>
      <c r="Q115">
        <f t="shared" si="126"/>
        <v>6</v>
      </c>
      <c r="R115">
        <f t="shared" si="126"/>
        <v>7</v>
      </c>
      <c r="S115">
        <f t="shared" si="126"/>
        <v>8</v>
      </c>
      <c r="T115">
        <f t="shared" si="126"/>
        <v>9</v>
      </c>
      <c r="U115">
        <f t="shared" si="126"/>
        <v>10</v>
      </c>
      <c r="V115">
        <f t="shared" si="126"/>
        <v>11</v>
      </c>
      <c r="W115">
        <f t="shared" si="126"/>
        <v>12</v>
      </c>
      <c r="X115">
        <f t="shared" si="126"/>
        <v>13</v>
      </c>
      <c r="Y115">
        <f t="shared" si="126"/>
        <v>14</v>
      </c>
      <c r="Z115">
        <f t="shared" si="126"/>
        <v>15</v>
      </c>
      <c r="AA115">
        <f t="shared" si="126"/>
        <v>16</v>
      </c>
      <c r="AB115">
        <f t="shared" si="126"/>
        <v>17</v>
      </c>
      <c r="AC115">
        <f t="shared" si="126"/>
        <v>18</v>
      </c>
      <c r="AD115">
        <f t="shared" si="126"/>
        <v>19</v>
      </c>
      <c r="AE115">
        <f t="shared" si="126"/>
        <v>20</v>
      </c>
      <c r="AF115">
        <f t="shared" si="126"/>
        <v>21</v>
      </c>
      <c r="AG115">
        <f t="shared" si="126"/>
        <v>22</v>
      </c>
      <c r="AH115">
        <f t="shared" si="126"/>
        <v>23</v>
      </c>
      <c r="AI115">
        <f t="shared" si="126"/>
        <v>24</v>
      </c>
      <c r="AJ115">
        <f t="shared" si="126"/>
        <v>25</v>
      </c>
      <c r="AK115">
        <f t="shared" si="126"/>
        <v>26</v>
      </c>
      <c r="AL115">
        <f t="shared" si="126"/>
        <v>27</v>
      </c>
      <c r="AM115">
        <f t="shared" si="126"/>
        <v>28</v>
      </c>
      <c r="AN115">
        <f t="shared" si="126"/>
        <v>29</v>
      </c>
      <c r="AO115">
        <f t="shared" si="126"/>
        <v>30</v>
      </c>
      <c r="AP115">
        <f t="shared" si="126"/>
        <v>31</v>
      </c>
      <c r="AQ115">
        <f t="shared" si="126"/>
        <v>32</v>
      </c>
      <c r="AR115">
        <f t="shared" si="126"/>
        <v>33</v>
      </c>
      <c r="AS115">
        <f t="shared" si="126"/>
        <v>34</v>
      </c>
      <c r="AT115">
        <f t="shared" si="126"/>
        <v>35</v>
      </c>
      <c r="AU115">
        <f t="shared" si="126"/>
        <v>36</v>
      </c>
      <c r="AV115">
        <f t="shared" si="126"/>
        <v>37</v>
      </c>
      <c r="AW115">
        <f t="shared" si="126"/>
        <v>38</v>
      </c>
      <c r="AX115">
        <f t="shared" si="126"/>
        <v>39</v>
      </c>
      <c r="AY115">
        <f t="shared" si="126"/>
        <v>40</v>
      </c>
      <c r="AZ115">
        <f t="shared" si="126"/>
        <v>41</v>
      </c>
      <c r="BA115">
        <f t="shared" si="126"/>
        <v>42</v>
      </c>
      <c r="BB115">
        <f t="shared" si="126"/>
        <v>43</v>
      </c>
      <c r="BC115">
        <f t="shared" si="126"/>
        <v>44</v>
      </c>
      <c r="BD115">
        <f t="shared" si="126"/>
        <v>45</v>
      </c>
      <c r="BE115">
        <f t="shared" si="126"/>
        <v>46</v>
      </c>
      <c r="BF115">
        <f t="shared" si="126"/>
        <v>47</v>
      </c>
      <c r="BG115">
        <f t="shared" si="126"/>
        <v>48</v>
      </c>
      <c r="BH115">
        <f t="shared" si="126"/>
        <v>49</v>
      </c>
      <c r="BI115">
        <f t="shared" si="126"/>
        <v>50</v>
      </c>
      <c r="BJ115">
        <f t="shared" si="126"/>
        <v>51</v>
      </c>
      <c r="BK115">
        <f t="shared" si="126"/>
        <v>52</v>
      </c>
      <c r="BL115">
        <f t="shared" si="126"/>
        <v>53</v>
      </c>
      <c r="BM115">
        <f t="shared" si="126"/>
        <v>54</v>
      </c>
      <c r="BN115">
        <f t="shared" si="126"/>
        <v>55</v>
      </c>
      <c r="BO115">
        <f t="shared" si="126"/>
        <v>56</v>
      </c>
      <c r="BP115">
        <f t="shared" si="126"/>
        <v>57</v>
      </c>
      <c r="BQ115">
        <f t="shared" si="126"/>
        <v>58</v>
      </c>
      <c r="BR115">
        <f t="shared" si="126"/>
        <v>59</v>
      </c>
      <c r="BS115">
        <f t="shared" ref="BS115:DA115" si="127">IF(BS116&lt;$C116,"",BS116-$C116)</f>
        <v>60</v>
      </c>
      <c r="BT115">
        <f t="shared" si="127"/>
        <v>61</v>
      </c>
      <c r="BU115">
        <f t="shared" si="127"/>
        <v>62</v>
      </c>
      <c r="BV115">
        <f t="shared" si="127"/>
        <v>63</v>
      </c>
      <c r="BW115">
        <f t="shared" si="127"/>
        <v>64</v>
      </c>
      <c r="BX115">
        <f t="shared" si="127"/>
        <v>65</v>
      </c>
      <c r="BY115">
        <f t="shared" si="127"/>
        <v>66</v>
      </c>
      <c r="BZ115">
        <f t="shared" si="127"/>
        <v>67</v>
      </c>
      <c r="CA115">
        <f t="shared" si="127"/>
        <v>68</v>
      </c>
      <c r="CB115">
        <f t="shared" si="127"/>
        <v>69</v>
      </c>
      <c r="CC115">
        <f t="shared" si="127"/>
        <v>70</v>
      </c>
      <c r="CD115">
        <f t="shared" si="127"/>
        <v>71</v>
      </c>
      <c r="CE115">
        <f t="shared" si="127"/>
        <v>72</v>
      </c>
      <c r="CF115">
        <f t="shared" si="127"/>
        <v>73</v>
      </c>
      <c r="CG115">
        <f t="shared" si="127"/>
        <v>74</v>
      </c>
      <c r="CH115">
        <f t="shared" si="127"/>
        <v>75</v>
      </c>
      <c r="CI115">
        <f t="shared" si="127"/>
        <v>76</v>
      </c>
      <c r="CJ115">
        <f t="shared" si="127"/>
        <v>77</v>
      </c>
      <c r="CK115">
        <f t="shared" si="127"/>
        <v>78</v>
      </c>
      <c r="CL115">
        <f t="shared" si="127"/>
        <v>79</v>
      </c>
      <c r="CM115">
        <f t="shared" si="127"/>
        <v>80</v>
      </c>
      <c r="CN115">
        <f t="shared" si="127"/>
        <v>81</v>
      </c>
      <c r="CO115">
        <f t="shared" si="127"/>
        <v>82</v>
      </c>
      <c r="CP115">
        <f t="shared" si="127"/>
        <v>83</v>
      </c>
      <c r="CQ115">
        <f t="shared" si="127"/>
        <v>84</v>
      </c>
      <c r="CR115">
        <f t="shared" si="127"/>
        <v>85</v>
      </c>
      <c r="CS115">
        <f t="shared" si="127"/>
        <v>86</v>
      </c>
      <c r="CT115">
        <f t="shared" si="127"/>
        <v>87</v>
      </c>
      <c r="CU115">
        <f t="shared" si="127"/>
        <v>88</v>
      </c>
      <c r="CV115">
        <f t="shared" si="127"/>
        <v>89</v>
      </c>
      <c r="CW115">
        <f t="shared" si="127"/>
        <v>90</v>
      </c>
      <c r="CX115">
        <f t="shared" si="127"/>
        <v>91</v>
      </c>
      <c r="CY115">
        <f t="shared" si="127"/>
        <v>92</v>
      </c>
      <c r="CZ115">
        <f t="shared" si="127"/>
        <v>93</v>
      </c>
      <c r="DA115">
        <f t="shared" si="127"/>
        <v>94</v>
      </c>
    </row>
    <row r="116" spans="3:108" x14ac:dyDescent="0.4">
      <c r="C116">
        <f>C99+1</f>
        <v>2033</v>
      </c>
      <c r="D116" s="5" t="s">
        <v>434</v>
      </c>
      <c r="E116" s="5">
        <v>2027</v>
      </c>
      <c r="F116" s="5">
        <v>2028</v>
      </c>
      <c r="G116" s="5">
        <v>2029</v>
      </c>
      <c r="H116" s="5">
        <v>2030</v>
      </c>
      <c r="I116" s="5">
        <v>2031</v>
      </c>
      <c r="J116" s="5">
        <v>2032</v>
      </c>
      <c r="K116" s="5">
        <v>2033</v>
      </c>
      <c r="L116" s="5">
        <v>2034</v>
      </c>
      <c r="M116" s="5">
        <v>2035</v>
      </c>
      <c r="N116" s="5">
        <v>2036</v>
      </c>
      <c r="O116" s="5">
        <v>2037</v>
      </c>
      <c r="P116" s="5">
        <v>2038</v>
      </c>
      <c r="Q116" s="5">
        <v>2039</v>
      </c>
      <c r="R116" s="5">
        <v>2040</v>
      </c>
      <c r="S116" s="5">
        <v>2041</v>
      </c>
      <c r="T116" s="5">
        <v>2042</v>
      </c>
      <c r="U116" s="5">
        <v>2043</v>
      </c>
      <c r="V116" s="5">
        <v>2044</v>
      </c>
      <c r="W116" s="5">
        <v>2045</v>
      </c>
      <c r="X116" s="5">
        <v>2046</v>
      </c>
      <c r="Y116" s="5">
        <v>2047</v>
      </c>
      <c r="Z116" s="5">
        <v>2048</v>
      </c>
      <c r="AA116" s="5">
        <v>2049</v>
      </c>
      <c r="AB116" s="5">
        <v>2050</v>
      </c>
      <c r="AC116" s="5">
        <v>2051</v>
      </c>
      <c r="AD116" s="5">
        <v>2052</v>
      </c>
      <c r="AE116" s="5">
        <v>2053</v>
      </c>
      <c r="AF116" s="5">
        <v>2054</v>
      </c>
      <c r="AG116" s="5">
        <v>2055</v>
      </c>
      <c r="AH116" s="5">
        <v>2056</v>
      </c>
      <c r="AI116" s="5">
        <v>2057</v>
      </c>
      <c r="AJ116" s="5">
        <v>2058</v>
      </c>
      <c r="AK116" s="5">
        <v>2059</v>
      </c>
      <c r="AL116" s="5">
        <v>2060</v>
      </c>
      <c r="AM116" s="5">
        <v>2061</v>
      </c>
      <c r="AN116" s="5">
        <v>2062</v>
      </c>
      <c r="AO116" s="5">
        <v>2063</v>
      </c>
      <c r="AP116" s="5">
        <v>2064</v>
      </c>
      <c r="AQ116" s="5">
        <v>2065</v>
      </c>
      <c r="AR116" s="5">
        <v>2066</v>
      </c>
      <c r="AS116" s="5">
        <v>2067</v>
      </c>
      <c r="AT116" s="5">
        <v>2068</v>
      </c>
      <c r="AU116" s="5">
        <v>2069</v>
      </c>
      <c r="AV116" s="5">
        <v>2070</v>
      </c>
      <c r="AW116" s="5">
        <v>2071</v>
      </c>
      <c r="AX116" s="5">
        <v>2072</v>
      </c>
      <c r="AY116" s="5">
        <v>2073</v>
      </c>
      <c r="AZ116" s="5">
        <v>2074</v>
      </c>
      <c r="BA116" s="5">
        <v>2075</v>
      </c>
      <c r="BB116" s="5">
        <v>2076</v>
      </c>
      <c r="BC116" s="5">
        <v>2077</v>
      </c>
      <c r="BD116" s="5">
        <v>2078</v>
      </c>
      <c r="BE116" s="5">
        <v>2079</v>
      </c>
      <c r="BF116" s="5">
        <v>2080</v>
      </c>
      <c r="BG116" s="5">
        <v>2081</v>
      </c>
      <c r="BH116" s="5">
        <v>2082</v>
      </c>
      <c r="BI116" s="5">
        <v>2083</v>
      </c>
      <c r="BJ116" s="5">
        <v>2084</v>
      </c>
      <c r="BK116" s="5">
        <v>2085</v>
      </c>
      <c r="BL116" s="5">
        <v>2086</v>
      </c>
      <c r="BM116" s="5">
        <v>2087</v>
      </c>
      <c r="BN116" s="5">
        <v>2088</v>
      </c>
      <c r="BO116" s="5">
        <v>2089</v>
      </c>
      <c r="BP116" s="5">
        <v>2090</v>
      </c>
      <c r="BQ116" s="5">
        <v>2091</v>
      </c>
      <c r="BR116" s="5">
        <v>2092</v>
      </c>
      <c r="BS116" s="5">
        <v>2093</v>
      </c>
      <c r="BT116" s="5">
        <v>2094</v>
      </c>
      <c r="BU116" s="5">
        <v>2095</v>
      </c>
      <c r="BV116" s="5">
        <v>2096</v>
      </c>
      <c r="BW116" s="5">
        <v>2097</v>
      </c>
      <c r="BX116" s="5">
        <v>2098</v>
      </c>
      <c r="BY116" s="5">
        <v>2099</v>
      </c>
      <c r="BZ116" s="5">
        <v>2100</v>
      </c>
      <c r="CA116" s="5">
        <v>2101</v>
      </c>
      <c r="CB116" s="5">
        <v>2102</v>
      </c>
      <c r="CC116" s="5">
        <v>2103</v>
      </c>
      <c r="CD116" s="5">
        <v>2104</v>
      </c>
      <c r="CE116" s="5">
        <v>2105</v>
      </c>
      <c r="CF116" s="5">
        <v>2106</v>
      </c>
      <c r="CG116" s="5">
        <v>2107</v>
      </c>
      <c r="CH116" s="5">
        <v>2108</v>
      </c>
      <c r="CI116" s="5">
        <v>2109</v>
      </c>
      <c r="CJ116" s="5">
        <v>2110</v>
      </c>
      <c r="CK116" s="5">
        <v>2111</v>
      </c>
      <c r="CL116" s="5">
        <v>2112</v>
      </c>
      <c r="CM116" s="5">
        <v>2113</v>
      </c>
      <c r="CN116" s="5">
        <v>2114</v>
      </c>
      <c r="CO116" s="5">
        <v>2115</v>
      </c>
      <c r="CP116" s="5">
        <v>2116</v>
      </c>
      <c r="CQ116" s="5">
        <v>2117</v>
      </c>
      <c r="CR116" s="5">
        <v>2118</v>
      </c>
      <c r="CS116" s="5">
        <v>2119</v>
      </c>
      <c r="CT116" s="5">
        <v>2120</v>
      </c>
      <c r="CU116" s="5">
        <v>2121</v>
      </c>
      <c r="CV116" s="5">
        <v>2122</v>
      </c>
      <c r="CW116" s="5">
        <v>2123</v>
      </c>
      <c r="CX116" s="5">
        <v>2124</v>
      </c>
      <c r="CY116" s="5">
        <v>2125</v>
      </c>
      <c r="CZ116" s="5">
        <v>2126</v>
      </c>
      <c r="DA116" s="5">
        <v>2127</v>
      </c>
    </row>
    <row r="117" spans="3:108" x14ac:dyDescent="0.4">
      <c r="D117" t="s">
        <v>207</v>
      </c>
      <c r="L117" s="8">
        <f>IF(L$13&lt;=$B$3,L118/$B$3,0)</f>
        <v>22860.840816131542</v>
      </c>
      <c r="M117" s="8">
        <f>IF(M115&lt;=$B$3,L117,0)</f>
        <v>22860.840816131542</v>
      </c>
      <c r="N117" s="8">
        <f t="shared" ref="N117:BY117" si="128">IF(N115&lt;=$B$3,M117,0)</f>
        <v>22860.840816131542</v>
      </c>
      <c r="O117" s="8">
        <f t="shared" si="128"/>
        <v>22860.840816131542</v>
      </c>
      <c r="P117" s="8">
        <f t="shared" si="128"/>
        <v>22860.840816131542</v>
      </c>
      <c r="Q117" s="8">
        <f t="shared" si="128"/>
        <v>22860.840816131542</v>
      </c>
      <c r="R117" s="8">
        <f t="shared" si="128"/>
        <v>22860.840816131542</v>
      </c>
      <c r="S117" s="8">
        <f t="shared" si="128"/>
        <v>22860.840816131542</v>
      </c>
      <c r="T117" s="8">
        <f t="shared" si="128"/>
        <v>22860.840816131542</v>
      </c>
      <c r="U117" s="8">
        <f t="shared" si="128"/>
        <v>22860.840816131542</v>
      </c>
      <c r="V117" s="8">
        <f t="shared" si="128"/>
        <v>22860.840816131542</v>
      </c>
      <c r="W117" s="8">
        <f t="shared" si="128"/>
        <v>22860.840816131542</v>
      </c>
      <c r="X117" s="8">
        <f t="shared" si="128"/>
        <v>22860.840816131542</v>
      </c>
      <c r="Y117" s="8">
        <f t="shared" si="128"/>
        <v>22860.840816131542</v>
      </c>
      <c r="Z117" s="8">
        <f t="shared" si="128"/>
        <v>22860.840816131542</v>
      </c>
      <c r="AA117" s="8">
        <f t="shared" si="128"/>
        <v>22860.840816131542</v>
      </c>
      <c r="AB117" s="8">
        <f t="shared" si="128"/>
        <v>22860.840816131542</v>
      </c>
      <c r="AC117" s="8">
        <f t="shared" si="128"/>
        <v>22860.840816131542</v>
      </c>
      <c r="AD117" s="8">
        <f t="shared" si="128"/>
        <v>22860.840816131542</v>
      </c>
      <c r="AE117" s="8">
        <f t="shared" si="128"/>
        <v>22860.840816131542</v>
      </c>
      <c r="AF117" s="8">
        <f t="shared" si="128"/>
        <v>22860.840816131542</v>
      </c>
      <c r="AG117" s="8">
        <f t="shared" si="128"/>
        <v>22860.840816131542</v>
      </c>
      <c r="AH117" s="8">
        <f t="shared" si="128"/>
        <v>22860.840816131542</v>
      </c>
      <c r="AI117" s="8">
        <f t="shared" si="128"/>
        <v>22860.840816131542</v>
      </c>
      <c r="AJ117" s="8">
        <f t="shared" si="128"/>
        <v>22860.840816131542</v>
      </c>
      <c r="AK117" s="8">
        <f t="shared" si="128"/>
        <v>22860.840816131542</v>
      </c>
      <c r="AL117" s="8">
        <f t="shared" si="128"/>
        <v>22860.840816131542</v>
      </c>
      <c r="AM117" s="8">
        <f t="shared" si="128"/>
        <v>22860.840816131542</v>
      </c>
      <c r="AN117" s="8">
        <f t="shared" si="128"/>
        <v>22860.840816131542</v>
      </c>
      <c r="AO117" s="8">
        <f t="shared" si="128"/>
        <v>22860.840816131542</v>
      </c>
      <c r="AP117" s="8">
        <f t="shared" si="128"/>
        <v>22860.840816131542</v>
      </c>
      <c r="AQ117" s="8">
        <f t="shared" si="128"/>
        <v>22860.840816131542</v>
      </c>
      <c r="AR117" s="8">
        <f t="shared" si="128"/>
        <v>22860.840816131542</v>
      </c>
      <c r="AS117" s="8">
        <f t="shared" si="128"/>
        <v>22860.840816131542</v>
      </c>
      <c r="AT117" s="8">
        <f t="shared" si="128"/>
        <v>22860.840816131542</v>
      </c>
      <c r="AU117" s="8">
        <f t="shared" si="128"/>
        <v>22860.840816131542</v>
      </c>
      <c r="AV117" s="8">
        <f t="shared" si="128"/>
        <v>22860.840816131542</v>
      </c>
      <c r="AW117" s="8">
        <f t="shared" si="128"/>
        <v>22860.840816131542</v>
      </c>
      <c r="AX117" s="8">
        <f t="shared" si="128"/>
        <v>22860.840816131542</v>
      </c>
      <c r="AY117" s="8">
        <f t="shared" si="128"/>
        <v>22860.840816131542</v>
      </c>
      <c r="AZ117" s="8">
        <f t="shared" si="128"/>
        <v>22860.840816131542</v>
      </c>
      <c r="BA117" s="8">
        <f t="shared" si="128"/>
        <v>22860.840816131542</v>
      </c>
      <c r="BB117" s="8">
        <f t="shared" si="128"/>
        <v>22860.840816131542</v>
      </c>
      <c r="BC117" s="8">
        <f t="shared" si="128"/>
        <v>22860.840816131542</v>
      </c>
      <c r="BD117" s="8">
        <f t="shared" si="128"/>
        <v>22860.840816131542</v>
      </c>
      <c r="BE117" s="8">
        <f t="shared" si="128"/>
        <v>22860.840816131542</v>
      </c>
      <c r="BF117" s="8">
        <f t="shared" si="128"/>
        <v>22860.840816131542</v>
      </c>
      <c r="BG117" s="8">
        <f t="shared" si="128"/>
        <v>22860.840816131542</v>
      </c>
      <c r="BH117" s="8">
        <f t="shared" si="128"/>
        <v>22860.840816131542</v>
      </c>
      <c r="BI117" s="8">
        <f t="shared" si="128"/>
        <v>22860.840816131542</v>
      </c>
      <c r="BJ117" s="8">
        <f t="shared" si="128"/>
        <v>0</v>
      </c>
      <c r="BK117" s="8">
        <f t="shared" si="128"/>
        <v>0</v>
      </c>
      <c r="BL117" s="8">
        <f t="shared" si="128"/>
        <v>0</v>
      </c>
      <c r="BM117" s="8">
        <f t="shared" si="128"/>
        <v>0</v>
      </c>
      <c r="BN117" s="8">
        <f t="shared" si="128"/>
        <v>0</v>
      </c>
      <c r="BO117" s="8">
        <f t="shared" si="128"/>
        <v>0</v>
      </c>
      <c r="BP117" s="8">
        <f t="shared" si="128"/>
        <v>0</v>
      </c>
      <c r="BQ117" s="8">
        <f t="shared" si="128"/>
        <v>0</v>
      </c>
      <c r="BR117" s="8">
        <f t="shared" si="128"/>
        <v>0</v>
      </c>
      <c r="BS117" s="8">
        <f t="shared" si="128"/>
        <v>0</v>
      </c>
      <c r="BT117" s="8">
        <f t="shared" si="128"/>
        <v>0</v>
      </c>
      <c r="BU117" s="8">
        <f t="shared" si="128"/>
        <v>0</v>
      </c>
      <c r="BV117" s="8">
        <f t="shared" si="128"/>
        <v>0</v>
      </c>
      <c r="BW117" s="8">
        <f t="shared" si="128"/>
        <v>0</v>
      </c>
      <c r="BX117" s="8">
        <f t="shared" si="128"/>
        <v>0</v>
      </c>
      <c r="BY117" s="8">
        <f t="shared" si="128"/>
        <v>0</v>
      </c>
      <c r="BZ117" s="8">
        <f t="shared" ref="BZ117:DA117" si="129">IF(BZ115&lt;=$B$3,BY117,0)</f>
        <v>0</v>
      </c>
      <c r="CA117" s="8">
        <f t="shared" si="129"/>
        <v>0</v>
      </c>
      <c r="CB117" s="8">
        <f t="shared" si="129"/>
        <v>0</v>
      </c>
      <c r="CC117" s="8">
        <f t="shared" si="129"/>
        <v>0</v>
      </c>
      <c r="CD117" s="8">
        <f t="shared" si="129"/>
        <v>0</v>
      </c>
      <c r="CE117" s="8">
        <f t="shared" si="129"/>
        <v>0</v>
      </c>
      <c r="CF117" s="8">
        <f t="shared" si="129"/>
        <v>0</v>
      </c>
      <c r="CG117" s="8">
        <f t="shared" si="129"/>
        <v>0</v>
      </c>
      <c r="CH117" s="8">
        <f t="shared" si="129"/>
        <v>0</v>
      </c>
      <c r="CI117" s="8">
        <f t="shared" si="129"/>
        <v>0</v>
      </c>
      <c r="CJ117" s="8">
        <f t="shared" si="129"/>
        <v>0</v>
      </c>
      <c r="CK117" s="8">
        <f t="shared" si="129"/>
        <v>0</v>
      </c>
      <c r="CL117" s="8">
        <f t="shared" si="129"/>
        <v>0</v>
      </c>
      <c r="CM117" s="8">
        <f t="shared" si="129"/>
        <v>0</v>
      </c>
      <c r="CN117" s="8">
        <f t="shared" si="129"/>
        <v>0</v>
      </c>
      <c r="CO117" s="8">
        <f t="shared" si="129"/>
        <v>0</v>
      </c>
      <c r="CP117" s="8">
        <f t="shared" si="129"/>
        <v>0</v>
      </c>
      <c r="CQ117" s="8">
        <f t="shared" si="129"/>
        <v>0</v>
      </c>
      <c r="CR117" s="8">
        <f t="shared" si="129"/>
        <v>0</v>
      </c>
      <c r="CS117" s="8">
        <f t="shared" si="129"/>
        <v>0</v>
      </c>
      <c r="CT117" s="8">
        <f t="shared" si="129"/>
        <v>0</v>
      </c>
      <c r="CU117" s="8">
        <f t="shared" si="129"/>
        <v>0</v>
      </c>
      <c r="CV117" s="8">
        <f t="shared" si="129"/>
        <v>0</v>
      </c>
      <c r="CW117" s="8">
        <f t="shared" si="129"/>
        <v>0</v>
      </c>
      <c r="CX117" s="8">
        <f t="shared" si="129"/>
        <v>0</v>
      </c>
      <c r="CY117" s="8">
        <f t="shared" si="129"/>
        <v>0</v>
      </c>
      <c r="CZ117" s="8">
        <f t="shared" si="129"/>
        <v>0</v>
      </c>
      <c r="DA117" s="8">
        <f t="shared" si="129"/>
        <v>0</v>
      </c>
      <c r="DB117" s="8"/>
      <c r="DC117" s="8"/>
      <c r="DD117" s="8"/>
    </row>
    <row r="118" spans="3:108" x14ac:dyDescent="0.4">
      <c r="D118" t="s">
        <v>154</v>
      </c>
      <c r="K118" s="8">
        <f>HLOOKUP(L116,$F$3:$O$10,7,0)</f>
        <v>1143042.0408065771</v>
      </c>
      <c r="L118" s="8">
        <f t="shared" ref="L118:BW118" si="130">IF(ROUND(K119,4)=-ROUND(K118,4),0,K118)</f>
        <v>1143042.0408065771</v>
      </c>
      <c r="M118" s="8">
        <f t="shared" si="130"/>
        <v>1143042.0408065771</v>
      </c>
      <c r="N118" s="8">
        <f t="shared" si="130"/>
        <v>1143042.0408065771</v>
      </c>
      <c r="O118" s="8">
        <f t="shared" si="130"/>
        <v>1143042.0408065771</v>
      </c>
      <c r="P118" s="8">
        <f t="shared" si="130"/>
        <v>1143042.0408065771</v>
      </c>
      <c r="Q118" s="8">
        <f t="shared" si="130"/>
        <v>1143042.0408065771</v>
      </c>
      <c r="R118" s="8">
        <f t="shared" si="130"/>
        <v>1143042.0408065771</v>
      </c>
      <c r="S118" s="8">
        <f t="shared" si="130"/>
        <v>1143042.0408065771</v>
      </c>
      <c r="T118" s="8">
        <f t="shared" si="130"/>
        <v>1143042.0408065771</v>
      </c>
      <c r="U118" s="8">
        <f t="shared" si="130"/>
        <v>1143042.0408065771</v>
      </c>
      <c r="V118" s="8">
        <f t="shared" si="130"/>
        <v>1143042.0408065771</v>
      </c>
      <c r="W118" s="8">
        <f t="shared" si="130"/>
        <v>1143042.0408065771</v>
      </c>
      <c r="X118" s="8">
        <f t="shared" si="130"/>
        <v>1143042.0408065771</v>
      </c>
      <c r="Y118" s="8">
        <f t="shared" si="130"/>
        <v>1143042.0408065771</v>
      </c>
      <c r="Z118" s="8">
        <f t="shared" si="130"/>
        <v>1143042.0408065771</v>
      </c>
      <c r="AA118" s="8">
        <f t="shared" si="130"/>
        <v>1143042.0408065771</v>
      </c>
      <c r="AB118" s="8">
        <f t="shared" si="130"/>
        <v>1143042.0408065771</v>
      </c>
      <c r="AC118" s="8">
        <f t="shared" si="130"/>
        <v>1143042.0408065771</v>
      </c>
      <c r="AD118" s="8">
        <f t="shared" si="130"/>
        <v>1143042.0408065771</v>
      </c>
      <c r="AE118" s="8">
        <f t="shared" si="130"/>
        <v>1143042.0408065771</v>
      </c>
      <c r="AF118" s="8">
        <f t="shared" si="130"/>
        <v>1143042.0408065771</v>
      </c>
      <c r="AG118" s="8">
        <f t="shared" si="130"/>
        <v>1143042.0408065771</v>
      </c>
      <c r="AH118" s="8">
        <f t="shared" si="130"/>
        <v>1143042.0408065771</v>
      </c>
      <c r="AI118" s="8">
        <f t="shared" si="130"/>
        <v>1143042.0408065771</v>
      </c>
      <c r="AJ118" s="8">
        <f t="shared" si="130"/>
        <v>1143042.0408065771</v>
      </c>
      <c r="AK118" s="8">
        <f t="shared" si="130"/>
        <v>1143042.0408065771</v>
      </c>
      <c r="AL118" s="8">
        <f t="shared" si="130"/>
        <v>1143042.0408065771</v>
      </c>
      <c r="AM118" s="8">
        <f t="shared" si="130"/>
        <v>1143042.0408065771</v>
      </c>
      <c r="AN118" s="8">
        <f t="shared" si="130"/>
        <v>1143042.0408065771</v>
      </c>
      <c r="AO118" s="8">
        <f t="shared" si="130"/>
        <v>1143042.0408065771</v>
      </c>
      <c r="AP118" s="8">
        <f t="shared" si="130"/>
        <v>1143042.0408065771</v>
      </c>
      <c r="AQ118" s="8">
        <f t="shared" si="130"/>
        <v>1143042.0408065771</v>
      </c>
      <c r="AR118" s="8">
        <f t="shared" si="130"/>
        <v>1143042.0408065771</v>
      </c>
      <c r="AS118" s="8">
        <f t="shared" si="130"/>
        <v>1143042.0408065771</v>
      </c>
      <c r="AT118" s="8">
        <f t="shared" si="130"/>
        <v>1143042.0408065771</v>
      </c>
      <c r="AU118" s="8">
        <f t="shared" si="130"/>
        <v>1143042.0408065771</v>
      </c>
      <c r="AV118" s="8">
        <f t="shared" si="130"/>
        <v>1143042.0408065771</v>
      </c>
      <c r="AW118" s="8">
        <f t="shared" si="130"/>
        <v>1143042.0408065771</v>
      </c>
      <c r="AX118" s="8">
        <f t="shared" si="130"/>
        <v>1143042.0408065771</v>
      </c>
      <c r="AY118" s="8">
        <f t="shared" si="130"/>
        <v>1143042.0408065771</v>
      </c>
      <c r="AZ118" s="8">
        <f t="shared" si="130"/>
        <v>1143042.0408065771</v>
      </c>
      <c r="BA118" s="8">
        <f t="shared" si="130"/>
        <v>1143042.0408065771</v>
      </c>
      <c r="BB118" s="8">
        <f t="shared" si="130"/>
        <v>1143042.0408065771</v>
      </c>
      <c r="BC118" s="8">
        <f t="shared" si="130"/>
        <v>1143042.0408065771</v>
      </c>
      <c r="BD118" s="8">
        <f t="shared" si="130"/>
        <v>1143042.0408065771</v>
      </c>
      <c r="BE118" s="8">
        <f t="shared" si="130"/>
        <v>1143042.0408065771</v>
      </c>
      <c r="BF118" s="8">
        <f t="shared" si="130"/>
        <v>1143042.0408065771</v>
      </c>
      <c r="BG118" s="8">
        <f t="shared" si="130"/>
        <v>1143042.0408065771</v>
      </c>
      <c r="BH118" s="8">
        <f t="shared" si="130"/>
        <v>1143042.0408065771</v>
      </c>
      <c r="BI118" s="8">
        <f t="shared" si="130"/>
        <v>1143042.0408065771</v>
      </c>
      <c r="BJ118" s="8">
        <f t="shared" si="130"/>
        <v>0</v>
      </c>
      <c r="BK118" s="8">
        <f t="shared" si="130"/>
        <v>0</v>
      </c>
      <c r="BL118" s="8">
        <f t="shared" si="130"/>
        <v>0</v>
      </c>
      <c r="BM118" s="8">
        <f t="shared" si="130"/>
        <v>0</v>
      </c>
      <c r="BN118" s="8">
        <f t="shared" si="130"/>
        <v>0</v>
      </c>
      <c r="BO118" s="8">
        <f t="shared" si="130"/>
        <v>0</v>
      </c>
      <c r="BP118" s="8">
        <f t="shared" si="130"/>
        <v>0</v>
      </c>
      <c r="BQ118" s="8">
        <f t="shared" si="130"/>
        <v>0</v>
      </c>
      <c r="BR118" s="8">
        <f t="shared" si="130"/>
        <v>0</v>
      </c>
      <c r="BS118" s="8">
        <f t="shared" si="130"/>
        <v>0</v>
      </c>
      <c r="BT118" s="8">
        <f t="shared" si="130"/>
        <v>0</v>
      </c>
      <c r="BU118" s="8">
        <f t="shared" si="130"/>
        <v>0</v>
      </c>
      <c r="BV118" s="8">
        <f t="shared" si="130"/>
        <v>0</v>
      </c>
      <c r="BW118" s="8">
        <f t="shared" si="130"/>
        <v>0</v>
      </c>
      <c r="BX118" s="8">
        <f t="shared" ref="BX118:DA118" si="131">IF(ROUND(BW119,4)=-ROUND(BW118,4),0,BW118)</f>
        <v>0</v>
      </c>
      <c r="BY118" s="8">
        <f t="shared" si="131"/>
        <v>0</v>
      </c>
      <c r="BZ118" s="8">
        <f t="shared" si="131"/>
        <v>0</v>
      </c>
      <c r="CA118" s="8">
        <f t="shared" si="131"/>
        <v>0</v>
      </c>
      <c r="CB118" s="8">
        <f t="shared" si="131"/>
        <v>0</v>
      </c>
      <c r="CC118" s="8">
        <f t="shared" si="131"/>
        <v>0</v>
      </c>
      <c r="CD118" s="8">
        <f t="shared" si="131"/>
        <v>0</v>
      </c>
      <c r="CE118" s="8">
        <f t="shared" si="131"/>
        <v>0</v>
      </c>
      <c r="CF118" s="8">
        <f t="shared" si="131"/>
        <v>0</v>
      </c>
      <c r="CG118" s="8">
        <f t="shared" si="131"/>
        <v>0</v>
      </c>
      <c r="CH118" s="8">
        <f t="shared" si="131"/>
        <v>0</v>
      </c>
      <c r="CI118" s="8">
        <f t="shared" si="131"/>
        <v>0</v>
      </c>
      <c r="CJ118" s="8">
        <f t="shared" si="131"/>
        <v>0</v>
      </c>
      <c r="CK118" s="8">
        <f t="shared" si="131"/>
        <v>0</v>
      </c>
      <c r="CL118" s="8">
        <f t="shared" si="131"/>
        <v>0</v>
      </c>
      <c r="CM118" s="8">
        <f t="shared" si="131"/>
        <v>0</v>
      </c>
      <c r="CN118" s="8">
        <f t="shared" si="131"/>
        <v>0</v>
      </c>
      <c r="CO118" s="8">
        <f t="shared" si="131"/>
        <v>0</v>
      </c>
      <c r="CP118" s="8">
        <f t="shared" si="131"/>
        <v>0</v>
      </c>
      <c r="CQ118" s="8">
        <f t="shared" si="131"/>
        <v>0</v>
      </c>
      <c r="CR118" s="8">
        <f t="shared" si="131"/>
        <v>0</v>
      </c>
      <c r="CS118" s="8">
        <f t="shared" si="131"/>
        <v>0</v>
      </c>
      <c r="CT118" s="8">
        <f t="shared" si="131"/>
        <v>0</v>
      </c>
      <c r="CU118" s="8">
        <f t="shared" si="131"/>
        <v>0</v>
      </c>
      <c r="CV118" s="8">
        <f t="shared" si="131"/>
        <v>0</v>
      </c>
      <c r="CW118" s="8">
        <f t="shared" si="131"/>
        <v>0</v>
      </c>
      <c r="CX118" s="8">
        <f t="shared" si="131"/>
        <v>0</v>
      </c>
      <c r="CY118" s="8">
        <f t="shared" si="131"/>
        <v>0</v>
      </c>
      <c r="CZ118" s="8">
        <f t="shared" si="131"/>
        <v>0</v>
      </c>
      <c r="DA118" s="8">
        <f t="shared" si="131"/>
        <v>0</v>
      </c>
      <c r="DB118" s="8"/>
      <c r="DC118" s="8"/>
      <c r="DD118" s="8"/>
    </row>
    <row r="119" spans="3:108" x14ac:dyDescent="0.4">
      <c r="D119" t="s">
        <v>208</v>
      </c>
      <c r="K119" s="8"/>
      <c r="L119" s="8">
        <f>IF(L115&lt;=$B$3,-SUM($E117:L117),0)</f>
        <v>-22860.840816131542</v>
      </c>
      <c r="M119" s="8">
        <f>IF(M115&lt;=$B$3,-SUM($E117:M117),0)</f>
        <v>-45721.681632263084</v>
      </c>
      <c r="N119" s="8">
        <f>IF(N115&lt;=$B$3,-SUM($E117:N117),0)</f>
        <v>-68582.522448394622</v>
      </c>
      <c r="O119" s="8">
        <f>IF(O115&lt;=$B$3,-SUM($E117:O117),0)</f>
        <v>-91443.363264526168</v>
      </c>
      <c r="P119" s="8">
        <f>IF(P115&lt;=$B$3,-SUM($E117:P117),0)</f>
        <v>-114304.20408065771</v>
      </c>
      <c r="Q119" s="8">
        <f>IF(Q115&lt;=$B$3,-SUM($E117:Q117),0)</f>
        <v>-137165.04489678924</v>
      </c>
      <c r="R119" s="8">
        <f>IF(R115&lt;=$B$3,-SUM($E117:R117),0)</f>
        <v>-160025.88571292078</v>
      </c>
      <c r="S119" s="8">
        <f>IF(S115&lt;=$B$3,-SUM($E117:S117),0)</f>
        <v>-182886.72652905231</v>
      </c>
      <c r="T119" s="8">
        <f>IF(T115&lt;=$B$3,-SUM($E117:T117),0)</f>
        <v>-205747.56734518384</v>
      </c>
      <c r="U119" s="8">
        <f>IF(U115&lt;=$B$3,-SUM($E117:U117),0)</f>
        <v>-228608.40816131537</v>
      </c>
      <c r="V119" s="8">
        <f>IF(V115&lt;=$B$3,-SUM($E117:V117),0)</f>
        <v>-251469.2489774469</v>
      </c>
      <c r="W119" s="8">
        <f>IF(W115&lt;=$B$3,-SUM($E117:W117),0)</f>
        <v>-274330.08979357843</v>
      </c>
      <c r="X119" s="8">
        <f>IF(X115&lt;=$B$3,-SUM($E117:X117),0)</f>
        <v>-297190.93060970999</v>
      </c>
      <c r="Y119" s="8">
        <f>IF(Y115&lt;=$B$3,-SUM($E117:Y117),0)</f>
        <v>-320051.77142584155</v>
      </c>
      <c r="Z119" s="8">
        <f>IF(Z115&lt;=$B$3,-SUM($E117:Z117),0)</f>
        <v>-342912.61224197311</v>
      </c>
      <c r="AA119" s="8">
        <f>IF(AA115&lt;=$B$3,-SUM($E117:AA117),0)</f>
        <v>-365773.45305810467</v>
      </c>
      <c r="AB119" s="8">
        <f>IF(AB115&lt;=$B$3,-SUM($E117:AB117),0)</f>
        <v>-388634.29387423623</v>
      </c>
      <c r="AC119" s="8">
        <f>IF(AC115&lt;=$B$3,-SUM($E117:AC117),0)</f>
        <v>-411495.13469036779</v>
      </c>
      <c r="AD119" s="8">
        <f>IF(AD115&lt;=$B$3,-SUM($E117:AD117),0)</f>
        <v>-434355.97550649935</v>
      </c>
      <c r="AE119" s="8">
        <f>IF(AE115&lt;=$B$3,-SUM($E117:AE117),0)</f>
        <v>-457216.81632263091</v>
      </c>
      <c r="AF119" s="8">
        <f>IF(AF115&lt;=$B$3,-SUM($E117:AF117),0)</f>
        <v>-480077.65713876247</v>
      </c>
      <c r="AG119" s="8">
        <f>IF(AG115&lt;=$B$3,-SUM($E117:AG117),0)</f>
        <v>-502938.49795489403</v>
      </c>
      <c r="AH119" s="8">
        <f>IF(AH115&lt;=$B$3,-SUM($E117:AH117),0)</f>
        <v>-525799.33877102553</v>
      </c>
      <c r="AI119" s="8">
        <f>IF(AI115&lt;=$B$3,-SUM($E117:AI117),0)</f>
        <v>-548660.17958715709</v>
      </c>
      <c r="AJ119" s="8">
        <f>IF(AJ115&lt;=$B$3,-SUM($E117:AJ117),0)</f>
        <v>-571521.02040328865</v>
      </c>
      <c r="AK119" s="8">
        <f>IF(AK115&lt;=$B$3,-SUM($E117:AK117),0)</f>
        <v>-594381.86121942021</v>
      </c>
      <c r="AL119" s="8">
        <f>IF(AL115&lt;=$B$3,-SUM($E117:AL117),0)</f>
        <v>-617242.70203555177</v>
      </c>
      <c r="AM119" s="8">
        <f>IF(AM115&lt;=$B$3,-SUM($E117:AM117),0)</f>
        <v>-640103.54285168333</v>
      </c>
      <c r="AN119" s="8">
        <f>IF(AN115&lt;=$B$3,-SUM($E117:AN117),0)</f>
        <v>-662964.38366781489</v>
      </c>
      <c r="AO119" s="8">
        <f>IF(AO115&lt;=$B$3,-SUM($E117:AO117),0)</f>
        <v>-685825.22448394645</v>
      </c>
      <c r="AP119" s="8">
        <f>IF(AP115&lt;=$B$3,-SUM($E117:AP117),0)</f>
        <v>-708686.06530007801</v>
      </c>
      <c r="AQ119" s="8">
        <f>IF(AQ115&lt;=$B$3,-SUM($E117:AQ117),0)</f>
        <v>-731546.90611620957</v>
      </c>
      <c r="AR119" s="8">
        <f>IF(AR115&lt;=$B$3,-SUM($E117:AR117),0)</f>
        <v>-754407.74693234114</v>
      </c>
      <c r="AS119" s="8">
        <f>IF(AS115&lt;=$B$3,-SUM($E117:AS117),0)</f>
        <v>-777268.5877484727</v>
      </c>
      <c r="AT119" s="8">
        <f>IF(AT115&lt;=$B$3,-SUM($E117:AT117),0)</f>
        <v>-800129.42856460426</v>
      </c>
      <c r="AU119" s="8">
        <f>IF(AU115&lt;=$B$3,-SUM($E117:AU117),0)</f>
        <v>-822990.26938073582</v>
      </c>
      <c r="AV119" s="8">
        <f>IF(AV115&lt;=$B$3,-SUM($E117:AV117),0)</f>
        <v>-845851.11019686738</v>
      </c>
      <c r="AW119" s="8">
        <f>IF(AW115&lt;=$B$3,-SUM($E117:AW117),0)</f>
        <v>-868711.95101299894</v>
      </c>
      <c r="AX119" s="8">
        <f>IF(AX115&lt;=$B$3,-SUM($E117:AX117),0)</f>
        <v>-891572.7918291305</v>
      </c>
      <c r="AY119" s="8">
        <f>IF(AY115&lt;=$B$3,-SUM($E117:AY117),0)</f>
        <v>-914433.63264526206</v>
      </c>
      <c r="AZ119" s="8">
        <f>IF(AZ115&lt;=$B$3,-SUM($E117:AZ117),0)</f>
        <v>-937294.47346139362</v>
      </c>
      <c r="BA119" s="8">
        <f>IF(BA115&lt;=$B$3,-SUM($E117:BA117),0)</f>
        <v>-960155.31427752518</v>
      </c>
      <c r="BB119" s="8">
        <f>IF(BB115&lt;=$B$3,-SUM($E117:BB117),0)</f>
        <v>-983016.15509365674</v>
      </c>
      <c r="BC119" s="8">
        <f>IF(BC115&lt;=$B$3,-SUM($E117:BC117),0)</f>
        <v>-1005876.9959097883</v>
      </c>
      <c r="BD119" s="8">
        <f>IF(BD115&lt;=$B$3,-SUM($E117:BD117),0)</f>
        <v>-1028737.8367259199</v>
      </c>
      <c r="BE119" s="8">
        <f>IF(BE115&lt;=$B$3,-SUM($E117:BE117),0)</f>
        <v>-1051598.6775420513</v>
      </c>
      <c r="BF119" s="8">
        <f>IF(BF115&lt;=$B$3,-SUM($E117:BF117),0)</f>
        <v>-1074459.5183581829</v>
      </c>
      <c r="BG119" s="8">
        <f>IF(BG115&lt;=$B$3,-SUM($E117:BG117),0)</f>
        <v>-1097320.3591743144</v>
      </c>
      <c r="BH119" s="8">
        <f>IF(BH115&lt;=$B$3,-SUM($E117:BH117),0)</f>
        <v>-1120181.199990446</v>
      </c>
      <c r="BI119" s="8">
        <f>IF(BI115&lt;=$B$3,-SUM($E117:BI117),0)</f>
        <v>-1143042.0408065775</v>
      </c>
      <c r="BJ119" s="8">
        <f>IF(BJ115&lt;=$B$3,-SUM($E117:BJ117),0)</f>
        <v>0</v>
      </c>
      <c r="BK119" s="8">
        <f>IF(BK115&lt;=$B$3,-SUM($E117:BK117),0)</f>
        <v>0</v>
      </c>
      <c r="BL119" s="8">
        <f>IF(BL115&lt;=$B$3,-SUM($E117:BL117),0)</f>
        <v>0</v>
      </c>
      <c r="BM119" s="8">
        <f>IF(BM115&lt;=$B$3,-SUM($E117:BM117),0)</f>
        <v>0</v>
      </c>
      <c r="BN119" s="8">
        <f>IF(BN115&lt;=$B$3,-SUM($E117:BN117),0)</f>
        <v>0</v>
      </c>
      <c r="BO119" s="8">
        <f>IF(BO115&lt;=$B$3,-SUM($E117:BO117),0)</f>
        <v>0</v>
      </c>
      <c r="BP119" s="8">
        <f>IF(BP115&lt;=$B$3,-SUM($E117:BP117),0)</f>
        <v>0</v>
      </c>
      <c r="BQ119" s="8">
        <f>IF(BQ115&lt;=$B$3,-SUM($E117:BQ117),0)</f>
        <v>0</v>
      </c>
      <c r="BR119" s="8">
        <f>IF(BR115&lt;=$B$3,-SUM($E117:BR117),0)</f>
        <v>0</v>
      </c>
      <c r="BS119" s="8">
        <f>IF(BS115&lt;=$B$3,-SUM($E117:BS117),0)</f>
        <v>0</v>
      </c>
      <c r="BT119" s="8">
        <f>IF(BT115&lt;=$B$3,-SUM($E117:BT117),0)</f>
        <v>0</v>
      </c>
      <c r="BU119" s="8">
        <f>IF(BU115&lt;=$B$3,-SUM($E117:BU117),0)</f>
        <v>0</v>
      </c>
      <c r="BV119" s="8">
        <f>IF(BV115&lt;=$B$3,-SUM($E117:BV117),0)</f>
        <v>0</v>
      </c>
      <c r="BW119" s="8">
        <f>IF(BW115&lt;=$B$3,-SUM($E117:BW117),0)</f>
        <v>0</v>
      </c>
      <c r="BX119" s="8">
        <f>IF(BX115&lt;=$B$3,-SUM($E117:BX117),0)</f>
        <v>0</v>
      </c>
      <c r="BY119" s="8">
        <f>IF(BY115&lt;=$B$3,-SUM($E117:BY117),0)</f>
        <v>0</v>
      </c>
      <c r="BZ119" s="8">
        <f>IF(BZ115&lt;=$B$3,-SUM($E117:BZ117),0)</f>
        <v>0</v>
      </c>
      <c r="CA119" s="8">
        <f>IF(CA115&lt;=$B$3,-SUM($E117:CA117),0)</f>
        <v>0</v>
      </c>
      <c r="CB119" s="8">
        <f>IF(CB115&lt;=$B$3,-SUM($E117:CB117),0)</f>
        <v>0</v>
      </c>
      <c r="CC119" s="8">
        <f>IF(CC115&lt;=$B$3,-SUM($E117:CC117),0)</f>
        <v>0</v>
      </c>
      <c r="CD119" s="8">
        <f>IF(CD115&lt;=$B$3,-SUM($E117:CD117),0)</f>
        <v>0</v>
      </c>
      <c r="CE119" s="8">
        <f>IF(CE115&lt;=$B$3,-SUM($E117:CE117),0)</f>
        <v>0</v>
      </c>
      <c r="CF119" s="8">
        <f>IF(CF115&lt;=$B$3,-SUM($E117:CF117),0)</f>
        <v>0</v>
      </c>
      <c r="CG119" s="8">
        <f>IF(CG115&lt;=$B$3,-SUM($E117:CG117),0)</f>
        <v>0</v>
      </c>
      <c r="CH119" s="8">
        <f>IF(CH115&lt;=$B$3,-SUM($E117:CH117),0)</f>
        <v>0</v>
      </c>
      <c r="CI119" s="8">
        <f>IF(CI115&lt;=$B$3,-SUM($E117:CI117),0)</f>
        <v>0</v>
      </c>
      <c r="CJ119" s="8">
        <f>IF(CJ115&lt;=$B$3,-SUM($E117:CJ117),0)</f>
        <v>0</v>
      </c>
      <c r="CK119" s="8">
        <f>IF(CK115&lt;=$B$3,-SUM($E117:CK117),0)</f>
        <v>0</v>
      </c>
      <c r="CL119" s="8">
        <f>IF(CL115&lt;=$B$3,-SUM($E117:CL117),0)</f>
        <v>0</v>
      </c>
      <c r="CM119" s="8">
        <f>IF(CM115&lt;=$B$3,-SUM($E117:CM117),0)</f>
        <v>0</v>
      </c>
      <c r="CN119" s="8">
        <f>IF(CN115&lt;=$B$3,-SUM($E117:CN117),0)</f>
        <v>0</v>
      </c>
      <c r="CO119" s="8">
        <f>IF(CO115&lt;=$B$3,-SUM($E117:CO117),0)</f>
        <v>0</v>
      </c>
      <c r="CP119" s="8">
        <f>IF(CP115&lt;=$B$3,-SUM($E117:CP117),0)</f>
        <v>0</v>
      </c>
      <c r="CQ119" s="8">
        <f>IF(CQ115&lt;=$B$3,-SUM($E117:CQ117),0)</f>
        <v>0</v>
      </c>
      <c r="CR119" s="8">
        <f>IF(CR115&lt;=$B$3,-SUM($E117:CR117),0)</f>
        <v>0</v>
      </c>
      <c r="CS119" s="8">
        <f>IF(CS115&lt;=$B$3,-SUM($E117:CS117),0)</f>
        <v>0</v>
      </c>
      <c r="CT119" s="8">
        <f>IF(CT115&lt;=$B$3,-SUM($E117:CT117),0)</f>
        <v>0</v>
      </c>
      <c r="CU119" s="8">
        <f>IF(CU115&lt;=$B$3,-SUM($E117:CU117),0)</f>
        <v>0</v>
      </c>
      <c r="CV119" s="8">
        <f>IF(CV115&lt;=$B$3,-SUM($E117:CV117),0)</f>
        <v>0</v>
      </c>
      <c r="CW119" s="8">
        <f>IF(CW115&lt;=$B$3,-SUM($E117:CW117),0)</f>
        <v>0</v>
      </c>
      <c r="CX119" s="8">
        <f>IF(CX115&lt;=$B$3,-SUM($E117:CX117),0)</f>
        <v>0</v>
      </c>
      <c r="CY119" s="8">
        <f>IF(CY115&lt;=$B$3,-SUM($E117:CY117),0)</f>
        <v>0</v>
      </c>
      <c r="CZ119" s="8">
        <f>IF(CZ115&lt;=$B$3,-SUM($E117:CZ117),0)</f>
        <v>0</v>
      </c>
      <c r="DA119" s="8">
        <f>IF(DA115&lt;=$B$3,-SUM($E117:DA117),0)</f>
        <v>0</v>
      </c>
      <c r="DB119" s="8"/>
      <c r="DC119" s="8"/>
      <c r="DD119" s="8"/>
    </row>
    <row r="120" spans="3:108" x14ac:dyDescent="0.4">
      <c r="D120" t="s">
        <v>167</v>
      </c>
      <c r="K120" s="8"/>
      <c r="L120" s="8">
        <f>K121</f>
        <v>1143042.0408065771</v>
      </c>
      <c r="M120" s="8">
        <f t="shared" ref="M120:BX120" si="132">L121</f>
        <v>1120181.1999904455</v>
      </c>
      <c r="N120" s="8">
        <f t="shared" si="132"/>
        <v>1097320.359174314</v>
      </c>
      <c r="O120" s="8">
        <f t="shared" si="132"/>
        <v>1074459.5183581824</v>
      </c>
      <c r="P120" s="8">
        <f t="shared" si="132"/>
        <v>1051598.6775420508</v>
      </c>
      <c r="Q120" s="8">
        <f t="shared" si="132"/>
        <v>1028737.8367259194</v>
      </c>
      <c r="R120" s="8">
        <f t="shared" si="132"/>
        <v>1005876.9959097878</v>
      </c>
      <c r="S120" s="8">
        <f t="shared" si="132"/>
        <v>983016.15509365627</v>
      </c>
      <c r="T120" s="8">
        <f t="shared" si="132"/>
        <v>960155.31427752483</v>
      </c>
      <c r="U120" s="8">
        <f t="shared" si="132"/>
        <v>937294.47346139327</v>
      </c>
      <c r="V120" s="8">
        <f t="shared" si="132"/>
        <v>914433.63264526171</v>
      </c>
      <c r="W120" s="8">
        <f t="shared" si="132"/>
        <v>891572.79182913015</v>
      </c>
      <c r="X120" s="8">
        <f t="shared" si="132"/>
        <v>868711.95101299859</v>
      </c>
      <c r="Y120" s="8">
        <f t="shared" si="132"/>
        <v>845851.11019686703</v>
      </c>
      <c r="Z120" s="8">
        <f t="shared" si="132"/>
        <v>822990.26938073547</v>
      </c>
      <c r="AA120" s="8">
        <f t="shared" si="132"/>
        <v>800129.42856460391</v>
      </c>
      <c r="AB120" s="8">
        <f t="shared" si="132"/>
        <v>777268.58774847235</v>
      </c>
      <c r="AC120" s="8">
        <f t="shared" si="132"/>
        <v>754407.74693234079</v>
      </c>
      <c r="AD120" s="8">
        <f t="shared" si="132"/>
        <v>731546.90611620923</v>
      </c>
      <c r="AE120" s="8">
        <f t="shared" si="132"/>
        <v>708686.06530007767</v>
      </c>
      <c r="AF120" s="8">
        <f t="shared" si="132"/>
        <v>685825.22448394611</v>
      </c>
      <c r="AG120" s="8">
        <f t="shared" si="132"/>
        <v>662964.38366781455</v>
      </c>
      <c r="AH120" s="8">
        <f t="shared" si="132"/>
        <v>640103.54285168299</v>
      </c>
      <c r="AI120" s="8">
        <f t="shared" si="132"/>
        <v>617242.70203555154</v>
      </c>
      <c r="AJ120" s="8">
        <f t="shared" si="132"/>
        <v>594381.86121941998</v>
      </c>
      <c r="AK120" s="8">
        <f t="shared" si="132"/>
        <v>571521.02040328842</v>
      </c>
      <c r="AL120" s="8">
        <f t="shared" si="132"/>
        <v>548660.17958715686</v>
      </c>
      <c r="AM120" s="8">
        <f t="shared" si="132"/>
        <v>525799.3387710253</v>
      </c>
      <c r="AN120" s="8">
        <f t="shared" si="132"/>
        <v>502938.49795489374</v>
      </c>
      <c r="AO120" s="8">
        <f t="shared" si="132"/>
        <v>480077.65713876218</v>
      </c>
      <c r="AP120" s="8">
        <f t="shared" si="132"/>
        <v>457216.81632263062</v>
      </c>
      <c r="AQ120" s="8">
        <f t="shared" si="132"/>
        <v>434355.97550649906</v>
      </c>
      <c r="AR120" s="8">
        <f t="shared" si="132"/>
        <v>411495.1346903675</v>
      </c>
      <c r="AS120" s="8">
        <f t="shared" si="132"/>
        <v>388634.29387423594</v>
      </c>
      <c r="AT120" s="8">
        <f t="shared" si="132"/>
        <v>365773.45305810438</v>
      </c>
      <c r="AU120" s="8">
        <f t="shared" si="132"/>
        <v>342912.61224197282</v>
      </c>
      <c r="AV120" s="8">
        <f t="shared" si="132"/>
        <v>320051.77142584126</v>
      </c>
      <c r="AW120" s="8">
        <f t="shared" si="132"/>
        <v>297190.9306097097</v>
      </c>
      <c r="AX120" s="8">
        <f t="shared" si="132"/>
        <v>274330.08979357814</v>
      </c>
      <c r="AY120" s="8">
        <f t="shared" si="132"/>
        <v>251469.24897744658</v>
      </c>
      <c r="AZ120" s="8">
        <f t="shared" si="132"/>
        <v>228608.40816131502</v>
      </c>
      <c r="BA120" s="8">
        <f t="shared" si="132"/>
        <v>205747.56734518346</v>
      </c>
      <c r="BB120" s="8">
        <f t="shared" si="132"/>
        <v>182886.7265290519</v>
      </c>
      <c r="BC120" s="8">
        <f t="shared" si="132"/>
        <v>160025.88571292034</v>
      </c>
      <c r="BD120" s="8">
        <f t="shared" si="132"/>
        <v>137165.04489678878</v>
      </c>
      <c r="BE120" s="8">
        <f t="shared" si="132"/>
        <v>114304.20408065722</v>
      </c>
      <c r="BF120" s="8">
        <f t="shared" si="132"/>
        <v>91443.363264525775</v>
      </c>
      <c r="BG120" s="8">
        <f t="shared" si="132"/>
        <v>68582.522448394215</v>
      </c>
      <c r="BH120" s="8">
        <f t="shared" si="132"/>
        <v>45721.681632262655</v>
      </c>
      <c r="BI120" s="8">
        <f t="shared" si="132"/>
        <v>22860.840816131094</v>
      </c>
      <c r="BJ120" s="8">
        <f t="shared" si="132"/>
        <v>0</v>
      </c>
      <c r="BK120" s="8">
        <f t="shared" si="132"/>
        <v>0</v>
      </c>
      <c r="BL120" s="8">
        <f t="shared" si="132"/>
        <v>0</v>
      </c>
      <c r="BM120" s="8">
        <f t="shared" si="132"/>
        <v>0</v>
      </c>
      <c r="BN120" s="8">
        <f t="shared" si="132"/>
        <v>0</v>
      </c>
      <c r="BO120" s="8">
        <f t="shared" si="132"/>
        <v>0</v>
      </c>
      <c r="BP120" s="8">
        <f t="shared" si="132"/>
        <v>0</v>
      </c>
      <c r="BQ120" s="8">
        <f t="shared" si="132"/>
        <v>0</v>
      </c>
      <c r="BR120" s="8">
        <f t="shared" si="132"/>
        <v>0</v>
      </c>
      <c r="BS120" s="8">
        <f t="shared" si="132"/>
        <v>0</v>
      </c>
      <c r="BT120" s="8">
        <f t="shared" si="132"/>
        <v>0</v>
      </c>
      <c r="BU120" s="8">
        <f t="shared" si="132"/>
        <v>0</v>
      </c>
      <c r="BV120" s="8">
        <f t="shared" si="132"/>
        <v>0</v>
      </c>
      <c r="BW120" s="8">
        <f t="shared" si="132"/>
        <v>0</v>
      </c>
      <c r="BX120" s="8">
        <f t="shared" si="132"/>
        <v>0</v>
      </c>
      <c r="BY120" s="8">
        <f t="shared" ref="BY120:DA120" si="133">BX121</f>
        <v>0</v>
      </c>
      <c r="BZ120" s="8">
        <f t="shared" si="133"/>
        <v>0</v>
      </c>
      <c r="CA120" s="8">
        <f t="shared" si="133"/>
        <v>0</v>
      </c>
      <c r="CB120" s="8">
        <f t="shared" si="133"/>
        <v>0</v>
      </c>
      <c r="CC120" s="8">
        <f t="shared" si="133"/>
        <v>0</v>
      </c>
      <c r="CD120" s="8">
        <f t="shared" si="133"/>
        <v>0</v>
      </c>
      <c r="CE120" s="8">
        <f t="shared" si="133"/>
        <v>0</v>
      </c>
      <c r="CF120" s="8">
        <f t="shared" si="133"/>
        <v>0</v>
      </c>
      <c r="CG120" s="8">
        <f t="shared" si="133"/>
        <v>0</v>
      </c>
      <c r="CH120" s="8">
        <f t="shared" si="133"/>
        <v>0</v>
      </c>
      <c r="CI120" s="8">
        <f t="shared" si="133"/>
        <v>0</v>
      </c>
      <c r="CJ120" s="8">
        <f t="shared" si="133"/>
        <v>0</v>
      </c>
      <c r="CK120" s="8">
        <f t="shared" si="133"/>
        <v>0</v>
      </c>
      <c r="CL120" s="8">
        <f t="shared" si="133"/>
        <v>0</v>
      </c>
      <c r="CM120" s="8">
        <f t="shared" si="133"/>
        <v>0</v>
      </c>
      <c r="CN120" s="8">
        <f t="shared" si="133"/>
        <v>0</v>
      </c>
      <c r="CO120" s="8">
        <f t="shared" si="133"/>
        <v>0</v>
      </c>
      <c r="CP120" s="8">
        <f t="shared" si="133"/>
        <v>0</v>
      </c>
      <c r="CQ120" s="8">
        <f t="shared" si="133"/>
        <v>0</v>
      </c>
      <c r="CR120" s="8">
        <f t="shared" si="133"/>
        <v>0</v>
      </c>
      <c r="CS120" s="8">
        <f t="shared" si="133"/>
        <v>0</v>
      </c>
      <c r="CT120" s="8">
        <f t="shared" si="133"/>
        <v>0</v>
      </c>
      <c r="CU120" s="8">
        <f t="shared" si="133"/>
        <v>0</v>
      </c>
      <c r="CV120" s="8">
        <f t="shared" si="133"/>
        <v>0</v>
      </c>
      <c r="CW120" s="8">
        <f t="shared" si="133"/>
        <v>0</v>
      </c>
      <c r="CX120" s="8">
        <f t="shared" si="133"/>
        <v>0</v>
      </c>
      <c r="CY120" s="8">
        <f t="shared" si="133"/>
        <v>0</v>
      </c>
      <c r="CZ120" s="8">
        <f t="shared" si="133"/>
        <v>0</v>
      </c>
      <c r="DA120" s="8">
        <f t="shared" si="133"/>
        <v>0</v>
      </c>
      <c r="DB120" s="8"/>
      <c r="DC120" s="8"/>
      <c r="DD120" s="8"/>
    </row>
    <row r="121" spans="3:108" x14ac:dyDescent="0.4">
      <c r="D121" t="s">
        <v>168</v>
      </c>
      <c r="K121" s="8">
        <f>K118+K119</f>
        <v>1143042.0408065771</v>
      </c>
      <c r="L121" s="8">
        <f>L118+L119</f>
        <v>1120181.1999904455</v>
      </c>
      <c r="M121" s="8">
        <f t="shared" ref="M121:BX121" si="134">M118+M119</f>
        <v>1097320.359174314</v>
      </c>
      <c r="N121" s="8">
        <f t="shared" si="134"/>
        <v>1074459.5183581824</v>
      </c>
      <c r="O121" s="8">
        <f t="shared" si="134"/>
        <v>1051598.6775420508</v>
      </c>
      <c r="P121" s="8">
        <f t="shared" si="134"/>
        <v>1028737.8367259194</v>
      </c>
      <c r="Q121" s="8">
        <f t="shared" si="134"/>
        <v>1005876.9959097878</v>
      </c>
      <c r="R121" s="8">
        <f t="shared" si="134"/>
        <v>983016.15509365627</v>
      </c>
      <c r="S121" s="8">
        <f t="shared" si="134"/>
        <v>960155.31427752483</v>
      </c>
      <c r="T121" s="8">
        <f t="shared" si="134"/>
        <v>937294.47346139327</v>
      </c>
      <c r="U121" s="8">
        <f t="shared" si="134"/>
        <v>914433.63264526171</v>
      </c>
      <c r="V121" s="8">
        <f t="shared" si="134"/>
        <v>891572.79182913015</v>
      </c>
      <c r="W121" s="8">
        <f t="shared" si="134"/>
        <v>868711.95101299859</v>
      </c>
      <c r="X121" s="8">
        <f t="shared" si="134"/>
        <v>845851.11019686703</v>
      </c>
      <c r="Y121" s="8">
        <f t="shared" si="134"/>
        <v>822990.26938073547</v>
      </c>
      <c r="Z121" s="8">
        <f t="shared" si="134"/>
        <v>800129.42856460391</v>
      </c>
      <c r="AA121" s="8">
        <f t="shared" si="134"/>
        <v>777268.58774847235</v>
      </c>
      <c r="AB121" s="8">
        <f t="shared" si="134"/>
        <v>754407.74693234079</v>
      </c>
      <c r="AC121" s="8">
        <f t="shared" si="134"/>
        <v>731546.90611620923</v>
      </c>
      <c r="AD121" s="8">
        <f t="shared" si="134"/>
        <v>708686.06530007767</v>
      </c>
      <c r="AE121" s="8">
        <f t="shared" si="134"/>
        <v>685825.22448394611</v>
      </c>
      <c r="AF121" s="8">
        <f t="shared" si="134"/>
        <v>662964.38366781455</v>
      </c>
      <c r="AG121" s="8">
        <f t="shared" si="134"/>
        <v>640103.54285168299</v>
      </c>
      <c r="AH121" s="8">
        <f t="shared" si="134"/>
        <v>617242.70203555154</v>
      </c>
      <c r="AI121" s="8">
        <f t="shared" si="134"/>
        <v>594381.86121941998</v>
      </c>
      <c r="AJ121" s="8">
        <f t="shared" si="134"/>
        <v>571521.02040328842</v>
      </c>
      <c r="AK121" s="8">
        <f t="shared" si="134"/>
        <v>548660.17958715686</v>
      </c>
      <c r="AL121" s="8">
        <f t="shared" si="134"/>
        <v>525799.3387710253</v>
      </c>
      <c r="AM121" s="8">
        <f t="shared" si="134"/>
        <v>502938.49795489374</v>
      </c>
      <c r="AN121" s="8">
        <f t="shared" si="134"/>
        <v>480077.65713876218</v>
      </c>
      <c r="AO121" s="8">
        <f t="shared" si="134"/>
        <v>457216.81632263062</v>
      </c>
      <c r="AP121" s="8">
        <f t="shared" si="134"/>
        <v>434355.97550649906</v>
      </c>
      <c r="AQ121" s="8">
        <f t="shared" si="134"/>
        <v>411495.1346903675</v>
      </c>
      <c r="AR121" s="8">
        <f t="shared" si="134"/>
        <v>388634.29387423594</v>
      </c>
      <c r="AS121" s="8">
        <f t="shared" si="134"/>
        <v>365773.45305810438</v>
      </c>
      <c r="AT121" s="8">
        <f t="shared" si="134"/>
        <v>342912.61224197282</v>
      </c>
      <c r="AU121" s="8">
        <f t="shared" si="134"/>
        <v>320051.77142584126</v>
      </c>
      <c r="AV121" s="8">
        <f t="shared" si="134"/>
        <v>297190.9306097097</v>
      </c>
      <c r="AW121" s="8">
        <f t="shared" si="134"/>
        <v>274330.08979357814</v>
      </c>
      <c r="AX121" s="8">
        <f t="shared" si="134"/>
        <v>251469.24897744658</v>
      </c>
      <c r="AY121" s="8">
        <f t="shared" si="134"/>
        <v>228608.40816131502</v>
      </c>
      <c r="AZ121" s="8">
        <f t="shared" si="134"/>
        <v>205747.56734518346</v>
      </c>
      <c r="BA121" s="8">
        <f t="shared" si="134"/>
        <v>182886.7265290519</v>
      </c>
      <c r="BB121" s="8">
        <f t="shared" si="134"/>
        <v>160025.88571292034</v>
      </c>
      <c r="BC121" s="8">
        <f t="shared" si="134"/>
        <v>137165.04489678878</v>
      </c>
      <c r="BD121" s="8">
        <f t="shared" si="134"/>
        <v>114304.20408065722</v>
      </c>
      <c r="BE121" s="8">
        <f t="shared" si="134"/>
        <v>91443.363264525775</v>
      </c>
      <c r="BF121" s="8">
        <f t="shared" si="134"/>
        <v>68582.522448394215</v>
      </c>
      <c r="BG121" s="8">
        <f t="shared" si="134"/>
        <v>45721.681632262655</v>
      </c>
      <c r="BH121" s="8">
        <f t="shared" si="134"/>
        <v>22860.840816131094</v>
      </c>
      <c r="BI121" s="8">
        <f t="shared" si="134"/>
        <v>0</v>
      </c>
      <c r="BJ121" s="8">
        <f t="shared" si="134"/>
        <v>0</v>
      </c>
      <c r="BK121" s="8">
        <f t="shared" si="134"/>
        <v>0</v>
      </c>
      <c r="BL121" s="8">
        <f t="shared" si="134"/>
        <v>0</v>
      </c>
      <c r="BM121" s="8">
        <f t="shared" si="134"/>
        <v>0</v>
      </c>
      <c r="BN121" s="8">
        <f t="shared" si="134"/>
        <v>0</v>
      </c>
      <c r="BO121" s="8">
        <f t="shared" si="134"/>
        <v>0</v>
      </c>
      <c r="BP121" s="8">
        <f t="shared" si="134"/>
        <v>0</v>
      </c>
      <c r="BQ121" s="8">
        <f t="shared" si="134"/>
        <v>0</v>
      </c>
      <c r="BR121" s="8">
        <f t="shared" si="134"/>
        <v>0</v>
      </c>
      <c r="BS121" s="8">
        <f t="shared" si="134"/>
        <v>0</v>
      </c>
      <c r="BT121" s="8">
        <f t="shared" si="134"/>
        <v>0</v>
      </c>
      <c r="BU121" s="8">
        <f t="shared" si="134"/>
        <v>0</v>
      </c>
      <c r="BV121" s="8">
        <f t="shared" si="134"/>
        <v>0</v>
      </c>
      <c r="BW121" s="8">
        <f t="shared" si="134"/>
        <v>0</v>
      </c>
      <c r="BX121" s="8">
        <f t="shared" si="134"/>
        <v>0</v>
      </c>
      <c r="BY121" s="8">
        <f t="shared" ref="BY121:DA121" si="135">BY118+BY119</f>
        <v>0</v>
      </c>
      <c r="BZ121" s="8">
        <f t="shared" si="135"/>
        <v>0</v>
      </c>
      <c r="CA121" s="8">
        <f t="shared" si="135"/>
        <v>0</v>
      </c>
      <c r="CB121" s="8">
        <f t="shared" si="135"/>
        <v>0</v>
      </c>
      <c r="CC121" s="8">
        <f t="shared" si="135"/>
        <v>0</v>
      </c>
      <c r="CD121" s="8">
        <f t="shared" si="135"/>
        <v>0</v>
      </c>
      <c r="CE121" s="8">
        <f t="shared" si="135"/>
        <v>0</v>
      </c>
      <c r="CF121" s="8">
        <f t="shared" si="135"/>
        <v>0</v>
      </c>
      <c r="CG121" s="8">
        <f t="shared" si="135"/>
        <v>0</v>
      </c>
      <c r="CH121" s="8">
        <f t="shared" si="135"/>
        <v>0</v>
      </c>
      <c r="CI121" s="8">
        <f t="shared" si="135"/>
        <v>0</v>
      </c>
      <c r="CJ121" s="8">
        <f t="shared" si="135"/>
        <v>0</v>
      </c>
      <c r="CK121" s="8">
        <f t="shared" si="135"/>
        <v>0</v>
      </c>
      <c r="CL121" s="8">
        <f t="shared" si="135"/>
        <v>0</v>
      </c>
      <c r="CM121" s="8">
        <f t="shared" si="135"/>
        <v>0</v>
      </c>
      <c r="CN121" s="8">
        <f t="shared" si="135"/>
        <v>0</v>
      </c>
      <c r="CO121" s="8">
        <f t="shared" si="135"/>
        <v>0</v>
      </c>
      <c r="CP121" s="8">
        <f t="shared" si="135"/>
        <v>0</v>
      </c>
      <c r="CQ121" s="8">
        <f t="shared" si="135"/>
        <v>0</v>
      </c>
      <c r="CR121" s="8">
        <f t="shared" si="135"/>
        <v>0</v>
      </c>
      <c r="CS121" s="8">
        <f t="shared" si="135"/>
        <v>0</v>
      </c>
      <c r="CT121" s="8">
        <f t="shared" si="135"/>
        <v>0</v>
      </c>
      <c r="CU121" s="8">
        <f t="shared" si="135"/>
        <v>0</v>
      </c>
      <c r="CV121" s="8">
        <f t="shared" si="135"/>
        <v>0</v>
      </c>
      <c r="CW121" s="8">
        <f t="shared" si="135"/>
        <v>0</v>
      </c>
      <c r="CX121" s="8">
        <f t="shared" si="135"/>
        <v>0</v>
      </c>
      <c r="CY121" s="8">
        <f t="shared" si="135"/>
        <v>0</v>
      </c>
      <c r="CZ121" s="8">
        <f t="shared" si="135"/>
        <v>0</v>
      </c>
      <c r="DA121" s="8">
        <f t="shared" si="135"/>
        <v>0</v>
      </c>
      <c r="DB121" s="8"/>
      <c r="DC121" s="8"/>
      <c r="DD121" s="8"/>
    </row>
    <row r="122" spans="3:108" x14ac:dyDescent="0.4"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</row>
    <row r="123" spans="3:108" x14ac:dyDescent="0.4">
      <c r="D123" t="s">
        <v>169</v>
      </c>
      <c r="K123" s="8"/>
      <c r="L123" s="8">
        <f>IF(L115&lt;=$B$4+1,L118*VLOOKUP(L115,Assumptions!$A$70:$B$90,2,0),0)</f>
        <v>42864.076530246639</v>
      </c>
      <c r="M123" s="8">
        <f>IF(M115&lt;=$B$4+1,M118*VLOOKUP(M115,Assumptions!$A$70:$B$90,2,0),0)</f>
        <v>82516.204925826809</v>
      </c>
      <c r="N123" s="8">
        <f>IF(N115&lt;=$B$4+1,N118*VLOOKUP(N115,Assumptions!$A$70:$B$90,2,0),0)</f>
        <v>76320.91706465515</v>
      </c>
      <c r="O123" s="8">
        <f>IF(O115&lt;=$B$4+1,O118*VLOOKUP(O115,Assumptions!$A$70:$B$90,2,0),0)</f>
        <v>70605.70686062226</v>
      </c>
      <c r="P123" s="8">
        <f>IF(P115&lt;=$B$4+1,P118*VLOOKUP(P115,Assumptions!$A$70:$B$90,2,0),0)</f>
        <v>65301.991791279746</v>
      </c>
      <c r="Q123" s="8">
        <f>IF(Q115&lt;=$B$4+1,Q118*VLOOKUP(Q115,Assumptions!$A$70:$B$90,2,0),0)</f>
        <v>60409.771856627602</v>
      </c>
      <c r="R123" s="8">
        <f>IF(R115&lt;=$B$4+1,R118*VLOOKUP(R115,Assumptions!$A$70:$B$90,2,0),0)</f>
        <v>55871.894954625488</v>
      </c>
      <c r="S123" s="8">
        <f>IF(S115&lt;=$B$4+1,S118*VLOOKUP(S115,Assumptions!$A$70:$B$90,2,0),0)</f>
        <v>51688.36108527342</v>
      </c>
      <c r="T123" s="8">
        <f>IF(T115&lt;=$B$4+1,T118*VLOOKUP(T115,Assumptions!$A$70:$B$90,2,0),0)</f>
        <v>51002.535860789467</v>
      </c>
      <c r="U123" s="8">
        <f>IF(U115&lt;=$B$4+1,U118*VLOOKUP(U115,Assumptions!$A$70:$B$90,2,0),0)</f>
        <v>50991.105440381398</v>
      </c>
      <c r="V123" s="8">
        <f>IF(V115&lt;=$B$4+1,V118*VLOOKUP(V115,Assumptions!$A$70:$B$90,2,0),0)</f>
        <v>51002.535860789467</v>
      </c>
      <c r="W123" s="8">
        <f>IF(W115&lt;=$B$4+1,W118*VLOOKUP(W115,Assumptions!$A$70:$B$90,2,0),0)</f>
        <v>50991.105440381398</v>
      </c>
      <c r="X123" s="8">
        <f>IF(X115&lt;=$B$4+1,X118*VLOOKUP(X115,Assumptions!$A$70:$B$90,2,0),0)</f>
        <v>51002.535860789467</v>
      </c>
      <c r="Y123" s="8">
        <f>IF(Y115&lt;=$B$4+1,Y118*VLOOKUP(Y115,Assumptions!$A$70:$B$90,2,0),0)</f>
        <v>50991.105440381398</v>
      </c>
      <c r="Z123" s="8">
        <f>IF(Z115&lt;=$B$4+1,Z118*VLOOKUP(Z115,Assumptions!$A$70:$B$90,2,0),0)</f>
        <v>51002.535860789467</v>
      </c>
      <c r="AA123" s="8">
        <f>IF(AA115&lt;=$B$4+1,AA118*VLOOKUP(AA115,Assumptions!$A$70:$B$90,2,0),0)</f>
        <v>50991.105440381398</v>
      </c>
      <c r="AB123" s="8">
        <f>IF(AB115&lt;=$B$4+1,AB118*VLOOKUP(AB115,Assumptions!$A$70:$B$90,2,0),0)</f>
        <v>51002.535860789467</v>
      </c>
      <c r="AC123" s="8">
        <f>IF(AC115&lt;=$B$4+1,AC118*VLOOKUP(AC115,Assumptions!$A$70:$B$90,2,0),0)</f>
        <v>50991.105440381398</v>
      </c>
      <c r="AD123" s="8">
        <f>IF(AD115&lt;=$B$4+1,AD118*VLOOKUP(AD115,Assumptions!$A$70:$B$90,2,0),0)</f>
        <v>51002.535860789467</v>
      </c>
      <c r="AE123" s="8">
        <f>IF(AE115&lt;=$B$4+1,AE118*VLOOKUP(AE115,Assumptions!$A$70:$B$90,2,0),0)</f>
        <v>50991.105440381398</v>
      </c>
      <c r="AF123" s="8">
        <f>IF(AF115&lt;=$B$4+1,AF118*VLOOKUP(AF115,Assumptions!$A$70:$B$90,2,0),0)</f>
        <v>25501.267930394733</v>
      </c>
      <c r="AG123" s="8">
        <f>IF(AG115&lt;=$B$4+1,AG118*VLOOKUP(AG115,Assumptions!$A$70:$B$90,2,0),0)</f>
        <v>0</v>
      </c>
      <c r="AH123" s="8">
        <f>IF(AH115&lt;=$B$4+1,AH118*VLOOKUP(AH115,Assumptions!$A$70:$B$90,2,0),0)</f>
        <v>0</v>
      </c>
      <c r="AI123" s="8">
        <f>IF(AI115&lt;=$B$4+1,AI118*VLOOKUP(AI115,Assumptions!$A$70:$B$90,2,0),0)</f>
        <v>0</v>
      </c>
      <c r="AJ123" s="8">
        <f>IF(AJ115&lt;=$B$4+1,AJ118*VLOOKUP(AJ115,Assumptions!$A$70:$B$90,2,0),0)</f>
        <v>0</v>
      </c>
      <c r="AK123" s="8">
        <f>IF(AK115&lt;=$B$4+1,AK118*VLOOKUP(AK115,Assumptions!$A$70:$B$90,2,0),0)</f>
        <v>0</v>
      </c>
      <c r="AL123" s="8">
        <f>IF(AL115&lt;=$B$4+1,AL118*VLOOKUP(AL115,Assumptions!$A$70:$B$90,2,0),0)</f>
        <v>0</v>
      </c>
      <c r="AM123" s="8">
        <f>IF(AM115&lt;=$B$4+1,AM118*VLOOKUP(AM115,Assumptions!$A$70:$B$90,2,0),0)</f>
        <v>0</v>
      </c>
      <c r="AN123" s="8">
        <f>IF(AN115&lt;=$B$4+1,AN118*VLOOKUP(AN115,Assumptions!$A$70:$B$90,2,0),0)</f>
        <v>0</v>
      </c>
      <c r="AO123" s="8">
        <f>IF(AO115&lt;=$B$4+1,AO118*VLOOKUP(AO115,Assumptions!$A$70:$B$90,2,0),0)</f>
        <v>0</v>
      </c>
      <c r="AP123" s="8">
        <f>IF(AP115&lt;=$B$4+1,AP118*VLOOKUP(AP115,Assumptions!$A$70:$B$90,2,0),0)</f>
        <v>0</v>
      </c>
      <c r="AQ123" s="8">
        <f>IF(AQ115&lt;=$B$4+1,AQ118*VLOOKUP(AQ115,Assumptions!$A$70:$B$90,2,0),0)</f>
        <v>0</v>
      </c>
      <c r="AR123" s="8">
        <f>IF(AR115&lt;=$B$4+1,AR118*VLOOKUP(AR115,Assumptions!$A$70:$B$90,2,0),0)</f>
        <v>0</v>
      </c>
      <c r="AS123" s="8">
        <f>IF(AS115&lt;=$B$4+1,AS118*VLOOKUP(AS115,Assumptions!$A$70:$B$90,2,0),0)</f>
        <v>0</v>
      </c>
      <c r="AT123" s="8">
        <f>IF(AT115&lt;=$B$4+1,AT118*VLOOKUP(AT115,Assumptions!$A$70:$B$90,2,0),0)</f>
        <v>0</v>
      </c>
      <c r="AU123" s="8">
        <f>IF(AU115&lt;=$B$4+1,AU118*VLOOKUP(AU115,Assumptions!$A$70:$B$90,2,0),0)</f>
        <v>0</v>
      </c>
      <c r="AV123" s="8">
        <f>IF(AV115&lt;=$B$4+1,AV118*VLOOKUP(AV115,Assumptions!$A$70:$B$90,2,0),0)</f>
        <v>0</v>
      </c>
      <c r="AW123" s="8">
        <f>IF(AW115&lt;=$B$4+1,AW118*VLOOKUP(AW115,Assumptions!$A$70:$B$90,2,0),0)</f>
        <v>0</v>
      </c>
      <c r="AX123" s="8">
        <f>IF(AX115&lt;=$B$4+1,AX118*VLOOKUP(AX115,Assumptions!$A$70:$B$90,2,0),0)</f>
        <v>0</v>
      </c>
      <c r="AY123" s="8">
        <f>IF(AY115&lt;=$B$4+1,AY118*VLOOKUP(AY115,Assumptions!$A$70:$B$90,2,0),0)</f>
        <v>0</v>
      </c>
      <c r="AZ123" s="8">
        <f>IF(AZ115&lt;=$B$4+1,AZ118*VLOOKUP(AZ115,Assumptions!$A$70:$B$90,2,0),0)</f>
        <v>0</v>
      </c>
      <c r="BA123" s="8">
        <f>IF(BA115&lt;=$B$4+1,BA118*VLOOKUP(BA115,Assumptions!$A$70:$B$90,2,0),0)</f>
        <v>0</v>
      </c>
      <c r="BB123" s="8">
        <f>IF(BB115&lt;=$B$4+1,BB118*VLOOKUP(BB115,Assumptions!$A$70:$B$90,2,0),0)</f>
        <v>0</v>
      </c>
      <c r="BC123" s="8">
        <f>IF(BC115&lt;=$B$4+1,BC118*VLOOKUP(BC115,Assumptions!$A$70:$B$90,2,0),0)</f>
        <v>0</v>
      </c>
      <c r="BD123" s="8">
        <f>IF(BD115&lt;=$B$4+1,BD118*VLOOKUP(BD115,Assumptions!$A$70:$B$90,2,0),0)</f>
        <v>0</v>
      </c>
      <c r="BE123" s="8">
        <f>IF(BE115&lt;=$B$4+1,BE118*VLOOKUP(BE115,Assumptions!$A$70:$B$90,2,0),0)</f>
        <v>0</v>
      </c>
      <c r="BF123" s="8">
        <f>IF(BF115&lt;=$B$4+1,BF118*VLOOKUP(BF115,Assumptions!$A$70:$B$90,2,0),0)</f>
        <v>0</v>
      </c>
      <c r="BG123" s="8">
        <f>IF(BG115&lt;=$B$4+1,BG118*VLOOKUP(BG115,Assumptions!$A$70:$B$90,2,0),0)</f>
        <v>0</v>
      </c>
      <c r="BH123" s="8">
        <f>IF(BH115&lt;=$B$4+1,BH118*VLOOKUP(BH115,Assumptions!$A$70:$B$90,2,0),0)</f>
        <v>0</v>
      </c>
      <c r="BI123" s="8">
        <f>IF(BI115&lt;=$B$4+1,BI118*VLOOKUP(BI115,Assumptions!$A$70:$B$90,2,0),0)</f>
        <v>0</v>
      </c>
      <c r="BJ123" s="8">
        <f>IF(BJ115&lt;=$B$4+1,BJ118*VLOOKUP(BJ115,Assumptions!$A$70:$B$90,2,0),0)</f>
        <v>0</v>
      </c>
      <c r="BK123" s="8">
        <f>IF(BK115&lt;=$B$4+1,BK118*VLOOKUP(BK115,Assumptions!$A$70:$B$90,2,0),0)</f>
        <v>0</v>
      </c>
      <c r="BL123" s="8">
        <f>IF(BL115&lt;=$B$4+1,BL118*VLOOKUP(BL115,Assumptions!$A$70:$B$90,2,0),0)</f>
        <v>0</v>
      </c>
      <c r="BM123" s="8">
        <f>IF(BM115&lt;=$B$4+1,BM118*VLOOKUP(BM115,Assumptions!$A$70:$B$90,2,0),0)</f>
        <v>0</v>
      </c>
      <c r="BN123" s="8">
        <f>IF(BN115&lt;=$B$4+1,BN118*VLOOKUP(BN115,Assumptions!$A$70:$B$90,2,0),0)</f>
        <v>0</v>
      </c>
      <c r="BO123" s="8">
        <f>IF(BO115&lt;=$B$4+1,BO118*VLOOKUP(BO115,Assumptions!$A$70:$B$90,2,0),0)</f>
        <v>0</v>
      </c>
      <c r="BP123" s="8">
        <f>IF(BP115&lt;=$B$4+1,BP118*VLOOKUP(BP115,Assumptions!$A$70:$B$90,2,0),0)</f>
        <v>0</v>
      </c>
      <c r="BQ123" s="8">
        <f>IF(BQ115&lt;=$B$4+1,BQ118*VLOOKUP(BQ115,Assumptions!$A$70:$B$90,2,0),0)</f>
        <v>0</v>
      </c>
      <c r="BR123" s="8">
        <f>IF(BR115&lt;=$B$4+1,BR118*VLOOKUP(BR115,Assumptions!$A$70:$B$90,2,0),0)</f>
        <v>0</v>
      </c>
      <c r="BS123" s="8">
        <f>IF(BS115&lt;=$B$4+1,BS118*VLOOKUP(BS115,Assumptions!$A$70:$B$90,2,0),0)</f>
        <v>0</v>
      </c>
      <c r="BT123" s="8">
        <f>IF(BT115&lt;=$B$4+1,BT118*VLOOKUP(BT115,Assumptions!$A$70:$B$90,2,0),0)</f>
        <v>0</v>
      </c>
      <c r="BU123" s="8">
        <f>IF(BU115&lt;=$B$4+1,BU118*VLOOKUP(BU115,Assumptions!$A$70:$B$90,2,0),0)</f>
        <v>0</v>
      </c>
      <c r="BV123" s="8">
        <f>IF(BV115&lt;=$B$4+1,BV118*VLOOKUP(BV115,Assumptions!$A$70:$B$90,2,0),0)</f>
        <v>0</v>
      </c>
      <c r="BW123" s="8">
        <f>IF(BW115&lt;=$B$4+1,BW118*VLOOKUP(BW115,Assumptions!$A$70:$B$90,2,0),0)</f>
        <v>0</v>
      </c>
      <c r="BX123" s="8">
        <f>IF(BX115&lt;=$B$4+1,BX118*VLOOKUP(BX115,Assumptions!$A$70:$B$90,2,0),0)</f>
        <v>0</v>
      </c>
      <c r="BY123" s="8">
        <f>IF(BY115&lt;=$B$4+1,BY118*VLOOKUP(BY115,Assumptions!$A$70:$B$90,2,0),0)</f>
        <v>0</v>
      </c>
      <c r="BZ123" s="8">
        <f>IF(BZ115&lt;=$B$4+1,BZ118*VLOOKUP(BZ115,Assumptions!$A$70:$B$90,2,0),0)</f>
        <v>0</v>
      </c>
      <c r="CA123" s="8">
        <f>IF(CA115&lt;=$B$4+1,CA118*VLOOKUP(CA115,Assumptions!$A$70:$B$90,2,0),0)</f>
        <v>0</v>
      </c>
      <c r="CB123" s="8">
        <f>IF(CB115&lt;=$B$4+1,CB118*VLOOKUP(CB115,Assumptions!$A$70:$B$90,2,0),0)</f>
        <v>0</v>
      </c>
      <c r="CC123" s="8">
        <f>IF(CC115&lt;=$B$4+1,CC118*VLOOKUP(CC115,Assumptions!$A$70:$B$90,2,0),0)</f>
        <v>0</v>
      </c>
      <c r="CD123" s="8">
        <f>IF(CD115&lt;=$B$4+1,CD118*VLOOKUP(CD115,Assumptions!$A$70:$B$90,2,0),0)</f>
        <v>0</v>
      </c>
      <c r="CE123" s="8">
        <f>IF(CE115&lt;=$B$4+1,CE118*VLOOKUP(CE115,Assumptions!$A$70:$B$90,2,0),0)</f>
        <v>0</v>
      </c>
      <c r="CF123" s="8">
        <f>IF(CF115&lt;=$B$4+1,CF118*VLOOKUP(CF115,Assumptions!$A$70:$B$90,2,0),0)</f>
        <v>0</v>
      </c>
      <c r="CG123" s="8">
        <f>IF(CG115&lt;=$B$4+1,CG118*VLOOKUP(CG115,Assumptions!$A$70:$B$90,2,0),0)</f>
        <v>0</v>
      </c>
      <c r="CH123" s="8">
        <f>IF(CH115&lt;=$B$4+1,CH118*VLOOKUP(CH115,Assumptions!$A$70:$B$90,2,0),0)</f>
        <v>0</v>
      </c>
      <c r="CI123" s="8">
        <f>IF(CI115&lt;=$B$4+1,CI118*VLOOKUP(CI115,Assumptions!$A$70:$B$90,2,0),0)</f>
        <v>0</v>
      </c>
      <c r="CJ123" s="8">
        <f>IF(CJ115&lt;=$B$4+1,CJ118*VLOOKUP(CJ115,Assumptions!$A$70:$B$90,2,0),0)</f>
        <v>0</v>
      </c>
      <c r="CK123" s="8">
        <f>IF(CK115&lt;=$B$4+1,CK118*VLOOKUP(CK115,Assumptions!$A$70:$B$90,2,0),0)</f>
        <v>0</v>
      </c>
      <c r="CL123" s="8">
        <f>IF(CL115&lt;=$B$4+1,CL118*VLOOKUP(CL115,Assumptions!$A$70:$B$90,2,0),0)</f>
        <v>0</v>
      </c>
      <c r="CM123" s="8">
        <f>IF(CM115&lt;=$B$4+1,CM118*VLOOKUP(CM115,Assumptions!$A$70:$B$90,2,0),0)</f>
        <v>0</v>
      </c>
      <c r="CN123" s="8">
        <f>IF(CN115&lt;=$B$4+1,CN118*VLOOKUP(CN115,Assumptions!$A$70:$B$90,2,0),0)</f>
        <v>0</v>
      </c>
      <c r="CO123" s="8">
        <f>IF(CO115&lt;=$B$4+1,CO118*VLOOKUP(CO115,Assumptions!$A$70:$B$90,2,0),0)</f>
        <v>0</v>
      </c>
      <c r="CP123" s="8">
        <f>IF(CP115&lt;=$B$4+1,CP118*VLOOKUP(CP115,Assumptions!$A$70:$B$90,2,0),0)</f>
        <v>0</v>
      </c>
      <c r="CQ123" s="8">
        <f>IF(CQ115&lt;=$B$4+1,CQ118*VLOOKUP(CQ115,Assumptions!$A$70:$B$90,2,0),0)</f>
        <v>0</v>
      </c>
      <c r="CR123" s="8">
        <f>IF(CR115&lt;=$B$4+1,CR118*VLOOKUP(CR115,Assumptions!$A$70:$B$90,2,0),0)</f>
        <v>0</v>
      </c>
      <c r="CS123" s="8">
        <f>IF(CS115&lt;=$B$4+1,CS118*VLOOKUP(CS115,Assumptions!$A$70:$B$90,2,0),0)</f>
        <v>0</v>
      </c>
      <c r="CT123" s="8">
        <f>IF(CT115&lt;=$B$4+1,CT118*VLOOKUP(CT115,Assumptions!$A$70:$B$90,2,0),0)</f>
        <v>0</v>
      </c>
      <c r="CU123" s="8">
        <f>IF(CU115&lt;=$B$4+1,CU118*VLOOKUP(CU115,Assumptions!$A$70:$B$90,2,0),0)</f>
        <v>0</v>
      </c>
      <c r="CV123" s="8">
        <f>IF(CV115&lt;=$B$4+1,CV118*VLOOKUP(CV115,Assumptions!$A$70:$B$90,2,0),0)</f>
        <v>0</v>
      </c>
      <c r="CW123" s="8">
        <f>IF(CW115&lt;=$B$4+1,CW118*VLOOKUP(CW115,Assumptions!$A$70:$B$90,2,0),0)</f>
        <v>0</v>
      </c>
      <c r="CX123" s="8">
        <f>IF(CX115&lt;=$B$4+1,CX118*VLOOKUP(CX115,Assumptions!$A$70:$B$90,2,0),0)</f>
        <v>0</v>
      </c>
      <c r="CY123" s="8">
        <f>IF(CY115&lt;=$B$4+1,CY118*VLOOKUP(CY115,Assumptions!$A$70:$B$90,2,0),0)</f>
        <v>0</v>
      </c>
      <c r="CZ123" s="8">
        <f>IF(CZ115&lt;=$B$4+1,CZ118*VLOOKUP(CZ115,Assumptions!$A$70:$B$90,2,0),0)</f>
        <v>0</v>
      </c>
      <c r="DA123" s="8">
        <f>IF(DA115&lt;=$B$4+1,DA118*VLOOKUP(DA115,Assumptions!$A$70:$B$90,2,0),0)</f>
        <v>0</v>
      </c>
      <c r="DB123" s="8"/>
      <c r="DC123" s="8"/>
      <c r="DD123" s="8"/>
    </row>
    <row r="124" spans="3:108" x14ac:dyDescent="0.4">
      <c r="D124" t="s">
        <v>170</v>
      </c>
      <c r="K124" s="8"/>
      <c r="L124" s="8">
        <f>K125</f>
        <v>0</v>
      </c>
      <c r="M124" s="8">
        <f t="shared" ref="M124:BX124" si="136">L125</f>
        <v>-5543.896778166999</v>
      </c>
      <c r="N124" s="8">
        <f t="shared" si="136"/>
        <v>-22077.380941169042</v>
      </c>
      <c r="O124" s="8">
        <f t="shared" si="136"/>
        <v>-36893.841073447358</v>
      </c>
      <c r="P124" s="8">
        <f t="shared" si="136"/>
        <v>-50126.330697677957</v>
      </c>
      <c r="Q124" s="8">
        <f t="shared" si="136"/>
        <v>-61888.89569044028</v>
      </c>
      <c r="R124" s="8">
        <f t="shared" si="136"/>
        <v>-72295.581928313768</v>
      </c>
      <c r="S124" s="8">
        <f t="shared" si="136"/>
        <v>-81444.595582797367</v>
      </c>
      <c r="T124" s="8">
        <f t="shared" si="136"/>
        <v>-89434.142825390038</v>
      </c>
      <c r="U124" s="8">
        <f t="shared" si="136"/>
        <v>-97233.613607016974</v>
      </c>
      <c r="V124" s="8">
        <f t="shared" si="136"/>
        <v>-105029.91644762782</v>
      </c>
      <c r="W124" s="8">
        <f t="shared" si="136"/>
        <v>-112829.38722925476</v>
      </c>
      <c r="X124" s="8">
        <f t="shared" si="136"/>
        <v>-120625.69006986561</v>
      </c>
      <c r="Y124" s="8">
        <f t="shared" si="136"/>
        <v>-128425.16085149255</v>
      </c>
      <c r="Z124" s="8">
        <f t="shared" si="136"/>
        <v>-136221.4636921034</v>
      </c>
      <c r="AA124" s="8">
        <f t="shared" si="136"/>
        <v>-144020.93447373033</v>
      </c>
      <c r="AB124" s="8">
        <f t="shared" si="136"/>
        <v>-151817.23731434118</v>
      </c>
      <c r="AC124" s="8">
        <f t="shared" si="136"/>
        <v>-159616.70809596812</v>
      </c>
      <c r="AD124" s="8">
        <f t="shared" si="136"/>
        <v>-167413.01093657897</v>
      </c>
      <c r="AE124" s="8">
        <f t="shared" si="136"/>
        <v>-175212.48171820591</v>
      </c>
      <c r="AF124" s="8">
        <f t="shared" si="136"/>
        <v>-183008.78455881675</v>
      </c>
      <c r="AG124" s="8">
        <f t="shared" si="136"/>
        <v>-183740.57893353479</v>
      </c>
      <c r="AH124" s="8">
        <f t="shared" si="136"/>
        <v>-177404.69690134394</v>
      </c>
      <c r="AI124" s="8">
        <f t="shared" si="136"/>
        <v>-171068.81486915308</v>
      </c>
      <c r="AJ124" s="8">
        <f t="shared" si="136"/>
        <v>-164732.93283696222</v>
      </c>
      <c r="AK124" s="8">
        <f t="shared" si="136"/>
        <v>-158397.05080477137</v>
      </c>
      <c r="AL124" s="8">
        <f t="shared" si="136"/>
        <v>-152061.16877258051</v>
      </c>
      <c r="AM124" s="8">
        <f t="shared" si="136"/>
        <v>-145725.28674038965</v>
      </c>
      <c r="AN124" s="8">
        <f t="shared" si="136"/>
        <v>-139389.4047081988</v>
      </c>
      <c r="AO124" s="8">
        <f t="shared" si="136"/>
        <v>-133053.52267600794</v>
      </c>
      <c r="AP124" s="8">
        <f t="shared" si="136"/>
        <v>-126717.64064381708</v>
      </c>
      <c r="AQ124" s="8">
        <f t="shared" si="136"/>
        <v>-120381.75861162622</v>
      </c>
      <c r="AR124" s="8">
        <f t="shared" si="136"/>
        <v>-114045.87657943537</v>
      </c>
      <c r="AS124" s="8">
        <f t="shared" si="136"/>
        <v>-107709.99454724451</v>
      </c>
      <c r="AT124" s="8">
        <f t="shared" si="136"/>
        <v>-101374.11251505365</v>
      </c>
      <c r="AU124" s="8">
        <f t="shared" si="136"/>
        <v>-95038.230482862797</v>
      </c>
      <c r="AV124" s="8">
        <f t="shared" si="136"/>
        <v>-88702.34845067194</v>
      </c>
      <c r="AW124" s="8">
        <f t="shared" si="136"/>
        <v>-82366.466418481083</v>
      </c>
      <c r="AX124" s="8">
        <f t="shared" si="136"/>
        <v>-76030.584386290226</v>
      </c>
      <c r="AY124" s="8">
        <f t="shared" si="136"/>
        <v>-69694.702354099369</v>
      </c>
      <c r="AZ124" s="8">
        <f t="shared" si="136"/>
        <v>-63358.820321908512</v>
      </c>
      <c r="BA124" s="8">
        <f t="shared" si="136"/>
        <v>-57022.938289717655</v>
      </c>
      <c r="BB124" s="8">
        <f t="shared" si="136"/>
        <v>-50687.056257526798</v>
      </c>
      <c r="BC124" s="8">
        <f t="shared" si="136"/>
        <v>-44351.174225335941</v>
      </c>
      <c r="BD124" s="8">
        <f t="shared" si="136"/>
        <v>-38015.292193145084</v>
      </c>
      <c r="BE124" s="8">
        <f t="shared" si="136"/>
        <v>-31679.410160954227</v>
      </c>
      <c r="BF124" s="8">
        <f t="shared" si="136"/>
        <v>-25343.52812876337</v>
      </c>
      <c r="BG124" s="8">
        <f t="shared" si="136"/>
        <v>-19007.646096572513</v>
      </c>
      <c r="BH124" s="8">
        <f t="shared" si="136"/>
        <v>-12671.764064381656</v>
      </c>
      <c r="BI124" s="8">
        <f t="shared" si="136"/>
        <v>-6335.8820321907988</v>
      </c>
      <c r="BJ124" s="8">
        <f t="shared" si="136"/>
        <v>5.8207660913467407E-11</v>
      </c>
      <c r="BK124" s="8">
        <f t="shared" si="136"/>
        <v>5.8207660913467407E-11</v>
      </c>
      <c r="BL124" s="8">
        <f t="shared" si="136"/>
        <v>5.8207660913467407E-11</v>
      </c>
      <c r="BM124" s="8">
        <f t="shared" si="136"/>
        <v>5.8207660913467407E-11</v>
      </c>
      <c r="BN124" s="8">
        <f t="shared" si="136"/>
        <v>5.8207660913467407E-11</v>
      </c>
      <c r="BO124" s="8">
        <f t="shared" si="136"/>
        <v>5.8207660913467407E-11</v>
      </c>
      <c r="BP124" s="8">
        <f t="shared" si="136"/>
        <v>5.8207660913467407E-11</v>
      </c>
      <c r="BQ124" s="8">
        <f t="shared" si="136"/>
        <v>5.8207660913467407E-11</v>
      </c>
      <c r="BR124" s="8">
        <f t="shared" si="136"/>
        <v>5.8207660913467407E-11</v>
      </c>
      <c r="BS124" s="8">
        <f t="shared" si="136"/>
        <v>5.8207660913467407E-11</v>
      </c>
      <c r="BT124" s="8">
        <f t="shared" si="136"/>
        <v>5.8207660913467407E-11</v>
      </c>
      <c r="BU124" s="8">
        <f t="shared" si="136"/>
        <v>5.8207660913467407E-11</v>
      </c>
      <c r="BV124" s="8">
        <f t="shared" si="136"/>
        <v>5.8207660913467407E-11</v>
      </c>
      <c r="BW124" s="8">
        <f t="shared" si="136"/>
        <v>5.8207660913467407E-11</v>
      </c>
      <c r="BX124" s="8">
        <f t="shared" si="136"/>
        <v>5.8207660913467407E-11</v>
      </c>
      <c r="BY124" s="8">
        <f t="shared" ref="BY124:DA124" si="137">BX125</f>
        <v>5.8207660913467407E-11</v>
      </c>
      <c r="BZ124" s="8">
        <f t="shared" si="137"/>
        <v>5.8207660913467407E-11</v>
      </c>
      <c r="CA124" s="8">
        <f t="shared" si="137"/>
        <v>5.8207660913467407E-11</v>
      </c>
      <c r="CB124" s="8">
        <f t="shared" si="137"/>
        <v>5.8207660913467407E-11</v>
      </c>
      <c r="CC124" s="8">
        <f t="shared" si="137"/>
        <v>5.8207660913467407E-11</v>
      </c>
      <c r="CD124" s="8">
        <f t="shared" si="137"/>
        <v>5.8207660913467407E-11</v>
      </c>
      <c r="CE124" s="8">
        <f t="shared" si="137"/>
        <v>5.8207660913467407E-11</v>
      </c>
      <c r="CF124" s="8">
        <f t="shared" si="137"/>
        <v>5.8207660913467407E-11</v>
      </c>
      <c r="CG124" s="8">
        <f t="shared" si="137"/>
        <v>5.8207660913467407E-11</v>
      </c>
      <c r="CH124" s="8">
        <f t="shared" si="137"/>
        <v>5.8207660913467407E-11</v>
      </c>
      <c r="CI124" s="8">
        <f t="shared" si="137"/>
        <v>5.8207660913467407E-11</v>
      </c>
      <c r="CJ124" s="8">
        <f t="shared" si="137"/>
        <v>5.8207660913467407E-11</v>
      </c>
      <c r="CK124" s="8">
        <f t="shared" si="137"/>
        <v>5.8207660913467407E-11</v>
      </c>
      <c r="CL124" s="8">
        <f t="shared" si="137"/>
        <v>5.8207660913467407E-11</v>
      </c>
      <c r="CM124" s="8">
        <f t="shared" si="137"/>
        <v>5.8207660913467407E-11</v>
      </c>
      <c r="CN124" s="8">
        <f t="shared" si="137"/>
        <v>5.8207660913467407E-11</v>
      </c>
      <c r="CO124" s="8">
        <f t="shared" si="137"/>
        <v>5.8207660913467407E-11</v>
      </c>
      <c r="CP124" s="8">
        <f t="shared" si="137"/>
        <v>5.8207660913467407E-11</v>
      </c>
      <c r="CQ124" s="8">
        <f t="shared" si="137"/>
        <v>5.8207660913467407E-11</v>
      </c>
      <c r="CR124" s="8">
        <f t="shared" si="137"/>
        <v>5.8207660913467407E-11</v>
      </c>
      <c r="CS124" s="8">
        <f t="shared" si="137"/>
        <v>5.8207660913467407E-11</v>
      </c>
      <c r="CT124" s="8">
        <f t="shared" si="137"/>
        <v>5.8207660913467407E-11</v>
      </c>
      <c r="CU124" s="8">
        <f t="shared" si="137"/>
        <v>5.8207660913467407E-11</v>
      </c>
      <c r="CV124" s="8">
        <f t="shared" si="137"/>
        <v>5.8207660913467407E-11</v>
      </c>
      <c r="CW124" s="8">
        <f t="shared" si="137"/>
        <v>5.8207660913467407E-11</v>
      </c>
      <c r="CX124" s="8">
        <f t="shared" si="137"/>
        <v>5.8207660913467407E-11</v>
      </c>
      <c r="CY124" s="8">
        <f t="shared" si="137"/>
        <v>5.8207660913467407E-11</v>
      </c>
      <c r="CZ124" s="8">
        <f t="shared" si="137"/>
        <v>5.8207660913467407E-11</v>
      </c>
      <c r="DA124" s="8">
        <f t="shared" si="137"/>
        <v>5.8207660913467407E-11</v>
      </c>
      <c r="DB124" s="8"/>
      <c r="DC124" s="8"/>
      <c r="DD124" s="8"/>
    </row>
    <row r="125" spans="3:108" x14ac:dyDescent="0.4">
      <c r="D125" t="s">
        <v>171</v>
      </c>
      <c r="K125" s="8"/>
      <c r="L125" s="8">
        <f t="shared" ref="L125:AQ125" si="138">K125+((L117-L123)*INC_TAX_RATE)</f>
        <v>-5543.896778166999</v>
      </c>
      <c r="M125" s="8">
        <f t="shared" si="138"/>
        <v>-22077.380941169042</v>
      </c>
      <c r="N125" s="8">
        <f t="shared" si="138"/>
        <v>-36893.841073447358</v>
      </c>
      <c r="O125" s="8">
        <f t="shared" si="138"/>
        <v>-50126.330697677957</v>
      </c>
      <c r="P125" s="8">
        <f t="shared" si="138"/>
        <v>-61888.89569044028</v>
      </c>
      <c r="Q125" s="8">
        <f t="shared" si="138"/>
        <v>-72295.581928313768</v>
      </c>
      <c r="R125" s="8">
        <f t="shared" si="138"/>
        <v>-81444.595582797367</v>
      </c>
      <c r="S125" s="8">
        <f t="shared" si="138"/>
        <v>-89434.142825390038</v>
      </c>
      <c r="T125" s="8">
        <f t="shared" si="138"/>
        <v>-97233.613607016974</v>
      </c>
      <c r="U125" s="8">
        <f t="shared" si="138"/>
        <v>-105029.91644762782</v>
      </c>
      <c r="V125" s="8">
        <f t="shared" si="138"/>
        <v>-112829.38722925476</v>
      </c>
      <c r="W125" s="8">
        <f t="shared" si="138"/>
        <v>-120625.69006986561</v>
      </c>
      <c r="X125" s="8">
        <f t="shared" si="138"/>
        <v>-128425.16085149255</v>
      </c>
      <c r="Y125" s="8">
        <f t="shared" si="138"/>
        <v>-136221.4636921034</v>
      </c>
      <c r="Z125" s="8">
        <f t="shared" si="138"/>
        <v>-144020.93447373033</v>
      </c>
      <c r="AA125" s="8">
        <f t="shared" si="138"/>
        <v>-151817.23731434118</v>
      </c>
      <c r="AB125" s="8">
        <f t="shared" si="138"/>
        <v>-159616.70809596812</v>
      </c>
      <c r="AC125" s="8">
        <f t="shared" si="138"/>
        <v>-167413.01093657897</v>
      </c>
      <c r="AD125" s="8">
        <f t="shared" si="138"/>
        <v>-175212.48171820591</v>
      </c>
      <c r="AE125" s="8">
        <f t="shared" si="138"/>
        <v>-183008.78455881675</v>
      </c>
      <c r="AF125" s="8">
        <f t="shared" si="138"/>
        <v>-183740.57893353479</v>
      </c>
      <c r="AG125" s="8">
        <f t="shared" si="138"/>
        <v>-177404.69690134394</v>
      </c>
      <c r="AH125" s="8">
        <f t="shared" si="138"/>
        <v>-171068.81486915308</v>
      </c>
      <c r="AI125" s="8">
        <f t="shared" si="138"/>
        <v>-164732.93283696222</v>
      </c>
      <c r="AJ125" s="8">
        <f t="shared" si="138"/>
        <v>-158397.05080477137</v>
      </c>
      <c r="AK125" s="8">
        <f t="shared" si="138"/>
        <v>-152061.16877258051</v>
      </c>
      <c r="AL125" s="8">
        <f t="shared" si="138"/>
        <v>-145725.28674038965</v>
      </c>
      <c r="AM125" s="8">
        <f t="shared" si="138"/>
        <v>-139389.4047081988</v>
      </c>
      <c r="AN125" s="8">
        <f t="shared" si="138"/>
        <v>-133053.52267600794</v>
      </c>
      <c r="AO125" s="8">
        <f t="shared" si="138"/>
        <v>-126717.64064381708</v>
      </c>
      <c r="AP125" s="8">
        <f t="shared" si="138"/>
        <v>-120381.75861162622</v>
      </c>
      <c r="AQ125" s="8">
        <f t="shared" si="138"/>
        <v>-114045.87657943537</v>
      </c>
      <c r="AR125" s="8">
        <f t="shared" ref="AR125:BW125" si="139">AQ125+((AR117-AR123)*INC_TAX_RATE)</f>
        <v>-107709.99454724451</v>
      </c>
      <c r="AS125" s="8">
        <f t="shared" si="139"/>
        <v>-101374.11251505365</v>
      </c>
      <c r="AT125" s="8">
        <f t="shared" si="139"/>
        <v>-95038.230482862797</v>
      </c>
      <c r="AU125" s="8">
        <f t="shared" si="139"/>
        <v>-88702.34845067194</v>
      </c>
      <c r="AV125" s="8">
        <f t="shared" si="139"/>
        <v>-82366.466418481083</v>
      </c>
      <c r="AW125" s="8">
        <f t="shared" si="139"/>
        <v>-76030.584386290226</v>
      </c>
      <c r="AX125" s="8">
        <f t="shared" si="139"/>
        <v>-69694.702354099369</v>
      </c>
      <c r="AY125" s="8">
        <f t="shared" si="139"/>
        <v>-63358.820321908512</v>
      </c>
      <c r="AZ125" s="8">
        <f t="shared" si="139"/>
        <v>-57022.938289717655</v>
      </c>
      <c r="BA125" s="8">
        <f t="shared" si="139"/>
        <v>-50687.056257526798</v>
      </c>
      <c r="BB125" s="8">
        <f t="shared" si="139"/>
        <v>-44351.174225335941</v>
      </c>
      <c r="BC125" s="8">
        <f t="shared" si="139"/>
        <v>-38015.292193145084</v>
      </c>
      <c r="BD125" s="8">
        <f t="shared" si="139"/>
        <v>-31679.410160954227</v>
      </c>
      <c r="BE125" s="8">
        <f t="shared" si="139"/>
        <v>-25343.52812876337</v>
      </c>
      <c r="BF125" s="8">
        <f t="shared" si="139"/>
        <v>-19007.646096572513</v>
      </c>
      <c r="BG125" s="8">
        <f t="shared" si="139"/>
        <v>-12671.764064381656</v>
      </c>
      <c r="BH125" s="8">
        <f t="shared" si="139"/>
        <v>-6335.8820321907988</v>
      </c>
      <c r="BI125" s="8">
        <f t="shared" si="139"/>
        <v>5.8207660913467407E-11</v>
      </c>
      <c r="BJ125" s="8">
        <f t="shared" si="139"/>
        <v>5.8207660913467407E-11</v>
      </c>
      <c r="BK125" s="8">
        <f t="shared" si="139"/>
        <v>5.8207660913467407E-11</v>
      </c>
      <c r="BL125" s="8">
        <f t="shared" si="139"/>
        <v>5.8207660913467407E-11</v>
      </c>
      <c r="BM125" s="8">
        <f t="shared" si="139"/>
        <v>5.8207660913467407E-11</v>
      </c>
      <c r="BN125" s="8">
        <f t="shared" si="139"/>
        <v>5.8207660913467407E-11</v>
      </c>
      <c r="BO125" s="8">
        <f t="shared" si="139"/>
        <v>5.8207660913467407E-11</v>
      </c>
      <c r="BP125" s="8">
        <f t="shared" si="139"/>
        <v>5.8207660913467407E-11</v>
      </c>
      <c r="BQ125" s="8">
        <f t="shared" si="139"/>
        <v>5.8207660913467407E-11</v>
      </c>
      <c r="BR125" s="8">
        <f t="shared" si="139"/>
        <v>5.8207660913467407E-11</v>
      </c>
      <c r="BS125" s="8">
        <f t="shared" si="139"/>
        <v>5.8207660913467407E-11</v>
      </c>
      <c r="BT125" s="8">
        <f t="shared" si="139"/>
        <v>5.8207660913467407E-11</v>
      </c>
      <c r="BU125" s="8">
        <f t="shared" si="139"/>
        <v>5.8207660913467407E-11</v>
      </c>
      <c r="BV125" s="8">
        <f t="shared" si="139"/>
        <v>5.8207660913467407E-11</v>
      </c>
      <c r="BW125" s="8">
        <f t="shared" si="139"/>
        <v>5.8207660913467407E-11</v>
      </c>
      <c r="BX125" s="8">
        <f t="shared" ref="BX125:DA125" si="140">BW125+((BX117-BX123)*INC_TAX_RATE)</f>
        <v>5.8207660913467407E-11</v>
      </c>
      <c r="BY125" s="8">
        <f t="shared" si="140"/>
        <v>5.8207660913467407E-11</v>
      </c>
      <c r="BZ125" s="8">
        <f t="shared" si="140"/>
        <v>5.8207660913467407E-11</v>
      </c>
      <c r="CA125" s="8">
        <f t="shared" si="140"/>
        <v>5.8207660913467407E-11</v>
      </c>
      <c r="CB125" s="8">
        <f t="shared" si="140"/>
        <v>5.8207660913467407E-11</v>
      </c>
      <c r="CC125" s="8">
        <f t="shared" si="140"/>
        <v>5.8207660913467407E-11</v>
      </c>
      <c r="CD125" s="8">
        <f t="shared" si="140"/>
        <v>5.8207660913467407E-11</v>
      </c>
      <c r="CE125" s="8">
        <f t="shared" si="140"/>
        <v>5.8207660913467407E-11</v>
      </c>
      <c r="CF125" s="8">
        <f t="shared" si="140"/>
        <v>5.8207660913467407E-11</v>
      </c>
      <c r="CG125" s="8">
        <f t="shared" si="140"/>
        <v>5.8207660913467407E-11</v>
      </c>
      <c r="CH125" s="8">
        <f t="shared" si="140"/>
        <v>5.8207660913467407E-11</v>
      </c>
      <c r="CI125" s="8">
        <f t="shared" si="140"/>
        <v>5.8207660913467407E-11</v>
      </c>
      <c r="CJ125" s="8">
        <f t="shared" si="140"/>
        <v>5.8207660913467407E-11</v>
      </c>
      <c r="CK125" s="8">
        <f t="shared" si="140"/>
        <v>5.8207660913467407E-11</v>
      </c>
      <c r="CL125" s="8">
        <f t="shared" si="140"/>
        <v>5.8207660913467407E-11</v>
      </c>
      <c r="CM125" s="8">
        <f t="shared" si="140"/>
        <v>5.8207660913467407E-11</v>
      </c>
      <c r="CN125" s="8">
        <f t="shared" si="140"/>
        <v>5.8207660913467407E-11</v>
      </c>
      <c r="CO125" s="8">
        <f t="shared" si="140"/>
        <v>5.8207660913467407E-11</v>
      </c>
      <c r="CP125" s="8">
        <f t="shared" si="140"/>
        <v>5.8207660913467407E-11</v>
      </c>
      <c r="CQ125" s="8">
        <f t="shared" si="140"/>
        <v>5.8207660913467407E-11</v>
      </c>
      <c r="CR125" s="8">
        <f t="shared" si="140"/>
        <v>5.8207660913467407E-11</v>
      </c>
      <c r="CS125" s="8">
        <f t="shared" si="140"/>
        <v>5.8207660913467407E-11</v>
      </c>
      <c r="CT125" s="8">
        <f t="shared" si="140"/>
        <v>5.8207660913467407E-11</v>
      </c>
      <c r="CU125" s="8">
        <f t="shared" si="140"/>
        <v>5.8207660913467407E-11</v>
      </c>
      <c r="CV125" s="8">
        <f t="shared" si="140"/>
        <v>5.8207660913467407E-11</v>
      </c>
      <c r="CW125" s="8">
        <f t="shared" si="140"/>
        <v>5.8207660913467407E-11</v>
      </c>
      <c r="CX125" s="8">
        <f t="shared" si="140"/>
        <v>5.8207660913467407E-11</v>
      </c>
      <c r="CY125" s="8">
        <f t="shared" si="140"/>
        <v>5.8207660913467407E-11</v>
      </c>
      <c r="CZ125" s="8">
        <f t="shared" si="140"/>
        <v>5.8207660913467407E-11</v>
      </c>
      <c r="DA125" s="8">
        <f t="shared" si="140"/>
        <v>5.8207660913467407E-11</v>
      </c>
      <c r="DB125" s="8"/>
      <c r="DC125" s="8"/>
      <c r="DD125" s="8"/>
    </row>
    <row r="126" spans="3:108" x14ac:dyDescent="0.4"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8"/>
      <c r="DD126" s="8"/>
    </row>
    <row r="127" spans="3:108" x14ac:dyDescent="0.4">
      <c r="D127" t="s">
        <v>158</v>
      </c>
      <c r="K127" s="8"/>
      <c r="L127" s="8">
        <f>AVERAGE(L120:L121)+AVERAGE(L124:L125)</f>
        <v>1128839.6720094276</v>
      </c>
      <c r="M127" s="8">
        <f t="shared" ref="M127:BX127" si="141">AVERAGE(M120:M121)+AVERAGE(M124:M125)</f>
        <v>1094940.1407227118</v>
      </c>
      <c r="N127" s="8">
        <f t="shared" si="141"/>
        <v>1056404.3277589399</v>
      </c>
      <c r="O127" s="8">
        <f t="shared" si="141"/>
        <v>1019519.012064554</v>
      </c>
      <c r="P127" s="8">
        <f t="shared" si="141"/>
        <v>984160.64393992606</v>
      </c>
      <c r="Q127" s="8">
        <f t="shared" si="141"/>
        <v>950215.17750847654</v>
      </c>
      <c r="R127" s="8">
        <f t="shared" si="141"/>
        <v>917576.48674616648</v>
      </c>
      <c r="S127" s="8">
        <f t="shared" si="141"/>
        <v>886146.36548149679</v>
      </c>
      <c r="T127" s="8">
        <f t="shared" si="141"/>
        <v>855391.01565325551</v>
      </c>
      <c r="U127" s="8">
        <f t="shared" si="141"/>
        <v>824732.28802600503</v>
      </c>
      <c r="V127" s="8">
        <f t="shared" si="141"/>
        <v>794073.56039875466</v>
      </c>
      <c r="W127" s="8">
        <f t="shared" si="141"/>
        <v>763414.83277150418</v>
      </c>
      <c r="X127" s="8">
        <f t="shared" si="141"/>
        <v>732756.1051442537</v>
      </c>
      <c r="Y127" s="8">
        <f t="shared" si="141"/>
        <v>702097.37751700333</v>
      </c>
      <c r="Z127" s="8">
        <f t="shared" si="141"/>
        <v>671438.64988975285</v>
      </c>
      <c r="AA127" s="8">
        <f t="shared" si="141"/>
        <v>640779.92226250237</v>
      </c>
      <c r="AB127" s="8">
        <f t="shared" si="141"/>
        <v>610121.19463525189</v>
      </c>
      <c r="AC127" s="8">
        <f t="shared" si="141"/>
        <v>579462.4670080014</v>
      </c>
      <c r="AD127" s="8">
        <f t="shared" si="141"/>
        <v>548803.73938075104</v>
      </c>
      <c r="AE127" s="8">
        <f t="shared" si="141"/>
        <v>518145.01175350056</v>
      </c>
      <c r="AF127" s="8">
        <f t="shared" si="141"/>
        <v>491020.12232970458</v>
      </c>
      <c r="AG127" s="8">
        <f t="shared" si="141"/>
        <v>470961.32534230943</v>
      </c>
      <c r="AH127" s="8">
        <f t="shared" si="141"/>
        <v>454436.36655836878</v>
      </c>
      <c r="AI127" s="8">
        <f t="shared" si="141"/>
        <v>437911.40777442814</v>
      </c>
      <c r="AJ127" s="8">
        <f t="shared" si="141"/>
        <v>421386.44899048738</v>
      </c>
      <c r="AK127" s="8">
        <f t="shared" si="141"/>
        <v>404861.49020654673</v>
      </c>
      <c r="AL127" s="8">
        <f t="shared" si="141"/>
        <v>388336.53142260597</v>
      </c>
      <c r="AM127" s="8">
        <f t="shared" si="141"/>
        <v>371811.57263866533</v>
      </c>
      <c r="AN127" s="8">
        <f t="shared" si="141"/>
        <v>355286.61385472456</v>
      </c>
      <c r="AO127" s="8">
        <f t="shared" si="141"/>
        <v>338761.65507078392</v>
      </c>
      <c r="AP127" s="8">
        <f t="shared" si="141"/>
        <v>322236.69628684316</v>
      </c>
      <c r="AQ127" s="8">
        <f t="shared" si="141"/>
        <v>305711.73750290251</v>
      </c>
      <c r="AR127" s="8">
        <f t="shared" si="141"/>
        <v>289186.77871896175</v>
      </c>
      <c r="AS127" s="8">
        <f t="shared" si="141"/>
        <v>272661.81993502111</v>
      </c>
      <c r="AT127" s="8">
        <f t="shared" si="141"/>
        <v>256136.86115108037</v>
      </c>
      <c r="AU127" s="8">
        <f t="shared" si="141"/>
        <v>239611.90236713967</v>
      </c>
      <c r="AV127" s="8">
        <f t="shared" si="141"/>
        <v>223086.94358319897</v>
      </c>
      <c r="AW127" s="8">
        <f t="shared" si="141"/>
        <v>206561.98479925827</v>
      </c>
      <c r="AX127" s="8">
        <f t="shared" si="141"/>
        <v>190037.02601531756</v>
      </c>
      <c r="AY127" s="8">
        <f t="shared" si="141"/>
        <v>173512.06723137686</v>
      </c>
      <c r="AZ127" s="8">
        <f t="shared" si="141"/>
        <v>156987.10844743616</v>
      </c>
      <c r="BA127" s="8">
        <f t="shared" si="141"/>
        <v>140462.14966349545</v>
      </c>
      <c r="BB127" s="8">
        <f t="shared" si="141"/>
        <v>123937.19087955475</v>
      </c>
      <c r="BC127" s="8">
        <f t="shared" si="141"/>
        <v>107412.23209561405</v>
      </c>
      <c r="BD127" s="8">
        <f t="shared" si="141"/>
        <v>90887.273311673343</v>
      </c>
      <c r="BE127" s="8">
        <f t="shared" si="141"/>
        <v>74362.314527732698</v>
      </c>
      <c r="BF127" s="8">
        <f t="shared" si="141"/>
        <v>57837.355743792054</v>
      </c>
      <c r="BG127" s="8">
        <f t="shared" si="141"/>
        <v>41312.39695985135</v>
      </c>
      <c r="BH127" s="8">
        <f t="shared" si="141"/>
        <v>24787.438175910647</v>
      </c>
      <c r="BI127" s="8">
        <f t="shared" si="141"/>
        <v>8262.4793919701769</v>
      </c>
      <c r="BJ127" s="8">
        <f t="shared" si="141"/>
        <v>5.8207660913467407E-11</v>
      </c>
      <c r="BK127" s="8">
        <f t="shared" si="141"/>
        <v>5.8207660913467407E-11</v>
      </c>
      <c r="BL127" s="8">
        <f t="shared" si="141"/>
        <v>5.8207660913467407E-11</v>
      </c>
      <c r="BM127" s="8">
        <f t="shared" si="141"/>
        <v>5.8207660913467407E-11</v>
      </c>
      <c r="BN127" s="8">
        <f t="shared" si="141"/>
        <v>5.8207660913467407E-11</v>
      </c>
      <c r="BO127" s="8">
        <f t="shared" si="141"/>
        <v>5.8207660913467407E-11</v>
      </c>
      <c r="BP127" s="8">
        <f t="shared" si="141"/>
        <v>5.8207660913467407E-11</v>
      </c>
      <c r="BQ127" s="8">
        <f t="shared" si="141"/>
        <v>5.8207660913467407E-11</v>
      </c>
      <c r="BR127" s="8">
        <f t="shared" si="141"/>
        <v>5.8207660913467407E-11</v>
      </c>
      <c r="BS127" s="8">
        <f t="shared" si="141"/>
        <v>5.8207660913467407E-11</v>
      </c>
      <c r="BT127" s="8">
        <f t="shared" si="141"/>
        <v>5.8207660913467407E-11</v>
      </c>
      <c r="BU127" s="8">
        <f t="shared" si="141"/>
        <v>5.8207660913467407E-11</v>
      </c>
      <c r="BV127" s="8">
        <f t="shared" si="141"/>
        <v>5.8207660913467407E-11</v>
      </c>
      <c r="BW127" s="8">
        <f t="shared" si="141"/>
        <v>5.8207660913467407E-11</v>
      </c>
      <c r="BX127" s="8">
        <f t="shared" si="141"/>
        <v>5.8207660913467407E-11</v>
      </c>
      <c r="BY127" s="8">
        <f t="shared" ref="BY127:DA127" si="142">AVERAGE(BY120:BY121)+AVERAGE(BY124:BY125)</f>
        <v>5.8207660913467407E-11</v>
      </c>
      <c r="BZ127" s="8">
        <f t="shared" si="142"/>
        <v>5.8207660913467407E-11</v>
      </c>
      <c r="CA127" s="8">
        <f t="shared" si="142"/>
        <v>5.8207660913467407E-11</v>
      </c>
      <c r="CB127" s="8">
        <f t="shared" si="142"/>
        <v>5.8207660913467407E-11</v>
      </c>
      <c r="CC127" s="8">
        <f t="shared" si="142"/>
        <v>5.8207660913467407E-11</v>
      </c>
      <c r="CD127" s="8">
        <f t="shared" si="142"/>
        <v>5.8207660913467407E-11</v>
      </c>
      <c r="CE127" s="8">
        <f t="shared" si="142"/>
        <v>5.8207660913467407E-11</v>
      </c>
      <c r="CF127" s="8">
        <f t="shared" si="142"/>
        <v>5.8207660913467407E-11</v>
      </c>
      <c r="CG127" s="8">
        <f t="shared" si="142"/>
        <v>5.8207660913467407E-11</v>
      </c>
      <c r="CH127" s="8">
        <f t="shared" si="142"/>
        <v>5.8207660913467407E-11</v>
      </c>
      <c r="CI127" s="8">
        <f t="shared" si="142"/>
        <v>5.8207660913467407E-11</v>
      </c>
      <c r="CJ127" s="8">
        <f t="shared" si="142"/>
        <v>5.8207660913467407E-11</v>
      </c>
      <c r="CK127" s="8">
        <f t="shared" si="142"/>
        <v>5.8207660913467407E-11</v>
      </c>
      <c r="CL127" s="8">
        <f t="shared" si="142"/>
        <v>5.8207660913467407E-11</v>
      </c>
      <c r="CM127" s="8">
        <f t="shared" si="142"/>
        <v>5.8207660913467407E-11</v>
      </c>
      <c r="CN127" s="8">
        <f t="shared" si="142"/>
        <v>5.8207660913467407E-11</v>
      </c>
      <c r="CO127" s="8">
        <f t="shared" si="142"/>
        <v>5.8207660913467407E-11</v>
      </c>
      <c r="CP127" s="8">
        <f t="shared" si="142"/>
        <v>5.8207660913467407E-11</v>
      </c>
      <c r="CQ127" s="8">
        <f t="shared" si="142"/>
        <v>5.8207660913467407E-11</v>
      </c>
      <c r="CR127" s="8">
        <f t="shared" si="142"/>
        <v>5.8207660913467407E-11</v>
      </c>
      <c r="CS127" s="8">
        <f t="shared" si="142"/>
        <v>5.8207660913467407E-11</v>
      </c>
      <c r="CT127" s="8">
        <f t="shared" si="142"/>
        <v>5.8207660913467407E-11</v>
      </c>
      <c r="CU127" s="8">
        <f t="shared" si="142"/>
        <v>5.8207660913467407E-11</v>
      </c>
      <c r="CV127" s="8">
        <f t="shared" si="142"/>
        <v>5.8207660913467407E-11</v>
      </c>
      <c r="CW127" s="8">
        <f t="shared" si="142"/>
        <v>5.8207660913467407E-11</v>
      </c>
      <c r="CX127" s="8">
        <f t="shared" si="142"/>
        <v>5.8207660913467407E-11</v>
      </c>
      <c r="CY127" s="8">
        <f t="shared" si="142"/>
        <v>5.8207660913467407E-11</v>
      </c>
      <c r="CZ127" s="8">
        <f t="shared" si="142"/>
        <v>5.8207660913467407E-11</v>
      </c>
      <c r="DA127" s="8">
        <f t="shared" si="142"/>
        <v>5.8207660913467407E-11</v>
      </c>
      <c r="DB127" s="8"/>
      <c r="DC127" s="8"/>
      <c r="DD127" s="8"/>
    </row>
    <row r="128" spans="3:108" x14ac:dyDescent="0.4"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</row>
    <row r="129" spans="3:109" x14ac:dyDescent="0.4">
      <c r="D129" t="s">
        <v>209</v>
      </c>
      <c r="K129" s="8"/>
      <c r="L129" s="8">
        <f t="shared" ref="L129:AQ129" si="143">L127*AVG_PRE_TAX_RATE</f>
        <v>100805.38271044189</v>
      </c>
      <c r="M129" s="8">
        <f t="shared" si="143"/>
        <v>97778.154566538171</v>
      </c>
      <c r="N129" s="8">
        <f t="shared" si="143"/>
        <v>94336.906468873334</v>
      </c>
      <c r="O129" s="8">
        <f t="shared" si="143"/>
        <v>91043.047777364685</v>
      </c>
      <c r="P129" s="8">
        <f t="shared" si="143"/>
        <v>87885.545503835398</v>
      </c>
      <c r="Q129" s="8">
        <f t="shared" si="143"/>
        <v>84854.215351506966</v>
      </c>
      <c r="R129" s="8">
        <f t="shared" si="143"/>
        <v>81939.580266432677</v>
      </c>
      <c r="S129" s="8">
        <f t="shared" si="143"/>
        <v>79132.870437497666</v>
      </c>
      <c r="T129" s="8">
        <f t="shared" si="143"/>
        <v>76386.417697835728</v>
      </c>
      <c r="U129" s="8">
        <f t="shared" si="143"/>
        <v>73648.593320722255</v>
      </c>
      <c r="V129" s="8">
        <f t="shared" si="143"/>
        <v>70910.768943608797</v>
      </c>
      <c r="W129" s="8">
        <f t="shared" si="143"/>
        <v>68172.944566495324</v>
      </c>
      <c r="X129" s="8">
        <f t="shared" si="143"/>
        <v>65435.120189381858</v>
      </c>
      <c r="Y129" s="8">
        <f t="shared" si="143"/>
        <v>62697.295812268399</v>
      </c>
      <c r="Z129" s="8">
        <f t="shared" si="143"/>
        <v>59959.471435154934</v>
      </c>
      <c r="AA129" s="8">
        <f t="shared" si="143"/>
        <v>57221.647058041461</v>
      </c>
      <c r="AB129" s="8">
        <f t="shared" si="143"/>
        <v>54483.822680927995</v>
      </c>
      <c r="AC129" s="8">
        <f t="shared" si="143"/>
        <v>51745.998303814529</v>
      </c>
      <c r="AD129" s="8">
        <f t="shared" si="143"/>
        <v>49008.173926701071</v>
      </c>
      <c r="AE129" s="8">
        <f t="shared" si="143"/>
        <v>46270.349549587605</v>
      </c>
      <c r="AF129" s="8">
        <f t="shared" si="143"/>
        <v>43848.09692404262</v>
      </c>
      <c r="AG129" s="8">
        <f t="shared" si="143"/>
        <v>42056.846353068235</v>
      </c>
      <c r="AH129" s="8">
        <f t="shared" si="143"/>
        <v>40581.167533662338</v>
      </c>
      <c r="AI129" s="8">
        <f t="shared" si="143"/>
        <v>39105.488714256433</v>
      </c>
      <c r="AJ129" s="8">
        <f t="shared" si="143"/>
        <v>37629.809894850521</v>
      </c>
      <c r="AK129" s="8">
        <f t="shared" si="143"/>
        <v>36154.131075444624</v>
      </c>
      <c r="AL129" s="8">
        <f t="shared" si="143"/>
        <v>34678.452256038712</v>
      </c>
      <c r="AM129" s="8">
        <f t="shared" si="143"/>
        <v>33202.773436632815</v>
      </c>
      <c r="AN129" s="8">
        <f t="shared" si="143"/>
        <v>31727.094617226907</v>
      </c>
      <c r="AO129" s="8">
        <f t="shared" si="143"/>
        <v>30251.415797821006</v>
      </c>
      <c r="AP129" s="8">
        <f t="shared" si="143"/>
        <v>28775.736978415094</v>
      </c>
      <c r="AQ129" s="8">
        <f t="shared" si="143"/>
        <v>27300.058159009197</v>
      </c>
      <c r="AR129" s="8">
        <f t="shared" ref="AR129:BW129" si="144">AR127*AVG_PRE_TAX_RATE</f>
        <v>25824.379339603285</v>
      </c>
      <c r="AS129" s="8">
        <f t="shared" si="144"/>
        <v>24348.700520197384</v>
      </c>
      <c r="AT129" s="8">
        <f t="shared" si="144"/>
        <v>22873.02170079148</v>
      </c>
      <c r="AU129" s="8">
        <f t="shared" si="144"/>
        <v>21397.342881385575</v>
      </c>
      <c r="AV129" s="8">
        <f t="shared" si="144"/>
        <v>19921.664061979667</v>
      </c>
      <c r="AW129" s="8">
        <f t="shared" si="144"/>
        <v>18445.985242573763</v>
      </c>
      <c r="AX129" s="8">
        <f t="shared" si="144"/>
        <v>16970.306423167858</v>
      </c>
      <c r="AY129" s="8">
        <f t="shared" si="144"/>
        <v>15494.627603761954</v>
      </c>
      <c r="AZ129" s="8">
        <f t="shared" si="144"/>
        <v>14018.948784356049</v>
      </c>
      <c r="BA129" s="8">
        <f t="shared" si="144"/>
        <v>12543.269964950145</v>
      </c>
      <c r="BB129" s="8">
        <f t="shared" si="144"/>
        <v>11067.59114554424</v>
      </c>
      <c r="BC129" s="8">
        <f t="shared" si="144"/>
        <v>9591.9123261383356</v>
      </c>
      <c r="BD129" s="8">
        <f t="shared" si="144"/>
        <v>8116.2335067324302</v>
      </c>
      <c r="BE129" s="8">
        <f t="shared" si="144"/>
        <v>6640.5546873265303</v>
      </c>
      <c r="BF129" s="8">
        <f t="shared" si="144"/>
        <v>5164.8758679206303</v>
      </c>
      <c r="BG129" s="8">
        <f t="shared" si="144"/>
        <v>3689.1970485147258</v>
      </c>
      <c r="BH129" s="8">
        <f t="shared" si="144"/>
        <v>2213.5182291088208</v>
      </c>
      <c r="BI129" s="8">
        <f t="shared" si="144"/>
        <v>737.83940970293679</v>
      </c>
      <c r="BJ129" s="8">
        <f t="shared" si="144"/>
        <v>5.1979441195726397E-12</v>
      </c>
      <c r="BK129" s="8">
        <f t="shared" si="144"/>
        <v>5.1979441195726397E-12</v>
      </c>
      <c r="BL129" s="8">
        <f t="shared" si="144"/>
        <v>5.1979441195726397E-12</v>
      </c>
      <c r="BM129" s="8">
        <f t="shared" si="144"/>
        <v>5.1979441195726397E-12</v>
      </c>
      <c r="BN129" s="8">
        <f t="shared" si="144"/>
        <v>5.1979441195726397E-12</v>
      </c>
      <c r="BO129" s="8">
        <f t="shared" si="144"/>
        <v>5.1979441195726397E-12</v>
      </c>
      <c r="BP129" s="8">
        <f t="shared" si="144"/>
        <v>5.1979441195726397E-12</v>
      </c>
      <c r="BQ129" s="8">
        <f t="shared" si="144"/>
        <v>5.1979441195726397E-12</v>
      </c>
      <c r="BR129" s="8">
        <f t="shared" si="144"/>
        <v>5.1979441195726397E-12</v>
      </c>
      <c r="BS129" s="8">
        <f t="shared" si="144"/>
        <v>5.1979441195726397E-12</v>
      </c>
      <c r="BT129" s="8">
        <f t="shared" si="144"/>
        <v>5.1979441195726397E-12</v>
      </c>
      <c r="BU129" s="8">
        <f t="shared" si="144"/>
        <v>5.1979441195726397E-12</v>
      </c>
      <c r="BV129" s="8">
        <f t="shared" si="144"/>
        <v>5.1979441195726397E-12</v>
      </c>
      <c r="BW129" s="8">
        <f t="shared" si="144"/>
        <v>5.1979441195726397E-12</v>
      </c>
      <c r="BX129" s="8">
        <f t="shared" ref="BX129:DA129" si="145">BX127*AVG_PRE_TAX_RATE</f>
        <v>5.1979441195726397E-12</v>
      </c>
      <c r="BY129" s="8">
        <f t="shared" si="145"/>
        <v>5.1979441195726397E-12</v>
      </c>
      <c r="BZ129" s="8">
        <f t="shared" si="145"/>
        <v>5.1979441195726397E-12</v>
      </c>
      <c r="CA129" s="8">
        <f t="shared" si="145"/>
        <v>5.1979441195726397E-12</v>
      </c>
      <c r="CB129" s="8">
        <f t="shared" si="145"/>
        <v>5.1979441195726397E-12</v>
      </c>
      <c r="CC129" s="8">
        <f t="shared" si="145"/>
        <v>5.1979441195726397E-12</v>
      </c>
      <c r="CD129" s="8">
        <f t="shared" si="145"/>
        <v>5.1979441195726397E-12</v>
      </c>
      <c r="CE129" s="8">
        <f t="shared" si="145"/>
        <v>5.1979441195726397E-12</v>
      </c>
      <c r="CF129" s="8">
        <f t="shared" si="145"/>
        <v>5.1979441195726397E-12</v>
      </c>
      <c r="CG129" s="8">
        <f t="shared" si="145"/>
        <v>5.1979441195726397E-12</v>
      </c>
      <c r="CH129" s="8">
        <f t="shared" si="145"/>
        <v>5.1979441195726397E-12</v>
      </c>
      <c r="CI129" s="8">
        <f t="shared" si="145"/>
        <v>5.1979441195726397E-12</v>
      </c>
      <c r="CJ129" s="8">
        <f t="shared" si="145"/>
        <v>5.1979441195726397E-12</v>
      </c>
      <c r="CK129" s="8">
        <f t="shared" si="145"/>
        <v>5.1979441195726397E-12</v>
      </c>
      <c r="CL129" s="8">
        <f t="shared" si="145"/>
        <v>5.1979441195726397E-12</v>
      </c>
      <c r="CM129" s="8">
        <f t="shared" si="145"/>
        <v>5.1979441195726397E-12</v>
      </c>
      <c r="CN129" s="8">
        <f t="shared" si="145"/>
        <v>5.1979441195726397E-12</v>
      </c>
      <c r="CO129" s="8">
        <f t="shared" si="145"/>
        <v>5.1979441195726397E-12</v>
      </c>
      <c r="CP129" s="8">
        <f t="shared" si="145"/>
        <v>5.1979441195726397E-12</v>
      </c>
      <c r="CQ129" s="8">
        <f t="shared" si="145"/>
        <v>5.1979441195726397E-12</v>
      </c>
      <c r="CR129" s="8">
        <f t="shared" si="145"/>
        <v>5.1979441195726397E-12</v>
      </c>
      <c r="CS129" s="8">
        <f t="shared" si="145"/>
        <v>5.1979441195726397E-12</v>
      </c>
      <c r="CT129" s="8">
        <f t="shared" si="145"/>
        <v>5.1979441195726397E-12</v>
      </c>
      <c r="CU129" s="8">
        <f t="shared" si="145"/>
        <v>5.1979441195726397E-12</v>
      </c>
      <c r="CV129" s="8">
        <f t="shared" si="145"/>
        <v>5.1979441195726397E-12</v>
      </c>
      <c r="CW129" s="8">
        <f t="shared" si="145"/>
        <v>5.1979441195726397E-12</v>
      </c>
      <c r="CX129" s="8">
        <f t="shared" si="145"/>
        <v>5.1979441195726397E-12</v>
      </c>
      <c r="CY129" s="8">
        <f t="shared" si="145"/>
        <v>5.1979441195726397E-12</v>
      </c>
      <c r="CZ129" s="8">
        <f t="shared" si="145"/>
        <v>5.1979441195726397E-12</v>
      </c>
      <c r="DA129" s="8">
        <f t="shared" si="145"/>
        <v>5.1979441195726397E-12</v>
      </c>
      <c r="DB129" s="8"/>
      <c r="DC129" s="8"/>
      <c r="DD129" s="8"/>
    </row>
    <row r="132" spans="3:109" x14ac:dyDescent="0.4">
      <c r="C132" s="58" t="str">
        <f>C115</f>
        <v>Investment year in service</v>
      </c>
      <c r="E132" t="str">
        <f>IF(E133&lt;$C133,"",E133-$C133)</f>
        <v/>
      </c>
      <c r="F132" t="str">
        <f>IF(F133&lt;$C133,"",F133-$C133)</f>
        <v/>
      </c>
      <c r="G132" t="str">
        <f t="shared" ref="G132:BR132" si="146">IF(G133&lt;$C133,"",G133-$C133)</f>
        <v/>
      </c>
      <c r="H132" t="str">
        <f t="shared" si="146"/>
        <v/>
      </c>
      <c r="I132" t="str">
        <f t="shared" si="146"/>
        <v/>
      </c>
      <c r="J132" t="str">
        <f t="shared" si="146"/>
        <v/>
      </c>
      <c r="K132" t="str">
        <f t="shared" si="146"/>
        <v/>
      </c>
      <c r="L132">
        <f t="shared" si="146"/>
        <v>0</v>
      </c>
      <c r="M132">
        <f t="shared" si="146"/>
        <v>1</v>
      </c>
      <c r="N132">
        <f t="shared" si="146"/>
        <v>2</v>
      </c>
      <c r="O132">
        <f t="shared" si="146"/>
        <v>3</v>
      </c>
      <c r="P132">
        <f t="shared" si="146"/>
        <v>4</v>
      </c>
      <c r="Q132">
        <f t="shared" si="146"/>
        <v>5</v>
      </c>
      <c r="R132">
        <f t="shared" si="146"/>
        <v>6</v>
      </c>
      <c r="S132">
        <f t="shared" si="146"/>
        <v>7</v>
      </c>
      <c r="T132">
        <f t="shared" si="146"/>
        <v>8</v>
      </c>
      <c r="U132">
        <f t="shared" si="146"/>
        <v>9</v>
      </c>
      <c r="V132">
        <f t="shared" si="146"/>
        <v>10</v>
      </c>
      <c r="W132">
        <f t="shared" si="146"/>
        <v>11</v>
      </c>
      <c r="X132">
        <f t="shared" si="146"/>
        <v>12</v>
      </c>
      <c r="Y132">
        <f t="shared" si="146"/>
        <v>13</v>
      </c>
      <c r="Z132">
        <f t="shared" si="146"/>
        <v>14</v>
      </c>
      <c r="AA132">
        <f t="shared" si="146"/>
        <v>15</v>
      </c>
      <c r="AB132">
        <f t="shared" si="146"/>
        <v>16</v>
      </c>
      <c r="AC132">
        <f t="shared" si="146"/>
        <v>17</v>
      </c>
      <c r="AD132">
        <f t="shared" si="146"/>
        <v>18</v>
      </c>
      <c r="AE132">
        <f t="shared" si="146"/>
        <v>19</v>
      </c>
      <c r="AF132">
        <f t="shared" si="146"/>
        <v>20</v>
      </c>
      <c r="AG132">
        <f t="shared" si="146"/>
        <v>21</v>
      </c>
      <c r="AH132">
        <f t="shared" si="146"/>
        <v>22</v>
      </c>
      <c r="AI132">
        <f t="shared" si="146"/>
        <v>23</v>
      </c>
      <c r="AJ132">
        <f t="shared" si="146"/>
        <v>24</v>
      </c>
      <c r="AK132">
        <f t="shared" si="146"/>
        <v>25</v>
      </c>
      <c r="AL132">
        <f t="shared" si="146"/>
        <v>26</v>
      </c>
      <c r="AM132">
        <f t="shared" si="146"/>
        <v>27</v>
      </c>
      <c r="AN132">
        <f t="shared" si="146"/>
        <v>28</v>
      </c>
      <c r="AO132">
        <f t="shared" si="146"/>
        <v>29</v>
      </c>
      <c r="AP132">
        <f t="shared" si="146"/>
        <v>30</v>
      </c>
      <c r="AQ132">
        <f t="shared" si="146"/>
        <v>31</v>
      </c>
      <c r="AR132">
        <f t="shared" si="146"/>
        <v>32</v>
      </c>
      <c r="AS132">
        <f t="shared" si="146"/>
        <v>33</v>
      </c>
      <c r="AT132">
        <f t="shared" si="146"/>
        <v>34</v>
      </c>
      <c r="AU132">
        <f t="shared" si="146"/>
        <v>35</v>
      </c>
      <c r="AV132">
        <f t="shared" si="146"/>
        <v>36</v>
      </c>
      <c r="AW132">
        <f t="shared" si="146"/>
        <v>37</v>
      </c>
      <c r="AX132">
        <f t="shared" si="146"/>
        <v>38</v>
      </c>
      <c r="AY132">
        <f t="shared" si="146"/>
        <v>39</v>
      </c>
      <c r="AZ132">
        <f t="shared" si="146"/>
        <v>40</v>
      </c>
      <c r="BA132">
        <f t="shared" si="146"/>
        <v>41</v>
      </c>
      <c r="BB132">
        <f t="shared" si="146"/>
        <v>42</v>
      </c>
      <c r="BC132">
        <f t="shared" si="146"/>
        <v>43</v>
      </c>
      <c r="BD132">
        <f t="shared" si="146"/>
        <v>44</v>
      </c>
      <c r="BE132">
        <f t="shared" si="146"/>
        <v>45</v>
      </c>
      <c r="BF132">
        <f t="shared" si="146"/>
        <v>46</v>
      </c>
      <c r="BG132">
        <f t="shared" si="146"/>
        <v>47</v>
      </c>
      <c r="BH132">
        <f t="shared" si="146"/>
        <v>48</v>
      </c>
      <c r="BI132">
        <f t="shared" si="146"/>
        <v>49</v>
      </c>
      <c r="BJ132">
        <f t="shared" si="146"/>
        <v>50</v>
      </c>
      <c r="BK132">
        <f t="shared" si="146"/>
        <v>51</v>
      </c>
      <c r="BL132">
        <f t="shared" si="146"/>
        <v>52</v>
      </c>
      <c r="BM132">
        <f t="shared" si="146"/>
        <v>53</v>
      </c>
      <c r="BN132">
        <f t="shared" si="146"/>
        <v>54</v>
      </c>
      <c r="BO132">
        <f t="shared" si="146"/>
        <v>55</v>
      </c>
      <c r="BP132">
        <f t="shared" si="146"/>
        <v>56</v>
      </c>
      <c r="BQ132">
        <f t="shared" si="146"/>
        <v>57</v>
      </c>
      <c r="BR132">
        <f t="shared" si="146"/>
        <v>58</v>
      </c>
      <c r="BS132">
        <f t="shared" ref="BS132:DA132" si="147">IF(BS133&lt;$C133,"",BS133-$C133)</f>
        <v>59</v>
      </c>
      <c r="BT132">
        <f t="shared" si="147"/>
        <v>60</v>
      </c>
      <c r="BU132">
        <f t="shared" si="147"/>
        <v>61</v>
      </c>
      <c r="BV132">
        <f t="shared" si="147"/>
        <v>62</v>
      </c>
      <c r="BW132">
        <f t="shared" si="147"/>
        <v>63</v>
      </c>
      <c r="BX132">
        <f t="shared" si="147"/>
        <v>64</v>
      </c>
      <c r="BY132">
        <f t="shared" si="147"/>
        <v>65</v>
      </c>
      <c r="BZ132">
        <f t="shared" si="147"/>
        <v>66</v>
      </c>
      <c r="CA132">
        <f t="shared" si="147"/>
        <v>67</v>
      </c>
      <c r="CB132">
        <f t="shared" si="147"/>
        <v>68</v>
      </c>
      <c r="CC132">
        <f t="shared" si="147"/>
        <v>69</v>
      </c>
      <c r="CD132">
        <f t="shared" si="147"/>
        <v>70</v>
      </c>
      <c r="CE132">
        <f t="shared" si="147"/>
        <v>71</v>
      </c>
      <c r="CF132">
        <f t="shared" si="147"/>
        <v>72</v>
      </c>
      <c r="CG132">
        <f t="shared" si="147"/>
        <v>73</v>
      </c>
      <c r="CH132">
        <f t="shared" si="147"/>
        <v>74</v>
      </c>
      <c r="CI132">
        <f t="shared" si="147"/>
        <v>75</v>
      </c>
      <c r="CJ132">
        <f t="shared" si="147"/>
        <v>76</v>
      </c>
      <c r="CK132">
        <f t="shared" si="147"/>
        <v>77</v>
      </c>
      <c r="CL132">
        <f t="shared" si="147"/>
        <v>78</v>
      </c>
      <c r="CM132">
        <f t="shared" si="147"/>
        <v>79</v>
      </c>
      <c r="CN132">
        <f t="shared" si="147"/>
        <v>80</v>
      </c>
      <c r="CO132">
        <f t="shared" si="147"/>
        <v>81</v>
      </c>
      <c r="CP132">
        <f t="shared" si="147"/>
        <v>82</v>
      </c>
      <c r="CQ132">
        <f t="shared" si="147"/>
        <v>83</v>
      </c>
      <c r="CR132">
        <f t="shared" si="147"/>
        <v>84</v>
      </c>
      <c r="CS132">
        <f t="shared" si="147"/>
        <v>85</v>
      </c>
      <c r="CT132">
        <f t="shared" si="147"/>
        <v>86</v>
      </c>
      <c r="CU132">
        <f t="shared" si="147"/>
        <v>87</v>
      </c>
      <c r="CV132">
        <f t="shared" si="147"/>
        <v>88</v>
      </c>
      <c r="CW132">
        <f t="shared" si="147"/>
        <v>89</v>
      </c>
      <c r="CX132">
        <f t="shared" si="147"/>
        <v>90</v>
      </c>
      <c r="CY132">
        <f t="shared" si="147"/>
        <v>91</v>
      </c>
      <c r="CZ132">
        <f t="shared" si="147"/>
        <v>92</v>
      </c>
      <c r="DA132">
        <f t="shared" si="147"/>
        <v>93</v>
      </c>
    </row>
    <row r="133" spans="3:109" x14ac:dyDescent="0.4">
      <c r="C133">
        <f>C116+1</f>
        <v>2034</v>
      </c>
      <c r="D133" s="5" t="s">
        <v>434</v>
      </c>
      <c r="E133" s="5">
        <v>2027</v>
      </c>
      <c r="F133" s="5">
        <v>2028</v>
      </c>
      <c r="G133" s="5">
        <v>2029</v>
      </c>
      <c r="H133" s="5">
        <v>2030</v>
      </c>
      <c r="I133" s="5">
        <v>2031</v>
      </c>
      <c r="J133" s="5">
        <v>2032</v>
      </c>
      <c r="K133" s="5">
        <v>2033</v>
      </c>
      <c r="L133" s="5">
        <v>2034</v>
      </c>
      <c r="M133" s="5">
        <v>2035</v>
      </c>
      <c r="N133" s="5">
        <v>2036</v>
      </c>
      <c r="O133" s="5">
        <v>2037</v>
      </c>
      <c r="P133" s="5">
        <v>2038</v>
      </c>
      <c r="Q133" s="5">
        <v>2039</v>
      </c>
      <c r="R133" s="5">
        <v>2040</v>
      </c>
      <c r="S133" s="5">
        <v>2041</v>
      </c>
      <c r="T133" s="5">
        <v>2042</v>
      </c>
      <c r="U133" s="5">
        <v>2043</v>
      </c>
      <c r="V133" s="5">
        <v>2044</v>
      </c>
      <c r="W133" s="5">
        <v>2045</v>
      </c>
      <c r="X133" s="5">
        <v>2046</v>
      </c>
      <c r="Y133" s="5">
        <v>2047</v>
      </c>
      <c r="Z133" s="5">
        <v>2048</v>
      </c>
      <c r="AA133" s="5">
        <v>2049</v>
      </c>
      <c r="AB133" s="5">
        <v>2050</v>
      </c>
      <c r="AC133" s="5">
        <v>2051</v>
      </c>
      <c r="AD133" s="5">
        <v>2052</v>
      </c>
      <c r="AE133" s="5">
        <v>2053</v>
      </c>
      <c r="AF133" s="5">
        <v>2054</v>
      </c>
      <c r="AG133" s="5">
        <v>2055</v>
      </c>
      <c r="AH133" s="5">
        <v>2056</v>
      </c>
      <c r="AI133" s="5">
        <v>2057</v>
      </c>
      <c r="AJ133" s="5">
        <v>2058</v>
      </c>
      <c r="AK133" s="5">
        <v>2059</v>
      </c>
      <c r="AL133" s="5">
        <v>2060</v>
      </c>
      <c r="AM133" s="5">
        <v>2061</v>
      </c>
      <c r="AN133" s="5">
        <v>2062</v>
      </c>
      <c r="AO133" s="5">
        <v>2063</v>
      </c>
      <c r="AP133" s="5">
        <v>2064</v>
      </c>
      <c r="AQ133" s="5">
        <v>2065</v>
      </c>
      <c r="AR133" s="5">
        <v>2066</v>
      </c>
      <c r="AS133" s="5">
        <v>2067</v>
      </c>
      <c r="AT133" s="5">
        <v>2068</v>
      </c>
      <c r="AU133" s="5">
        <v>2069</v>
      </c>
      <c r="AV133" s="5">
        <v>2070</v>
      </c>
      <c r="AW133" s="5">
        <v>2071</v>
      </c>
      <c r="AX133" s="5">
        <v>2072</v>
      </c>
      <c r="AY133" s="5">
        <v>2073</v>
      </c>
      <c r="AZ133" s="5">
        <v>2074</v>
      </c>
      <c r="BA133" s="5">
        <v>2075</v>
      </c>
      <c r="BB133" s="5">
        <v>2076</v>
      </c>
      <c r="BC133" s="5">
        <v>2077</v>
      </c>
      <c r="BD133" s="5">
        <v>2078</v>
      </c>
      <c r="BE133" s="5">
        <v>2079</v>
      </c>
      <c r="BF133" s="5">
        <v>2080</v>
      </c>
      <c r="BG133" s="5">
        <v>2081</v>
      </c>
      <c r="BH133" s="5">
        <v>2082</v>
      </c>
      <c r="BI133" s="5">
        <v>2083</v>
      </c>
      <c r="BJ133" s="5">
        <v>2084</v>
      </c>
      <c r="BK133" s="5">
        <v>2085</v>
      </c>
      <c r="BL133" s="5">
        <v>2086</v>
      </c>
      <c r="BM133" s="5">
        <v>2087</v>
      </c>
      <c r="BN133" s="5">
        <v>2088</v>
      </c>
      <c r="BO133" s="5">
        <v>2089</v>
      </c>
      <c r="BP133" s="5">
        <v>2090</v>
      </c>
      <c r="BQ133" s="5">
        <v>2091</v>
      </c>
      <c r="BR133" s="5">
        <v>2092</v>
      </c>
      <c r="BS133" s="5">
        <v>2093</v>
      </c>
      <c r="BT133" s="5">
        <v>2094</v>
      </c>
      <c r="BU133" s="5">
        <v>2095</v>
      </c>
      <c r="BV133" s="5">
        <v>2096</v>
      </c>
      <c r="BW133" s="5">
        <v>2097</v>
      </c>
      <c r="BX133" s="5">
        <v>2098</v>
      </c>
      <c r="BY133" s="5">
        <v>2099</v>
      </c>
      <c r="BZ133" s="5">
        <v>2100</v>
      </c>
      <c r="CA133" s="5">
        <v>2101</v>
      </c>
      <c r="CB133" s="5">
        <v>2102</v>
      </c>
      <c r="CC133" s="5">
        <v>2103</v>
      </c>
      <c r="CD133" s="5">
        <v>2104</v>
      </c>
      <c r="CE133" s="5">
        <v>2105</v>
      </c>
      <c r="CF133" s="5">
        <v>2106</v>
      </c>
      <c r="CG133" s="5">
        <v>2107</v>
      </c>
      <c r="CH133" s="5">
        <v>2108</v>
      </c>
      <c r="CI133" s="5">
        <v>2109</v>
      </c>
      <c r="CJ133" s="5">
        <v>2110</v>
      </c>
      <c r="CK133" s="5">
        <v>2111</v>
      </c>
      <c r="CL133" s="5">
        <v>2112</v>
      </c>
      <c r="CM133" s="5">
        <v>2113</v>
      </c>
      <c r="CN133" s="5">
        <v>2114</v>
      </c>
      <c r="CO133" s="5">
        <v>2115</v>
      </c>
      <c r="CP133" s="5">
        <v>2116</v>
      </c>
      <c r="CQ133" s="5">
        <v>2117</v>
      </c>
      <c r="CR133" s="5">
        <v>2118</v>
      </c>
      <c r="CS133" s="5">
        <v>2119</v>
      </c>
      <c r="CT133" s="5">
        <v>2120</v>
      </c>
      <c r="CU133" s="5">
        <v>2121</v>
      </c>
      <c r="CV133" s="5">
        <v>2122</v>
      </c>
      <c r="CW133" s="5">
        <v>2123</v>
      </c>
      <c r="CX133" s="5">
        <v>2124</v>
      </c>
      <c r="CY133" s="5">
        <v>2125</v>
      </c>
      <c r="CZ133" s="5">
        <v>2126</v>
      </c>
      <c r="DA133" s="5">
        <v>2127</v>
      </c>
    </row>
    <row r="134" spans="3:109" x14ac:dyDescent="0.4">
      <c r="D134" t="s">
        <v>207</v>
      </c>
      <c r="M134" s="8">
        <f>IF(M$13&lt;=$B$3,M135/$B$3,0)</f>
        <v>23363.779314086438</v>
      </c>
      <c r="N134" s="8">
        <f>IF(N132&lt;=$B$3,M134,0)</f>
        <v>23363.779314086438</v>
      </c>
      <c r="O134" s="8">
        <f t="shared" ref="O134:BZ134" si="148">IF(O132&lt;=$B$3,N134,0)</f>
        <v>23363.779314086438</v>
      </c>
      <c r="P134" s="8">
        <f t="shared" si="148"/>
        <v>23363.779314086438</v>
      </c>
      <c r="Q134" s="8">
        <f t="shared" si="148"/>
        <v>23363.779314086438</v>
      </c>
      <c r="R134" s="8">
        <f t="shared" si="148"/>
        <v>23363.779314086438</v>
      </c>
      <c r="S134" s="8">
        <f t="shared" si="148"/>
        <v>23363.779314086438</v>
      </c>
      <c r="T134" s="8">
        <f t="shared" si="148"/>
        <v>23363.779314086438</v>
      </c>
      <c r="U134" s="8">
        <f t="shared" si="148"/>
        <v>23363.779314086438</v>
      </c>
      <c r="V134" s="8">
        <f t="shared" si="148"/>
        <v>23363.779314086438</v>
      </c>
      <c r="W134" s="8">
        <f t="shared" si="148"/>
        <v>23363.779314086438</v>
      </c>
      <c r="X134" s="8">
        <f t="shared" si="148"/>
        <v>23363.779314086438</v>
      </c>
      <c r="Y134" s="8">
        <f t="shared" si="148"/>
        <v>23363.779314086438</v>
      </c>
      <c r="Z134" s="8">
        <f t="shared" si="148"/>
        <v>23363.779314086438</v>
      </c>
      <c r="AA134" s="8">
        <f t="shared" si="148"/>
        <v>23363.779314086438</v>
      </c>
      <c r="AB134" s="8">
        <f t="shared" si="148"/>
        <v>23363.779314086438</v>
      </c>
      <c r="AC134" s="8">
        <f t="shared" si="148"/>
        <v>23363.779314086438</v>
      </c>
      <c r="AD134" s="8">
        <f t="shared" si="148"/>
        <v>23363.779314086438</v>
      </c>
      <c r="AE134" s="8">
        <f t="shared" si="148"/>
        <v>23363.779314086438</v>
      </c>
      <c r="AF134" s="8">
        <f t="shared" si="148"/>
        <v>23363.779314086438</v>
      </c>
      <c r="AG134" s="8">
        <f t="shared" si="148"/>
        <v>23363.779314086438</v>
      </c>
      <c r="AH134" s="8">
        <f t="shared" si="148"/>
        <v>23363.779314086438</v>
      </c>
      <c r="AI134" s="8">
        <f t="shared" si="148"/>
        <v>23363.779314086438</v>
      </c>
      <c r="AJ134" s="8">
        <f t="shared" si="148"/>
        <v>23363.779314086438</v>
      </c>
      <c r="AK134" s="8">
        <f t="shared" si="148"/>
        <v>23363.779314086438</v>
      </c>
      <c r="AL134" s="8">
        <f t="shared" si="148"/>
        <v>23363.779314086438</v>
      </c>
      <c r="AM134" s="8">
        <f t="shared" si="148"/>
        <v>23363.779314086438</v>
      </c>
      <c r="AN134" s="8">
        <f t="shared" si="148"/>
        <v>23363.779314086438</v>
      </c>
      <c r="AO134" s="8">
        <f t="shared" si="148"/>
        <v>23363.779314086438</v>
      </c>
      <c r="AP134" s="8">
        <f t="shared" si="148"/>
        <v>23363.779314086438</v>
      </c>
      <c r="AQ134" s="8">
        <f t="shared" si="148"/>
        <v>23363.779314086438</v>
      </c>
      <c r="AR134" s="8">
        <f t="shared" si="148"/>
        <v>23363.779314086438</v>
      </c>
      <c r="AS134" s="8">
        <f t="shared" si="148"/>
        <v>23363.779314086438</v>
      </c>
      <c r="AT134" s="8">
        <f t="shared" si="148"/>
        <v>23363.779314086438</v>
      </c>
      <c r="AU134" s="8">
        <f t="shared" si="148"/>
        <v>23363.779314086438</v>
      </c>
      <c r="AV134" s="8">
        <f t="shared" si="148"/>
        <v>23363.779314086438</v>
      </c>
      <c r="AW134" s="8">
        <f t="shared" si="148"/>
        <v>23363.779314086438</v>
      </c>
      <c r="AX134" s="8">
        <f t="shared" si="148"/>
        <v>23363.779314086438</v>
      </c>
      <c r="AY134" s="8">
        <f t="shared" si="148"/>
        <v>23363.779314086438</v>
      </c>
      <c r="AZ134" s="8">
        <f t="shared" si="148"/>
        <v>23363.779314086438</v>
      </c>
      <c r="BA134" s="8">
        <f t="shared" si="148"/>
        <v>23363.779314086438</v>
      </c>
      <c r="BB134" s="8">
        <f t="shared" si="148"/>
        <v>23363.779314086438</v>
      </c>
      <c r="BC134" s="8">
        <f t="shared" si="148"/>
        <v>23363.779314086438</v>
      </c>
      <c r="BD134" s="8">
        <f t="shared" si="148"/>
        <v>23363.779314086438</v>
      </c>
      <c r="BE134" s="8">
        <f t="shared" si="148"/>
        <v>23363.779314086438</v>
      </c>
      <c r="BF134" s="8">
        <f t="shared" si="148"/>
        <v>23363.779314086438</v>
      </c>
      <c r="BG134" s="8">
        <f t="shared" si="148"/>
        <v>23363.779314086438</v>
      </c>
      <c r="BH134" s="8">
        <f t="shared" si="148"/>
        <v>23363.779314086438</v>
      </c>
      <c r="BI134" s="8">
        <f t="shared" si="148"/>
        <v>23363.779314086438</v>
      </c>
      <c r="BJ134" s="8">
        <f t="shared" si="148"/>
        <v>23363.779314086438</v>
      </c>
      <c r="BK134" s="8">
        <f t="shared" si="148"/>
        <v>0</v>
      </c>
      <c r="BL134" s="8">
        <f t="shared" si="148"/>
        <v>0</v>
      </c>
      <c r="BM134" s="8">
        <f t="shared" si="148"/>
        <v>0</v>
      </c>
      <c r="BN134" s="8">
        <f t="shared" si="148"/>
        <v>0</v>
      </c>
      <c r="BO134" s="8">
        <f t="shared" si="148"/>
        <v>0</v>
      </c>
      <c r="BP134" s="8">
        <f t="shared" si="148"/>
        <v>0</v>
      </c>
      <c r="BQ134" s="8">
        <f t="shared" si="148"/>
        <v>0</v>
      </c>
      <c r="BR134" s="8">
        <f t="shared" si="148"/>
        <v>0</v>
      </c>
      <c r="BS134" s="8">
        <f t="shared" si="148"/>
        <v>0</v>
      </c>
      <c r="BT134" s="8">
        <f t="shared" si="148"/>
        <v>0</v>
      </c>
      <c r="BU134" s="8">
        <f t="shared" si="148"/>
        <v>0</v>
      </c>
      <c r="BV134" s="8">
        <f t="shared" si="148"/>
        <v>0</v>
      </c>
      <c r="BW134" s="8">
        <f t="shared" si="148"/>
        <v>0</v>
      </c>
      <c r="BX134" s="8">
        <f t="shared" si="148"/>
        <v>0</v>
      </c>
      <c r="BY134" s="8">
        <f t="shared" si="148"/>
        <v>0</v>
      </c>
      <c r="BZ134" s="8">
        <f t="shared" si="148"/>
        <v>0</v>
      </c>
      <c r="CA134" s="8">
        <f t="shared" ref="CA134:DA134" si="149">IF(CA132&lt;=$B$3,BZ134,0)</f>
        <v>0</v>
      </c>
      <c r="CB134" s="8">
        <f t="shared" si="149"/>
        <v>0</v>
      </c>
      <c r="CC134" s="8">
        <f t="shared" si="149"/>
        <v>0</v>
      </c>
      <c r="CD134" s="8">
        <f t="shared" si="149"/>
        <v>0</v>
      </c>
      <c r="CE134" s="8">
        <f t="shared" si="149"/>
        <v>0</v>
      </c>
      <c r="CF134" s="8">
        <f t="shared" si="149"/>
        <v>0</v>
      </c>
      <c r="CG134" s="8">
        <f t="shared" si="149"/>
        <v>0</v>
      </c>
      <c r="CH134" s="8">
        <f t="shared" si="149"/>
        <v>0</v>
      </c>
      <c r="CI134" s="8">
        <f t="shared" si="149"/>
        <v>0</v>
      </c>
      <c r="CJ134" s="8">
        <f t="shared" si="149"/>
        <v>0</v>
      </c>
      <c r="CK134" s="8">
        <f t="shared" si="149"/>
        <v>0</v>
      </c>
      <c r="CL134" s="8">
        <f t="shared" si="149"/>
        <v>0</v>
      </c>
      <c r="CM134" s="8">
        <f t="shared" si="149"/>
        <v>0</v>
      </c>
      <c r="CN134" s="8">
        <f t="shared" si="149"/>
        <v>0</v>
      </c>
      <c r="CO134" s="8">
        <f t="shared" si="149"/>
        <v>0</v>
      </c>
      <c r="CP134" s="8">
        <f t="shared" si="149"/>
        <v>0</v>
      </c>
      <c r="CQ134" s="8">
        <f t="shared" si="149"/>
        <v>0</v>
      </c>
      <c r="CR134" s="8">
        <f t="shared" si="149"/>
        <v>0</v>
      </c>
      <c r="CS134" s="8">
        <f t="shared" si="149"/>
        <v>0</v>
      </c>
      <c r="CT134" s="8">
        <f t="shared" si="149"/>
        <v>0</v>
      </c>
      <c r="CU134" s="8">
        <f t="shared" si="149"/>
        <v>0</v>
      </c>
      <c r="CV134" s="8">
        <f t="shared" si="149"/>
        <v>0</v>
      </c>
      <c r="CW134" s="8">
        <f t="shared" si="149"/>
        <v>0</v>
      </c>
      <c r="CX134" s="8">
        <f t="shared" si="149"/>
        <v>0</v>
      </c>
      <c r="CY134" s="8">
        <f t="shared" si="149"/>
        <v>0</v>
      </c>
      <c r="CZ134" s="8">
        <f t="shared" si="149"/>
        <v>0</v>
      </c>
      <c r="DA134" s="8">
        <f t="shared" si="149"/>
        <v>0</v>
      </c>
      <c r="DB134" s="8"/>
      <c r="DC134" s="8"/>
      <c r="DD134" s="8"/>
      <c r="DE134" s="8"/>
    </row>
    <row r="135" spans="3:109" x14ac:dyDescent="0.4">
      <c r="D135" t="s">
        <v>154</v>
      </c>
      <c r="L135" s="8">
        <f>HLOOKUP(M133,$F$3:$O$10,7,0)</f>
        <v>1168188.9657043219</v>
      </c>
      <c r="M135" s="8">
        <f t="shared" ref="M135:BX135" si="150">IF(ROUND(L136,4)=-ROUND(L135,4),0,L135)</f>
        <v>1168188.9657043219</v>
      </c>
      <c r="N135" s="8">
        <f t="shared" si="150"/>
        <v>1168188.9657043219</v>
      </c>
      <c r="O135" s="8">
        <f t="shared" si="150"/>
        <v>1168188.9657043219</v>
      </c>
      <c r="P135" s="8">
        <f t="shared" si="150"/>
        <v>1168188.9657043219</v>
      </c>
      <c r="Q135" s="8">
        <f t="shared" si="150"/>
        <v>1168188.9657043219</v>
      </c>
      <c r="R135" s="8">
        <f t="shared" si="150"/>
        <v>1168188.9657043219</v>
      </c>
      <c r="S135" s="8">
        <f t="shared" si="150"/>
        <v>1168188.9657043219</v>
      </c>
      <c r="T135" s="8">
        <f t="shared" si="150"/>
        <v>1168188.9657043219</v>
      </c>
      <c r="U135" s="8">
        <f t="shared" si="150"/>
        <v>1168188.9657043219</v>
      </c>
      <c r="V135" s="8">
        <f t="shared" si="150"/>
        <v>1168188.9657043219</v>
      </c>
      <c r="W135" s="8">
        <f t="shared" si="150"/>
        <v>1168188.9657043219</v>
      </c>
      <c r="X135" s="8">
        <f t="shared" si="150"/>
        <v>1168188.9657043219</v>
      </c>
      <c r="Y135" s="8">
        <f t="shared" si="150"/>
        <v>1168188.9657043219</v>
      </c>
      <c r="Z135" s="8">
        <f t="shared" si="150"/>
        <v>1168188.9657043219</v>
      </c>
      <c r="AA135" s="8">
        <f t="shared" si="150"/>
        <v>1168188.9657043219</v>
      </c>
      <c r="AB135" s="8">
        <f t="shared" si="150"/>
        <v>1168188.9657043219</v>
      </c>
      <c r="AC135" s="8">
        <f t="shared" si="150"/>
        <v>1168188.9657043219</v>
      </c>
      <c r="AD135" s="8">
        <f t="shared" si="150"/>
        <v>1168188.9657043219</v>
      </c>
      <c r="AE135" s="8">
        <f t="shared" si="150"/>
        <v>1168188.9657043219</v>
      </c>
      <c r="AF135" s="8">
        <f t="shared" si="150"/>
        <v>1168188.9657043219</v>
      </c>
      <c r="AG135" s="8">
        <f t="shared" si="150"/>
        <v>1168188.9657043219</v>
      </c>
      <c r="AH135" s="8">
        <f t="shared" si="150"/>
        <v>1168188.9657043219</v>
      </c>
      <c r="AI135" s="8">
        <f t="shared" si="150"/>
        <v>1168188.9657043219</v>
      </c>
      <c r="AJ135" s="8">
        <f t="shared" si="150"/>
        <v>1168188.9657043219</v>
      </c>
      <c r="AK135" s="8">
        <f t="shared" si="150"/>
        <v>1168188.9657043219</v>
      </c>
      <c r="AL135" s="8">
        <f t="shared" si="150"/>
        <v>1168188.9657043219</v>
      </c>
      <c r="AM135" s="8">
        <f t="shared" si="150"/>
        <v>1168188.9657043219</v>
      </c>
      <c r="AN135" s="8">
        <f t="shared" si="150"/>
        <v>1168188.9657043219</v>
      </c>
      <c r="AO135" s="8">
        <f t="shared" si="150"/>
        <v>1168188.9657043219</v>
      </c>
      <c r="AP135" s="8">
        <f t="shared" si="150"/>
        <v>1168188.9657043219</v>
      </c>
      <c r="AQ135" s="8">
        <f t="shared" si="150"/>
        <v>1168188.9657043219</v>
      </c>
      <c r="AR135" s="8">
        <f t="shared" si="150"/>
        <v>1168188.9657043219</v>
      </c>
      <c r="AS135" s="8">
        <f t="shared" si="150"/>
        <v>1168188.9657043219</v>
      </c>
      <c r="AT135" s="8">
        <f t="shared" si="150"/>
        <v>1168188.9657043219</v>
      </c>
      <c r="AU135" s="8">
        <f t="shared" si="150"/>
        <v>1168188.9657043219</v>
      </c>
      <c r="AV135" s="8">
        <f t="shared" si="150"/>
        <v>1168188.9657043219</v>
      </c>
      <c r="AW135" s="8">
        <f t="shared" si="150"/>
        <v>1168188.9657043219</v>
      </c>
      <c r="AX135" s="8">
        <f t="shared" si="150"/>
        <v>1168188.9657043219</v>
      </c>
      <c r="AY135" s="8">
        <f t="shared" si="150"/>
        <v>1168188.9657043219</v>
      </c>
      <c r="AZ135" s="8">
        <f t="shared" si="150"/>
        <v>1168188.9657043219</v>
      </c>
      <c r="BA135" s="8">
        <f t="shared" si="150"/>
        <v>1168188.9657043219</v>
      </c>
      <c r="BB135" s="8">
        <f t="shared" si="150"/>
        <v>1168188.9657043219</v>
      </c>
      <c r="BC135" s="8">
        <f t="shared" si="150"/>
        <v>1168188.9657043219</v>
      </c>
      <c r="BD135" s="8">
        <f t="shared" si="150"/>
        <v>1168188.9657043219</v>
      </c>
      <c r="BE135" s="8">
        <f t="shared" si="150"/>
        <v>1168188.9657043219</v>
      </c>
      <c r="BF135" s="8">
        <f t="shared" si="150"/>
        <v>1168188.9657043219</v>
      </c>
      <c r="BG135" s="8">
        <f t="shared" si="150"/>
        <v>1168188.9657043219</v>
      </c>
      <c r="BH135" s="8">
        <f t="shared" si="150"/>
        <v>1168188.9657043219</v>
      </c>
      <c r="BI135" s="8">
        <f t="shared" si="150"/>
        <v>1168188.9657043219</v>
      </c>
      <c r="BJ135" s="8">
        <f t="shared" si="150"/>
        <v>1168188.9657043219</v>
      </c>
      <c r="BK135" s="8">
        <f t="shared" si="150"/>
        <v>0</v>
      </c>
      <c r="BL135" s="8">
        <f t="shared" si="150"/>
        <v>0</v>
      </c>
      <c r="BM135" s="8">
        <f t="shared" si="150"/>
        <v>0</v>
      </c>
      <c r="BN135" s="8">
        <f t="shared" si="150"/>
        <v>0</v>
      </c>
      <c r="BO135" s="8">
        <f t="shared" si="150"/>
        <v>0</v>
      </c>
      <c r="BP135" s="8">
        <f t="shared" si="150"/>
        <v>0</v>
      </c>
      <c r="BQ135" s="8">
        <f t="shared" si="150"/>
        <v>0</v>
      </c>
      <c r="BR135" s="8">
        <f t="shared" si="150"/>
        <v>0</v>
      </c>
      <c r="BS135" s="8">
        <f t="shared" si="150"/>
        <v>0</v>
      </c>
      <c r="BT135" s="8">
        <f t="shared" si="150"/>
        <v>0</v>
      </c>
      <c r="BU135" s="8">
        <f t="shared" si="150"/>
        <v>0</v>
      </c>
      <c r="BV135" s="8">
        <f t="shared" si="150"/>
        <v>0</v>
      </c>
      <c r="BW135" s="8">
        <f t="shared" si="150"/>
        <v>0</v>
      </c>
      <c r="BX135" s="8">
        <f t="shared" si="150"/>
        <v>0</v>
      </c>
      <c r="BY135" s="8">
        <f t="shared" ref="BY135:DA135" si="151">IF(ROUND(BX136,4)=-ROUND(BX135,4),0,BX135)</f>
        <v>0</v>
      </c>
      <c r="BZ135" s="8">
        <f t="shared" si="151"/>
        <v>0</v>
      </c>
      <c r="CA135" s="8">
        <f t="shared" si="151"/>
        <v>0</v>
      </c>
      <c r="CB135" s="8">
        <f t="shared" si="151"/>
        <v>0</v>
      </c>
      <c r="CC135" s="8">
        <f t="shared" si="151"/>
        <v>0</v>
      </c>
      <c r="CD135" s="8">
        <f t="shared" si="151"/>
        <v>0</v>
      </c>
      <c r="CE135" s="8">
        <f t="shared" si="151"/>
        <v>0</v>
      </c>
      <c r="CF135" s="8">
        <f t="shared" si="151"/>
        <v>0</v>
      </c>
      <c r="CG135" s="8">
        <f t="shared" si="151"/>
        <v>0</v>
      </c>
      <c r="CH135" s="8">
        <f t="shared" si="151"/>
        <v>0</v>
      </c>
      <c r="CI135" s="8">
        <f t="shared" si="151"/>
        <v>0</v>
      </c>
      <c r="CJ135" s="8">
        <f t="shared" si="151"/>
        <v>0</v>
      </c>
      <c r="CK135" s="8">
        <f t="shared" si="151"/>
        <v>0</v>
      </c>
      <c r="CL135" s="8">
        <f t="shared" si="151"/>
        <v>0</v>
      </c>
      <c r="CM135" s="8">
        <f t="shared" si="151"/>
        <v>0</v>
      </c>
      <c r="CN135" s="8">
        <f t="shared" si="151"/>
        <v>0</v>
      </c>
      <c r="CO135" s="8">
        <f t="shared" si="151"/>
        <v>0</v>
      </c>
      <c r="CP135" s="8">
        <f t="shared" si="151"/>
        <v>0</v>
      </c>
      <c r="CQ135" s="8">
        <f t="shared" si="151"/>
        <v>0</v>
      </c>
      <c r="CR135" s="8">
        <f t="shared" si="151"/>
        <v>0</v>
      </c>
      <c r="CS135" s="8">
        <f t="shared" si="151"/>
        <v>0</v>
      </c>
      <c r="CT135" s="8">
        <f t="shared" si="151"/>
        <v>0</v>
      </c>
      <c r="CU135" s="8">
        <f t="shared" si="151"/>
        <v>0</v>
      </c>
      <c r="CV135" s="8">
        <f t="shared" si="151"/>
        <v>0</v>
      </c>
      <c r="CW135" s="8">
        <f t="shared" si="151"/>
        <v>0</v>
      </c>
      <c r="CX135" s="8">
        <f t="shared" si="151"/>
        <v>0</v>
      </c>
      <c r="CY135" s="8">
        <f t="shared" si="151"/>
        <v>0</v>
      </c>
      <c r="CZ135" s="8">
        <f t="shared" si="151"/>
        <v>0</v>
      </c>
      <c r="DA135" s="8">
        <f t="shared" si="151"/>
        <v>0</v>
      </c>
      <c r="DB135" s="8"/>
      <c r="DC135" s="8"/>
      <c r="DD135" s="8"/>
      <c r="DE135" s="8"/>
    </row>
    <row r="136" spans="3:109" x14ac:dyDescent="0.4">
      <c r="D136" t="s">
        <v>208</v>
      </c>
      <c r="L136" s="8"/>
      <c r="M136" s="8">
        <f>IF(M132&lt;=$B$3,-SUM($E134:M134),0)</f>
        <v>-23363.779314086438</v>
      </c>
      <c r="N136" s="8">
        <f>IF(N132&lt;=$B$3,-SUM($E134:N134),0)</f>
        <v>-46727.558628172876</v>
      </c>
      <c r="O136" s="8">
        <f>IF(O132&lt;=$B$3,-SUM($E134:O134),0)</f>
        <v>-70091.337942259313</v>
      </c>
      <c r="P136" s="8">
        <f>IF(P132&lt;=$B$3,-SUM($E134:P134),0)</f>
        <v>-93455.117256345751</v>
      </c>
      <c r="Q136" s="8">
        <f>IF(Q132&lt;=$B$3,-SUM($E134:Q134),0)</f>
        <v>-116818.89657043219</v>
      </c>
      <c r="R136" s="8">
        <f>IF(R132&lt;=$B$3,-SUM($E134:R134),0)</f>
        <v>-140182.67588451863</v>
      </c>
      <c r="S136" s="8">
        <f>IF(S132&lt;=$B$3,-SUM($E134:S134),0)</f>
        <v>-163546.45519860508</v>
      </c>
      <c r="T136" s="8">
        <f>IF(T132&lt;=$B$3,-SUM($E134:T134),0)</f>
        <v>-186910.2345126915</v>
      </c>
      <c r="U136" s="8">
        <f>IF(U132&lt;=$B$3,-SUM($E134:U134),0)</f>
        <v>-210274.01382677793</v>
      </c>
      <c r="V136" s="8">
        <f>IF(V132&lt;=$B$3,-SUM($E134:V134),0)</f>
        <v>-233637.79314086435</v>
      </c>
      <c r="W136" s="8">
        <f>IF(W132&lt;=$B$3,-SUM($E134:W134),0)</f>
        <v>-257001.57245495077</v>
      </c>
      <c r="X136" s="8">
        <f>IF(X132&lt;=$B$3,-SUM($E134:X134),0)</f>
        <v>-280365.3517690372</v>
      </c>
      <c r="Y136" s="8">
        <f>IF(Y132&lt;=$B$3,-SUM($E134:Y134),0)</f>
        <v>-303729.13108312362</v>
      </c>
      <c r="Z136" s="8">
        <f>IF(Z132&lt;=$B$3,-SUM($E134:Z134),0)</f>
        <v>-327092.91039721004</v>
      </c>
      <c r="AA136" s="8">
        <f>IF(AA132&lt;=$B$3,-SUM($E134:AA134),0)</f>
        <v>-350456.68971129647</v>
      </c>
      <c r="AB136" s="8">
        <f>IF(AB132&lt;=$B$3,-SUM($E134:AB134),0)</f>
        <v>-373820.46902538289</v>
      </c>
      <c r="AC136" s="8">
        <f>IF(AC132&lt;=$B$3,-SUM($E134:AC134),0)</f>
        <v>-397184.24833946931</v>
      </c>
      <c r="AD136" s="8">
        <f>IF(AD132&lt;=$B$3,-SUM($E134:AD134),0)</f>
        <v>-420548.02765355574</v>
      </c>
      <c r="AE136" s="8">
        <f>IF(AE132&lt;=$B$3,-SUM($E134:AE134),0)</f>
        <v>-443911.80696764216</v>
      </c>
      <c r="AF136" s="8">
        <f>IF(AF132&lt;=$B$3,-SUM($E134:AF134),0)</f>
        <v>-467275.58628172858</v>
      </c>
      <c r="AG136" s="8">
        <f>IF(AG132&lt;=$B$3,-SUM($E134:AG134),0)</f>
        <v>-490639.365595815</v>
      </c>
      <c r="AH136" s="8">
        <f>IF(AH132&lt;=$B$3,-SUM($E134:AH134),0)</f>
        <v>-514003.14490990143</v>
      </c>
      <c r="AI136" s="8">
        <f>IF(AI132&lt;=$B$3,-SUM($E134:AI134),0)</f>
        <v>-537366.92422398785</v>
      </c>
      <c r="AJ136" s="8">
        <f>IF(AJ132&lt;=$B$3,-SUM($E134:AJ134),0)</f>
        <v>-560730.70353807427</v>
      </c>
      <c r="AK136" s="8">
        <f>IF(AK132&lt;=$B$3,-SUM($E134:AK134),0)</f>
        <v>-584094.4828521607</v>
      </c>
      <c r="AL136" s="8">
        <f>IF(AL132&lt;=$B$3,-SUM($E134:AL134),0)</f>
        <v>-607458.26216624712</v>
      </c>
      <c r="AM136" s="8">
        <f>IF(AM132&lt;=$B$3,-SUM($E134:AM134),0)</f>
        <v>-630822.04148033354</v>
      </c>
      <c r="AN136" s="8">
        <f>IF(AN132&lt;=$B$3,-SUM($E134:AN134),0)</f>
        <v>-654185.82079441997</v>
      </c>
      <c r="AO136" s="8">
        <f>IF(AO132&lt;=$B$3,-SUM($E134:AO134),0)</f>
        <v>-677549.60010850639</v>
      </c>
      <c r="AP136" s="8">
        <f>IF(AP132&lt;=$B$3,-SUM($E134:AP134),0)</f>
        <v>-700913.37942259281</v>
      </c>
      <c r="AQ136" s="8">
        <f>IF(AQ132&lt;=$B$3,-SUM($E134:AQ134),0)</f>
        <v>-724277.15873667924</v>
      </c>
      <c r="AR136" s="8">
        <f>IF(AR132&lt;=$B$3,-SUM($E134:AR134),0)</f>
        <v>-747640.93805076566</v>
      </c>
      <c r="AS136" s="8">
        <f>IF(AS132&lt;=$B$3,-SUM($E134:AS134),0)</f>
        <v>-771004.71736485208</v>
      </c>
      <c r="AT136" s="8">
        <f>IF(AT132&lt;=$B$3,-SUM($E134:AT134),0)</f>
        <v>-794368.49667893851</v>
      </c>
      <c r="AU136" s="8">
        <f>IF(AU132&lt;=$B$3,-SUM($E134:AU134),0)</f>
        <v>-817732.27599302493</v>
      </c>
      <c r="AV136" s="8">
        <f>IF(AV132&lt;=$B$3,-SUM($E134:AV134),0)</f>
        <v>-841096.05530711135</v>
      </c>
      <c r="AW136" s="8">
        <f>IF(AW132&lt;=$B$3,-SUM($E134:AW134),0)</f>
        <v>-864459.83462119778</v>
      </c>
      <c r="AX136" s="8">
        <f>IF(AX132&lt;=$B$3,-SUM($E134:AX134),0)</f>
        <v>-887823.6139352842</v>
      </c>
      <c r="AY136" s="8">
        <f>IF(AY132&lt;=$B$3,-SUM($E134:AY134),0)</f>
        <v>-911187.39324937062</v>
      </c>
      <c r="AZ136" s="8">
        <f>IF(AZ132&lt;=$B$3,-SUM($E134:AZ134),0)</f>
        <v>-934551.17256345705</v>
      </c>
      <c r="BA136" s="8">
        <f>IF(BA132&lt;=$B$3,-SUM($E134:BA134),0)</f>
        <v>-957914.95187754347</v>
      </c>
      <c r="BB136" s="8">
        <f>IF(BB132&lt;=$B$3,-SUM($E134:BB134),0)</f>
        <v>-981278.73119162989</v>
      </c>
      <c r="BC136" s="8">
        <f>IF(BC132&lt;=$B$3,-SUM($E134:BC134),0)</f>
        <v>-1004642.5105057163</v>
      </c>
      <c r="BD136" s="8">
        <f>IF(BD132&lt;=$B$3,-SUM($E134:BD134),0)</f>
        <v>-1028006.2898198027</v>
      </c>
      <c r="BE136" s="8">
        <f>IF(BE132&lt;=$B$3,-SUM($E134:BE134),0)</f>
        <v>-1051370.0691338892</v>
      </c>
      <c r="BF136" s="8">
        <f>IF(BF132&lt;=$B$3,-SUM($E134:BF134),0)</f>
        <v>-1074733.8484479757</v>
      </c>
      <c r="BG136" s="8">
        <f>IF(BG132&lt;=$B$3,-SUM($E134:BG134),0)</f>
        <v>-1098097.6277620622</v>
      </c>
      <c r="BH136" s="8">
        <f>IF(BH132&lt;=$B$3,-SUM($E134:BH134),0)</f>
        <v>-1121461.4070761488</v>
      </c>
      <c r="BI136" s="8">
        <f>IF(BI132&lt;=$B$3,-SUM($E134:BI134),0)</f>
        <v>-1144825.1863902353</v>
      </c>
      <c r="BJ136" s="8">
        <f>IF(BJ132&lt;=$B$3,-SUM($E134:BJ134),0)</f>
        <v>-1168188.9657043219</v>
      </c>
      <c r="BK136" s="8">
        <f>IF(BK132&lt;=$B$3,-SUM($E134:BK134),0)</f>
        <v>0</v>
      </c>
      <c r="BL136" s="8">
        <f>IF(BL132&lt;=$B$3,-SUM($E134:BL134),0)</f>
        <v>0</v>
      </c>
      <c r="BM136" s="8">
        <f>IF(BM132&lt;=$B$3,-SUM($E134:BM134),0)</f>
        <v>0</v>
      </c>
      <c r="BN136" s="8">
        <f>IF(BN132&lt;=$B$3,-SUM($E134:BN134),0)</f>
        <v>0</v>
      </c>
      <c r="BO136" s="8">
        <f>IF(BO132&lt;=$B$3,-SUM($E134:BO134),0)</f>
        <v>0</v>
      </c>
      <c r="BP136" s="8">
        <f>IF(BP132&lt;=$B$3,-SUM($E134:BP134),0)</f>
        <v>0</v>
      </c>
      <c r="BQ136" s="8">
        <f>IF(BQ132&lt;=$B$3,-SUM($E134:BQ134),0)</f>
        <v>0</v>
      </c>
      <c r="BR136" s="8">
        <f>IF(BR132&lt;=$B$3,-SUM($E134:BR134),0)</f>
        <v>0</v>
      </c>
      <c r="BS136" s="8">
        <f>IF(BS132&lt;=$B$3,-SUM($E134:BS134),0)</f>
        <v>0</v>
      </c>
      <c r="BT136" s="8">
        <f>IF(BT132&lt;=$B$3,-SUM($E134:BT134),0)</f>
        <v>0</v>
      </c>
      <c r="BU136" s="8">
        <f>IF(BU132&lt;=$B$3,-SUM($E134:BU134),0)</f>
        <v>0</v>
      </c>
      <c r="BV136" s="8">
        <f>IF(BV132&lt;=$B$3,-SUM($E134:BV134),0)</f>
        <v>0</v>
      </c>
      <c r="BW136" s="8">
        <f>IF(BW132&lt;=$B$3,-SUM($E134:BW134),0)</f>
        <v>0</v>
      </c>
      <c r="BX136" s="8">
        <f>IF(BX132&lt;=$B$3,-SUM($E134:BX134),0)</f>
        <v>0</v>
      </c>
      <c r="BY136" s="8">
        <f>IF(BY132&lt;=$B$3,-SUM($E134:BY134),0)</f>
        <v>0</v>
      </c>
      <c r="BZ136" s="8">
        <f>IF(BZ132&lt;=$B$3,-SUM($E134:BZ134),0)</f>
        <v>0</v>
      </c>
      <c r="CA136" s="8">
        <f>IF(CA132&lt;=$B$3,-SUM($E134:CA134),0)</f>
        <v>0</v>
      </c>
      <c r="CB136" s="8">
        <f>IF(CB132&lt;=$B$3,-SUM($E134:CB134),0)</f>
        <v>0</v>
      </c>
      <c r="CC136" s="8">
        <f>IF(CC132&lt;=$B$3,-SUM($E134:CC134),0)</f>
        <v>0</v>
      </c>
      <c r="CD136" s="8">
        <f>IF(CD132&lt;=$B$3,-SUM($E134:CD134),0)</f>
        <v>0</v>
      </c>
      <c r="CE136" s="8">
        <f>IF(CE132&lt;=$B$3,-SUM($E134:CE134),0)</f>
        <v>0</v>
      </c>
      <c r="CF136" s="8">
        <f>IF(CF132&lt;=$B$3,-SUM($E134:CF134),0)</f>
        <v>0</v>
      </c>
      <c r="CG136" s="8">
        <f>IF(CG132&lt;=$B$3,-SUM($E134:CG134),0)</f>
        <v>0</v>
      </c>
      <c r="CH136" s="8">
        <f>IF(CH132&lt;=$B$3,-SUM($E134:CH134),0)</f>
        <v>0</v>
      </c>
      <c r="CI136" s="8">
        <f>IF(CI132&lt;=$B$3,-SUM($E134:CI134),0)</f>
        <v>0</v>
      </c>
      <c r="CJ136" s="8">
        <f>IF(CJ132&lt;=$B$3,-SUM($E134:CJ134),0)</f>
        <v>0</v>
      </c>
      <c r="CK136" s="8">
        <f>IF(CK132&lt;=$B$3,-SUM($E134:CK134),0)</f>
        <v>0</v>
      </c>
      <c r="CL136" s="8">
        <f>IF(CL132&lt;=$B$3,-SUM($E134:CL134),0)</f>
        <v>0</v>
      </c>
      <c r="CM136" s="8">
        <f>IF(CM132&lt;=$B$3,-SUM($E134:CM134),0)</f>
        <v>0</v>
      </c>
      <c r="CN136" s="8">
        <f>IF(CN132&lt;=$B$3,-SUM($E134:CN134),0)</f>
        <v>0</v>
      </c>
      <c r="CO136" s="8">
        <f>IF(CO132&lt;=$B$3,-SUM($E134:CO134),0)</f>
        <v>0</v>
      </c>
      <c r="CP136" s="8">
        <f>IF(CP132&lt;=$B$3,-SUM($E134:CP134),0)</f>
        <v>0</v>
      </c>
      <c r="CQ136" s="8">
        <f>IF(CQ132&lt;=$B$3,-SUM($E134:CQ134),0)</f>
        <v>0</v>
      </c>
      <c r="CR136" s="8">
        <f>IF(CR132&lt;=$B$3,-SUM($E134:CR134),0)</f>
        <v>0</v>
      </c>
      <c r="CS136" s="8">
        <f>IF(CS132&lt;=$B$3,-SUM($E134:CS134),0)</f>
        <v>0</v>
      </c>
      <c r="CT136" s="8">
        <f>IF(CT132&lt;=$B$3,-SUM($E134:CT134),0)</f>
        <v>0</v>
      </c>
      <c r="CU136" s="8">
        <f>IF(CU132&lt;=$B$3,-SUM($E134:CU134),0)</f>
        <v>0</v>
      </c>
      <c r="CV136" s="8">
        <f>IF(CV132&lt;=$B$3,-SUM($E134:CV134),0)</f>
        <v>0</v>
      </c>
      <c r="CW136" s="8">
        <f>IF(CW132&lt;=$B$3,-SUM($E134:CW134),0)</f>
        <v>0</v>
      </c>
      <c r="CX136" s="8">
        <f>IF(CX132&lt;=$B$3,-SUM($E134:CX134),0)</f>
        <v>0</v>
      </c>
      <c r="CY136" s="8">
        <f>IF(CY132&lt;=$B$3,-SUM($E134:CY134),0)</f>
        <v>0</v>
      </c>
      <c r="CZ136" s="8">
        <f>IF(CZ132&lt;=$B$3,-SUM($E134:CZ134),0)</f>
        <v>0</v>
      </c>
      <c r="DA136" s="8">
        <f>IF(DA132&lt;=$B$3,-SUM($E134:DA134),0)</f>
        <v>0</v>
      </c>
      <c r="DB136" s="8"/>
      <c r="DC136" s="8"/>
      <c r="DD136" s="8"/>
      <c r="DE136" s="8"/>
    </row>
    <row r="137" spans="3:109" x14ac:dyDescent="0.4">
      <c r="D137" t="s">
        <v>167</v>
      </c>
      <c r="L137" s="8"/>
      <c r="M137" s="8">
        <f>L138</f>
        <v>1168188.9657043219</v>
      </c>
      <c r="N137" s="8">
        <f t="shared" ref="N137:BY137" si="152">M138</f>
        <v>1144825.1863902353</v>
      </c>
      <c r="O137" s="8">
        <f t="shared" si="152"/>
        <v>1121461.407076149</v>
      </c>
      <c r="P137" s="8">
        <f t="shared" si="152"/>
        <v>1098097.6277620625</v>
      </c>
      <c r="Q137" s="8">
        <f t="shared" si="152"/>
        <v>1074733.8484479762</v>
      </c>
      <c r="R137" s="8">
        <f t="shared" si="152"/>
        <v>1051370.0691338896</v>
      </c>
      <c r="S137" s="8">
        <f t="shared" si="152"/>
        <v>1028006.2898198032</v>
      </c>
      <c r="T137" s="8">
        <f t="shared" si="152"/>
        <v>1004642.5105057168</v>
      </c>
      <c r="U137" s="8">
        <f t="shared" si="152"/>
        <v>981278.73119163036</v>
      </c>
      <c r="V137" s="8">
        <f t="shared" si="152"/>
        <v>957914.95187754394</v>
      </c>
      <c r="W137" s="8">
        <f t="shared" si="152"/>
        <v>934551.17256345751</v>
      </c>
      <c r="X137" s="8">
        <f t="shared" si="152"/>
        <v>911187.39324937109</v>
      </c>
      <c r="Y137" s="8">
        <f t="shared" si="152"/>
        <v>887823.61393528467</v>
      </c>
      <c r="Z137" s="8">
        <f t="shared" si="152"/>
        <v>864459.83462119824</v>
      </c>
      <c r="AA137" s="8">
        <f t="shared" si="152"/>
        <v>841096.05530711182</v>
      </c>
      <c r="AB137" s="8">
        <f t="shared" si="152"/>
        <v>817732.2759930254</v>
      </c>
      <c r="AC137" s="8">
        <f t="shared" si="152"/>
        <v>794368.49667893897</v>
      </c>
      <c r="AD137" s="8">
        <f t="shared" si="152"/>
        <v>771004.71736485255</v>
      </c>
      <c r="AE137" s="8">
        <f t="shared" si="152"/>
        <v>747640.93805076613</v>
      </c>
      <c r="AF137" s="8">
        <f t="shared" si="152"/>
        <v>724277.1587366797</v>
      </c>
      <c r="AG137" s="8">
        <f t="shared" si="152"/>
        <v>700913.37942259328</v>
      </c>
      <c r="AH137" s="8">
        <f t="shared" si="152"/>
        <v>677549.60010850686</v>
      </c>
      <c r="AI137" s="8">
        <f t="shared" si="152"/>
        <v>654185.82079442043</v>
      </c>
      <c r="AJ137" s="8">
        <f t="shared" si="152"/>
        <v>630822.04148033401</v>
      </c>
      <c r="AK137" s="8">
        <f t="shared" si="152"/>
        <v>607458.26216624759</v>
      </c>
      <c r="AL137" s="8">
        <f t="shared" si="152"/>
        <v>584094.48285216116</v>
      </c>
      <c r="AM137" s="8">
        <f t="shared" si="152"/>
        <v>560730.70353807474</v>
      </c>
      <c r="AN137" s="8">
        <f t="shared" si="152"/>
        <v>537366.92422398832</v>
      </c>
      <c r="AO137" s="8">
        <f t="shared" si="152"/>
        <v>514003.14490990189</v>
      </c>
      <c r="AP137" s="8">
        <f t="shared" si="152"/>
        <v>490639.36559581547</v>
      </c>
      <c r="AQ137" s="8">
        <f t="shared" si="152"/>
        <v>467275.58628172905</v>
      </c>
      <c r="AR137" s="8">
        <f t="shared" si="152"/>
        <v>443911.80696764262</v>
      </c>
      <c r="AS137" s="8">
        <f t="shared" si="152"/>
        <v>420548.0276535562</v>
      </c>
      <c r="AT137" s="8">
        <f t="shared" si="152"/>
        <v>397184.24833946978</v>
      </c>
      <c r="AU137" s="8">
        <f t="shared" si="152"/>
        <v>373820.46902538335</v>
      </c>
      <c r="AV137" s="8">
        <f t="shared" si="152"/>
        <v>350456.68971129693</v>
      </c>
      <c r="AW137" s="8">
        <f t="shared" si="152"/>
        <v>327092.91039721051</v>
      </c>
      <c r="AX137" s="8">
        <f t="shared" si="152"/>
        <v>303729.13108312408</v>
      </c>
      <c r="AY137" s="8">
        <f t="shared" si="152"/>
        <v>280365.35176903766</v>
      </c>
      <c r="AZ137" s="8">
        <f t="shared" si="152"/>
        <v>257001.57245495124</v>
      </c>
      <c r="BA137" s="8">
        <f t="shared" si="152"/>
        <v>233637.79314086481</v>
      </c>
      <c r="BB137" s="8">
        <f t="shared" si="152"/>
        <v>210274.01382677839</v>
      </c>
      <c r="BC137" s="8">
        <f t="shared" si="152"/>
        <v>186910.23451269197</v>
      </c>
      <c r="BD137" s="8">
        <f t="shared" si="152"/>
        <v>163546.45519860554</v>
      </c>
      <c r="BE137" s="8">
        <f t="shared" si="152"/>
        <v>140182.67588451912</v>
      </c>
      <c r="BF137" s="8">
        <f t="shared" si="152"/>
        <v>116818.8965704327</v>
      </c>
      <c r="BG137" s="8">
        <f t="shared" si="152"/>
        <v>93455.117256346159</v>
      </c>
      <c r="BH137" s="8">
        <f t="shared" si="152"/>
        <v>70091.337942259619</v>
      </c>
      <c r="BI137" s="8">
        <f t="shared" si="152"/>
        <v>46727.558628173079</v>
      </c>
      <c r="BJ137" s="8">
        <f t="shared" si="152"/>
        <v>23363.77931408654</v>
      </c>
      <c r="BK137" s="8">
        <f t="shared" si="152"/>
        <v>0</v>
      </c>
      <c r="BL137" s="8">
        <f t="shared" si="152"/>
        <v>0</v>
      </c>
      <c r="BM137" s="8">
        <f t="shared" si="152"/>
        <v>0</v>
      </c>
      <c r="BN137" s="8">
        <f t="shared" si="152"/>
        <v>0</v>
      </c>
      <c r="BO137" s="8">
        <f t="shared" si="152"/>
        <v>0</v>
      </c>
      <c r="BP137" s="8">
        <f t="shared" si="152"/>
        <v>0</v>
      </c>
      <c r="BQ137" s="8">
        <f t="shared" si="152"/>
        <v>0</v>
      </c>
      <c r="BR137" s="8">
        <f t="shared" si="152"/>
        <v>0</v>
      </c>
      <c r="BS137" s="8">
        <f t="shared" si="152"/>
        <v>0</v>
      </c>
      <c r="BT137" s="8">
        <f t="shared" si="152"/>
        <v>0</v>
      </c>
      <c r="BU137" s="8">
        <f t="shared" si="152"/>
        <v>0</v>
      </c>
      <c r="BV137" s="8">
        <f t="shared" si="152"/>
        <v>0</v>
      </c>
      <c r="BW137" s="8">
        <f t="shared" si="152"/>
        <v>0</v>
      </c>
      <c r="BX137" s="8">
        <f t="shared" si="152"/>
        <v>0</v>
      </c>
      <c r="BY137" s="8">
        <f t="shared" si="152"/>
        <v>0</v>
      </c>
      <c r="BZ137" s="8">
        <f t="shared" ref="BZ137:DA137" si="153">BY138</f>
        <v>0</v>
      </c>
      <c r="CA137" s="8">
        <f t="shared" si="153"/>
        <v>0</v>
      </c>
      <c r="CB137" s="8">
        <f t="shared" si="153"/>
        <v>0</v>
      </c>
      <c r="CC137" s="8">
        <f t="shared" si="153"/>
        <v>0</v>
      </c>
      <c r="CD137" s="8">
        <f t="shared" si="153"/>
        <v>0</v>
      </c>
      <c r="CE137" s="8">
        <f t="shared" si="153"/>
        <v>0</v>
      </c>
      <c r="CF137" s="8">
        <f t="shared" si="153"/>
        <v>0</v>
      </c>
      <c r="CG137" s="8">
        <f t="shared" si="153"/>
        <v>0</v>
      </c>
      <c r="CH137" s="8">
        <f t="shared" si="153"/>
        <v>0</v>
      </c>
      <c r="CI137" s="8">
        <f t="shared" si="153"/>
        <v>0</v>
      </c>
      <c r="CJ137" s="8">
        <f t="shared" si="153"/>
        <v>0</v>
      </c>
      <c r="CK137" s="8">
        <f t="shared" si="153"/>
        <v>0</v>
      </c>
      <c r="CL137" s="8">
        <f t="shared" si="153"/>
        <v>0</v>
      </c>
      <c r="CM137" s="8">
        <f t="shared" si="153"/>
        <v>0</v>
      </c>
      <c r="CN137" s="8">
        <f t="shared" si="153"/>
        <v>0</v>
      </c>
      <c r="CO137" s="8">
        <f t="shared" si="153"/>
        <v>0</v>
      </c>
      <c r="CP137" s="8">
        <f t="shared" si="153"/>
        <v>0</v>
      </c>
      <c r="CQ137" s="8">
        <f t="shared" si="153"/>
        <v>0</v>
      </c>
      <c r="CR137" s="8">
        <f t="shared" si="153"/>
        <v>0</v>
      </c>
      <c r="CS137" s="8">
        <f t="shared" si="153"/>
        <v>0</v>
      </c>
      <c r="CT137" s="8">
        <f t="shared" si="153"/>
        <v>0</v>
      </c>
      <c r="CU137" s="8">
        <f t="shared" si="153"/>
        <v>0</v>
      </c>
      <c r="CV137" s="8">
        <f t="shared" si="153"/>
        <v>0</v>
      </c>
      <c r="CW137" s="8">
        <f t="shared" si="153"/>
        <v>0</v>
      </c>
      <c r="CX137" s="8">
        <f t="shared" si="153"/>
        <v>0</v>
      </c>
      <c r="CY137" s="8">
        <f t="shared" si="153"/>
        <v>0</v>
      </c>
      <c r="CZ137" s="8">
        <f t="shared" si="153"/>
        <v>0</v>
      </c>
      <c r="DA137" s="8">
        <f t="shared" si="153"/>
        <v>0</v>
      </c>
      <c r="DB137" s="8"/>
      <c r="DC137" s="8"/>
      <c r="DD137" s="8"/>
      <c r="DE137" s="8"/>
    </row>
    <row r="138" spans="3:109" x14ac:dyDescent="0.4">
      <c r="D138" t="s">
        <v>168</v>
      </c>
      <c r="L138" s="8">
        <f>L135+L136</f>
        <v>1168188.9657043219</v>
      </c>
      <c r="M138" s="8">
        <f>M135+M136</f>
        <v>1144825.1863902353</v>
      </c>
      <c r="N138" s="8">
        <f t="shared" ref="N138:BY138" si="154">N135+N136</f>
        <v>1121461.407076149</v>
      </c>
      <c r="O138" s="8">
        <f t="shared" si="154"/>
        <v>1098097.6277620625</v>
      </c>
      <c r="P138" s="8">
        <f t="shared" si="154"/>
        <v>1074733.8484479762</v>
      </c>
      <c r="Q138" s="8">
        <f t="shared" si="154"/>
        <v>1051370.0691338896</v>
      </c>
      <c r="R138" s="8">
        <f t="shared" si="154"/>
        <v>1028006.2898198032</v>
      </c>
      <c r="S138" s="8">
        <f t="shared" si="154"/>
        <v>1004642.5105057168</v>
      </c>
      <c r="T138" s="8">
        <f t="shared" si="154"/>
        <v>981278.73119163036</v>
      </c>
      <c r="U138" s="8">
        <f t="shared" si="154"/>
        <v>957914.95187754394</v>
      </c>
      <c r="V138" s="8">
        <f t="shared" si="154"/>
        <v>934551.17256345751</v>
      </c>
      <c r="W138" s="8">
        <f t="shared" si="154"/>
        <v>911187.39324937109</v>
      </c>
      <c r="X138" s="8">
        <f t="shared" si="154"/>
        <v>887823.61393528467</v>
      </c>
      <c r="Y138" s="8">
        <f t="shared" si="154"/>
        <v>864459.83462119824</v>
      </c>
      <c r="Z138" s="8">
        <f t="shared" si="154"/>
        <v>841096.05530711182</v>
      </c>
      <c r="AA138" s="8">
        <f t="shared" si="154"/>
        <v>817732.2759930254</v>
      </c>
      <c r="AB138" s="8">
        <f t="shared" si="154"/>
        <v>794368.49667893897</v>
      </c>
      <c r="AC138" s="8">
        <f t="shared" si="154"/>
        <v>771004.71736485255</v>
      </c>
      <c r="AD138" s="8">
        <f t="shared" si="154"/>
        <v>747640.93805076613</v>
      </c>
      <c r="AE138" s="8">
        <f t="shared" si="154"/>
        <v>724277.1587366797</v>
      </c>
      <c r="AF138" s="8">
        <f t="shared" si="154"/>
        <v>700913.37942259328</v>
      </c>
      <c r="AG138" s="8">
        <f t="shared" si="154"/>
        <v>677549.60010850686</v>
      </c>
      <c r="AH138" s="8">
        <f t="shared" si="154"/>
        <v>654185.82079442043</v>
      </c>
      <c r="AI138" s="8">
        <f t="shared" si="154"/>
        <v>630822.04148033401</v>
      </c>
      <c r="AJ138" s="8">
        <f t="shared" si="154"/>
        <v>607458.26216624759</v>
      </c>
      <c r="AK138" s="8">
        <f t="shared" si="154"/>
        <v>584094.48285216116</v>
      </c>
      <c r="AL138" s="8">
        <f t="shared" si="154"/>
        <v>560730.70353807474</v>
      </c>
      <c r="AM138" s="8">
        <f t="shared" si="154"/>
        <v>537366.92422398832</v>
      </c>
      <c r="AN138" s="8">
        <f t="shared" si="154"/>
        <v>514003.14490990189</v>
      </c>
      <c r="AO138" s="8">
        <f t="shared" si="154"/>
        <v>490639.36559581547</v>
      </c>
      <c r="AP138" s="8">
        <f t="shared" si="154"/>
        <v>467275.58628172905</v>
      </c>
      <c r="AQ138" s="8">
        <f t="shared" si="154"/>
        <v>443911.80696764262</v>
      </c>
      <c r="AR138" s="8">
        <f t="shared" si="154"/>
        <v>420548.0276535562</v>
      </c>
      <c r="AS138" s="8">
        <f t="shared" si="154"/>
        <v>397184.24833946978</v>
      </c>
      <c r="AT138" s="8">
        <f t="shared" si="154"/>
        <v>373820.46902538335</v>
      </c>
      <c r="AU138" s="8">
        <f t="shared" si="154"/>
        <v>350456.68971129693</v>
      </c>
      <c r="AV138" s="8">
        <f t="shared" si="154"/>
        <v>327092.91039721051</v>
      </c>
      <c r="AW138" s="8">
        <f t="shared" si="154"/>
        <v>303729.13108312408</v>
      </c>
      <c r="AX138" s="8">
        <f t="shared" si="154"/>
        <v>280365.35176903766</v>
      </c>
      <c r="AY138" s="8">
        <f t="shared" si="154"/>
        <v>257001.57245495124</v>
      </c>
      <c r="AZ138" s="8">
        <f t="shared" si="154"/>
        <v>233637.79314086481</v>
      </c>
      <c r="BA138" s="8">
        <f t="shared" si="154"/>
        <v>210274.01382677839</v>
      </c>
      <c r="BB138" s="8">
        <f t="shared" si="154"/>
        <v>186910.23451269197</v>
      </c>
      <c r="BC138" s="8">
        <f t="shared" si="154"/>
        <v>163546.45519860554</v>
      </c>
      <c r="BD138" s="8">
        <f t="shared" si="154"/>
        <v>140182.67588451912</v>
      </c>
      <c r="BE138" s="8">
        <f t="shared" si="154"/>
        <v>116818.8965704327</v>
      </c>
      <c r="BF138" s="8">
        <f t="shared" si="154"/>
        <v>93455.117256346159</v>
      </c>
      <c r="BG138" s="8">
        <f t="shared" si="154"/>
        <v>70091.337942259619</v>
      </c>
      <c r="BH138" s="8">
        <f t="shared" si="154"/>
        <v>46727.558628173079</v>
      </c>
      <c r="BI138" s="8">
        <f t="shared" si="154"/>
        <v>23363.77931408654</v>
      </c>
      <c r="BJ138" s="8">
        <f t="shared" si="154"/>
        <v>0</v>
      </c>
      <c r="BK138" s="8">
        <f t="shared" si="154"/>
        <v>0</v>
      </c>
      <c r="BL138" s="8">
        <f t="shared" si="154"/>
        <v>0</v>
      </c>
      <c r="BM138" s="8">
        <f t="shared" si="154"/>
        <v>0</v>
      </c>
      <c r="BN138" s="8">
        <f t="shared" si="154"/>
        <v>0</v>
      </c>
      <c r="BO138" s="8">
        <f t="shared" si="154"/>
        <v>0</v>
      </c>
      <c r="BP138" s="8">
        <f t="shared" si="154"/>
        <v>0</v>
      </c>
      <c r="BQ138" s="8">
        <f t="shared" si="154"/>
        <v>0</v>
      </c>
      <c r="BR138" s="8">
        <f t="shared" si="154"/>
        <v>0</v>
      </c>
      <c r="BS138" s="8">
        <f t="shared" si="154"/>
        <v>0</v>
      </c>
      <c r="BT138" s="8">
        <f t="shared" si="154"/>
        <v>0</v>
      </c>
      <c r="BU138" s="8">
        <f t="shared" si="154"/>
        <v>0</v>
      </c>
      <c r="BV138" s="8">
        <f t="shared" si="154"/>
        <v>0</v>
      </c>
      <c r="BW138" s="8">
        <f t="shared" si="154"/>
        <v>0</v>
      </c>
      <c r="BX138" s="8">
        <f t="shared" si="154"/>
        <v>0</v>
      </c>
      <c r="BY138" s="8">
        <f t="shared" si="154"/>
        <v>0</v>
      </c>
      <c r="BZ138" s="8">
        <f t="shared" ref="BZ138:DA138" si="155">BZ135+BZ136</f>
        <v>0</v>
      </c>
      <c r="CA138" s="8">
        <f t="shared" si="155"/>
        <v>0</v>
      </c>
      <c r="CB138" s="8">
        <f t="shared" si="155"/>
        <v>0</v>
      </c>
      <c r="CC138" s="8">
        <f t="shared" si="155"/>
        <v>0</v>
      </c>
      <c r="CD138" s="8">
        <f t="shared" si="155"/>
        <v>0</v>
      </c>
      <c r="CE138" s="8">
        <f t="shared" si="155"/>
        <v>0</v>
      </c>
      <c r="CF138" s="8">
        <f t="shared" si="155"/>
        <v>0</v>
      </c>
      <c r="CG138" s="8">
        <f t="shared" si="155"/>
        <v>0</v>
      </c>
      <c r="CH138" s="8">
        <f t="shared" si="155"/>
        <v>0</v>
      </c>
      <c r="CI138" s="8">
        <f t="shared" si="155"/>
        <v>0</v>
      </c>
      <c r="CJ138" s="8">
        <f t="shared" si="155"/>
        <v>0</v>
      </c>
      <c r="CK138" s="8">
        <f t="shared" si="155"/>
        <v>0</v>
      </c>
      <c r="CL138" s="8">
        <f t="shared" si="155"/>
        <v>0</v>
      </c>
      <c r="CM138" s="8">
        <f t="shared" si="155"/>
        <v>0</v>
      </c>
      <c r="CN138" s="8">
        <f t="shared" si="155"/>
        <v>0</v>
      </c>
      <c r="CO138" s="8">
        <f t="shared" si="155"/>
        <v>0</v>
      </c>
      <c r="CP138" s="8">
        <f t="shared" si="155"/>
        <v>0</v>
      </c>
      <c r="CQ138" s="8">
        <f t="shared" si="155"/>
        <v>0</v>
      </c>
      <c r="CR138" s="8">
        <f t="shared" si="155"/>
        <v>0</v>
      </c>
      <c r="CS138" s="8">
        <f t="shared" si="155"/>
        <v>0</v>
      </c>
      <c r="CT138" s="8">
        <f t="shared" si="155"/>
        <v>0</v>
      </c>
      <c r="CU138" s="8">
        <f t="shared" si="155"/>
        <v>0</v>
      </c>
      <c r="CV138" s="8">
        <f t="shared" si="155"/>
        <v>0</v>
      </c>
      <c r="CW138" s="8">
        <f t="shared" si="155"/>
        <v>0</v>
      </c>
      <c r="CX138" s="8">
        <f t="shared" si="155"/>
        <v>0</v>
      </c>
      <c r="CY138" s="8">
        <f t="shared" si="155"/>
        <v>0</v>
      </c>
      <c r="CZ138" s="8">
        <f t="shared" si="155"/>
        <v>0</v>
      </c>
      <c r="DA138" s="8">
        <f t="shared" si="155"/>
        <v>0</v>
      </c>
      <c r="DB138" s="8"/>
      <c r="DC138" s="8"/>
      <c r="DD138" s="8"/>
      <c r="DE138" s="8"/>
    </row>
    <row r="139" spans="3:109" x14ac:dyDescent="0.4"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8"/>
      <c r="DD139" s="8"/>
      <c r="DE139" s="8"/>
    </row>
    <row r="140" spans="3:109" x14ac:dyDescent="0.4">
      <c r="D140" t="s">
        <v>169</v>
      </c>
      <c r="L140" s="8"/>
      <c r="M140" s="8">
        <f>IF(M132&lt;=$B$4+1,M135*VLOOKUP(M132,Assumptions!$A$70:$B$90,2,0),0)</f>
        <v>43807.086213912065</v>
      </c>
      <c r="N140" s="8">
        <f>IF(N132&lt;=$B$4+1,N135*VLOOKUP(N132,Assumptions!$A$70:$B$90,2,0),0)</f>
        <v>84331.561434194999</v>
      </c>
      <c r="O140" s="8">
        <f>IF(O132&lt;=$B$4+1,O135*VLOOKUP(O132,Assumptions!$A$70:$B$90,2,0),0)</f>
        <v>77999.977240077569</v>
      </c>
      <c r="P140" s="8">
        <f>IF(P132&lt;=$B$4+1,P135*VLOOKUP(P132,Assumptions!$A$70:$B$90,2,0),0)</f>
        <v>72159.032411555963</v>
      </c>
      <c r="Q140" s="8">
        <f>IF(Q132&lt;=$B$4+1,Q135*VLOOKUP(Q132,Assumptions!$A$70:$B$90,2,0),0)</f>
        <v>66738.63561068791</v>
      </c>
      <c r="R140" s="8">
        <f>IF(R132&lt;=$B$4+1,R135*VLOOKUP(R132,Assumptions!$A$70:$B$90,2,0),0)</f>
        <v>61738.78683747341</v>
      </c>
      <c r="S140" s="8">
        <f>IF(S132&lt;=$B$4+1,S135*VLOOKUP(S132,Assumptions!$A$70:$B$90,2,0),0)</f>
        <v>57101.076643627253</v>
      </c>
      <c r="T140" s="8">
        <f>IF(T132&lt;=$B$4+1,T135*VLOOKUP(T132,Assumptions!$A$70:$B$90,2,0),0)</f>
        <v>52825.505029149441</v>
      </c>
      <c r="U140" s="8">
        <f>IF(U132&lt;=$B$4+1,U135*VLOOKUP(U132,Assumptions!$A$70:$B$90,2,0),0)</f>
        <v>52124.591649726841</v>
      </c>
      <c r="V140" s="8">
        <f>IF(V132&lt;=$B$4+1,V135*VLOOKUP(V132,Assumptions!$A$70:$B$90,2,0),0)</f>
        <v>52112.909760069793</v>
      </c>
      <c r="W140" s="8">
        <f>IF(W132&lt;=$B$4+1,W135*VLOOKUP(W132,Assumptions!$A$70:$B$90,2,0),0)</f>
        <v>52124.591649726841</v>
      </c>
      <c r="X140" s="8">
        <f>IF(X132&lt;=$B$4+1,X135*VLOOKUP(X132,Assumptions!$A$70:$B$90,2,0),0)</f>
        <v>52112.909760069793</v>
      </c>
      <c r="Y140" s="8">
        <f>IF(Y132&lt;=$B$4+1,Y135*VLOOKUP(Y132,Assumptions!$A$70:$B$90,2,0),0)</f>
        <v>52124.591649726841</v>
      </c>
      <c r="Z140" s="8">
        <f>IF(Z132&lt;=$B$4+1,Z135*VLOOKUP(Z132,Assumptions!$A$70:$B$90,2,0),0)</f>
        <v>52112.909760069793</v>
      </c>
      <c r="AA140" s="8">
        <f>IF(AA132&lt;=$B$4+1,AA135*VLOOKUP(AA132,Assumptions!$A$70:$B$90,2,0),0)</f>
        <v>52124.591649726841</v>
      </c>
      <c r="AB140" s="8">
        <f>IF(AB132&lt;=$B$4+1,AB135*VLOOKUP(AB132,Assumptions!$A$70:$B$90,2,0),0)</f>
        <v>52112.909760069793</v>
      </c>
      <c r="AC140" s="8">
        <f>IF(AC132&lt;=$B$4+1,AC135*VLOOKUP(AC132,Assumptions!$A$70:$B$90,2,0),0)</f>
        <v>52124.591649726841</v>
      </c>
      <c r="AD140" s="8">
        <f>IF(AD132&lt;=$B$4+1,AD135*VLOOKUP(AD132,Assumptions!$A$70:$B$90,2,0),0)</f>
        <v>52112.909760069793</v>
      </c>
      <c r="AE140" s="8">
        <f>IF(AE132&lt;=$B$4+1,AE135*VLOOKUP(AE132,Assumptions!$A$70:$B$90,2,0),0)</f>
        <v>52124.591649726841</v>
      </c>
      <c r="AF140" s="8">
        <f>IF(AF132&lt;=$B$4+1,AF135*VLOOKUP(AF132,Assumptions!$A$70:$B$90,2,0),0)</f>
        <v>52112.909760069793</v>
      </c>
      <c r="AG140" s="8">
        <f>IF(AG132&lt;=$B$4+1,AG135*VLOOKUP(AG132,Assumptions!$A$70:$B$90,2,0),0)</f>
        <v>26062.29582486342</v>
      </c>
      <c r="AH140" s="8">
        <f>IF(AH132&lt;=$B$4+1,AH135*VLOOKUP(AH132,Assumptions!$A$70:$B$90,2,0),0)</f>
        <v>0</v>
      </c>
      <c r="AI140" s="8">
        <f>IF(AI132&lt;=$B$4+1,AI135*VLOOKUP(AI132,Assumptions!$A$70:$B$90,2,0),0)</f>
        <v>0</v>
      </c>
      <c r="AJ140" s="8">
        <f>IF(AJ132&lt;=$B$4+1,AJ135*VLOOKUP(AJ132,Assumptions!$A$70:$B$90,2,0),0)</f>
        <v>0</v>
      </c>
      <c r="AK140" s="8">
        <f>IF(AK132&lt;=$B$4+1,AK135*VLOOKUP(AK132,Assumptions!$A$70:$B$90,2,0),0)</f>
        <v>0</v>
      </c>
      <c r="AL140" s="8">
        <f>IF(AL132&lt;=$B$4+1,AL135*VLOOKUP(AL132,Assumptions!$A$70:$B$90,2,0),0)</f>
        <v>0</v>
      </c>
      <c r="AM140" s="8">
        <f>IF(AM132&lt;=$B$4+1,AM135*VLOOKUP(AM132,Assumptions!$A$70:$B$90,2,0),0)</f>
        <v>0</v>
      </c>
      <c r="AN140" s="8">
        <f>IF(AN132&lt;=$B$4+1,AN135*VLOOKUP(AN132,Assumptions!$A$70:$B$90,2,0),0)</f>
        <v>0</v>
      </c>
      <c r="AO140" s="8">
        <f>IF(AO132&lt;=$B$4+1,AO135*VLOOKUP(AO132,Assumptions!$A$70:$B$90,2,0),0)</f>
        <v>0</v>
      </c>
      <c r="AP140" s="8">
        <f>IF(AP132&lt;=$B$4+1,AP135*VLOOKUP(AP132,Assumptions!$A$70:$B$90,2,0),0)</f>
        <v>0</v>
      </c>
      <c r="AQ140" s="8">
        <f>IF(AQ132&lt;=$B$4+1,AQ135*VLOOKUP(AQ132,Assumptions!$A$70:$B$90,2,0),0)</f>
        <v>0</v>
      </c>
      <c r="AR140" s="8">
        <f>IF(AR132&lt;=$B$4+1,AR135*VLOOKUP(AR132,Assumptions!$A$70:$B$90,2,0),0)</f>
        <v>0</v>
      </c>
      <c r="AS140" s="8">
        <f>IF(AS132&lt;=$B$4+1,AS135*VLOOKUP(AS132,Assumptions!$A$70:$B$90,2,0),0)</f>
        <v>0</v>
      </c>
      <c r="AT140" s="8">
        <f>IF(AT132&lt;=$B$4+1,AT135*VLOOKUP(AT132,Assumptions!$A$70:$B$90,2,0),0)</f>
        <v>0</v>
      </c>
      <c r="AU140" s="8">
        <f>IF(AU132&lt;=$B$4+1,AU135*VLOOKUP(AU132,Assumptions!$A$70:$B$90,2,0),0)</f>
        <v>0</v>
      </c>
      <c r="AV140" s="8">
        <f>IF(AV132&lt;=$B$4+1,AV135*VLOOKUP(AV132,Assumptions!$A$70:$B$90,2,0),0)</f>
        <v>0</v>
      </c>
      <c r="AW140" s="8">
        <f>IF(AW132&lt;=$B$4+1,AW135*VLOOKUP(AW132,Assumptions!$A$70:$B$90,2,0),0)</f>
        <v>0</v>
      </c>
      <c r="AX140" s="8">
        <f>IF(AX132&lt;=$B$4+1,AX135*VLOOKUP(AX132,Assumptions!$A$70:$B$90,2,0),0)</f>
        <v>0</v>
      </c>
      <c r="AY140" s="8">
        <f>IF(AY132&lt;=$B$4+1,AY135*VLOOKUP(AY132,Assumptions!$A$70:$B$90,2,0),0)</f>
        <v>0</v>
      </c>
      <c r="AZ140" s="8">
        <f>IF(AZ132&lt;=$B$4+1,AZ135*VLOOKUP(AZ132,Assumptions!$A$70:$B$90,2,0),0)</f>
        <v>0</v>
      </c>
      <c r="BA140" s="8">
        <f>IF(BA132&lt;=$B$4+1,BA135*VLOOKUP(BA132,Assumptions!$A$70:$B$90,2,0),0)</f>
        <v>0</v>
      </c>
      <c r="BB140" s="8">
        <f>IF(BB132&lt;=$B$4+1,BB135*VLOOKUP(BB132,Assumptions!$A$70:$B$90,2,0),0)</f>
        <v>0</v>
      </c>
      <c r="BC140" s="8">
        <f>IF(BC132&lt;=$B$4+1,BC135*VLOOKUP(BC132,Assumptions!$A$70:$B$90,2,0),0)</f>
        <v>0</v>
      </c>
      <c r="BD140" s="8">
        <f>IF(BD132&lt;=$B$4+1,BD135*VLOOKUP(BD132,Assumptions!$A$70:$B$90,2,0),0)</f>
        <v>0</v>
      </c>
      <c r="BE140" s="8">
        <f>IF(BE132&lt;=$B$4+1,BE135*VLOOKUP(BE132,Assumptions!$A$70:$B$90,2,0),0)</f>
        <v>0</v>
      </c>
      <c r="BF140" s="8">
        <f>IF(BF132&lt;=$B$4+1,BF135*VLOOKUP(BF132,Assumptions!$A$70:$B$90,2,0),0)</f>
        <v>0</v>
      </c>
      <c r="BG140" s="8">
        <f>IF(BG132&lt;=$B$4+1,BG135*VLOOKUP(BG132,Assumptions!$A$70:$B$90,2,0),0)</f>
        <v>0</v>
      </c>
      <c r="BH140" s="8">
        <f>IF(BH132&lt;=$B$4+1,BH135*VLOOKUP(BH132,Assumptions!$A$70:$B$90,2,0),0)</f>
        <v>0</v>
      </c>
      <c r="BI140" s="8">
        <f>IF(BI132&lt;=$B$4+1,BI135*VLOOKUP(BI132,Assumptions!$A$70:$B$90,2,0),0)</f>
        <v>0</v>
      </c>
      <c r="BJ140" s="8">
        <f>IF(BJ132&lt;=$B$4+1,BJ135*VLOOKUP(BJ132,Assumptions!$A$70:$B$90,2,0),0)</f>
        <v>0</v>
      </c>
      <c r="BK140" s="8">
        <f>IF(BK132&lt;=$B$4+1,BK135*VLOOKUP(BK132,Assumptions!$A$70:$B$90,2,0),0)</f>
        <v>0</v>
      </c>
      <c r="BL140" s="8">
        <f>IF(BL132&lt;=$B$4+1,BL135*VLOOKUP(BL132,Assumptions!$A$70:$B$90,2,0),0)</f>
        <v>0</v>
      </c>
      <c r="BM140" s="8">
        <f>IF(BM132&lt;=$B$4+1,BM135*VLOOKUP(BM132,Assumptions!$A$70:$B$90,2,0),0)</f>
        <v>0</v>
      </c>
      <c r="BN140" s="8">
        <f>IF(BN132&lt;=$B$4+1,BN135*VLOOKUP(BN132,Assumptions!$A$70:$B$90,2,0),0)</f>
        <v>0</v>
      </c>
      <c r="BO140" s="8">
        <f>IF(BO132&lt;=$B$4+1,BO135*VLOOKUP(BO132,Assumptions!$A$70:$B$90,2,0),0)</f>
        <v>0</v>
      </c>
      <c r="BP140" s="8">
        <f>IF(BP132&lt;=$B$4+1,BP135*VLOOKUP(BP132,Assumptions!$A$70:$B$90,2,0),0)</f>
        <v>0</v>
      </c>
      <c r="BQ140" s="8">
        <f>IF(BQ132&lt;=$B$4+1,BQ135*VLOOKUP(BQ132,Assumptions!$A$70:$B$90,2,0),0)</f>
        <v>0</v>
      </c>
      <c r="BR140" s="8">
        <f>IF(BR132&lt;=$B$4+1,BR135*VLOOKUP(BR132,Assumptions!$A$70:$B$90,2,0),0)</f>
        <v>0</v>
      </c>
      <c r="BS140" s="8">
        <f>IF(BS132&lt;=$B$4+1,BS135*VLOOKUP(BS132,Assumptions!$A$70:$B$90,2,0),0)</f>
        <v>0</v>
      </c>
      <c r="BT140" s="8">
        <f>IF(BT132&lt;=$B$4+1,BT135*VLOOKUP(BT132,Assumptions!$A$70:$B$90,2,0),0)</f>
        <v>0</v>
      </c>
      <c r="BU140" s="8">
        <f>IF(BU132&lt;=$B$4+1,BU135*VLOOKUP(BU132,Assumptions!$A$70:$B$90,2,0),0)</f>
        <v>0</v>
      </c>
      <c r="BV140" s="8">
        <f>IF(BV132&lt;=$B$4+1,BV135*VLOOKUP(BV132,Assumptions!$A$70:$B$90,2,0),0)</f>
        <v>0</v>
      </c>
      <c r="BW140" s="8">
        <f>IF(BW132&lt;=$B$4+1,BW135*VLOOKUP(BW132,Assumptions!$A$70:$B$90,2,0),0)</f>
        <v>0</v>
      </c>
      <c r="BX140" s="8">
        <f>IF(BX132&lt;=$B$4+1,BX135*VLOOKUP(BX132,Assumptions!$A$70:$B$90,2,0),0)</f>
        <v>0</v>
      </c>
      <c r="BY140" s="8">
        <f>IF(BY132&lt;=$B$4+1,BY135*VLOOKUP(BY132,Assumptions!$A$70:$B$90,2,0),0)</f>
        <v>0</v>
      </c>
      <c r="BZ140" s="8">
        <f>IF(BZ132&lt;=$B$4+1,BZ135*VLOOKUP(BZ132,Assumptions!$A$70:$B$90,2,0),0)</f>
        <v>0</v>
      </c>
      <c r="CA140" s="8">
        <f>IF(CA132&lt;=$B$4+1,CA135*VLOOKUP(CA132,Assumptions!$A$70:$B$90,2,0),0)</f>
        <v>0</v>
      </c>
      <c r="CB140" s="8">
        <f>IF(CB132&lt;=$B$4+1,CB135*VLOOKUP(CB132,Assumptions!$A$70:$B$90,2,0),0)</f>
        <v>0</v>
      </c>
      <c r="CC140" s="8">
        <f>IF(CC132&lt;=$B$4+1,CC135*VLOOKUP(CC132,Assumptions!$A$70:$B$90,2,0),0)</f>
        <v>0</v>
      </c>
      <c r="CD140" s="8">
        <f>IF(CD132&lt;=$B$4+1,CD135*VLOOKUP(CD132,Assumptions!$A$70:$B$90,2,0),0)</f>
        <v>0</v>
      </c>
      <c r="CE140" s="8">
        <f>IF(CE132&lt;=$B$4+1,CE135*VLOOKUP(CE132,Assumptions!$A$70:$B$90,2,0),0)</f>
        <v>0</v>
      </c>
      <c r="CF140" s="8">
        <f>IF(CF132&lt;=$B$4+1,CF135*VLOOKUP(CF132,Assumptions!$A$70:$B$90,2,0),0)</f>
        <v>0</v>
      </c>
      <c r="CG140" s="8">
        <f>IF(CG132&lt;=$B$4+1,CG135*VLOOKUP(CG132,Assumptions!$A$70:$B$90,2,0),0)</f>
        <v>0</v>
      </c>
      <c r="CH140" s="8">
        <f>IF(CH132&lt;=$B$4+1,CH135*VLOOKUP(CH132,Assumptions!$A$70:$B$90,2,0),0)</f>
        <v>0</v>
      </c>
      <c r="CI140" s="8">
        <f>IF(CI132&lt;=$B$4+1,CI135*VLOOKUP(CI132,Assumptions!$A$70:$B$90,2,0),0)</f>
        <v>0</v>
      </c>
      <c r="CJ140" s="8">
        <f>IF(CJ132&lt;=$B$4+1,CJ135*VLOOKUP(CJ132,Assumptions!$A$70:$B$90,2,0),0)</f>
        <v>0</v>
      </c>
      <c r="CK140" s="8">
        <f>IF(CK132&lt;=$B$4+1,CK135*VLOOKUP(CK132,Assumptions!$A$70:$B$90,2,0),0)</f>
        <v>0</v>
      </c>
      <c r="CL140" s="8">
        <f>IF(CL132&lt;=$B$4+1,CL135*VLOOKUP(CL132,Assumptions!$A$70:$B$90,2,0),0)</f>
        <v>0</v>
      </c>
      <c r="CM140" s="8">
        <f>IF(CM132&lt;=$B$4+1,CM135*VLOOKUP(CM132,Assumptions!$A$70:$B$90,2,0),0)</f>
        <v>0</v>
      </c>
      <c r="CN140" s="8">
        <f>IF(CN132&lt;=$B$4+1,CN135*VLOOKUP(CN132,Assumptions!$A$70:$B$90,2,0),0)</f>
        <v>0</v>
      </c>
      <c r="CO140" s="8">
        <f>IF(CO132&lt;=$B$4+1,CO135*VLOOKUP(CO132,Assumptions!$A$70:$B$90,2,0),0)</f>
        <v>0</v>
      </c>
      <c r="CP140" s="8">
        <f>IF(CP132&lt;=$B$4+1,CP135*VLOOKUP(CP132,Assumptions!$A$70:$B$90,2,0),0)</f>
        <v>0</v>
      </c>
      <c r="CQ140" s="8">
        <f>IF(CQ132&lt;=$B$4+1,CQ135*VLOOKUP(CQ132,Assumptions!$A$70:$B$90,2,0),0)</f>
        <v>0</v>
      </c>
      <c r="CR140" s="8">
        <f>IF(CR132&lt;=$B$4+1,CR135*VLOOKUP(CR132,Assumptions!$A$70:$B$90,2,0),0)</f>
        <v>0</v>
      </c>
      <c r="CS140" s="8">
        <f>IF(CS132&lt;=$B$4+1,CS135*VLOOKUP(CS132,Assumptions!$A$70:$B$90,2,0),0)</f>
        <v>0</v>
      </c>
      <c r="CT140" s="8">
        <f>IF(CT132&lt;=$B$4+1,CT135*VLOOKUP(CT132,Assumptions!$A$70:$B$90,2,0),0)</f>
        <v>0</v>
      </c>
      <c r="CU140" s="8">
        <f>IF(CU132&lt;=$B$4+1,CU135*VLOOKUP(CU132,Assumptions!$A$70:$B$90,2,0),0)</f>
        <v>0</v>
      </c>
      <c r="CV140" s="8">
        <f>IF(CV132&lt;=$B$4+1,CV135*VLOOKUP(CV132,Assumptions!$A$70:$B$90,2,0),0)</f>
        <v>0</v>
      </c>
      <c r="CW140" s="8">
        <f>IF(CW132&lt;=$B$4+1,CW135*VLOOKUP(CW132,Assumptions!$A$70:$B$90,2,0),0)</f>
        <v>0</v>
      </c>
      <c r="CX140" s="8">
        <f>IF(CX132&lt;=$B$4+1,CX135*VLOOKUP(CX132,Assumptions!$A$70:$B$90,2,0),0)</f>
        <v>0</v>
      </c>
      <c r="CY140" s="8">
        <f>IF(CY132&lt;=$B$4+1,CY135*VLOOKUP(CY132,Assumptions!$A$70:$B$90,2,0),0)</f>
        <v>0</v>
      </c>
      <c r="CZ140" s="8">
        <f>IF(CZ132&lt;=$B$4+1,CZ135*VLOOKUP(CZ132,Assumptions!$A$70:$B$90,2,0),0)</f>
        <v>0</v>
      </c>
      <c r="DA140" s="8">
        <f>IF(DA132&lt;=$B$4+1,DA135*VLOOKUP(DA132,Assumptions!$A$70:$B$90,2,0),0)</f>
        <v>0</v>
      </c>
      <c r="DB140" s="8"/>
      <c r="DC140" s="8"/>
      <c r="DD140" s="8"/>
      <c r="DE140" s="8"/>
    </row>
    <row r="141" spans="3:109" x14ac:dyDescent="0.4">
      <c r="D141" t="s">
        <v>170</v>
      </c>
      <c r="L141" s="8"/>
      <c r="M141" s="8">
        <f>L142</f>
        <v>0</v>
      </c>
      <c r="N141" s="8">
        <f t="shared" ref="N141:BY141" si="156">M142</f>
        <v>-5665.8625072866726</v>
      </c>
      <c r="O141" s="8">
        <f t="shared" si="156"/>
        <v>-22563.083321874758</v>
      </c>
      <c r="P141" s="8">
        <f t="shared" si="156"/>
        <v>-37705.505577063203</v>
      </c>
      <c r="Q141" s="8">
        <f t="shared" si="156"/>
        <v>-51229.109973026883</v>
      </c>
      <c r="R141" s="8">
        <f t="shared" si="156"/>
        <v>-63250.451395629978</v>
      </c>
      <c r="S141" s="8">
        <f t="shared" si="156"/>
        <v>-73886.084730736678</v>
      </c>
      <c r="T141" s="8">
        <f t="shared" si="156"/>
        <v>-83236.376685618918</v>
      </c>
      <c r="U141" s="8">
        <f t="shared" si="156"/>
        <v>-91401.693967548636</v>
      </c>
      <c r="V141" s="8">
        <f t="shared" si="156"/>
        <v>-99372.753106371369</v>
      </c>
      <c r="W141" s="8">
        <f t="shared" si="156"/>
        <v>-107340.57460947566</v>
      </c>
      <c r="X141" s="8">
        <f t="shared" si="156"/>
        <v>-115311.63374829839</v>
      </c>
      <c r="Y141" s="8">
        <f t="shared" si="156"/>
        <v>-123279.45525140269</v>
      </c>
      <c r="Z141" s="8">
        <f t="shared" si="156"/>
        <v>-131250.51439022543</v>
      </c>
      <c r="AA141" s="8">
        <f t="shared" si="156"/>
        <v>-139218.33589332973</v>
      </c>
      <c r="AB141" s="8">
        <f t="shared" si="156"/>
        <v>-147189.39503215248</v>
      </c>
      <c r="AC141" s="8">
        <f t="shared" si="156"/>
        <v>-155157.21653525677</v>
      </c>
      <c r="AD141" s="8">
        <f t="shared" si="156"/>
        <v>-163128.27567407952</v>
      </c>
      <c r="AE141" s="8">
        <f t="shared" si="156"/>
        <v>-171096.09717718381</v>
      </c>
      <c r="AF141" s="8">
        <f t="shared" si="156"/>
        <v>-179067.15631600656</v>
      </c>
      <c r="AG141" s="8">
        <f t="shared" si="156"/>
        <v>-187034.97781911085</v>
      </c>
      <c r="AH141" s="8">
        <f t="shared" si="156"/>
        <v>-187782.87167007269</v>
      </c>
      <c r="AI141" s="8">
        <f t="shared" si="156"/>
        <v>-181307.60023317364</v>
      </c>
      <c r="AJ141" s="8">
        <f t="shared" si="156"/>
        <v>-174832.32879627458</v>
      </c>
      <c r="AK141" s="8">
        <f t="shared" si="156"/>
        <v>-168357.05735937553</v>
      </c>
      <c r="AL141" s="8">
        <f t="shared" si="156"/>
        <v>-161881.78592247647</v>
      </c>
      <c r="AM141" s="8">
        <f t="shared" si="156"/>
        <v>-155406.51448557741</v>
      </c>
      <c r="AN141" s="8">
        <f t="shared" si="156"/>
        <v>-148931.24304867836</v>
      </c>
      <c r="AO141" s="8">
        <f t="shared" si="156"/>
        <v>-142455.9716117793</v>
      </c>
      <c r="AP141" s="8">
        <f t="shared" si="156"/>
        <v>-135980.70017488024</v>
      </c>
      <c r="AQ141" s="8">
        <f t="shared" si="156"/>
        <v>-129505.42873798119</v>
      </c>
      <c r="AR141" s="8">
        <f t="shared" si="156"/>
        <v>-123030.15730108213</v>
      </c>
      <c r="AS141" s="8">
        <f t="shared" si="156"/>
        <v>-116554.88586418307</v>
      </c>
      <c r="AT141" s="8">
        <f t="shared" si="156"/>
        <v>-110079.61442728402</v>
      </c>
      <c r="AU141" s="8">
        <f t="shared" si="156"/>
        <v>-103604.34299038496</v>
      </c>
      <c r="AV141" s="8">
        <f t="shared" si="156"/>
        <v>-97129.071553485905</v>
      </c>
      <c r="AW141" s="8">
        <f t="shared" si="156"/>
        <v>-90653.800116586848</v>
      </c>
      <c r="AX141" s="8">
        <f t="shared" si="156"/>
        <v>-84178.528679687792</v>
      </c>
      <c r="AY141" s="8">
        <f t="shared" si="156"/>
        <v>-77703.257242788735</v>
      </c>
      <c r="AZ141" s="8">
        <f t="shared" si="156"/>
        <v>-71227.985805889679</v>
      </c>
      <c r="BA141" s="8">
        <f t="shared" si="156"/>
        <v>-64752.714368990622</v>
      </c>
      <c r="BB141" s="8">
        <f t="shared" si="156"/>
        <v>-58277.442932091566</v>
      </c>
      <c r="BC141" s="8">
        <f t="shared" si="156"/>
        <v>-51802.17149519251</v>
      </c>
      <c r="BD141" s="8">
        <f t="shared" si="156"/>
        <v>-45326.900058293453</v>
      </c>
      <c r="BE141" s="8">
        <f t="shared" si="156"/>
        <v>-38851.628621394397</v>
      </c>
      <c r="BF141" s="8">
        <f t="shared" si="156"/>
        <v>-32376.35718449534</v>
      </c>
      <c r="BG141" s="8">
        <f t="shared" si="156"/>
        <v>-25901.085747596284</v>
      </c>
      <c r="BH141" s="8">
        <f t="shared" si="156"/>
        <v>-19425.814310697227</v>
      </c>
      <c r="BI141" s="8">
        <f t="shared" si="156"/>
        <v>-12950.542873798171</v>
      </c>
      <c r="BJ141" s="8">
        <f t="shared" si="156"/>
        <v>-6475.2714368991146</v>
      </c>
      <c r="BK141" s="8">
        <f t="shared" si="156"/>
        <v>-5.8207660913467407E-11</v>
      </c>
      <c r="BL141" s="8">
        <f t="shared" si="156"/>
        <v>-5.8207660913467407E-11</v>
      </c>
      <c r="BM141" s="8">
        <f t="shared" si="156"/>
        <v>-5.8207660913467407E-11</v>
      </c>
      <c r="BN141" s="8">
        <f t="shared" si="156"/>
        <v>-5.8207660913467407E-11</v>
      </c>
      <c r="BO141" s="8">
        <f t="shared" si="156"/>
        <v>-5.8207660913467407E-11</v>
      </c>
      <c r="BP141" s="8">
        <f t="shared" si="156"/>
        <v>-5.8207660913467407E-11</v>
      </c>
      <c r="BQ141" s="8">
        <f t="shared" si="156"/>
        <v>-5.8207660913467407E-11</v>
      </c>
      <c r="BR141" s="8">
        <f t="shared" si="156"/>
        <v>-5.8207660913467407E-11</v>
      </c>
      <c r="BS141" s="8">
        <f t="shared" si="156"/>
        <v>-5.8207660913467407E-11</v>
      </c>
      <c r="BT141" s="8">
        <f t="shared" si="156"/>
        <v>-5.8207660913467407E-11</v>
      </c>
      <c r="BU141" s="8">
        <f t="shared" si="156"/>
        <v>-5.8207660913467407E-11</v>
      </c>
      <c r="BV141" s="8">
        <f t="shared" si="156"/>
        <v>-5.8207660913467407E-11</v>
      </c>
      <c r="BW141" s="8">
        <f t="shared" si="156"/>
        <v>-5.8207660913467407E-11</v>
      </c>
      <c r="BX141" s="8">
        <f t="shared" si="156"/>
        <v>-5.8207660913467407E-11</v>
      </c>
      <c r="BY141" s="8">
        <f t="shared" si="156"/>
        <v>-5.8207660913467407E-11</v>
      </c>
      <c r="BZ141" s="8">
        <f t="shared" ref="BZ141:DA141" si="157">BY142</f>
        <v>-5.8207660913467407E-11</v>
      </c>
      <c r="CA141" s="8">
        <f t="shared" si="157"/>
        <v>-5.8207660913467407E-11</v>
      </c>
      <c r="CB141" s="8">
        <f t="shared" si="157"/>
        <v>-5.8207660913467407E-11</v>
      </c>
      <c r="CC141" s="8">
        <f t="shared" si="157"/>
        <v>-5.8207660913467407E-11</v>
      </c>
      <c r="CD141" s="8">
        <f t="shared" si="157"/>
        <v>-5.8207660913467407E-11</v>
      </c>
      <c r="CE141" s="8">
        <f t="shared" si="157"/>
        <v>-5.8207660913467407E-11</v>
      </c>
      <c r="CF141" s="8">
        <f t="shared" si="157"/>
        <v>-5.8207660913467407E-11</v>
      </c>
      <c r="CG141" s="8">
        <f t="shared" si="157"/>
        <v>-5.8207660913467407E-11</v>
      </c>
      <c r="CH141" s="8">
        <f t="shared" si="157"/>
        <v>-5.8207660913467407E-11</v>
      </c>
      <c r="CI141" s="8">
        <f t="shared" si="157"/>
        <v>-5.8207660913467407E-11</v>
      </c>
      <c r="CJ141" s="8">
        <f t="shared" si="157"/>
        <v>-5.8207660913467407E-11</v>
      </c>
      <c r="CK141" s="8">
        <f t="shared" si="157"/>
        <v>-5.8207660913467407E-11</v>
      </c>
      <c r="CL141" s="8">
        <f t="shared" si="157"/>
        <v>-5.8207660913467407E-11</v>
      </c>
      <c r="CM141" s="8">
        <f t="shared" si="157"/>
        <v>-5.8207660913467407E-11</v>
      </c>
      <c r="CN141" s="8">
        <f t="shared" si="157"/>
        <v>-5.8207660913467407E-11</v>
      </c>
      <c r="CO141" s="8">
        <f t="shared" si="157"/>
        <v>-5.8207660913467407E-11</v>
      </c>
      <c r="CP141" s="8">
        <f t="shared" si="157"/>
        <v>-5.8207660913467407E-11</v>
      </c>
      <c r="CQ141" s="8">
        <f t="shared" si="157"/>
        <v>-5.8207660913467407E-11</v>
      </c>
      <c r="CR141" s="8">
        <f t="shared" si="157"/>
        <v>-5.8207660913467407E-11</v>
      </c>
      <c r="CS141" s="8">
        <f t="shared" si="157"/>
        <v>-5.8207660913467407E-11</v>
      </c>
      <c r="CT141" s="8">
        <f t="shared" si="157"/>
        <v>-5.8207660913467407E-11</v>
      </c>
      <c r="CU141" s="8">
        <f t="shared" si="157"/>
        <v>-5.8207660913467407E-11</v>
      </c>
      <c r="CV141" s="8">
        <f t="shared" si="157"/>
        <v>-5.8207660913467407E-11</v>
      </c>
      <c r="CW141" s="8">
        <f t="shared" si="157"/>
        <v>-5.8207660913467407E-11</v>
      </c>
      <c r="CX141" s="8">
        <f t="shared" si="157"/>
        <v>-5.8207660913467407E-11</v>
      </c>
      <c r="CY141" s="8">
        <f t="shared" si="157"/>
        <v>-5.8207660913467407E-11</v>
      </c>
      <c r="CZ141" s="8">
        <f t="shared" si="157"/>
        <v>-5.8207660913467407E-11</v>
      </c>
      <c r="DA141" s="8">
        <f t="shared" si="157"/>
        <v>-5.8207660913467407E-11</v>
      </c>
      <c r="DB141" s="8"/>
      <c r="DC141" s="8"/>
      <c r="DD141" s="8"/>
      <c r="DE141" s="8"/>
    </row>
    <row r="142" spans="3:109" x14ac:dyDescent="0.4">
      <c r="D142" t="s">
        <v>171</v>
      </c>
      <c r="L142" s="8"/>
      <c r="M142" s="8">
        <f t="shared" ref="M142:AR142" si="158">L142+((M134-M140)*INC_TAX_RATE)</f>
        <v>-5665.8625072866726</v>
      </c>
      <c r="N142" s="8">
        <f t="shared" si="158"/>
        <v>-22563.083321874758</v>
      </c>
      <c r="O142" s="8">
        <f t="shared" si="158"/>
        <v>-37705.505577063203</v>
      </c>
      <c r="P142" s="8">
        <f t="shared" si="158"/>
        <v>-51229.109973026883</v>
      </c>
      <c r="Q142" s="8">
        <f t="shared" si="158"/>
        <v>-63250.451395629978</v>
      </c>
      <c r="R142" s="8">
        <f t="shared" si="158"/>
        <v>-73886.084730736678</v>
      </c>
      <c r="S142" s="8">
        <f t="shared" si="158"/>
        <v>-83236.376685618918</v>
      </c>
      <c r="T142" s="8">
        <f t="shared" si="158"/>
        <v>-91401.693967548636</v>
      </c>
      <c r="U142" s="8">
        <f t="shared" si="158"/>
        <v>-99372.753106371369</v>
      </c>
      <c r="V142" s="8">
        <f t="shared" si="158"/>
        <v>-107340.57460947566</v>
      </c>
      <c r="W142" s="8">
        <f t="shared" si="158"/>
        <v>-115311.63374829839</v>
      </c>
      <c r="X142" s="8">
        <f t="shared" si="158"/>
        <v>-123279.45525140269</v>
      </c>
      <c r="Y142" s="8">
        <f t="shared" si="158"/>
        <v>-131250.51439022543</v>
      </c>
      <c r="Z142" s="8">
        <f t="shared" si="158"/>
        <v>-139218.33589332973</v>
      </c>
      <c r="AA142" s="8">
        <f t="shared" si="158"/>
        <v>-147189.39503215248</v>
      </c>
      <c r="AB142" s="8">
        <f t="shared" si="158"/>
        <v>-155157.21653525677</v>
      </c>
      <c r="AC142" s="8">
        <f t="shared" si="158"/>
        <v>-163128.27567407952</v>
      </c>
      <c r="AD142" s="8">
        <f t="shared" si="158"/>
        <v>-171096.09717718381</v>
      </c>
      <c r="AE142" s="8">
        <f t="shared" si="158"/>
        <v>-179067.15631600656</v>
      </c>
      <c r="AF142" s="8">
        <f t="shared" si="158"/>
        <v>-187034.97781911085</v>
      </c>
      <c r="AG142" s="8">
        <f t="shared" si="158"/>
        <v>-187782.87167007269</v>
      </c>
      <c r="AH142" s="8">
        <f t="shared" si="158"/>
        <v>-181307.60023317364</v>
      </c>
      <c r="AI142" s="8">
        <f t="shared" si="158"/>
        <v>-174832.32879627458</v>
      </c>
      <c r="AJ142" s="8">
        <f t="shared" si="158"/>
        <v>-168357.05735937553</v>
      </c>
      <c r="AK142" s="8">
        <f t="shared" si="158"/>
        <v>-161881.78592247647</v>
      </c>
      <c r="AL142" s="8">
        <f t="shared" si="158"/>
        <v>-155406.51448557741</v>
      </c>
      <c r="AM142" s="8">
        <f t="shared" si="158"/>
        <v>-148931.24304867836</v>
      </c>
      <c r="AN142" s="8">
        <f t="shared" si="158"/>
        <v>-142455.9716117793</v>
      </c>
      <c r="AO142" s="8">
        <f t="shared" si="158"/>
        <v>-135980.70017488024</v>
      </c>
      <c r="AP142" s="8">
        <f t="shared" si="158"/>
        <v>-129505.42873798119</v>
      </c>
      <c r="AQ142" s="8">
        <f t="shared" si="158"/>
        <v>-123030.15730108213</v>
      </c>
      <c r="AR142" s="8">
        <f t="shared" si="158"/>
        <v>-116554.88586418307</v>
      </c>
      <c r="AS142" s="8">
        <f t="shared" ref="AS142:BX142" si="159">AR142+((AS134-AS140)*INC_TAX_RATE)</f>
        <v>-110079.61442728402</v>
      </c>
      <c r="AT142" s="8">
        <f t="shared" si="159"/>
        <v>-103604.34299038496</v>
      </c>
      <c r="AU142" s="8">
        <f t="shared" si="159"/>
        <v>-97129.071553485905</v>
      </c>
      <c r="AV142" s="8">
        <f t="shared" si="159"/>
        <v>-90653.800116586848</v>
      </c>
      <c r="AW142" s="8">
        <f t="shared" si="159"/>
        <v>-84178.528679687792</v>
      </c>
      <c r="AX142" s="8">
        <f t="shared" si="159"/>
        <v>-77703.257242788735</v>
      </c>
      <c r="AY142" s="8">
        <f t="shared" si="159"/>
        <v>-71227.985805889679</v>
      </c>
      <c r="AZ142" s="8">
        <f t="shared" si="159"/>
        <v>-64752.714368990622</v>
      </c>
      <c r="BA142" s="8">
        <f t="shared" si="159"/>
        <v>-58277.442932091566</v>
      </c>
      <c r="BB142" s="8">
        <f t="shared" si="159"/>
        <v>-51802.17149519251</v>
      </c>
      <c r="BC142" s="8">
        <f t="shared" si="159"/>
        <v>-45326.900058293453</v>
      </c>
      <c r="BD142" s="8">
        <f t="shared" si="159"/>
        <v>-38851.628621394397</v>
      </c>
      <c r="BE142" s="8">
        <f t="shared" si="159"/>
        <v>-32376.35718449534</v>
      </c>
      <c r="BF142" s="8">
        <f t="shared" si="159"/>
        <v>-25901.085747596284</v>
      </c>
      <c r="BG142" s="8">
        <f t="shared" si="159"/>
        <v>-19425.814310697227</v>
      </c>
      <c r="BH142" s="8">
        <f t="shared" si="159"/>
        <v>-12950.542873798171</v>
      </c>
      <c r="BI142" s="8">
        <f t="shared" si="159"/>
        <v>-6475.2714368991146</v>
      </c>
      <c r="BJ142" s="8">
        <f t="shared" si="159"/>
        <v>-5.8207660913467407E-11</v>
      </c>
      <c r="BK142" s="8">
        <f t="shared" si="159"/>
        <v>-5.8207660913467407E-11</v>
      </c>
      <c r="BL142" s="8">
        <f t="shared" si="159"/>
        <v>-5.8207660913467407E-11</v>
      </c>
      <c r="BM142" s="8">
        <f t="shared" si="159"/>
        <v>-5.8207660913467407E-11</v>
      </c>
      <c r="BN142" s="8">
        <f t="shared" si="159"/>
        <v>-5.8207660913467407E-11</v>
      </c>
      <c r="BO142" s="8">
        <f t="shared" si="159"/>
        <v>-5.8207660913467407E-11</v>
      </c>
      <c r="BP142" s="8">
        <f t="shared" si="159"/>
        <v>-5.8207660913467407E-11</v>
      </c>
      <c r="BQ142" s="8">
        <f t="shared" si="159"/>
        <v>-5.8207660913467407E-11</v>
      </c>
      <c r="BR142" s="8">
        <f t="shared" si="159"/>
        <v>-5.8207660913467407E-11</v>
      </c>
      <c r="BS142" s="8">
        <f t="shared" si="159"/>
        <v>-5.8207660913467407E-11</v>
      </c>
      <c r="BT142" s="8">
        <f t="shared" si="159"/>
        <v>-5.8207660913467407E-11</v>
      </c>
      <c r="BU142" s="8">
        <f t="shared" si="159"/>
        <v>-5.8207660913467407E-11</v>
      </c>
      <c r="BV142" s="8">
        <f t="shared" si="159"/>
        <v>-5.8207660913467407E-11</v>
      </c>
      <c r="BW142" s="8">
        <f t="shared" si="159"/>
        <v>-5.8207660913467407E-11</v>
      </c>
      <c r="BX142" s="8">
        <f t="shared" si="159"/>
        <v>-5.8207660913467407E-11</v>
      </c>
      <c r="BY142" s="8">
        <f t="shared" ref="BY142:DA142" si="160">BX142+((BY134-BY140)*INC_TAX_RATE)</f>
        <v>-5.8207660913467407E-11</v>
      </c>
      <c r="BZ142" s="8">
        <f t="shared" si="160"/>
        <v>-5.8207660913467407E-11</v>
      </c>
      <c r="CA142" s="8">
        <f t="shared" si="160"/>
        <v>-5.8207660913467407E-11</v>
      </c>
      <c r="CB142" s="8">
        <f t="shared" si="160"/>
        <v>-5.8207660913467407E-11</v>
      </c>
      <c r="CC142" s="8">
        <f t="shared" si="160"/>
        <v>-5.8207660913467407E-11</v>
      </c>
      <c r="CD142" s="8">
        <f t="shared" si="160"/>
        <v>-5.8207660913467407E-11</v>
      </c>
      <c r="CE142" s="8">
        <f t="shared" si="160"/>
        <v>-5.8207660913467407E-11</v>
      </c>
      <c r="CF142" s="8">
        <f t="shared" si="160"/>
        <v>-5.8207660913467407E-11</v>
      </c>
      <c r="CG142" s="8">
        <f t="shared" si="160"/>
        <v>-5.8207660913467407E-11</v>
      </c>
      <c r="CH142" s="8">
        <f t="shared" si="160"/>
        <v>-5.8207660913467407E-11</v>
      </c>
      <c r="CI142" s="8">
        <f t="shared" si="160"/>
        <v>-5.8207660913467407E-11</v>
      </c>
      <c r="CJ142" s="8">
        <f t="shared" si="160"/>
        <v>-5.8207660913467407E-11</v>
      </c>
      <c r="CK142" s="8">
        <f t="shared" si="160"/>
        <v>-5.8207660913467407E-11</v>
      </c>
      <c r="CL142" s="8">
        <f t="shared" si="160"/>
        <v>-5.8207660913467407E-11</v>
      </c>
      <c r="CM142" s="8">
        <f t="shared" si="160"/>
        <v>-5.8207660913467407E-11</v>
      </c>
      <c r="CN142" s="8">
        <f t="shared" si="160"/>
        <v>-5.8207660913467407E-11</v>
      </c>
      <c r="CO142" s="8">
        <f t="shared" si="160"/>
        <v>-5.8207660913467407E-11</v>
      </c>
      <c r="CP142" s="8">
        <f t="shared" si="160"/>
        <v>-5.8207660913467407E-11</v>
      </c>
      <c r="CQ142" s="8">
        <f t="shared" si="160"/>
        <v>-5.8207660913467407E-11</v>
      </c>
      <c r="CR142" s="8">
        <f t="shared" si="160"/>
        <v>-5.8207660913467407E-11</v>
      </c>
      <c r="CS142" s="8">
        <f t="shared" si="160"/>
        <v>-5.8207660913467407E-11</v>
      </c>
      <c r="CT142" s="8">
        <f t="shared" si="160"/>
        <v>-5.8207660913467407E-11</v>
      </c>
      <c r="CU142" s="8">
        <f t="shared" si="160"/>
        <v>-5.8207660913467407E-11</v>
      </c>
      <c r="CV142" s="8">
        <f t="shared" si="160"/>
        <v>-5.8207660913467407E-11</v>
      </c>
      <c r="CW142" s="8">
        <f t="shared" si="160"/>
        <v>-5.8207660913467407E-11</v>
      </c>
      <c r="CX142" s="8">
        <f t="shared" si="160"/>
        <v>-5.8207660913467407E-11</v>
      </c>
      <c r="CY142" s="8">
        <f t="shared" si="160"/>
        <v>-5.8207660913467407E-11</v>
      </c>
      <c r="CZ142" s="8">
        <f t="shared" si="160"/>
        <v>-5.8207660913467407E-11</v>
      </c>
      <c r="DA142" s="8">
        <f t="shared" si="160"/>
        <v>-5.8207660913467407E-11</v>
      </c>
      <c r="DB142" s="8"/>
      <c r="DC142" s="8"/>
      <c r="DD142" s="8"/>
      <c r="DE142" s="8"/>
    </row>
    <row r="143" spans="3:109" x14ac:dyDescent="0.4"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</row>
    <row r="144" spans="3:109" x14ac:dyDescent="0.4">
      <c r="D144" t="s">
        <v>158</v>
      </c>
      <c r="L144" s="8"/>
      <c r="M144" s="8">
        <f>AVERAGE(M137:M138)+AVERAGE(M141:M142)</f>
        <v>1153674.1447936352</v>
      </c>
      <c r="N144" s="8">
        <f t="shared" ref="N144:BY144" si="161">AVERAGE(N137:N138)+AVERAGE(N141:N142)</f>
        <v>1119028.8238186114</v>
      </c>
      <c r="O144" s="8">
        <f t="shared" si="161"/>
        <v>1079645.2229696368</v>
      </c>
      <c r="P144" s="8">
        <f t="shared" si="161"/>
        <v>1041948.4303299743</v>
      </c>
      <c r="Q144" s="8">
        <f t="shared" si="161"/>
        <v>1005812.1781066044</v>
      </c>
      <c r="R144" s="8">
        <f t="shared" si="161"/>
        <v>971119.91141366318</v>
      </c>
      <c r="S144" s="8">
        <f t="shared" si="161"/>
        <v>937763.16945458215</v>
      </c>
      <c r="T144" s="8">
        <f t="shared" si="161"/>
        <v>905641.58552208985</v>
      </c>
      <c r="U144" s="8">
        <f t="shared" si="161"/>
        <v>874209.61799762712</v>
      </c>
      <c r="V144" s="8">
        <f t="shared" si="161"/>
        <v>842876.39836257731</v>
      </c>
      <c r="W144" s="8">
        <f t="shared" si="161"/>
        <v>811543.17872752715</v>
      </c>
      <c r="X144" s="8">
        <f t="shared" si="161"/>
        <v>780209.95909247734</v>
      </c>
      <c r="Y144" s="8">
        <f t="shared" si="161"/>
        <v>748876.73945742729</v>
      </c>
      <c r="Z144" s="8">
        <f t="shared" si="161"/>
        <v>717543.51982237748</v>
      </c>
      <c r="AA144" s="8">
        <f t="shared" si="161"/>
        <v>686210.30018732743</v>
      </c>
      <c r="AB144" s="8">
        <f t="shared" si="161"/>
        <v>654877.08055227762</v>
      </c>
      <c r="AC144" s="8">
        <f t="shared" si="161"/>
        <v>623543.86091722758</v>
      </c>
      <c r="AD144" s="8">
        <f t="shared" si="161"/>
        <v>592210.64128217776</v>
      </c>
      <c r="AE144" s="8">
        <f t="shared" si="161"/>
        <v>560877.42164712772</v>
      </c>
      <c r="AF144" s="8">
        <f t="shared" si="161"/>
        <v>529544.20201207791</v>
      </c>
      <c r="AG144" s="8">
        <f t="shared" si="161"/>
        <v>501822.56502095825</v>
      </c>
      <c r="AH144" s="8">
        <f t="shared" si="161"/>
        <v>481322.47449984052</v>
      </c>
      <c r="AI144" s="8">
        <f t="shared" si="161"/>
        <v>464433.96662265307</v>
      </c>
      <c r="AJ144" s="8">
        <f t="shared" si="161"/>
        <v>447545.45874546579</v>
      </c>
      <c r="AK144" s="8">
        <f t="shared" si="161"/>
        <v>430656.95086827833</v>
      </c>
      <c r="AL144" s="8">
        <f t="shared" si="161"/>
        <v>413768.44299109105</v>
      </c>
      <c r="AM144" s="8">
        <f t="shared" si="161"/>
        <v>396879.9351139036</v>
      </c>
      <c r="AN144" s="8">
        <f t="shared" si="161"/>
        <v>379991.42723671632</v>
      </c>
      <c r="AO144" s="8">
        <f t="shared" si="161"/>
        <v>363102.91935952893</v>
      </c>
      <c r="AP144" s="8">
        <f t="shared" si="161"/>
        <v>346214.41148234153</v>
      </c>
      <c r="AQ144" s="8">
        <f t="shared" si="161"/>
        <v>329325.90360515419</v>
      </c>
      <c r="AR144" s="8">
        <f t="shared" si="161"/>
        <v>312437.3957279668</v>
      </c>
      <c r="AS144" s="8">
        <f t="shared" si="161"/>
        <v>295548.88785077946</v>
      </c>
      <c r="AT144" s="8">
        <f t="shared" si="161"/>
        <v>278660.37997359206</v>
      </c>
      <c r="AU144" s="8">
        <f t="shared" si="161"/>
        <v>261771.87209640472</v>
      </c>
      <c r="AV144" s="8">
        <f t="shared" si="161"/>
        <v>244883.36421921733</v>
      </c>
      <c r="AW144" s="8">
        <f t="shared" si="161"/>
        <v>227994.85634202999</v>
      </c>
      <c r="AX144" s="8">
        <f t="shared" si="161"/>
        <v>211106.34846484259</v>
      </c>
      <c r="AY144" s="8">
        <f t="shared" si="161"/>
        <v>194217.84058765526</v>
      </c>
      <c r="AZ144" s="8">
        <f t="shared" si="161"/>
        <v>177329.33271046786</v>
      </c>
      <c r="BA144" s="8">
        <f t="shared" si="161"/>
        <v>160440.82483328052</v>
      </c>
      <c r="BB144" s="8">
        <f t="shared" si="161"/>
        <v>143552.31695609313</v>
      </c>
      <c r="BC144" s="8">
        <f t="shared" si="161"/>
        <v>126663.80907890578</v>
      </c>
      <c r="BD144" s="8">
        <f t="shared" si="161"/>
        <v>109775.30120171841</v>
      </c>
      <c r="BE144" s="8">
        <f t="shared" si="161"/>
        <v>92886.793324531041</v>
      </c>
      <c r="BF144" s="8">
        <f t="shared" si="161"/>
        <v>75998.285447343616</v>
      </c>
      <c r="BG144" s="8">
        <f t="shared" si="161"/>
        <v>59109.777570156133</v>
      </c>
      <c r="BH144" s="8">
        <f t="shared" si="161"/>
        <v>42221.26969296865</v>
      </c>
      <c r="BI144" s="8">
        <f t="shared" si="161"/>
        <v>25332.761815781167</v>
      </c>
      <c r="BJ144" s="8">
        <f t="shared" si="161"/>
        <v>8444.2539385936834</v>
      </c>
      <c r="BK144" s="8">
        <f t="shared" si="161"/>
        <v>-5.8207660913467407E-11</v>
      </c>
      <c r="BL144" s="8">
        <f t="shared" si="161"/>
        <v>-5.8207660913467407E-11</v>
      </c>
      <c r="BM144" s="8">
        <f t="shared" si="161"/>
        <v>-5.8207660913467407E-11</v>
      </c>
      <c r="BN144" s="8">
        <f t="shared" si="161"/>
        <v>-5.8207660913467407E-11</v>
      </c>
      <c r="BO144" s="8">
        <f t="shared" si="161"/>
        <v>-5.8207660913467407E-11</v>
      </c>
      <c r="BP144" s="8">
        <f t="shared" si="161"/>
        <v>-5.8207660913467407E-11</v>
      </c>
      <c r="BQ144" s="8">
        <f t="shared" si="161"/>
        <v>-5.8207660913467407E-11</v>
      </c>
      <c r="BR144" s="8">
        <f t="shared" si="161"/>
        <v>-5.8207660913467407E-11</v>
      </c>
      <c r="BS144" s="8">
        <f t="shared" si="161"/>
        <v>-5.8207660913467407E-11</v>
      </c>
      <c r="BT144" s="8">
        <f t="shared" si="161"/>
        <v>-5.8207660913467407E-11</v>
      </c>
      <c r="BU144" s="8">
        <f t="shared" si="161"/>
        <v>-5.8207660913467407E-11</v>
      </c>
      <c r="BV144" s="8">
        <f t="shared" si="161"/>
        <v>-5.8207660913467407E-11</v>
      </c>
      <c r="BW144" s="8">
        <f t="shared" si="161"/>
        <v>-5.8207660913467407E-11</v>
      </c>
      <c r="BX144" s="8">
        <f t="shared" si="161"/>
        <v>-5.8207660913467407E-11</v>
      </c>
      <c r="BY144" s="8">
        <f t="shared" si="161"/>
        <v>-5.8207660913467407E-11</v>
      </c>
      <c r="BZ144" s="8">
        <f t="shared" ref="BZ144:DA144" si="162">AVERAGE(BZ137:BZ138)+AVERAGE(BZ141:BZ142)</f>
        <v>-5.8207660913467407E-11</v>
      </c>
      <c r="CA144" s="8">
        <f t="shared" si="162"/>
        <v>-5.8207660913467407E-11</v>
      </c>
      <c r="CB144" s="8">
        <f t="shared" si="162"/>
        <v>-5.8207660913467407E-11</v>
      </c>
      <c r="CC144" s="8">
        <f t="shared" si="162"/>
        <v>-5.8207660913467407E-11</v>
      </c>
      <c r="CD144" s="8">
        <f t="shared" si="162"/>
        <v>-5.8207660913467407E-11</v>
      </c>
      <c r="CE144" s="8">
        <f t="shared" si="162"/>
        <v>-5.8207660913467407E-11</v>
      </c>
      <c r="CF144" s="8">
        <f t="shared" si="162"/>
        <v>-5.8207660913467407E-11</v>
      </c>
      <c r="CG144" s="8">
        <f t="shared" si="162"/>
        <v>-5.8207660913467407E-11</v>
      </c>
      <c r="CH144" s="8">
        <f t="shared" si="162"/>
        <v>-5.8207660913467407E-11</v>
      </c>
      <c r="CI144" s="8">
        <f t="shared" si="162"/>
        <v>-5.8207660913467407E-11</v>
      </c>
      <c r="CJ144" s="8">
        <f t="shared" si="162"/>
        <v>-5.8207660913467407E-11</v>
      </c>
      <c r="CK144" s="8">
        <f t="shared" si="162"/>
        <v>-5.8207660913467407E-11</v>
      </c>
      <c r="CL144" s="8">
        <f t="shared" si="162"/>
        <v>-5.8207660913467407E-11</v>
      </c>
      <c r="CM144" s="8">
        <f t="shared" si="162"/>
        <v>-5.8207660913467407E-11</v>
      </c>
      <c r="CN144" s="8">
        <f t="shared" si="162"/>
        <v>-5.8207660913467407E-11</v>
      </c>
      <c r="CO144" s="8">
        <f t="shared" si="162"/>
        <v>-5.8207660913467407E-11</v>
      </c>
      <c r="CP144" s="8">
        <f t="shared" si="162"/>
        <v>-5.8207660913467407E-11</v>
      </c>
      <c r="CQ144" s="8">
        <f t="shared" si="162"/>
        <v>-5.8207660913467407E-11</v>
      </c>
      <c r="CR144" s="8">
        <f t="shared" si="162"/>
        <v>-5.8207660913467407E-11</v>
      </c>
      <c r="CS144" s="8">
        <f t="shared" si="162"/>
        <v>-5.8207660913467407E-11</v>
      </c>
      <c r="CT144" s="8">
        <f t="shared" si="162"/>
        <v>-5.8207660913467407E-11</v>
      </c>
      <c r="CU144" s="8">
        <f t="shared" si="162"/>
        <v>-5.8207660913467407E-11</v>
      </c>
      <c r="CV144" s="8">
        <f t="shared" si="162"/>
        <v>-5.8207660913467407E-11</v>
      </c>
      <c r="CW144" s="8">
        <f t="shared" si="162"/>
        <v>-5.8207660913467407E-11</v>
      </c>
      <c r="CX144" s="8">
        <f t="shared" si="162"/>
        <v>-5.8207660913467407E-11</v>
      </c>
      <c r="CY144" s="8">
        <f t="shared" si="162"/>
        <v>-5.8207660913467407E-11</v>
      </c>
      <c r="CZ144" s="8">
        <f t="shared" si="162"/>
        <v>-5.8207660913467407E-11</v>
      </c>
      <c r="DA144" s="8">
        <f t="shared" si="162"/>
        <v>-5.8207660913467407E-11</v>
      </c>
      <c r="DB144" s="8"/>
      <c r="DC144" s="8"/>
      <c r="DD144" s="8"/>
      <c r="DE144" s="8"/>
    </row>
    <row r="145" spans="3:110" x14ac:dyDescent="0.4"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  <c r="DD145" s="8"/>
      <c r="DE145" s="8"/>
    </row>
    <row r="146" spans="3:110" x14ac:dyDescent="0.4">
      <c r="D146" t="s">
        <v>209</v>
      </c>
      <c r="L146" s="8"/>
      <c r="M146" s="8">
        <f t="shared" ref="M146:AR146" si="163">M144*AVG_PRE_TAX_RATE</f>
        <v>103023.10113007163</v>
      </c>
      <c r="N146" s="8">
        <f t="shared" si="163"/>
        <v>99929.273967002009</v>
      </c>
      <c r="O146" s="8">
        <f t="shared" si="163"/>
        <v>96412.318411188564</v>
      </c>
      <c r="P146" s="8">
        <f t="shared" si="163"/>
        <v>93045.994828466704</v>
      </c>
      <c r="Q146" s="8">
        <f t="shared" si="163"/>
        <v>89819.027504919781</v>
      </c>
      <c r="R146" s="8">
        <f t="shared" si="163"/>
        <v>86721.008089240131</v>
      </c>
      <c r="S146" s="8">
        <f t="shared" si="163"/>
        <v>83742.251032294196</v>
      </c>
      <c r="T146" s="8">
        <f t="shared" si="163"/>
        <v>80873.793587122622</v>
      </c>
      <c r="U146" s="8">
        <f t="shared" si="163"/>
        <v>78066.918887188105</v>
      </c>
      <c r="V146" s="8">
        <f t="shared" si="163"/>
        <v>75268.86237377816</v>
      </c>
      <c r="W146" s="8">
        <f t="shared" si="163"/>
        <v>72470.805860368171</v>
      </c>
      <c r="X146" s="8">
        <f t="shared" si="163"/>
        <v>69672.749346958226</v>
      </c>
      <c r="Y146" s="8">
        <f t="shared" si="163"/>
        <v>66874.692833548266</v>
      </c>
      <c r="Z146" s="8">
        <f t="shared" si="163"/>
        <v>64076.636320138314</v>
      </c>
      <c r="AA146" s="8">
        <f t="shared" si="163"/>
        <v>61278.579806728339</v>
      </c>
      <c r="AB146" s="8">
        <f t="shared" si="163"/>
        <v>58480.523293318394</v>
      </c>
      <c r="AC146" s="8">
        <f t="shared" si="163"/>
        <v>55682.466779908427</v>
      </c>
      <c r="AD146" s="8">
        <f t="shared" si="163"/>
        <v>52884.410266498475</v>
      </c>
      <c r="AE146" s="8">
        <f t="shared" si="163"/>
        <v>50086.353753088508</v>
      </c>
      <c r="AF146" s="8">
        <f t="shared" si="163"/>
        <v>47288.297239678563</v>
      </c>
      <c r="AG146" s="8">
        <f t="shared" si="163"/>
        <v>44812.755056371578</v>
      </c>
      <c r="AH146" s="8">
        <f t="shared" si="163"/>
        <v>42982.09697283576</v>
      </c>
      <c r="AI146" s="8">
        <f t="shared" si="163"/>
        <v>41473.953219402923</v>
      </c>
      <c r="AJ146" s="8">
        <f t="shared" si="163"/>
        <v>39965.809465970095</v>
      </c>
      <c r="AK146" s="8">
        <f t="shared" si="163"/>
        <v>38457.665712537259</v>
      </c>
      <c r="AL146" s="8">
        <f t="shared" si="163"/>
        <v>36949.52195910443</v>
      </c>
      <c r="AM146" s="8">
        <f t="shared" si="163"/>
        <v>35441.378205671594</v>
      </c>
      <c r="AN146" s="8">
        <f t="shared" si="163"/>
        <v>33933.234452238772</v>
      </c>
      <c r="AO146" s="8">
        <f t="shared" si="163"/>
        <v>32425.090698805936</v>
      </c>
      <c r="AP146" s="8">
        <f t="shared" si="163"/>
        <v>30916.9469453731</v>
      </c>
      <c r="AQ146" s="8">
        <f t="shared" si="163"/>
        <v>29408.803191940271</v>
      </c>
      <c r="AR146" s="8">
        <f t="shared" si="163"/>
        <v>27900.659438507435</v>
      </c>
      <c r="AS146" s="8">
        <f t="shared" ref="AS146:BX146" si="164">AS144*AVG_PRE_TAX_RATE</f>
        <v>26392.515685074606</v>
      </c>
      <c r="AT146" s="8">
        <f t="shared" si="164"/>
        <v>24884.371931641774</v>
      </c>
      <c r="AU146" s="8">
        <f t="shared" si="164"/>
        <v>23376.228178208941</v>
      </c>
      <c r="AV146" s="8">
        <f t="shared" si="164"/>
        <v>21868.084424776109</v>
      </c>
      <c r="AW146" s="8">
        <f t="shared" si="164"/>
        <v>20359.94067134328</v>
      </c>
      <c r="AX146" s="8">
        <f t="shared" si="164"/>
        <v>18851.796917910444</v>
      </c>
      <c r="AY146" s="8">
        <f t="shared" si="164"/>
        <v>17343.653164477615</v>
      </c>
      <c r="AZ146" s="8">
        <f t="shared" si="164"/>
        <v>15835.509411044781</v>
      </c>
      <c r="BA146" s="8">
        <f t="shared" si="164"/>
        <v>14327.365657611952</v>
      </c>
      <c r="BB146" s="8">
        <f t="shared" si="164"/>
        <v>12819.221904179118</v>
      </c>
      <c r="BC146" s="8">
        <f t="shared" si="164"/>
        <v>11311.078150746287</v>
      </c>
      <c r="BD146" s="8">
        <f t="shared" si="164"/>
        <v>9802.9343973134546</v>
      </c>
      <c r="BE146" s="8">
        <f t="shared" si="164"/>
        <v>8294.7906438806222</v>
      </c>
      <c r="BF146" s="8">
        <f t="shared" si="164"/>
        <v>6786.6468904477852</v>
      </c>
      <c r="BG146" s="8">
        <f t="shared" si="164"/>
        <v>5278.5031370149427</v>
      </c>
      <c r="BH146" s="8">
        <f t="shared" si="164"/>
        <v>3770.3593835821007</v>
      </c>
      <c r="BI146" s="8">
        <f t="shared" si="164"/>
        <v>2262.2156301492582</v>
      </c>
      <c r="BJ146" s="8">
        <f t="shared" si="164"/>
        <v>754.071876716416</v>
      </c>
      <c r="BK146" s="8">
        <f t="shared" si="164"/>
        <v>-5.1979441195726397E-12</v>
      </c>
      <c r="BL146" s="8">
        <f t="shared" si="164"/>
        <v>-5.1979441195726397E-12</v>
      </c>
      <c r="BM146" s="8">
        <f t="shared" si="164"/>
        <v>-5.1979441195726397E-12</v>
      </c>
      <c r="BN146" s="8">
        <f t="shared" si="164"/>
        <v>-5.1979441195726397E-12</v>
      </c>
      <c r="BO146" s="8">
        <f t="shared" si="164"/>
        <v>-5.1979441195726397E-12</v>
      </c>
      <c r="BP146" s="8">
        <f t="shared" si="164"/>
        <v>-5.1979441195726397E-12</v>
      </c>
      <c r="BQ146" s="8">
        <f t="shared" si="164"/>
        <v>-5.1979441195726397E-12</v>
      </c>
      <c r="BR146" s="8">
        <f t="shared" si="164"/>
        <v>-5.1979441195726397E-12</v>
      </c>
      <c r="BS146" s="8">
        <f t="shared" si="164"/>
        <v>-5.1979441195726397E-12</v>
      </c>
      <c r="BT146" s="8">
        <f t="shared" si="164"/>
        <v>-5.1979441195726397E-12</v>
      </c>
      <c r="BU146" s="8">
        <f t="shared" si="164"/>
        <v>-5.1979441195726397E-12</v>
      </c>
      <c r="BV146" s="8">
        <f t="shared" si="164"/>
        <v>-5.1979441195726397E-12</v>
      </c>
      <c r="BW146" s="8">
        <f t="shared" si="164"/>
        <v>-5.1979441195726397E-12</v>
      </c>
      <c r="BX146" s="8">
        <f t="shared" si="164"/>
        <v>-5.1979441195726397E-12</v>
      </c>
      <c r="BY146" s="8">
        <f t="shared" ref="BY146:DA146" si="165">BY144*AVG_PRE_TAX_RATE</f>
        <v>-5.1979441195726397E-12</v>
      </c>
      <c r="BZ146" s="8">
        <f t="shared" si="165"/>
        <v>-5.1979441195726397E-12</v>
      </c>
      <c r="CA146" s="8">
        <f t="shared" si="165"/>
        <v>-5.1979441195726397E-12</v>
      </c>
      <c r="CB146" s="8">
        <f t="shared" si="165"/>
        <v>-5.1979441195726397E-12</v>
      </c>
      <c r="CC146" s="8">
        <f t="shared" si="165"/>
        <v>-5.1979441195726397E-12</v>
      </c>
      <c r="CD146" s="8">
        <f t="shared" si="165"/>
        <v>-5.1979441195726397E-12</v>
      </c>
      <c r="CE146" s="8">
        <f t="shared" si="165"/>
        <v>-5.1979441195726397E-12</v>
      </c>
      <c r="CF146" s="8">
        <f t="shared" si="165"/>
        <v>-5.1979441195726397E-12</v>
      </c>
      <c r="CG146" s="8">
        <f t="shared" si="165"/>
        <v>-5.1979441195726397E-12</v>
      </c>
      <c r="CH146" s="8">
        <f t="shared" si="165"/>
        <v>-5.1979441195726397E-12</v>
      </c>
      <c r="CI146" s="8">
        <f t="shared" si="165"/>
        <v>-5.1979441195726397E-12</v>
      </c>
      <c r="CJ146" s="8">
        <f t="shared" si="165"/>
        <v>-5.1979441195726397E-12</v>
      </c>
      <c r="CK146" s="8">
        <f t="shared" si="165"/>
        <v>-5.1979441195726397E-12</v>
      </c>
      <c r="CL146" s="8">
        <f t="shared" si="165"/>
        <v>-5.1979441195726397E-12</v>
      </c>
      <c r="CM146" s="8">
        <f t="shared" si="165"/>
        <v>-5.1979441195726397E-12</v>
      </c>
      <c r="CN146" s="8">
        <f t="shared" si="165"/>
        <v>-5.1979441195726397E-12</v>
      </c>
      <c r="CO146" s="8">
        <f t="shared" si="165"/>
        <v>-5.1979441195726397E-12</v>
      </c>
      <c r="CP146" s="8">
        <f t="shared" si="165"/>
        <v>-5.1979441195726397E-12</v>
      </c>
      <c r="CQ146" s="8">
        <f t="shared" si="165"/>
        <v>-5.1979441195726397E-12</v>
      </c>
      <c r="CR146" s="8">
        <f t="shared" si="165"/>
        <v>-5.1979441195726397E-12</v>
      </c>
      <c r="CS146" s="8">
        <f t="shared" si="165"/>
        <v>-5.1979441195726397E-12</v>
      </c>
      <c r="CT146" s="8">
        <f t="shared" si="165"/>
        <v>-5.1979441195726397E-12</v>
      </c>
      <c r="CU146" s="8">
        <f t="shared" si="165"/>
        <v>-5.1979441195726397E-12</v>
      </c>
      <c r="CV146" s="8">
        <f t="shared" si="165"/>
        <v>-5.1979441195726397E-12</v>
      </c>
      <c r="CW146" s="8">
        <f t="shared" si="165"/>
        <v>-5.1979441195726397E-12</v>
      </c>
      <c r="CX146" s="8">
        <f t="shared" si="165"/>
        <v>-5.1979441195726397E-12</v>
      </c>
      <c r="CY146" s="8">
        <f t="shared" si="165"/>
        <v>-5.1979441195726397E-12</v>
      </c>
      <c r="CZ146" s="8">
        <f t="shared" si="165"/>
        <v>-5.1979441195726397E-12</v>
      </c>
      <c r="DA146" s="8">
        <f t="shared" si="165"/>
        <v>-5.1979441195726397E-12</v>
      </c>
      <c r="DB146" s="8"/>
      <c r="DC146" s="8"/>
      <c r="DD146" s="8"/>
      <c r="DE146" s="8"/>
    </row>
    <row r="149" spans="3:110" x14ac:dyDescent="0.4">
      <c r="C149" s="58" t="str">
        <f>C132</f>
        <v>Investment year in service</v>
      </c>
      <c r="E149" t="str">
        <f>IF(E150&lt;$C150,"",E150-$C150)</f>
        <v/>
      </c>
      <c r="F149" t="str">
        <f>IF(F150&lt;$C150,"",F150-$C150)</f>
        <v/>
      </c>
      <c r="G149" t="str">
        <f t="shared" ref="G149:BR149" si="166">IF(G150&lt;$C150,"",G150-$C150)</f>
        <v/>
      </c>
      <c r="H149" t="str">
        <f t="shared" si="166"/>
        <v/>
      </c>
      <c r="I149" t="str">
        <f t="shared" si="166"/>
        <v/>
      </c>
      <c r="J149" t="str">
        <f t="shared" si="166"/>
        <v/>
      </c>
      <c r="K149" t="str">
        <f t="shared" si="166"/>
        <v/>
      </c>
      <c r="L149" t="str">
        <f t="shared" si="166"/>
        <v/>
      </c>
      <c r="M149">
        <f t="shared" si="166"/>
        <v>0</v>
      </c>
      <c r="N149">
        <f t="shared" si="166"/>
        <v>1</v>
      </c>
      <c r="O149">
        <f t="shared" si="166"/>
        <v>2</v>
      </c>
      <c r="P149">
        <f t="shared" si="166"/>
        <v>3</v>
      </c>
      <c r="Q149">
        <f t="shared" si="166"/>
        <v>4</v>
      </c>
      <c r="R149">
        <f t="shared" si="166"/>
        <v>5</v>
      </c>
      <c r="S149">
        <f t="shared" si="166"/>
        <v>6</v>
      </c>
      <c r="T149">
        <f t="shared" si="166"/>
        <v>7</v>
      </c>
      <c r="U149">
        <f t="shared" si="166"/>
        <v>8</v>
      </c>
      <c r="V149">
        <f t="shared" si="166"/>
        <v>9</v>
      </c>
      <c r="W149">
        <f t="shared" si="166"/>
        <v>10</v>
      </c>
      <c r="X149">
        <f t="shared" si="166"/>
        <v>11</v>
      </c>
      <c r="Y149">
        <f t="shared" si="166"/>
        <v>12</v>
      </c>
      <c r="Z149">
        <f t="shared" si="166"/>
        <v>13</v>
      </c>
      <c r="AA149">
        <f t="shared" si="166"/>
        <v>14</v>
      </c>
      <c r="AB149">
        <f t="shared" si="166"/>
        <v>15</v>
      </c>
      <c r="AC149">
        <f t="shared" si="166"/>
        <v>16</v>
      </c>
      <c r="AD149">
        <f t="shared" si="166"/>
        <v>17</v>
      </c>
      <c r="AE149">
        <f t="shared" si="166"/>
        <v>18</v>
      </c>
      <c r="AF149">
        <f t="shared" si="166"/>
        <v>19</v>
      </c>
      <c r="AG149">
        <f t="shared" si="166"/>
        <v>20</v>
      </c>
      <c r="AH149">
        <f t="shared" si="166"/>
        <v>21</v>
      </c>
      <c r="AI149">
        <f t="shared" si="166"/>
        <v>22</v>
      </c>
      <c r="AJ149">
        <f t="shared" si="166"/>
        <v>23</v>
      </c>
      <c r="AK149">
        <f t="shared" si="166"/>
        <v>24</v>
      </c>
      <c r="AL149">
        <f t="shared" si="166"/>
        <v>25</v>
      </c>
      <c r="AM149">
        <f t="shared" si="166"/>
        <v>26</v>
      </c>
      <c r="AN149">
        <f t="shared" si="166"/>
        <v>27</v>
      </c>
      <c r="AO149">
        <f t="shared" si="166"/>
        <v>28</v>
      </c>
      <c r="AP149">
        <f t="shared" si="166"/>
        <v>29</v>
      </c>
      <c r="AQ149">
        <f t="shared" si="166"/>
        <v>30</v>
      </c>
      <c r="AR149">
        <f t="shared" si="166"/>
        <v>31</v>
      </c>
      <c r="AS149">
        <f t="shared" si="166"/>
        <v>32</v>
      </c>
      <c r="AT149">
        <f t="shared" si="166"/>
        <v>33</v>
      </c>
      <c r="AU149">
        <f t="shared" si="166"/>
        <v>34</v>
      </c>
      <c r="AV149">
        <f t="shared" si="166"/>
        <v>35</v>
      </c>
      <c r="AW149">
        <f t="shared" si="166"/>
        <v>36</v>
      </c>
      <c r="AX149">
        <f t="shared" si="166"/>
        <v>37</v>
      </c>
      <c r="AY149">
        <f t="shared" si="166"/>
        <v>38</v>
      </c>
      <c r="AZ149">
        <f t="shared" si="166"/>
        <v>39</v>
      </c>
      <c r="BA149">
        <f t="shared" si="166"/>
        <v>40</v>
      </c>
      <c r="BB149">
        <f t="shared" si="166"/>
        <v>41</v>
      </c>
      <c r="BC149">
        <f t="shared" si="166"/>
        <v>42</v>
      </c>
      <c r="BD149">
        <f t="shared" si="166"/>
        <v>43</v>
      </c>
      <c r="BE149">
        <f t="shared" si="166"/>
        <v>44</v>
      </c>
      <c r="BF149">
        <f t="shared" si="166"/>
        <v>45</v>
      </c>
      <c r="BG149">
        <f t="shared" si="166"/>
        <v>46</v>
      </c>
      <c r="BH149">
        <f t="shared" si="166"/>
        <v>47</v>
      </c>
      <c r="BI149">
        <f t="shared" si="166"/>
        <v>48</v>
      </c>
      <c r="BJ149">
        <f t="shared" si="166"/>
        <v>49</v>
      </c>
      <c r="BK149">
        <f t="shared" si="166"/>
        <v>50</v>
      </c>
      <c r="BL149">
        <f t="shared" si="166"/>
        <v>51</v>
      </c>
      <c r="BM149">
        <f t="shared" si="166"/>
        <v>52</v>
      </c>
      <c r="BN149">
        <f t="shared" si="166"/>
        <v>53</v>
      </c>
      <c r="BO149">
        <f t="shared" si="166"/>
        <v>54</v>
      </c>
      <c r="BP149">
        <f t="shared" si="166"/>
        <v>55</v>
      </c>
      <c r="BQ149">
        <f t="shared" si="166"/>
        <v>56</v>
      </c>
      <c r="BR149">
        <f t="shared" si="166"/>
        <v>57</v>
      </c>
      <c r="BS149">
        <f t="shared" ref="BS149:DA149" si="167">IF(BS150&lt;$C150,"",BS150-$C150)</f>
        <v>58</v>
      </c>
      <c r="BT149">
        <f t="shared" si="167"/>
        <v>59</v>
      </c>
      <c r="BU149">
        <f t="shared" si="167"/>
        <v>60</v>
      </c>
      <c r="BV149">
        <f t="shared" si="167"/>
        <v>61</v>
      </c>
      <c r="BW149">
        <f t="shared" si="167"/>
        <v>62</v>
      </c>
      <c r="BX149">
        <f t="shared" si="167"/>
        <v>63</v>
      </c>
      <c r="BY149">
        <f t="shared" si="167"/>
        <v>64</v>
      </c>
      <c r="BZ149">
        <f t="shared" si="167"/>
        <v>65</v>
      </c>
      <c r="CA149">
        <f t="shared" si="167"/>
        <v>66</v>
      </c>
      <c r="CB149">
        <f t="shared" si="167"/>
        <v>67</v>
      </c>
      <c r="CC149">
        <f t="shared" si="167"/>
        <v>68</v>
      </c>
      <c r="CD149">
        <f t="shared" si="167"/>
        <v>69</v>
      </c>
      <c r="CE149">
        <f t="shared" si="167"/>
        <v>70</v>
      </c>
      <c r="CF149">
        <f t="shared" si="167"/>
        <v>71</v>
      </c>
      <c r="CG149">
        <f t="shared" si="167"/>
        <v>72</v>
      </c>
      <c r="CH149">
        <f t="shared" si="167"/>
        <v>73</v>
      </c>
      <c r="CI149">
        <f t="shared" si="167"/>
        <v>74</v>
      </c>
      <c r="CJ149">
        <f t="shared" si="167"/>
        <v>75</v>
      </c>
      <c r="CK149">
        <f t="shared" si="167"/>
        <v>76</v>
      </c>
      <c r="CL149">
        <f t="shared" si="167"/>
        <v>77</v>
      </c>
      <c r="CM149">
        <f t="shared" si="167"/>
        <v>78</v>
      </c>
      <c r="CN149">
        <f t="shared" si="167"/>
        <v>79</v>
      </c>
      <c r="CO149">
        <f t="shared" si="167"/>
        <v>80</v>
      </c>
      <c r="CP149">
        <f t="shared" si="167"/>
        <v>81</v>
      </c>
      <c r="CQ149">
        <f t="shared" si="167"/>
        <v>82</v>
      </c>
      <c r="CR149">
        <f t="shared" si="167"/>
        <v>83</v>
      </c>
      <c r="CS149">
        <f t="shared" si="167"/>
        <v>84</v>
      </c>
      <c r="CT149">
        <f t="shared" si="167"/>
        <v>85</v>
      </c>
      <c r="CU149">
        <f t="shared" si="167"/>
        <v>86</v>
      </c>
      <c r="CV149">
        <f t="shared" si="167"/>
        <v>87</v>
      </c>
      <c r="CW149">
        <f t="shared" si="167"/>
        <v>88</v>
      </c>
      <c r="CX149">
        <f t="shared" si="167"/>
        <v>89</v>
      </c>
      <c r="CY149">
        <f t="shared" si="167"/>
        <v>90</v>
      </c>
      <c r="CZ149">
        <f t="shared" si="167"/>
        <v>91</v>
      </c>
      <c r="DA149">
        <f t="shared" si="167"/>
        <v>92</v>
      </c>
    </row>
    <row r="150" spans="3:110" x14ac:dyDescent="0.4">
      <c r="C150">
        <f>C133+1</f>
        <v>2035</v>
      </c>
      <c r="D150" s="5" t="s">
        <v>434</v>
      </c>
      <c r="E150" s="5">
        <v>2027</v>
      </c>
      <c r="F150" s="5">
        <v>2028</v>
      </c>
      <c r="G150" s="5">
        <v>2029</v>
      </c>
      <c r="H150" s="5">
        <v>2030</v>
      </c>
      <c r="I150" s="5">
        <v>2031</v>
      </c>
      <c r="J150" s="5">
        <v>2032</v>
      </c>
      <c r="K150" s="5">
        <v>2033</v>
      </c>
      <c r="L150" s="5">
        <v>2034</v>
      </c>
      <c r="M150" s="5">
        <v>2035</v>
      </c>
      <c r="N150" s="5">
        <v>2036</v>
      </c>
      <c r="O150" s="5">
        <v>2037</v>
      </c>
      <c r="P150" s="5">
        <v>2038</v>
      </c>
      <c r="Q150" s="5">
        <v>2039</v>
      </c>
      <c r="R150" s="5">
        <v>2040</v>
      </c>
      <c r="S150" s="5">
        <v>2041</v>
      </c>
      <c r="T150" s="5">
        <v>2042</v>
      </c>
      <c r="U150" s="5">
        <v>2043</v>
      </c>
      <c r="V150" s="5">
        <v>2044</v>
      </c>
      <c r="W150" s="5">
        <v>2045</v>
      </c>
      <c r="X150" s="5">
        <v>2046</v>
      </c>
      <c r="Y150" s="5">
        <v>2047</v>
      </c>
      <c r="Z150" s="5">
        <v>2048</v>
      </c>
      <c r="AA150" s="5">
        <v>2049</v>
      </c>
      <c r="AB150" s="5">
        <v>2050</v>
      </c>
      <c r="AC150" s="5">
        <v>2051</v>
      </c>
      <c r="AD150" s="5">
        <v>2052</v>
      </c>
      <c r="AE150" s="5">
        <v>2053</v>
      </c>
      <c r="AF150" s="5">
        <v>2054</v>
      </c>
      <c r="AG150" s="5">
        <v>2055</v>
      </c>
      <c r="AH150" s="5">
        <v>2056</v>
      </c>
      <c r="AI150" s="5">
        <v>2057</v>
      </c>
      <c r="AJ150" s="5">
        <v>2058</v>
      </c>
      <c r="AK150" s="5">
        <v>2059</v>
      </c>
      <c r="AL150" s="5">
        <v>2060</v>
      </c>
      <c r="AM150" s="5">
        <v>2061</v>
      </c>
      <c r="AN150" s="5">
        <v>2062</v>
      </c>
      <c r="AO150" s="5">
        <v>2063</v>
      </c>
      <c r="AP150" s="5">
        <v>2064</v>
      </c>
      <c r="AQ150" s="5">
        <v>2065</v>
      </c>
      <c r="AR150" s="5">
        <v>2066</v>
      </c>
      <c r="AS150" s="5">
        <v>2067</v>
      </c>
      <c r="AT150" s="5">
        <v>2068</v>
      </c>
      <c r="AU150" s="5">
        <v>2069</v>
      </c>
      <c r="AV150" s="5">
        <v>2070</v>
      </c>
      <c r="AW150" s="5">
        <v>2071</v>
      </c>
      <c r="AX150" s="5">
        <v>2072</v>
      </c>
      <c r="AY150" s="5">
        <v>2073</v>
      </c>
      <c r="AZ150" s="5">
        <v>2074</v>
      </c>
      <c r="BA150" s="5">
        <v>2075</v>
      </c>
      <c r="BB150" s="5">
        <v>2076</v>
      </c>
      <c r="BC150" s="5">
        <v>2077</v>
      </c>
      <c r="BD150" s="5">
        <v>2078</v>
      </c>
      <c r="BE150" s="5">
        <v>2079</v>
      </c>
      <c r="BF150" s="5">
        <v>2080</v>
      </c>
      <c r="BG150" s="5">
        <v>2081</v>
      </c>
      <c r="BH150" s="5">
        <v>2082</v>
      </c>
      <c r="BI150" s="5">
        <v>2083</v>
      </c>
      <c r="BJ150" s="5">
        <v>2084</v>
      </c>
      <c r="BK150" s="5">
        <v>2085</v>
      </c>
      <c r="BL150" s="5">
        <v>2086</v>
      </c>
      <c r="BM150" s="5">
        <v>2087</v>
      </c>
      <c r="BN150" s="5">
        <v>2088</v>
      </c>
      <c r="BO150" s="5">
        <v>2089</v>
      </c>
      <c r="BP150" s="5">
        <v>2090</v>
      </c>
      <c r="BQ150" s="5">
        <v>2091</v>
      </c>
      <c r="BR150" s="5">
        <v>2092</v>
      </c>
      <c r="BS150" s="5">
        <v>2093</v>
      </c>
      <c r="BT150" s="5">
        <v>2094</v>
      </c>
      <c r="BU150" s="5">
        <v>2095</v>
      </c>
      <c r="BV150" s="5">
        <v>2096</v>
      </c>
      <c r="BW150" s="5">
        <v>2097</v>
      </c>
      <c r="BX150" s="5">
        <v>2098</v>
      </c>
      <c r="BY150" s="5">
        <v>2099</v>
      </c>
      <c r="BZ150" s="5">
        <v>2100</v>
      </c>
      <c r="CA150" s="5">
        <v>2101</v>
      </c>
      <c r="CB150" s="5">
        <v>2102</v>
      </c>
      <c r="CC150" s="5">
        <v>2103</v>
      </c>
      <c r="CD150" s="5">
        <v>2104</v>
      </c>
      <c r="CE150" s="5">
        <v>2105</v>
      </c>
      <c r="CF150" s="5">
        <v>2106</v>
      </c>
      <c r="CG150" s="5">
        <v>2107</v>
      </c>
      <c r="CH150" s="5">
        <v>2108</v>
      </c>
      <c r="CI150" s="5">
        <v>2109</v>
      </c>
      <c r="CJ150" s="5">
        <v>2110</v>
      </c>
      <c r="CK150" s="5">
        <v>2111</v>
      </c>
      <c r="CL150" s="5">
        <v>2112</v>
      </c>
      <c r="CM150" s="5">
        <v>2113</v>
      </c>
      <c r="CN150" s="5">
        <v>2114</v>
      </c>
      <c r="CO150" s="5">
        <v>2115</v>
      </c>
      <c r="CP150" s="5">
        <v>2116</v>
      </c>
      <c r="CQ150" s="5">
        <v>2117</v>
      </c>
      <c r="CR150" s="5">
        <v>2118</v>
      </c>
      <c r="CS150" s="5">
        <v>2119</v>
      </c>
      <c r="CT150" s="5">
        <v>2120</v>
      </c>
      <c r="CU150" s="5">
        <v>2121</v>
      </c>
      <c r="CV150" s="5">
        <v>2122</v>
      </c>
      <c r="CW150" s="5">
        <v>2123</v>
      </c>
      <c r="CX150" s="5">
        <v>2124</v>
      </c>
      <c r="CY150" s="5">
        <v>2125</v>
      </c>
      <c r="CZ150" s="5">
        <v>2126</v>
      </c>
      <c r="DA150" s="5">
        <v>2127</v>
      </c>
    </row>
    <row r="151" spans="3:110" x14ac:dyDescent="0.4">
      <c r="D151" t="s">
        <v>207</v>
      </c>
      <c r="N151" s="8">
        <f>IF(N$13&lt;=$B$3,N152/$B$3,0)</f>
        <v>23877.782458996335</v>
      </c>
      <c r="O151" s="8">
        <f>IF(O149&lt;=$B$3,N151,0)</f>
        <v>23877.782458996335</v>
      </c>
      <c r="P151" s="8">
        <f t="shared" ref="P151:CA151" si="168">IF(P149&lt;=$B$3,O151,0)</f>
        <v>23877.782458996335</v>
      </c>
      <c r="Q151" s="8">
        <f t="shared" si="168"/>
        <v>23877.782458996335</v>
      </c>
      <c r="R151" s="8">
        <f t="shared" si="168"/>
        <v>23877.782458996335</v>
      </c>
      <c r="S151" s="8">
        <f t="shared" si="168"/>
        <v>23877.782458996335</v>
      </c>
      <c r="T151" s="8">
        <f t="shared" si="168"/>
        <v>23877.782458996335</v>
      </c>
      <c r="U151" s="8">
        <f t="shared" si="168"/>
        <v>23877.782458996335</v>
      </c>
      <c r="V151" s="8">
        <f t="shared" si="168"/>
        <v>23877.782458996335</v>
      </c>
      <c r="W151" s="8">
        <f t="shared" si="168"/>
        <v>23877.782458996335</v>
      </c>
      <c r="X151" s="8">
        <f t="shared" si="168"/>
        <v>23877.782458996335</v>
      </c>
      <c r="Y151" s="8">
        <f t="shared" si="168"/>
        <v>23877.782458996335</v>
      </c>
      <c r="Z151" s="8">
        <f t="shared" si="168"/>
        <v>23877.782458996335</v>
      </c>
      <c r="AA151" s="8">
        <f t="shared" si="168"/>
        <v>23877.782458996335</v>
      </c>
      <c r="AB151" s="8">
        <f t="shared" si="168"/>
        <v>23877.782458996335</v>
      </c>
      <c r="AC151" s="8">
        <f t="shared" si="168"/>
        <v>23877.782458996335</v>
      </c>
      <c r="AD151" s="8">
        <f t="shared" si="168"/>
        <v>23877.782458996335</v>
      </c>
      <c r="AE151" s="8">
        <f t="shared" si="168"/>
        <v>23877.782458996335</v>
      </c>
      <c r="AF151" s="8">
        <f t="shared" si="168"/>
        <v>23877.782458996335</v>
      </c>
      <c r="AG151" s="8">
        <f t="shared" si="168"/>
        <v>23877.782458996335</v>
      </c>
      <c r="AH151" s="8">
        <f t="shared" si="168"/>
        <v>23877.782458996335</v>
      </c>
      <c r="AI151" s="8">
        <f t="shared" si="168"/>
        <v>23877.782458996335</v>
      </c>
      <c r="AJ151" s="8">
        <f t="shared" si="168"/>
        <v>23877.782458996335</v>
      </c>
      <c r="AK151" s="8">
        <f t="shared" si="168"/>
        <v>23877.782458996335</v>
      </c>
      <c r="AL151" s="8">
        <f t="shared" si="168"/>
        <v>23877.782458996335</v>
      </c>
      <c r="AM151" s="8">
        <f t="shared" si="168"/>
        <v>23877.782458996335</v>
      </c>
      <c r="AN151" s="8">
        <f t="shared" si="168"/>
        <v>23877.782458996335</v>
      </c>
      <c r="AO151" s="8">
        <f t="shared" si="168"/>
        <v>23877.782458996335</v>
      </c>
      <c r="AP151" s="8">
        <f t="shared" si="168"/>
        <v>23877.782458996335</v>
      </c>
      <c r="AQ151" s="8">
        <f t="shared" si="168"/>
        <v>23877.782458996335</v>
      </c>
      <c r="AR151" s="8">
        <f t="shared" si="168"/>
        <v>23877.782458996335</v>
      </c>
      <c r="AS151" s="8">
        <f t="shared" si="168"/>
        <v>23877.782458996335</v>
      </c>
      <c r="AT151" s="8">
        <f t="shared" si="168"/>
        <v>23877.782458996335</v>
      </c>
      <c r="AU151" s="8">
        <f t="shared" si="168"/>
        <v>23877.782458996335</v>
      </c>
      <c r="AV151" s="8">
        <f t="shared" si="168"/>
        <v>23877.782458996335</v>
      </c>
      <c r="AW151" s="8">
        <f t="shared" si="168"/>
        <v>23877.782458996335</v>
      </c>
      <c r="AX151" s="8">
        <f t="shared" si="168"/>
        <v>23877.782458996335</v>
      </c>
      <c r="AY151" s="8">
        <f t="shared" si="168"/>
        <v>23877.782458996335</v>
      </c>
      <c r="AZ151" s="8">
        <f t="shared" si="168"/>
        <v>23877.782458996335</v>
      </c>
      <c r="BA151" s="8">
        <f t="shared" si="168"/>
        <v>23877.782458996335</v>
      </c>
      <c r="BB151" s="8">
        <f t="shared" si="168"/>
        <v>23877.782458996335</v>
      </c>
      <c r="BC151" s="8">
        <f t="shared" si="168"/>
        <v>23877.782458996335</v>
      </c>
      <c r="BD151" s="8">
        <f t="shared" si="168"/>
        <v>23877.782458996335</v>
      </c>
      <c r="BE151" s="8">
        <f t="shared" si="168"/>
        <v>23877.782458996335</v>
      </c>
      <c r="BF151" s="8">
        <f t="shared" si="168"/>
        <v>23877.782458996335</v>
      </c>
      <c r="BG151" s="8">
        <f t="shared" si="168"/>
        <v>23877.782458996335</v>
      </c>
      <c r="BH151" s="8">
        <f t="shared" si="168"/>
        <v>23877.782458996335</v>
      </c>
      <c r="BI151" s="8">
        <f t="shared" si="168"/>
        <v>23877.782458996335</v>
      </c>
      <c r="BJ151" s="8">
        <f t="shared" si="168"/>
        <v>23877.782458996335</v>
      </c>
      <c r="BK151" s="8">
        <f t="shared" si="168"/>
        <v>23877.782458996335</v>
      </c>
      <c r="BL151" s="8">
        <f t="shared" si="168"/>
        <v>0</v>
      </c>
      <c r="BM151" s="8">
        <f t="shared" si="168"/>
        <v>0</v>
      </c>
      <c r="BN151" s="8">
        <f t="shared" si="168"/>
        <v>0</v>
      </c>
      <c r="BO151" s="8">
        <f t="shared" si="168"/>
        <v>0</v>
      </c>
      <c r="BP151" s="8">
        <f t="shared" si="168"/>
        <v>0</v>
      </c>
      <c r="BQ151" s="8">
        <f t="shared" si="168"/>
        <v>0</v>
      </c>
      <c r="BR151" s="8">
        <f t="shared" si="168"/>
        <v>0</v>
      </c>
      <c r="BS151" s="8">
        <f t="shared" si="168"/>
        <v>0</v>
      </c>
      <c r="BT151" s="8">
        <f t="shared" si="168"/>
        <v>0</v>
      </c>
      <c r="BU151" s="8">
        <f t="shared" si="168"/>
        <v>0</v>
      </c>
      <c r="BV151" s="8">
        <f t="shared" si="168"/>
        <v>0</v>
      </c>
      <c r="BW151" s="8">
        <f t="shared" si="168"/>
        <v>0</v>
      </c>
      <c r="BX151" s="8">
        <f t="shared" si="168"/>
        <v>0</v>
      </c>
      <c r="BY151" s="8">
        <f t="shared" si="168"/>
        <v>0</v>
      </c>
      <c r="BZ151" s="8">
        <f t="shared" si="168"/>
        <v>0</v>
      </c>
      <c r="CA151" s="8">
        <f t="shared" si="168"/>
        <v>0</v>
      </c>
      <c r="CB151" s="8">
        <f t="shared" ref="CB151:DA151" si="169">IF(CB149&lt;=$B$3,CA151,0)</f>
        <v>0</v>
      </c>
      <c r="CC151" s="8">
        <f t="shared" si="169"/>
        <v>0</v>
      </c>
      <c r="CD151" s="8">
        <f t="shared" si="169"/>
        <v>0</v>
      </c>
      <c r="CE151" s="8">
        <f t="shared" si="169"/>
        <v>0</v>
      </c>
      <c r="CF151" s="8">
        <f t="shared" si="169"/>
        <v>0</v>
      </c>
      <c r="CG151" s="8">
        <f t="shared" si="169"/>
        <v>0</v>
      </c>
      <c r="CH151" s="8">
        <f t="shared" si="169"/>
        <v>0</v>
      </c>
      <c r="CI151" s="8">
        <f t="shared" si="169"/>
        <v>0</v>
      </c>
      <c r="CJ151" s="8">
        <f t="shared" si="169"/>
        <v>0</v>
      </c>
      <c r="CK151" s="8">
        <f t="shared" si="169"/>
        <v>0</v>
      </c>
      <c r="CL151" s="8">
        <f t="shared" si="169"/>
        <v>0</v>
      </c>
      <c r="CM151" s="8">
        <f t="shared" si="169"/>
        <v>0</v>
      </c>
      <c r="CN151" s="8">
        <f t="shared" si="169"/>
        <v>0</v>
      </c>
      <c r="CO151" s="8">
        <f t="shared" si="169"/>
        <v>0</v>
      </c>
      <c r="CP151" s="8">
        <f t="shared" si="169"/>
        <v>0</v>
      </c>
      <c r="CQ151" s="8">
        <f t="shared" si="169"/>
        <v>0</v>
      </c>
      <c r="CR151" s="8">
        <f t="shared" si="169"/>
        <v>0</v>
      </c>
      <c r="CS151" s="8">
        <f t="shared" si="169"/>
        <v>0</v>
      </c>
      <c r="CT151" s="8">
        <f t="shared" si="169"/>
        <v>0</v>
      </c>
      <c r="CU151" s="8">
        <f t="shared" si="169"/>
        <v>0</v>
      </c>
      <c r="CV151" s="8">
        <f t="shared" si="169"/>
        <v>0</v>
      </c>
      <c r="CW151" s="8">
        <f t="shared" si="169"/>
        <v>0</v>
      </c>
      <c r="CX151" s="8">
        <f t="shared" si="169"/>
        <v>0</v>
      </c>
      <c r="CY151" s="8">
        <f t="shared" si="169"/>
        <v>0</v>
      </c>
      <c r="CZ151" s="8">
        <f t="shared" si="169"/>
        <v>0</v>
      </c>
      <c r="DA151" s="8">
        <f t="shared" si="169"/>
        <v>0</v>
      </c>
      <c r="DB151" s="8"/>
      <c r="DC151" s="8"/>
      <c r="DD151" s="8"/>
      <c r="DE151" s="8"/>
      <c r="DF151" s="8"/>
    </row>
    <row r="152" spans="3:110" x14ac:dyDescent="0.4">
      <c r="D152" t="s">
        <v>154</v>
      </c>
      <c r="M152" s="8">
        <f>HLOOKUP(N150,$F$3:$O$10,7,0)</f>
        <v>1193889.1229498168</v>
      </c>
      <c r="N152" s="8">
        <f t="shared" ref="N152:BY152" si="170">IF(ROUND(M153,4)=-ROUND(M152,4),0,M152)</f>
        <v>1193889.1229498168</v>
      </c>
      <c r="O152" s="8">
        <f t="shared" si="170"/>
        <v>1193889.1229498168</v>
      </c>
      <c r="P152" s="8">
        <f t="shared" si="170"/>
        <v>1193889.1229498168</v>
      </c>
      <c r="Q152" s="8">
        <f t="shared" si="170"/>
        <v>1193889.1229498168</v>
      </c>
      <c r="R152" s="8">
        <f t="shared" si="170"/>
        <v>1193889.1229498168</v>
      </c>
      <c r="S152" s="8">
        <f t="shared" si="170"/>
        <v>1193889.1229498168</v>
      </c>
      <c r="T152" s="8">
        <f t="shared" si="170"/>
        <v>1193889.1229498168</v>
      </c>
      <c r="U152" s="8">
        <f t="shared" si="170"/>
        <v>1193889.1229498168</v>
      </c>
      <c r="V152" s="8">
        <f t="shared" si="170"/>
        <v>1193889.1229498168</v>
      </c>
      <c r="W152" s="8">
        <f t="shared" si="170"/>
        <v>1193889.1229498168</v>
      </c>
      <c r="X152" s="8">
        <f t="shared" si="170"/>
        <v>1193889.1229498168</v>
      </c>
      <c r="Y152" s="8">
        <f t="shared" si="170"/>
        <v>1193889.1229498168</v>
      </c>
      <c r="Z152" s="8">
        <f t="shared" si="170"/>
        <v>1193889.1229498168</v>
      </c>
      <c r="AA152" s="8">
        <f t="shared" si="170"/>
        <v>1193889.1229498168</v>
      </c>
      <c r="AB152" s="8">
        <f t="shared" si="170"/>
        <v>1193889.1229498168</v>
      </c>
      <c r="AC152" s="8">
        <f t="shared" si="170"/>
        <v>1193889.1229498168</v>
      </c>
      <c r="AD152" s="8">
        <f t="shared" si="170"/>
        <v>1193889.1229498168</v>
      </c>
      <c r="AE152" s="8">
        <f t="shared" si="170"/>
        <v>1193889.1229498168</v>
      </c>
      <c r="AF152" s="8">
        <f t="shared" si="170"/>
        <v>1193889.1229498168</v>
      </c>
      <c r="AG152" s="8">
        <f t="shared" si="170"/>
        <v>1193889.1229498168</v>
      </c>
      <c r="AH152" s="8">
        <f t="shared" si="170"/>
        <v>1193889.1229498168</v>
      </c>
      <c r="AI152" s="8">
        <f t="shared" si="170"/>
        <v>1193889.1229498168</v>
      </c>
      <c r="AJ152" s="8">
        <f t="shared" si="170"/>
        <v>1193889.1229498168</v>
      </c>
      <c r="AK152" s="8">
        <f t="shared" si="170"/>
        <v>1193889.1229498168</v>
      </c>
      <c r="AL152" s="8">
        <f t="shared" si="170"/>
        <v>1193889.1229498168</v>
      </c>
      <c r="AM152" s="8">
        <f t="shared" si="170"/>
        <v>1193889.1229498168</v>
      </c>
      <c r="AN152" s="8">
        <f t="shared" si="170"/>
        <v>1193889.1229498168</v>
      </c>
      <c r="AO152" s="8">
        <f t="shared" si="170"/>
        <v>1193889.1229498168</v>
      </c>
      <c r="AP152" s="8">
        <f t="shared" si="170"/>
        <v>1193889.1229498168</v>
      </c>
      <c r="AQ152" s="8">
        <f t="shared" si="170"/>
        <v>1193889.1229498168</v>
      </c>
      <c r="AR152" s="8">
        <f t="shared" si="170"/>
        <v>1193889.1229498168</v>
      </c>
      <c r="AS152" s="8">
        <f t="shared" si="170"/>
        <v>1193889.1229498168</v>
      </c>
      <c r="AT152" s="8">
        <f t="shared" si="170"/>
        <v>1193889.1229498168</v>
      </c>
      <c r="AU152" s="8">
        <f t="shared" si="170"/>
        <v>1193889.1229498168</v>
      </c>
      <c r="AV152" s="8">
        <f t="shared" si="170"/>
        <v>1193889.1229498168</v>
      </c>
      <c r="AW152" s="8">
        <f t="shared" si="170"/>
        <v>1193889.1229498168</v>
      </c>
      <c r="AX152" s="8">
        <f t="shared" si="170"/>
        <v>1193889.1229498168</v>
      </c>
      <c r="AY152" s="8">
        <f t="shared" si="170"/>
        <v>1193889.1229498168</v>
      </c>
      <c r="AZ152" s="8">
        <f t="shared" si="170"/>
        <v>1193889.1229498168</v>
      </c>
      <c r="BA152" s="8">
        <f t="shared" si="170"/>
        <v>1193889.1229498168</v>
      </c>
      <c r="BB152" s="8">
        <f t="shared" si="170"/>
        <v>1193889.1229498168</v>
      </c>
      <c r="BC152" s="8">
        <f t="shared" si="170"/>
        <v>1193889.1229498168</v>
      </c>
      <c r="BD152" s="8">
        <f t="shared" si="170"/>
        <v>1193889.1229498168</v>
      </c>
      <c r="BE152" s="8">
        <f t="shared" si="170"/>
        <v>1193889.1229498168</v>
      </c>
      <c r="BF152" s="8">
        <f t="shared" si="170"/>
        <v>1193889.1229498168</v>
      </c>
      <c r="BG152" s="8">
        <f t="shared" si="170"/>
        <v>1193889.1229498168</v>
      </c>
      <c r="BH152" s="8">
        <f t="shared" si="170"/>
        <v>1193889.1229498168</v>
      </c>
      <c r="BI152" s="8">
        <f t="shared" si="170"/>
        <v>1193889.1229498168</v>
      </c>
      <c r="BJ152" s="8">
        <f t="shared" si="170"/>
        <v>1193889.1229498168</v>
      </c>
      <c r="BK152" s="8">
        <f t="shared" si="170"/>
        <v>1193889.1229498168</v>
      </c>
      <c r="BL152" s="8">
        <f t="shared" si="170"/>
        <v>0</v>
      </c>
      <c r="BM152" s="8">
        <f t="shared" si="170"/>
        <v>0</v>
      </c>
      <c r="BN152" s="8">
        <f t="shared" si="170"/>
        <v>0</v>
      </c>
      <c r="BO152" s="8">
        <f t="shared" si="170"/>
        <v>0</v>
      </c>
      <c r="BP152" s="8">
        <f t="shared" si="170"/>
        <v>0</v>
      </c>
      <c r="BQ152" s="8">
        <f t="shared" si="170"/>
        <v>0</v>
      </c>
      <c r="BR152" s="8">
        <f t="shared" si="170"/>
        <v>0</v>
      </c>
      <c r="BS152" s="8">
        <f t="shared" si="170"/>
        <v>0</v>
      </c>
      <c r="BT152" s="8">
        <f t="shared" si="170"/>
        <v>0</v>
      </c>
      <c r="BU152" s="8">
        <f t="shared" si="170"/>
        <v>0</v>
      </c>
      <c r="BV152" s="8">
        <f t="shared" si="170"/>
        <v>0</v>
      </c>
      <c r="BW152" s="8">
        <f t="shared" si="170"/>
        <v>0</v>
      </c>
      <c r="BX152" s="8">
        <f t="shared" si="170"/>
        <v>0</v>
      </c>
      <c r="BY152" s="8">
        <f t="shared" si="170"/>
        <v>0</v>
      </c>
      <c r="BZ152" s="8">
        <f t="shared" ref="BZ152:DA152" si="171">IF(ROUND(BY153,4)=-ROUND(BY152,4),0,BY152)</f>
        <v>0</v>
      </c>
      <c r="CA152" s="8">
        <f t="shared" si="171"/>
        <v>0</v>
      </c>
      <c r="CB152" s="8">
        <f t="shared" si="171"/>
        <v>0</v>
      </c>
      <c r="CC152" s="8">
        <f t="shared" si="171"/>
        <v>0</v>
      </c>
      <c r="CD152" s="8">
        <f t="shared" si="171"/>
        <v>0</v>
      </c>
      <c r="CE152" s="8">
        <f t="shared" si="171"/>
        <v>0</v>
      </c>
      <c r="CF152" s="8">
        <f t="shared" si="171"/>
        <v>0</v>
      </c>
      <c r="CG152" s="8">
        <f t="shared" si="171"/>
        <v>0</v>
      </c>
      <c r="CH152" s="8">
        <f t="shared" si="171"/>
        <v>0</v>
      </c>
      <c r="CI152" s="8">
        <f t="shared" si="171"/>
        <v>0</v>
      </c>
      <c r="CJ152" s="8">
        <f t="shared" si="171"/>
        <v>0</v>
      </c>
      <c r="CK152" s="8">
        <f t="shared" si="171"/>
        <v>0</v>
      </c>
      <c r="CL152" s="8">
        <f t="shared" si="171"/>
        <v>0</v>
      </c>
      <c r="CM152" s="8">
        <f t="shared" si="171"/>
        <v>0</v>
      </c>
      <c r="CN152" s="8">
        <f t="shared" si="171"/>
        <v>0</v>
      </c>
      <c r="CO152" s="8">
        <f t="shared" si="171"/>
        <v>0</v>
      </c>
      <c r="CP152" s="8">
        <f t="shared" si="171"/>
        <v>0</v>
      </c>
      <c r="CQ152" s="8">
        <f t="shared" si="171"/>
        <v>0</v>
      </c>
      <c r="CR152" s="8">
        <f t="shared" si="171"/>
        <v>0</v>
      </c>
      <c r="CS152" s="8">
        <f t="shared" si="171"/>
        <v>0</v>
      </c>
      <c r="CT152" s="8">
        <f t="shared" si="171"/>
        <v>0</v>
      </c>
      <c r="CU152" s="8">
        <f t="shared" si="171"/>
        <v>0</v>
      </c>
      <c r="CV152" s="8">
        <f t="shared" si="171"/>
        <v>0</v>
      </c>
      <c r="CW152" s="8">
        <f t="shared" si="171"/>
        <v>0</v>
      </c>
      <c r="CX152" s="8">
        <f t="shared" si="171"/>
        <v>0</v>
      </c>
      <c r="CY152" s="8">
        <f t="shared" si="171"/>
        <v>0</v>
      </c>
      <c r="CZ152" s="8">
        <f t="shared" si="171"/>
        <v>0</v>
      </c>
      <c r="DA152" s="8">
        <f t="shared" si="171"/>
        <v>0</v>
      </c>
      <c r="DB152" s="8"/>
      <c r="DC152" s="8"/>
      <c r="DD152" s="8"/>
      <c r="DE152" s="8"/>
      <c r="DF152" s="8"/>
    </row>
    <row r="153" spans="3:110" x14ac:dyDescent="0.4">
      <c r="D153" t="s">
        <v>208</v>
      </c>
      <c r="M153" s="8"/>
      <c r="N153" s="8">
        <f>IF(N149&lt;=$B$3,-SUM($E151:N151),0)</f>
        <v>-23877.782458996335</v>
      </c>
      <c r="O153" s="8">
        <f>IF(O149&lt;=$B$3,-SUM($E151:O151),0)</f>
        <v>-47755.56491799267</v>
      </c>
      <c r="P153" s="8">
        <f>IF(P149&lt;=$B$3,-SUM($E151:P151),0)</f>
        <v>-71633.347376988997</v>
      </c>
      <c r="Q153" s="8">
        <f>IF(Q149&lt;=$B$3,-SUM($E151:Q151),0)</f>
        <v>-95511.129835985339</v>
      </c>
      <c r="R153" s="8">
        <f>IF(R149&lt;=$B$3,-SUM($E151:R151),0)</f>
        <v>-119388.91229498168</v>
      </c>
      <c r="S153" s="8">
        <f>IF(S149&lt;=$B$3,-SUM($E151:S151),0)</f>
        <v>-143266.69475397802</v>
      </c>
      <c r="T153" s="8">
        <f>IF(T149&lt;=$B$3,-SUM($E151:T151),0)</f>
        <v>-167144.47721297437</v>
      </c>
      <c r="U153" s="8">
        <f>IF(U149&lt;=$B$3,-SUM($E151:U151),0)</f>
        <v>-191022.25967197071</v>
      </c>
      <c r="V153" s="8">
        <f>IF(V149&lt;=$B$3,-SUM($E151:V151),0)</f>
        <v>-214900.04213096705</v>
      </c>
      <c r="W153" s="8">
        <f>IF(W149&lt;=$B$3,-SUM($E151:W151),0)</f>
        <v>-238777.82458996339</v>
      </c>
      <c r="X153" s="8">
        <f>IF(X149&lt;=$B$3,-SUM($E151:X151),0)</f>
        <v>-262655.6070489597</v>
      </c>
      <c r="Y153" s="8">
        <f>IF(Y149&lt;=$B$3,-SUM($E151:Y151),0)</f>
        <v>-286533.38950795605</v>
      </c>
      <c r="Z153" s="8">
        <f>IF(Z149&lt;=$B$3,-SUM($E151:Z151),0)</f>
        <v>-310411.17196695239</v>
      </c>
      <c r="AA153" s="8">
        <f>IF(AA149&lt;=$B$3,-SUM($E151:AA151),0)</f>
        <v>-334288.95442594873</v>
      </c>
      <c r="AB153" s="8">
        <f>IF(AB149&lt;=$B$3,-SUM($E151:AB151),0)</f>
        <v>-358166.73688494507</v>
      </c>
      <c r="AC153" s="8">
        <f>IF(AC149&lt;=$B$3,-SUM($E151:AC151),0)</f>
        <v>-382044.51934394141</v>
      </c>
      <c r="AD153" s="8">
        <f>IF(AD149&lt;=$B$3,-SUM($E151:AD151),0)</f>
        <v>-405922.30180293776</v>
      </c>
      <c r="AE153" s="8">
        <f>IF(AE149&lt;=$B$3,-SUM($E151:AE151),0)</f>
        <v>-429800.0842619341</v>
      </c>
      <c r="AF153" s="8">
        <f>IF(AF149&lt;=$B$3,-SUM($E151:AF151),0)</f>
        <v>-453677.86672093044</v>
      </c>
      <c r="AG153" s="8">
        <f>IF(AG149&lt;=$B$3,-SUM($E151:AG151),0)</f>
        <v>-477555.64917992678</v>
      </c>
      <c r="AH153" s="8">
        <f>IF(AH149&lt;=$B$3,-SUM($E151:AH151),0)</f>
        <v>-501433.43163892312</v>
      </c>
      <c r="AI153" s="8">
        <f>IF(AI149&lt;=$B$3,-SUM($E151:AI151),0)</f>
        <v>-525311.21409791941</v>
      </c>
      <c r="AJ153" s="8">
        <f>IF(AJ149&lt;=$B$3,-SUM($E151:AJ151),0)</f>
        <v>-549188.99655691569</v>
      </c>
      <c r="AK153" s="8">
        <f>IF(AK149&lt;=$B$3,-SUM($E151:AK151),0)</f>
        <v>-573066.77901591198</v>
      </c>
      <c r="AL153" s="8">
        <f>IF(AL149&lt;=$B$3,-SUM($E151:AL151),0)</f>
        <v>-596944.56147490826</v>
      </c>
      <c r="AM153" s="8">
        <f>IF(AM149&lt;=$B$3,-SUM($E151:AM151),0)</f>
        <v>-620822.34393390454</v>
      </c>
      <c r="AN153" s="8">
        <f>IF(AN149&lt;=$B$3,-SUM($E151:AN151),0)</f>
        <v>-644700.12639290083</v>
      </c>
      <c r="AO153" s="8">
        <f>IF(AO149&lt;=$B$3,-SUM($E151:AO151),0)</f>
        <v>-668577.90885189711</v>
      </c>
      <c r="AP153" s="8">
        <f>IF(AP149&lt;=$B$3,-SUM($E151:AP151),0)</f>
        <v>-692455.69131089339</v>
      </c>
      <c r="AQ153" s="8">
        <f>IF(AQ149&lt;=$B$3,-SUM($E151:AQ151),0)</f>
        <v>-716333.47376988968</v>
      </c>
      <c r="AR153" s="8">
        <f>IF(AR149&lt;=$B$3,-SUM($E151:AR151),0)</f>
        <v>-740211.25622888596</v>
      </c>
      <c r="AS153" s="8">
        <f>IF(AS149&lt;=$B$3,-SUM($E151:AS151),0)</f>
        <v>-764089.03868788225</v>
      </c>
      <c r="AT153" s="8">
        <f>IF(AT149&lt;=$B$3,-SUM($E151:AT151),0)</f>
        <v>-787966.82114687853</v>
      </c>
      <c r="AU153" s="8">
        <f>IF(AU149&lt;=$B$3,-SUM($E151:AU151),0)</f>
        <v>-811844.60360587481</v>
      </c>
      <c r="AV153" s="8">
        <f>IF(AV149&lt;=$B$3,-SUM($E151:AV151),0)</f>
        <v>-835722.3860648711</v>
      </c>
      <c r="AW153" s="8">
        <f>IF(AW149&lt;=$B$3,-SUM($E151:AW151),0)</f>
        <v>-859600.16852386738</v>
      </c>
      <c r="AX153" s="8">
        <f>IF(AX149&lt;=$B$3,-SUM($E151:AX151),0)</f>
        <v>-883477.95098286367</v>
      </c>
      <c r="AY153" s="8">
        <f>IF(AY149&lt;=$B$3,-SUM($E151:AY151),0)</f>
        <v>-907355.73344185995</v>
      </c>
      <c r="AZ153" s="8">
        <f>IF(AZ149&lt;=$B$3,-SUM($E151:AZ151),0)</f>
        <v>-931233.51590085623</v>
      </c>
      <c r="BA153" s="8">
        <f>IF(BA149&lt;=$B$3,-SUM($E151:BA151),0)</f>
        <v>-955111.29835985252</v>
      </c>
      <c r="BB153" s="8">
        <f>IF(BB149&lt;=$B$3,-SUM($E151:BB151),0)</f>
        <v>-978989.0808188488</v>
      </c>
      <c r="BC153" s="8">
        <f>IF(BC149&lt;=$B$3,-SUM($E151:BC151),0)</f>
        <v>-1002866.8632778451</v>
      </c>
      <c r="BD153" s="8">
        <f>IF(BD149&lt;=$B$3,-SUM($E151:BD151),0)</f>
        <v>-1026744.6457368414</v>
      </c>
      <c r="BE153" s="8">
        <f>IF(BE149&lt;=$B$3,-SUM($E151:BE151),0)</f>
        <v>-1050622.4281958377</v>
      </c>
      <c r="BF153" s="8">
        <f>IF(BF149&lt;=$B$3,-SUM($E151:BF151),0)</f>
        <v>-1074500.2106548341</v>
      </c>
      <c r="BG153" s="8">
        <f>IF(BG149&lt;=$B$3,-SUM($E151:BG151),0)</f>
        <v>-1098377.9931138305</v>
      </c>
      <c r="BH153" s="8">
        <f>IF(BH149&lt;=$B$3,-SUM($E151:BH151),0)</f>
        <v>-1122255.7755728269</v>
      </c>
      <c r="BI153" s="8">
        <f>IF(BI149&lt;=$B$3,-SUM($E151:BI151),0)</f>
        <v>-1146133.5580318233</v>
      </c>
      <c r="BJ153" s="8">
        <f>IF(BJ149&lt;=$B$3,-SUM($E151:BJ151),0)</f>
        <v>-1170011.3404908197</v>
      </c>
      <c r="BK153" s="8">
        <f>IF(BK149&lt;=$B$3,-SUM($E151:BK151),0)</f>
        <v>-1193889.1229498161</v>
      </c>
      <c r="BL153" s="8">
        <f>IF(BL149&lt;=$B$3,-SUM($E151:BL151),0)</f>
        <v>0</v>
      </c>
      <c r="BM153" s="8">
        <f>IF(BM149&lt;=$B$3,-SUM($E151:BM151),0)</f>
        <v>0</v>
      </c>
      <c r="BN153" s="8">
        <f>IF(BN149&lt;=$B$3,-SUM($E151:BN151),0)</f>
        <v>0</v>
      </c>
      <c r="BO153" s="8">
        <f>IF(BO149&lt;=$B$3,-SUM($E151:BO151),0)</f>
        <v>0</v>
      </c>
      <c r="BP153" s="8">
        <f>IF(BP149&lt;=$B$3,-SUM($E151:BP151),0)</f>
        <v>0</v>
      </c>
      <c r="BQ153" s="8">
        <f>IF(BQ149&lt;=$B$3,-SUM($E151:BQ151),0)</f>
        <v>0</v>
      </c>
      <c r="BR153" s="8">
        <f>IF(BR149&lt;=$B$3,-SUM($E151:BR151),0)</f>
        <v>0</v>
      </c>
      <c r="BS153" s="8">
        <f>IF(BS149&lt;=$B$3,-SUM($E151:BS151),0)</f>
        <v>0</v>
      </c>
      <c r="BT153" s="8">
        <f>IF(BT149&lt;=$B$3,-SUM($E151:BT151),0)</f>
        <v>0</v>
      </c>
      <c r="BU153" s="8">
        <f>IF(BU149&lt;=$B$3,-SUM($E151:BU151),0)</f>
        <v>0</v>
      </c>
      <c r="BV153" s="8">
        <f>IF(BV149&lt;=$B$3,-SUM($E151:BV151),0)</f>
        <v>0</v>
      </c>
      <c r="BW153" s="8">
        <f>IF(BW149&lt;=$B$3,-SUM($E151:BW151),0)</f>
        <v>0</v>
      </c>
      <c r="BX153" s="8">
        <f>IF(BX149&lt;=$B$3,-SUM($E151:BX151),0)</f>
        <v>0</v>
      </c>
      <c r="BY153" s="8">
        <f>IF(BY149&lt;=$B$3,-SUM($E151:BY151),0)</f>
        <v>0</v>
      </c>
      <c r="BZ153" s="8">
        <f>IF(BZ149&lt;=$B$3,-SUM($E151:BZ151),0)</f>
        <v>0</v>
      </c>
      <c r="CA153" s="8">
        <f>IF(CA149&lt;=$B$3,-SUM($E151:CA151),0)</f>
        <v>0</v>
      </c>
      <c r="CB153" s="8">
        <f>IF(CB149&lt;=$B$3,-SUM($E151:CB151),0)</f>
        <v>0</v>
      </c>
      <c r="CC153" s="8">
        <f>IF(CC149&lt;=$B$3,-SUM($E151:CC151),0)</f>
        <v>0</v>
      </c>
      <c r="CD153" s="8">
        <f>IF(CD149&lt;=$B$3,-SUM($E151:CD151),0)</f>
        <v>0</v>
      </c>
      <c r="CE153" s="8">
        <f>IF(CE149&lt;=$B$3,-SUM($E151:CE151),0)</f>
        <v>0</v>
      </c>
      <c r="CF153" s="8">
        <f>IF(CF149&lt;=$B$3,-SUM($E151:CF151),0)</f>
        <v>0</v>
      </c>
      <c r="CG153" s="8">
        <f>IF(CG149&lt;=$B$3,-SUM($E151:CG151),0)</f>
        <v>0</v>
      </c>
      <c r="CH153" s="8">
        <f>IF(CH149&lt;=$B$3,-SUM($E151:CH151),0)</f>
        <v>0</v>
      </c>
      <c r="CI153" s="8">
        <f>IF(CI149&lt;=$B$3,-SUM($E151:CI151),0)</f>
        <v>0</v>
      </c>
      <c r="CJ153" s="8">
        <f>IF(CJ149&lt;=$B$3,-SUM($E151:CJ151),0)</f>
        <v>0</v>
      </c>
      <c r="CK153" s="8">
        <f>IF(CK149&lt;=$B$3,-SUM($E151:CK151),0)</f>
        <v>0</v>
      </c>
      <c r="CL153" s="8">
        <f>IF(CL149&lt;=$B$3,-SUM($E151:CL151),0)</f>
        <v>0</v>
      </c>
      <c r="CM153" s="8">
        <f>IF(CM149&lt;=$B$3,-SUM($E151:CM151),0)</f>
        <v>0</v>
      </c>
      <c r="CN153" s="8">
        <f>IF(CN149&lt;=$B$3,-SUM($E151:CN151),0)</f>
        <v>0</v>
      </c>
      <c r="CO153" s="8">
        <f>IF(CO149&lt;=$B$3,-SUM($E151:CO151),0)</f>
        <v>0</v>
      </c>
      <c r="CP153" s="8">
        <f>IF(CP149&lt;=$B$3,-SUM($E151:CP151),0)</f>
        <v>0</v>
      </c>
      <c r="CQ153" s="8">
        <f>IF(CQ149&lt;=$B$3,-SUM($E151:CQ151),0)</f>
        <v>0</v>
      </c>
      <c r="CR153" s="8">
        <f>IF(CR149&lt;=$B$3,-SUM($E151:CR151),0)</f>
        <v>0</v>
      </c>
      <c r="CS153" s="8">
        <f>IF(CS149&lt;=$B$3,-SUM($E151:CS151),0)</f>
        <v>0</v>
      </c>
      <c r="CT153" s="8">
        <f>IF(CT149&lt;=$B$3,-SUM($E151:CT151),0)</f>
        <v>0</v>
      </c>
      <c r="CU153" s="8">
        <f>IF(CU149&lt;=$B$3,-SUM($E151:CU151),0)</f>
        <v>0</v>
      </c>
      <c r="CV153" s="8">
        <f>IF(CV149&lt;=$B$3,-SUM($E151:CV151),0)</f>
        <v>0</v>
      </c>
      <c r="CW153" s="8">
        <f>IF(CW149&lt;=$B$3,-SUM($E151:CW151),0)</f>
        <v>0</v>
      </c>
      <c r="CX153" s="8">
        <f>IF(CX149&lt;=$B$3,-SUM($E151:CX151),0)</f>
        <v>0</v>
      </c>
      <c r="CY153" s="8">
        <f>IF(CY149&lt;=$B$3,-SUM($E151:CY151),0)</f>
        <v>0</v>
      </c>
      <c r="CZ153" s="8">
        <f>IF(CZ149&lt;=$B$3,-SUM($E151:CZ151),0)</f>
        <v>0</v>
      </c>
      <c r="DA153" s="8">
        <f>IF(DA149&lt;=$B$3,-SUM($E151:DA151),0)</f>
        <v>0</v>
      </c>
      <c r="DB153" s="8"/>
      <c r="DC153" s="8"/>
      <c r="DD153" s="8"/>
      <c r="DE153" s="8"/>
      <c r="DF153" s="8"/>
    </row>
    <row r="154" spans="3:110" x14ac:dyDescent="0.4">
      <c r="D154" t="s">
        <v>167</v>
      </c>
      <c r="M154" s="8"/>
      <c r="N154" s="8">
        <f>M155</f>
        <v>1193889.1229498168</v>
      </c>
      <c r="O154" s="8">
        <f t="shared" ref="O154:BZ154" si="172">N155</f>
        <v>1170011.3404908204</v>
      </c>
      <c r="P154" s="8">
        <f t="shared" si="172"/>
        <v>1146133.5580318242</v>
      </c>
      <c r="Q154" s="8">
        <f t="shared" si="172"/>
        <v>1122255.7755728278</v>
      </c>
      <c r="R154" s="8">
        <f t="shared" si="172"/>
        <v>1098377.9931138314</v>
      </c>
      <c r="S154" s="8">
        <f t="shared" si="172"/>
        <v>1074500.210654835</v>
      </c>
      <c r="T154" s="8">
        <f t="shared" si="172"/>
        <v>1050622.4281958388</v>
      </c>
      <c r="U154" s="8">
        <f t="shared" si="172"/>
        <v>1026744.6457368424</v>
      </c>
      <c r="V154" s="8">
        <f t="shared" si="172"/>
        <v>1002866.863277846</v>
      </c>
      <c r="W154" s="8">
        <f t="shared" si="172"/>
        <v>978989.08081884973</v>
      </c>
      <c r="X154" s="8">
        <f t="shared" si="172"/>
        <v>955111.29835985333</v>
      </c>
      <c r="Y154" s="8">
        <f t="shared" si="172"/>
        <v>931233.51590085705</v>
      </c>
      <c r="Z154" s="8">
        <f t="shared" si="172"/>
        <v>907355.73344186065</v>
      </c>
      <c r="AA154" s="8">
        <f t="shared" si="172"/>
        <v>883477.95098286436</v>
      </c>
      <c r="AB154" s="8">
        <f t="shared" si="172"/>
        <v>859600.16852386808</v>
      </c>
      <c r="AC154" s="8">
        <f t="shared" si="172"/>
        <v>835722.38606487168</v>
      </c>
      <c r="AD154" s="8">
        <f t="shared" si="172"/>
        <v>811844.60360587528</v>
      </c>
      <c r="AE154" s="8">
        <f t="shared" si="172"/>
        <v>787966.821146879</v>
      </c>
      <c r="AF154" s="8">
        <f t="shared" si="172"/>
        <v>764089.03868788271</v>
      </c>
      <c r="AG154" s="8">
        <f t="shared" si="172"/>
        <v>740211.25622888631</v>
      </c>
      <c r="AH154" s="8">
        <f t="shared" si="172"/>
        <v>716333.47376988991</v>
      </c>
      <c r="AI154" s="8">
        <f t="shared" si="172"/>
        <v>692455.69131089363</v>
      </c>
      <c r="AJ154" s="8">
        <f t="shared" si="172"/>
        <v>668577.90885189734</v>
      </c>
      <c r="AK154" s="8">
        <f t="shared" si="172"/>
        <v>644700.12639290106</v>
      </c>
      <c r="AL154" s="8">
        <f t="shared" si="172"/>
        <v>620822.34393390478</v>
      </c>
      <c r="AM154" s="8">
        <f t="shared" si="172"/>
        <v>596944.56147490849</v>
      </c>
      <c r="AN154" s="8">
        <f t="shared" si="172"/>
        <v>573066.77901591221</v>
      </c>
      <c r="AO154" s="8">
        <f t="shared" si="172"/>
        <v>549188.99655691592</v>
      </c>
      <c r="AP154" s="8">
        <f t="shared" si="172"/>
        <v>525311.21409791964</v>
      </c>
      <c r="AQ154" s="8">
        <f t="shared" si="172"/>
        <v>501433.43163892336</v>
      </c>
      <c r="AR154" s="8">
        <f t="shared" si="172"/>
        <v>477555.64917992707</v>
      </c>
      <c r="AS154" s="8">
        <f t="shared" si="172"/>
        <v>453677.86672093079</v>
      </c>
      <c r="AT154" s="8">
        <f t="shared" si="172"/>
        <v>429800.08426193451</v>
      </c>
      <c r="AU154" s="8">
        <f t="shared" si="172"/>
        <v>405922.30180293822</v>
      </c>
      <c r="AV154" s="8">
        <f t="shared" si="172"/>
        <v>382044.51934394194</v>
      </c>
      <c r="AW154" s="8">
        <f t="shared" si="172"/>
        <v>358166.73688494565</v>
      </c>
      <c r="AX154" s="8">
        <f t="shared" si="172"/>
        <v>334288.95442594937</v>
      </c>
      <c r="AY154" s="8">
        <f t="shared" si="172"/>
        <v>310411.17196695309</v>
      </c>
      <c r="AZ154" s="8">
        <f t="shared" si="172"/>
        <v>286533.3895079568</v>
      </c>
      <c r="BA154" s="8">
        <f t="shared" si="172"/>
        <v>262655.60704896052</v>
      </c>
      <c r="BB154" s="8">
        <f t="shared" si="172"/>
        <v>238777.82458996424</v>
      </c>
      <c r="BC154" s="8">
        <f t="shared" si="172"/>
        <v>214900.04213096795</v>
      </c>
      <c r="BD154" s="8">
        <f t="shared" si="172"/>
        <v>191022.25967197167</v>
      </c>
      <c r="BE154" s="8">
        <f t="shared" si="172"/>
        <v>167144.47721297538</v>
      </c>
      <c r="BF154" s="8">
        <f t="shared" si="172"/>
        <v>143266.6947539791</v>
      </c>
      <c r="BG154" s="8">
        <f t="shared" si="172"/>
        <v>119388.9122949827</v>
      </c>
      <c r="BH154" s="8">
        <f t="shared" si="172"/>
        <v>95511.129835986299</v>
      </c>
      <c r="BI154" s="8">
        <f t="shared" si="172"/>
        <v>71633.347376989899</v>
      </c>
      <c r="BJ154" s="8">
        <f t="shared" si="172"/>
        <v>47755.564917993499</v>
      </c>
      <c r="BK154" s="8">
        <f t="shared" si="172"/>
        <v>23877.782458997099</v>
      </c>
      <c r="BL154" s="8">
        <f t="shared" si="172"/>
        <v>0</v>
      </c>
      <c r="BM154" s="8">
        <f t="shared" si="172"/>
        <v>0</v>
      </c>
      <c r="BN154" s="8">
        <f t="shared" si="172"/>
        <v>0</v>
      </c>
      <c r="BO154" s="8">
        <f t="shared" si="172"/>
        <v>0</v>
      </c>
      <c r="BP154" s="8">
        <f t="shared" si="172"/>
        <v>0</v>
      </c>
      <c r="BQ154" s="8">
        <f t="shared" si="172"/>
        <v>0</v>
      </c>
      <c r="BR154" s="8">
        <f t="shared" si="172"/>
        <v>0</v>
      </c>
      <c r="BS154" s="8">
        <f t="shared" si="172"/>
        <v>0</v>
      </c>
      <c r="BT154" s="8">
        <f t="shared" si="172"/>
        <v>0</v>
      </c>
      <c r="BU154" s="8">
        <f t="shared" si="172"/>
        <v>0</v>
      </c>
      <c r="BV154" s="8">
        <f t="shared" si="172"/>
        <v>0</v>
      </c>
      <c r="BW154" s="8">
        <f t="shared" si="172"/>
        <v>0</v>
      </c>
      <c r="BX154" s="8">
        <f t="shared" si="172"/>
        <v>0</v>
      </c>
      <c r="BY154" s="8">
        <f t="shared" si="172"/>
        <v>0</v>
      </c>
      <c r="BZ154" s="8">
        <f t="shared" si="172"/>
        <v>0</v>
      </c>
      <c r="CA154" s="8">
        <f t="shared" ref="CA154:DA154" si="173">BZ155</f>
        <v>0</v>
      </c>
      <c r="CB154" s="8">
        <f t="shared" si="173"/>
        <v>0</v>
      </c>
      <c r="CC154" s="8">
        <f t="shared" si="173"/>
        <v>0</v>
      </c>
      <c r="CD154" s="8">
        <f t="shared" si="173"/>
        <v>0</v>
      </c>
      <c r="CE154" s="8">
        <f t="shared" si="173"/>
        <v>0</v>
      </c>
      <c r="CF154" s="8">
        <f t="shared" si="173"/>
        <v>0</v>
      </c>
      <c r="CG154" s="8">
        <f t="shared" si="173"/>
        <v>0</v>
      </c>
      <c r="CH154" s="8">
        <f t="shared" si="173"/>
        <v>0</v>
      </c>
      <c r="CI154" s="8">
        <f t="shared" si="173"/>
        <v>0</v>
      </c>
      <c r="CJ154" s="8">
        <f t="shared" si="173"/>
        <v>0</v>
      </c>
      <c r="CK154" s="8">
        <f t="shared" si="173"/>
        <v>0</v>
      </c>
      <c r="CL154" s="8">
        <f t="shared" si="173"/>
        <v>0</v>
      </c>
      <c r="CM154" s="8">
        <f t="shared" si="173"/>
        <v>0</v>
      </c>
      <c r="CN154" s="8">
        <f t="shared" si="173"/>
        <v>0</v>
      </c>
      <c r="CO154" s="8">
        <f t="shared" si="173"/>
        <v>0</v>
      </c>
      <c r="CP154" s="8">
        <f t="shared" si="173"/>
        <v>0</v>
      </c>
      <c r="CQ154" s="8">
        <f t="shared" si="173"/>
        <v>0</v>
      </c>
      <c r="CR154" s="8">
        <f t="shared" si="173"/>
        <v>0</v>
      </c>
      <c r="CS154" s="8">
        <f t="shared" si="173"/>
        <v>0</v>
      </c>
      <c r="CT154" s="8">
        <f t="shared" si="173"/>
        <v>0</v>
      </c>
      <c r="CU154" s="8">
        <f t="shared" si="173"/>
        <v>0</v>
      </c>
      <c r="CV154" s="8">
        <f t="shared" si="173"/>
        <v>0</v>
      </c>
      <c r="CW154" s="8">
        <f t="shared" si="173"/>
        <v>0</v>
      </c>
      <c r="CX154" s="8">
        <f t="shared" si="173"/>
        <v>0</v>
      </c>
      <c r="CY154" s="8">
        <f t="shared" si="173"/>
        <v>0</v>
      </c>
      <c r="CZ154" s="8">
        <f t="shared" si="173"/>
        <v>0</v>
      </c>
      <c r="DA154" s="8">
        <f t="shared" si="173"/>
        <v>0</v>
      </c>
      <c r="DB154" s="8"/>
      <c r="DC154" s="8"/>
      <c r="DD154" s="8"/>
      <c r="DE154" s="8"/>
      <c r="DF154" s="8"/>
    </row>
    <row r="155" spans="3:110" x14ac:dyDescent="0.4">
      <c r="D155" t="s">
        <v>168</v>
      </c>
      <c r="M155" s="8">
        <f>M152+M153</f>
        <v>1193889.1229498168</v>
      </c>
      <c r="N155" s="8">
        <f>N152+N153</f>
        <v>1170011.3404908204</v>
      </c>
      <c r="O155" s="8">
        <f t="shared" ref="O155:BZ155" si="174">O152+O153</f>
        <v>1146133.5580318242</v>
      </c>
      <c r="P155" s="8">
        <f t="shared" si="174"/>
        <v>1122255.7755728278</v>
      </c>
      <c r="Q155" s="8">
        <f t="shared" si="174"/>
        <v>1098377.9931138314</v>
      </c>
      <c r="R155" s="8">
        <f t="shared" si="174"/>
        <v>1074500.210654835</v>
      </c>
      <c r="S155" s="8">
        <f t="shared" si="174"/>
        <v>1050622.4281958388</v>
      </c>
      <c r="T155" s="8">
        <f t="shared" si="174"/>
        <v>1026744.6457368424</v>
      </c>
      <c r="U155" s="8">
        <f t="shared" si="174"/>
        <v>1002866.863277846</v>
      </c>
      <c r="V155" s="8">
        <f t="shared" si="174"/>
        <v>978989.08081884973</v>
      </c>
      <c r="W155" s="8">
        <f t="shared" si="174"/>
        <v>955111.29835985333</v>
      </c>
      <c r="X155" s="8">
        <f t="shared" si="174"/>
        <v>931233.51590085705</v>
      </c>
      <c r="Y155" s="8">
        <f t="shared" si="174"/>
        <v>907355.73344186065</v>
      </c>
      <c r="Z155" s="8">
        <f t="shared" si="174"/>
        <v>883477.95098286436</v>
      </c>
      <c r="AA155" s="8">
        <f t="shared" si="174"/>
        <v>859600.16852386808</v>
      </c>
      <c r="AB155" s="8">
        <f t="shared" si="174"/>
        <v>835722.38606487168</v>
      </c>
      <c r="AC155" s="8">
        <f t="shared" si="174"/>
        <v>811844.60360587528</v>
      </c>
      <c r="AD155" s="8">
        <f t="shared" si="174"/>
        <v>787966.821146879</v>
      </c>
      <c r="AE155" s="8">
        <f t="shared" si="174"/>
        <v>764089.03868788271</v>
      </c>
      <c r="AF155" s="8">
        <f t="shared" si="174"/>
        <v>740211.25622888631</v>
      </c>
      <c r="AG155" s="8">
        <f t="shared" si="174"/>
        <v>716333.47376988991</v>
      </c>
      <c r="AH155" s="8">
        <f t="shared" si="174"/>
        <v>692455.69131089363</v>
      </c>
      <c r="AI155" s="8">
        <f t="shared" si="174"/>
        <v>668577.90885189734</v>
      </c>
      <c r="AJ155" s="8">
        <f t="shared" si="174"/>
        <v>644700.12639290106</v>
      </c>
      <c r="AK155" s="8">
        <f t="shared" si="174"/>
        <v>620822.34393390478</v>
      </c>
      <c r="AL155" s="8">
        <f t="shared" si="174"/>
        <v>596944.56147490849</v>
      </c>
      <c r="AM155" s="8">
        <f t="shared" si="174"/>
        <v>573066.77901591221</v>
      </c>
      <c r="AN155" s="8">
        <f t="shared" si="174"/>
        <v>549188.99655691592</v>
      </c>
      <c r="AO155" s="8">
        <f t="shared" si="174"/>
        <v>525311.21409791964</v>
      </c>
      <c r="AP155" s="8">
        <f t="shared" si="174"/>
        <v>501433.43163892336</v>
      </c>
      <c r="AQ155" s="8">
        <f t="shared" si="174"/>
        <v>477555.64917992707</v>
      </c>
      <c r="AR155" s="8">
        <f t="shared" si="174"/>
        <v>453677.86672093079</v>
      </c>
      <c r="AS155" s="8">
        <f t="shared" si="174"/>
        <v>429800.08426193451</v>
      </c>
      <c r="AT155" s="8">
        <f t="shared" si="174"/>
        <v>405922.30180293822</v>
      </c>
      <c r="AU155" s="8">
        <f t="shared" si="174"/>
        <v>382044.51934394194</v>
      </c>
      <c r="AV155" s="8">
        <f t="shared" si="174"/>
        <v>358166.73688494565</v>
      </c>
      <c r="AW155" s="8">
        <f t="shared" si="174"/>
        <v>334288.95442594937</v>
      </c>
      <c r="AX155" s="8">
        <f t="shared" si="174"/>
        <v>310411.17196695309</v>
      </c>
      <c r="AY155" s="8">
        <f t="shared" si="174"/>
        <v>286533.3895079568</v>
      </c>
      <c r="AZ155" s="8">
        <f t="shared" si="174"/>
        <v>262655.60704896052</v>
      </c>
      <c r="BA155" s="8">
        <f t="shared" si="174"/>
        <v>238777.82458996424</v>
      </c>
      <c r="BB155" s="8">
        <f t="shared" si="174"/>
        <v>214900.04213096795</v>
      </c>
      <c r="BC155" s="8">
        <f t="shared" si="174"/>
        <v>191022.25967197167</v>
      </c>
      <c r="BD155" s="8">
        <f t="shared" si="174"/>
        <v>167144.47721297538</v>
      </c>
      <c r="BE155" s="8">
        <f t="shared" si="174"/>
        <v>143266.6947539791</v>
      </c>
      <c r="BF155" s="8">
        <f t="shared" si="174"/>
        <v>119388.9122949827</v>
      </c>
      <c r="BG155" s="8">
        <f t="shared" si="174"/>
        <v>95511.129835986299</v>
      </c>
      <c r="BH155" s="8">
        <f t="shared" si="174"/>
        <v>71633.347376989899</v>
      </c>
      <c r="BI155" s="8">
        <f t="shared" si="174"/>
        <v>47755.564917993499</v>
      </c>
      <c r="BJ155" s="8">
        <f t="shared" si="174"/>
        <v>23877.782458997099</v>
      </c>
      <c r="BK155" s="8">
        <f t="shared" si="174"/>
        <v>0</v>
      </c>
      <c r="BL155" s="8">
        <f t="shared" si="174"/>
        <v>0</v>
      </c>
      <c r="BM155" s="8">
        <f t="shared" si="174"/>
        <v>0</v>
      </c>
      <c r="BN155" s="8">
        <f t="shared" si="174"/>
        <v>0</v>
      </c>
      <c r="BO155" s="8">
        <f t="shared" si="174"/>
        <v>0</v>
      </c>
      <c r="BP155" s="8">
        <f t="shared" si="174"/>
        <v>0</v>
      </c>
      <c r="BQ155" s="8">
        <f t="shared" si="174"/>
        <v>0</v>
      </c>
      <c r="BR155" s="8">
        <f t="shared" si="174"/>
        <v>0</v>
      </c>
      <c r="BS155" s="8">
        <f t="shared" si="174"/>
        <v>0</v>
      </c>
      <c r="BT155" s="8">
        <f t="shared" si="174"/>
        <v>0</v>
      </c>
      <c r="BU155" s="8">
        <f t="shared" si="174"/>
        <v>0</v>
      </c>
      <c r="BV155" s="8">
        <f t="shared" si="174"/>
        <v>0</v>
      </c>
      <c r="BW155" s="8">
        <f t="shared" si="174"/>
        <v>0</v>
      </c>
      <c r="BX155" s="8">
        <f t="shared" si="174"/>
        <v>0</v>
      </c>
      <c r="BY155" s="8">
        <f t="shared" si="174"/>
        <v>0</v>
      </c>
      <c r="BZ155" s="8">
        <f t="shared" si="174"/>
        <v>0</v>
      </c>
      <c r="CA155" s="8">
        <f t="shared" ref="CA155:DA155" si="175">CA152+CA153</f>
        <v>0</v>
      </c>
      <c r="CB155" s="8">
        <f t="shared" si="175"/>
        <v>0</v>
      </c>
      <c r="CC155" s="8">
        <f t="shared" si="175"/>
        <v>0</v>
      </c>
      <c r="CD155" s="8">
        <f t="shared" si="175"/>
        <v>0</v>
      </c>
      <c r="CE155" s="8">
        <f t="shared" si="175"/>
        <v>0</v>
      </c>
      <c r="CF155" s="8">
        <f t="shared" si="175"/>
        <v>0</v>
      </c>
      <c r="CG155" s="8">
        <f t="shared" si="175"/>
        <v>0</v>
      </c>
      <c r="CH155" s="8">
        <f t="shared" si="175"/>
        <v>0</v>
      </c>
      <c r="CI155" s="8">
        <f t="shared" si="175"/>
        <v>0</v>
      </c>
      <c r="CJ155" s="8">
        <f t="shared" si="175"/>
        <v>0</v>
      </c>
      <c r="CK155" s="8">
        <f t="shared" si="175"/>
        <v>0</v>
      </c>
      <c r="CL155" s="8">
        <f t="shared" si="175"/>
        <v>0</v>
      </c>
      <c r="CM155" s="8">
        <f t="shared" si="175"/>
        <v>0</v>
      </c>
      <c r="CN155" s="8">
        <f t="shared" si="175"/>
        <v>0</v>
      </c>
      <c r="CO155" s="8">
        <f t="shared" si="175"/>
        <v>0</v>
      </c>
      <c r="CP155" s="8">
        <f t="shared" si="175"/>
        <v>0</v>
      </c>
      <c r="CQ155" s="8">
        <f t="shared" si="175"/>
        <v>0</v>
      </c>
      <c r="CR155" s="8">
        <f t="shared" si="175"/>
        <v>0</v>
      </c>
      <c r="CS155" s="8">
        <f t="shared" si="175"/>
        <v>0</v>
      </c>
      <c r="CT155" s="8">
        <f t="shared" si="175"/>
        <v>0</v>
      </c>
      <c r="CU155" s="8">
        <f t="shared" si="175"/>
        <v>0</v>
      </c>
      <c r="CV155" s="8">
        <f t="shared" si="175"/>
        <v>0</v>
      </c>
      <c r="CW155" s="8">
        <f t="shared" si="175"/>
        <v>0</v>
      </c>
      <c r="CX155" s="8">
        <f t="shared" si="175"/>
        <v>0</v>
      </c>
      <c r="CY155" s="8">
        <f t="shared" si="175"/>
        <v>0</v>
      </c>
      <c r="CZ155" s="8">
        <f t="shared" si="175"/>
        <v>0</v>
      </c>
      <c r="DA155" s="8">
        <f t="shared" si="175"/>
        <v>0</v>
      </c>
      <c r="DB155" s="8"/>
      <c r="DC155" s="8"/>
      <c r="DD155" s="8"/>
      <c r="DE155" s="8"/>
      <c r="DF155" s="8"/>
    </row>
    <row r="156" spans="3:110" x14ac:dyDescent="0.4"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8"/>
      <c r="DF156" s="8"/>
    </row>
    <row r="157" spans="3:110" x14ac:dyDescent="0.4">
      <c r="D157" t="s">
        <v>169</v>
      </c>
      <c r="M157" s="8"/>
      <c r="N157" s="8">
        <f>IF(N149&lt;=$B$4+1,N152*VLOOKUP(N149,Assumptions!$A$70:$B$90,2,0),0)</f>
        <v>44770.842110618127</v>
      </c>
      <c r="O157" s="8">
        <f>IF(O149&lt;=$B$4+1,O152*VLOOKUP(O149,Assumptions!$A$70:$B$90,2,0),0)</f>
        <v>86186.855785747277</v>
      </c>
      <c r="P157" s="8">
        <f>IF(P149&lt;=$B$4+1,P152*VLOOKUP(P149,Assumptions!$A$70:$B$90,2,0),0)</f>
        <v>79715.976739359263</v>
      </c>
      <c r="Q157" s="8">
        <f>IF(Q149&lt;=$B$4+1,Q152*VLOOKUP(Q149,Assumptions!$A$70:$B$90,2,0),0)</f>
        <v>73746.531124610177</v>
      </c>
      <c r="R157" s="8">
        <f>IF(R149&lt;=$B$4+1,R152*VLOOKUP(R149,Assumptions!$A$70:$B$90,2,0),0)</f>
        <v>68206.885594123029</v>
      </c>
      <c r="S157" s="8">
        <f>IF(S149&lt;=$B$4+1,S152*VLOOKUP(S149,Assumptions!$A$70:$B$90,2,0),0)</f>
        <v>63097.040147897816</v>
      </c>
      <c r="T157" s="8">
        <f>IF(T149&lt;=$B$4+1,T152*VLOOKUP(T149,Assumptions!$A$70:$B$90,2,0),0)</f>
        <v>58357.300329787045</v>
      </c>
      <c r="U157" s="8">
        <f>IF(U149&lt;=$B$4+1,U152*VLOOKUP(U149,Assumptions!$A$70:$B$90,2,0),0)</f>
        <v>53987.666139790716</v>
      </c>
      <c r="V157" s="8">
        <f>IF(V149&lt;=$B$4+1,V152*VLOOKUP(V149,Assumptions!$A$70:$B$90,2,0),0)</f>
        <v>53271.332666020826</v>
      </c>
      <c r="W157" s="8">
        <f>IF(W149&lt;=$B$4+1,W152*VLOOKUP(W149,Assumptions!$A$70:$B$90,2,0),0)</f>
        <v>53259.393774791322</v>
      </c>
      <c r="X157" s="8">
        <f>IF(X149&lt;=$B$4+1,X152*VLOOKUP(X149,Assumptions!$A$70:$B$90,2,0),0)</f>
        <v>53271.332666020826</v>
      </c>
      <c r="Y157" s="8">
        <f>IF(Y149&lt;=$B$4+1,Y152*VLOOKUP(Y149,Assumptions!$A$70:$B$90,2,0),0)</f>
        <v>53259.393774791322</v>
      </c>
      <c r="Z157" s="8">
        <f>IF(Z149&lt;=$B$4+1,Z152*VLOOKUP(Z149,Assumptions!$A$70:$B$90,2,0),0)</f>
        <v>53271.332666020826</v>
      </c>
      <c r="AA157" s="8">
        <f>IF(AA149&lt;=$B$4+1,AA152*VLOOKUP(AA149,Assumptions!$A$70:$B$90,2,0),0)</f>
        <v>53259.393774791322</v>
      </c>
      <c r="AB157" s="8">
        <f>IF(AB149&lt;=$B$4+1,AB152*VLOOKUP(AB149,Assumptions!$A$70:$B$90,2,0),0)</f>
        <v>53271.332666020826</v>
      </c>
      <c r="AC157" s="8">
        <f>IF(AC149&lt;=$B$4+1,AC152*VLOOKUP(AC149,Assumptions!$A$70:$B$90,2,0),0)</f>
        <v>53259.393774791322</v>
      </c>
      <c r="AD157" s="8">
        <f>IF(AD149&lt;=$B$4+1,AD152*VLOOKUP(AD149,Assumptions!$A$70:$B$90,2,0),0)</f>
        <v>53271.332666020826</v>
      </c>
      <c r="AE157" s="8">
        <f>IF(AE149&lt;=$B$4+1,AE152*VLOOKUP(AE149,Assumptions!$A$70:$B$90,2,0),0)</f>
        <v>53259.393774791322</v>
      </c>
      <c r="AF157" s="8">
        <f>IF(AF149&lt;=$B$4+1,AF152*VLOOKUP(AF149,Assumptions!$A$70:$B$90,2,0),0)</f>
        <v>53271.332666020826</v>
      </c>
      <c r="AG157" s="8">
        <f>IF(AG149&lt;=$B$4+1,AG152*VLOOKUP(AG149,Assumptions!$A$70:$B$90,2,0),0)</f>
        <v>53259.393774791322</v>
      </c>
      <c r="AH157" s="8">
        <f>IF(AH149&lt;=$B$4+1,AH152*VLOOKUP(AH149,Assumptions!$A$70:$B$90,2,0),0)</f>
        <v>26635.666333010413</v>
      </c>
      <c r="AI157" s="8">
        <f>IF(AI149&lt;=$B$4+1,AI152*VLOOKUP(AI149,Assumptions!$A$70:$B$90,2,0),0)</f>
        <v>0</v>
      </c>
      <c r="AJ157" s="8">
        <f>IF(AJ149&lt;=$B$4+1,AJ152*VLOOKUP(AJ149,Assumptions!$A$70:$B$90,2,0),0)</f>
        <v>0</v>
      </c>
      <c r="AK157" s="8">
        <f>IF(AK149&lt;=$B$4+1,AK152*VLOOKUP(AK149,Assumptions!$A$70:$B$90,2,0),0)</f>
        <v>0</v>
      </c>
      <c r="AL157" s="8">
        <f>IF(AL149&lt;=$B$4+1,AL152*VLOOKUP(AL149,Assumptions!$A$70:$B$90,2,0),0)</f>
        <v>0</v>
      </c>
      <c r="AM157" s="8">
        <f>IF(AM149&lt;=$B$4+1,AM152*VLOOKUP(AM149,Assumptions!$A$70:$B$90,2,0),0)</f>
        <v>0</v>
      </c>
      <c r="AN157" s="8">
        <f>IF(AN149&lt;=$B$4+1,AN152*VLOOKUP(AN149,Assumptions!$A$70:$B$90,2,0),0)</f>
        <v>0</v>
      </c>
      <c r="AO157" s="8">
        <f>IF(AO149&lt;=$B$4+1,AO152*VLOOKUP(AO149,Assumptions!$A$70:$B$90,2,0),0)</f>
        <v>0</v>
      </c>
      <c r="AP157" s="8">
        <f>IF(AP149&lt;=$B$4+1,AP152*VLOOKUP(AP149,Assumptions!$A$70:$B$90,2,0),0)</f>
        <v>0</v>
      </c>
      <c r="AQ157" s="8">
        <f>IF(AQ149&lt;=$B$4+1,AQ152*VLOOKUP(AQ149,Assumptions!$A$70:$B$90,2,0),0)</f>
        <v>0</v>
      </c>
      <c r="AR157" s="8">
        <f>IF(AR149&lt;=$B$4+1,AR152*VLOOKUP(AR149,Assumptions!$A$70:$B$90,2,0),0)</f>
        <v>0</v>
      </c>
      <c r="AS157" s="8">
        <f>IF(AS149&lt;=$B$4+1,AS152*VLOOKUP(AS149,Assumptions!$A$70:$B$90,2,0),0)</f>
        <v>0</v>
      </c>
      <c r="AT157" s="8">
        <f>IF(AT149&lt;=$B$4+1,AT152*VLOOKUP(AT149,Assumptions!$A$70:$B$90,2,0),0)</f>
        <v>0</v>
      </c>
      <c r="AU157" s="8">
        <f>IF(AU149&lt;=$B$4+1,AU152*VLOOKUP(AU149,Assumptions!$A$70:$B$90,2,0),0)</f>
        <v>0</v>
      </c>
      <c r="AV157" s="8">
        <f>IF(AV149&lt;=$B$4+1,AV152*VLOOKUP(AV149,Assumptions!$A$70:$B$90,2,0),0)</f>
        <v>0</v>
      </c>
      <c r="AW157" s="8">
        <f>IF(AW149&lt;=$B$4+1,AW152*VLOOKUP(AW149,Assumptions!$A$70:$B$90,2,0),0)</f>
        <v>0</v>
      </c>
      <c r="AX157" s="8">
        <f>IF(AX149&lt;=$B$4+1,AX152*VLOOKUP(AX149,Assumptions!$A$70:$B$90,2,0),0)</f>
        <v>0</v>
      </c>
      <c r="AY157" s="8">
        <f>IF(AY149&lt;=$B$4+1,AY152*VLOOKUP(AY149,Assumptions!$A$70:$B$90,2,0),0)</f>
        <v>0</v>
      </c>
      <c r="AZ157" s="8">
        <f>IF(AZ149&lt;=$B$4+1,AZ152*VLOOKUP(AZ149,Assumptions!$A$70:$B$90,2,0),0)</f>
        <v>0</v>
      </c>
      <c r="BA157" s="8">
        <f>IF(BA149&lt;=$B$4+1,BA152*VLOOKUP(BA149,Assumptions!$A$70:$B$90,2,0),0)</f>
        <v>0</v>
      </c>
      <c r="BB157" s="8">
        <f>IF(BB149&lt;=$B$4+1,BB152*VLOOKUP(BB149,Assumptions!$A$70:$B$90,2,0),0)</f>
        <v>0</v>
      </c>
      <c r="BC157" s="8">
        <f>IF(BC149&lt;=$B$4+1,BC152*VLOOKUP(BC149,Assumptions!$A$70:$B$90,2,0),0)</f>
        <v>0</v>
      </c>
      <c r="BD157" s="8">
        <f>IF(BD149&lt;=$B$4+1,BD152*VLOOKUP(BD149,Assumptions!$A$70:$B$90,2,0),0)</f>
        <v>0</v>
      </c>
      <c r="BE157" s="8">
        <f>IF(BE149&lt;=$B$4+1,BE152*VLOOKUP(BE149,Assumptions!$A$70:$B$90,2,0),0)</f>
        <v>0</v>
      </c>
      <c r="BF157" s="8">
        <f>IF(BF149&lt;=$B$4+1,BF152*VLOOKUP(BF149,Assumptions!$A$70:$B$90,2,0),0)</f>
        <v>0</v>
      </c>
      <c r="BG157" s="8">
        <f>IF(BG149&lt;=$B$4+1,BG152*VLOOKUP(BG149,Assumptions!$A$70:$B$90,2,0),0)</f>
        <v>0</v>
      </c>
      <c r="BH157" s="8">
        <f>IF(BH149&lt;=$B$4+1,BH152*VLOOKUP(BH149,Assumptions!$A$70:$B$90,2,0),0)</f>
        <v>0</v>
      </c>
      <c r="BI157" s="8">
        <f>IF(BI149&lt;=$B$4+1,BI152*VLOOKUP(BI149,Assumptions!$A$70:$B$90,2,0),0)</f>
        <v>0</v>
      </c>
      <c r="BJ157" s="8">
        <f>IF(BJ149&lt;=$B$4+1,BJ152*VLOOKUP(BJ149,Assumptions!$A$70:$B$90,2,0),0)</f>
        <v>0</v>
      </c>
      <c r="BK157" s="8">
        <f>IF(BK149&lt;=$B$4+1,BK152*VLOOKUP(BK149,Assumptions!$A$70:$B$90,2,0),0)</f>
        <v>0</v>
      </c>
      <c r="BL157" s="8">
        <f>IF(BL149&lt;=$B$4+1,BL152*VLOOKUP(BL149,Assumptions!$A$70:$B$90,2,0),0)</f>
        <v>0</v>
      </c>
      <c r="BM157" s="8">
        <f>IF(BM149&lt;=$B$4+1,BM152*VLOOKUP(BM149,Assumptions!$A$70:$B$90,2,0),0)</f>
        <v>0</v>
      </c>
      <c r="BN157" s="8">
        <f>IF(BN149&lt;=$B$4+1,BN152*VLOOKUP(BN149,Assumptions!$A$70:$B$90,2,0),0)</f>
        <v>0</v>
      </c>
      <c r="BO157" s="8">
        <f>IF(BO149&lt;=$B$4+1,BO152*VLOOKUP(BO149,Assumptions!$A$70:$B$90,2,0),0)</f>
        <v>0</v>
      </c>
      <c r="BP157" s="8">
        <f>IF(BP149&lt;=$B$4+1,BP152*VLOOKUP(BP149,Assumptions!$A$70:$B$90,2,0),0)</f>
        <v>0</v>
      </c>
      <c r="BQ157" s="8">
        <f>IF(BQ149&lt;=$B$4+1,BQ152*VLOOKUP(BQ149,Assumptions!$A$70:$B$90,2,0),0)</f>
        <v>0</v>
      </c>
      <c r="BR157" s="8">
        <f>IF(BR149&lt;=$B$4+1,BR152*VLOOKUP(BR149,Assumptions!$A$70:$B$90,2,0),0)</f>
        <v>0</v>
      </c>
      <c r="BS157" s="8">
        <f>IF(BS149&lt;=$B$4+1,BS152*VLOOKUP(BS149,Assumptions!$A$70:$B$90,2,0),0)</f>
        <v>0</v>
      </c>
      <c r="BT157" s="8">
        <f>IF(BT149&lt;=$B$4+1,BT152*VLOOKUP(BT149,Assumptions!$A$70:$B$90,2,0),0)</f>
        <v>0</v>
      </c>
      <c r="BU157" s="8">
        <f>IF(BU149&lt;=$B$4+1,BU152*VLOOKUP(BU149,Assumptions!$A$70:$B$90,2,0),0)</f>
        <v>0</v>
      </c>
      <c r="BV157" s="8">
        <f>IF(BV149&lt;=$B$4+1,BV152*VLOOKUP(BV149,Assumptions!$A$70:$B$90,2,0),0)</f>
        <v>0</v>
      </c>
      <c r="BW157" s="8">
        <f>IF(BW149&lt;=$B$4+1,BW152*VLOOKUP(BW149,Assumptions!$A$70:$B$90,2,0),0)</f>
        <v>0</v>
      </c>
      <c r="BX157" s="8">
        <f>IF(BX149&lt;=$B$4+1,BX152*VLOOKUP(BX149,Assumptions!$A$70:$B$90,2,0),0)</f>
        <v>0</v>
      </c>
      <c r="BY157" s="8">
        <f>IF(BY149&lt;=$B$4+1,BY152*VLOOKUP(BY149,Assumptions!$A$70:$B$90,2,0),0)</f>
        <v>0</v>
      </c>
      <c r="BZ157" s="8">
        <f>IF(BZ149&lt;=$B$4+1,BZ152*VLOOKUP(BZ149,Assumptions!$A$70:$B$90,2,0),0)</f>
        <v>0</v>
      </c>
      <c r="CA157" s="8">
        <f>IF(CA149&lt;=$B$4+1,CA152*VLOOKUP(CA149,Assumptions!$A$70:$B$90,2,0),0)</f>
        <v>0</v>
      </c>
      <c r="CB157" s="8">
        <f>IF(CB149&lt;=$B$4+1,CB152*VLOOKUP(CB149,Assumptions!$A$70:$B$90,2,0),0)</f>
        <v>0</v>
      </c>
      <c r="CC157" s="8">
        <f>IF(CC149&lt;=$B$4+1,CC152*VLOOKUP(CC149,Assumptions!$A$70:$B$90,2,0),0)</f>
        <v>0</v>
      </c>
      <c r="CD157" s="8">
        <f>IF(CD149&lt;=$B$4+1,CD152*VLOOKUP(CD149,Assumptions!$A$70:$B$90,2,0),0)</f>
        <v>0</v>
      </c>
      <c r="CE157" s="8">
        <f>IF(CE149&lt;=$B$4+1,CE152*VLOOKUP(CE149,Assumptions!$A$70:$B$90,2,0),0)</f>
        <v>0</v>
      </c>
      <c r="CF157" s="8">
        <f>IF(CF149&lt;=$B$4+1,CF152*VLOOKUP(CF149,Assumptions!$A$70:$B$90,2,0),0)</f>
        <v>0</v>
      </c>
      <c r="CG157" s="8">
        <f>IF(CG149&lt;=$B$4+1,CG152*VLOOKUP(CG149,Assumptions!$A$70:$B$90,2,0),0)</f>
        <v>0</v>
      </c>
      <c r="CH157" s="8">
        <f>IF(CH149&lt;=$B$4+1,CH152*VLOOKUP(CH149,Assumptions!$A$70:$B$90,2,0),0)</f>
        <v>0</v>
      </c>
      <c r="CI157" s="8">
        <f>IF(CI149&lt;=$B$4+1,CI152*VLOOKUP(CI149,Assumptions!$A$70:$B$90,2,0),0)</f>
        <v>0</v>
      </c>
      <c r="CJ157" s="8">
        <f>IF(CJ149&lt;=$B$4+1,CJ152*VLOOKUP(CJ149,Assumptions!$A$70:$B$90,2,0),0)</f>
        <v>0</v>
      </c>
      <c r="CK157" s="8">
        <f>IF(CK149&lt;=$B$4+1,CK152*VLOOKUP(CK149,Assumptions!$A$70:$B$90,2,0),0)</f>
        <v>0</v>
      </c>
      <c r="CL157" s="8">
        <f>IF(CL149&lt;=$B$4+1,CL152*VLOOKUP(CL149,Assumptions!$A$70:$B$90,2,0),0)</f>
        <v>0</v>
      </c>
      <c r="CM157" s="8">
        <f>IF(CM149&lt;=$B$4+1,CM152*VLOOKUP(CM149,Assumptions!$A$70:$B$90,2,0),0)</f>
        <v>0</v>
      </c>
      <c r="CN157" s="8">
        <f>IF(CN149&lt;=$B$4+1,CN152*VLOOKUP(CN149,Assumptions!$A$70:$B$90,2,0),0)</f>
        <v>0</v>
      </c>
      <c r="CO157" s="8">
        <f>IF(CO149&lt;=$B$4+1,CO152*VLOOKUP(CO149,Assumptions!$A$70:$B$90,2,0),0)</f>
        <v>0</v>
      </c>
      <c r="CP157" s="8">
        <f>IF(CP149&lt;=$B$4+1,CP152*VLOOKUP(CP149,Assumptions!$A$70:$B$90,2,0),0)</f>
        <v>0</v>
      </c>
      <c r="CQ157" s="8">
        <f>IF(CQ149&lt;=$B$4+1,CQ152*VLOOKUP(CQ149,Assumptions!$A$70:$B$90,2,0),0)</f>
        <v>0</v>
      </c>
      <c r="CR157" s="8">
        <f>IF(CR149&lt;=$B$4+1,CR152*VLOOKUP(CR149,Assumptions!$A$70:$B$90,2,0),0)</f>
        <v>0</v>
      </c>
      <c r="CS157" s="8">
        <f>IF(CS149&lt;=$B$4+1,CS152*VLOOKUP(CS149,Assumptions!$A$70:$B$90,2,0),0)</f>
        <v>0</v>
      </c>
      <c r="CT157" s="8">
        <f>IF(CT149&lt;=$B$4+1,CT152*VLOOKUP(CT149,Assumptions!$A$70:$B$90,2,0),0)</f>
        <v>0</v>
      </c>
      <c r="CU157" s="8">
        <f>IF(CU149&lt;=$B$4+1,CU152*VLOOKUP(CU149,Assumptions!$A$70:$B$90,2,0),0)</f>
        <v>0</v>
      </c>
      <c r="CV157" s="8">
        <f>IF(CV149&lt;=$B$4+1,CV152*VLOOKUP(CV149,Assumptions!$A$70:$B$90,2,0),0)</f>
        <v>0</v>
      </c>
      <c r="CW157" s="8">
        <f>IF(CW149&lt;=$B$4+1,CW152*VLOOKUP(CW149,Assumptions!$A$70:$B$90,2,0),0)</f>
        <v>0</v>
      </c>
      <c r="CX157" s="8">
        <f>IF(CX149&lt;=$B$4+1,CX152*VLOOKUP(CX149,Assumptions!$A$70:$B$90,2,0),0)</f>
        <v>0</v>
      </c>
      <c r="CY157" s="8">
        <f>IF(CY149&lt;=$B$4+1,CY152*VLOOKUP(CY149,Assumptions!$A$70:$B$90,2,0),0)</f>
        <v>0</v>
      </c>
      <c r="CZ157" s="8">
        <f>IF(CZ149&lt;=$B$4+1,CZ152*VLOOKUP(CZ149,Assumptions!$A$70:$B$90,2,0),0)</f>
        <v>0</v>
      </c>
      <c r="DA157" s="8">
        <f>IF(DA149&lt;=$B$4+1,DA152*VLOOKUP(DA149,Assumptions!$A$70:$B$90,2,0),0)</f>
        <v>0</v>
      </c>
      <c r="DB157" s="8"/>
      <c r="DC157" s="8"/>
      <c r="DD157" s="8"/>
      <c r="DE157" s="8"/>
      <c r="DF157" s="8"/>
    </row>
    <row r="158" spans="3:110" x14ac:dyDescent="0.4">
      <c r="D158" t="s">
        <v>170</v>
      </c>
      <c r="M158" s="8"/>
      <c r="N158" s="8">
        <f>M159</f>
        <v>0</v>
      </c>
      <c r="O158" s="8">
        <f t="shared" ref="O158:BZ158" si="176">N159</f>
        <v>-5790.5114824469802</v>
      </c>
      <c r="P158" s="8">
        <f t="shared" si="176"/>
        <v>-23059.471154956002</v>
      </c>
      <c r="Q158" s="8">
        <f t="shared" si="176"/>
        <v>-38535.026699758586</v>
      </c>
      <c r="R158" s="8">
        <f t="shared" si="176"/>
        <v>-52356.150392433461</v>
      </c>
      <c r="S158" s="8">
        <f t="shared" si="176"/>
        <v>-64641.961326333825</v>
      </c>
      <c r="T158" s="8">
        <f t="shared" si="176"/>
        <v>-75511.578594812876</v>
      </c>
      <c r="U158" s="8">
        <f t="shared" si="176"/>
        <v>-85067.576972702518</v>
      </c>
      <c r="V158" s="8">
        <f t="shared" si="176"/>
        <v>-93412.531234834678</v>
      </c>
      <c r="W158" s="8">
        <f t="shared" si="176"/>
        <v>-101558.95367471152</v>
      </c>
      <c r="X158" s="8">
        <f t="shared" si="176"/>
        <v>-109702.06725088409</v>
      </c>
      <c r="Y158" s="8">
        <f t="shared" si="176"/>
        <v>-117848.48969076094</v>
      </c>
      <c r="Z158" s="8">
        <f t="shared" si="176"/>
        <v>-125991.60326693351</v>
      </c>
      <c r="AA158" s="8">
        <f t="shared" si="176"/>
        <v>-134138.02570681035</v>
      </c>
      <c r="AB158" s="8">
        <f t="shared" si="176"/>
        <v>-142281.13928298294</v>
      </c>
      <c r="AC158" s="8">
        <f t="shared" si="176"/>
        <v>-150427.56172285977</v>
      </c>
      <c r="AD158" s="8">
        <f t="shared" si="176"/>
        <v>-158570.67529903236</v>
      </c>
      <c r="AE158" s="8">
        <f t="shared" si="176"/>
        <v>-166717.09773890919</v>
      </c>
      <c r="AF158" s="8">
        <f t="shared" si="176"/>
        <v>-174860.21131508177</v>
      </c>
      <c r="AG158" s="8">
        <f t="shared" si="176"/>
        <v>-183006.6337549586</v>
      </c>
      <c r="AH158" s="8">
        <f t="shared" si="176"/>
        <v>-191149.74733113119</v>
      </c>
      <c r="AI158" s="8">
        <f t="shared" si="176"/>
        <v>-191914.0948468142</v>
      </c>
      <c r="AJ158" s="8">
        <f t="shared" si="176"/>
        <v>-185296.36743830336</v>
      </c>
      <c r="AK158" s="8">
        <f t="shared" si="176"/>
        <v>-178678.64002979253</v>
      </c>
      <c r="AL158" s="8">
        <f t="shared" si="176"/>
        <v>-172060.91262128169</v>
      </c>
      <c r="AM158" s="8">
        <f t="shared" si="176"/>
        <v>-165443.18521277086</v>
      </c>
      <c r="AN158" s="8">
        <f t="shared" si="176"/>
        <v>-158825.45780426002</v>
      </c>
      <c r="AO158" s="8">
        <f t="shared" si="176"/>
        <v>-152207.73039574918</v>
      </c>
      <c r="AP158" s="8">
        <f t="shared" si="176"/>
        <v>-145590.00298723835</v>
      </c>
      <c r="AQ158" s="8">
        <f t="shared" si="176"/>
        <v>-138972.27557872751</v>
      </c>
      <c r="AR158" s="8">
        <f t="shared" si="176"/>
        <v>-132354.54817021667</v>
      </c>
      <c r="AS158" s="8">
        <f t="shared" si="176"/>
        <v>-125736.82076170584</v>
      </c>
      <c r="AT158" s="8">
        <f t="shared" si="176"/>
        <v>-119119.093353195</v>
      </c>
      <c r="AU158" s="8">
        <f t="shared" si="176"/>
        <v>-112501.36594468416</v>
      </c>
      <c r="AV158" s="8">
        <f t="shared" si="176"/>
        <v>-105883.63853617333</v>
      </c>
      <c r="AW158" s="8">
        <f t="shared" si="176"/>
        <v>-99265.91112766249</v>
      </c>
      <c r="AX158" s="8">
        <f t="shared" si="176"/>
        <v>-92648.183719151653</v>
      </c>
      <c r="AY158" s="8">
        <f t="shared" si="176"/>
        <v>-86030.456310640817</v>
      </c>
      <c r="AZ158" s="8">
        <f t="shared" si="176"/>
        <v>-79412.72890212998</v>
      </c>
      <c r="BA158" s="8">
        <f t="shared" si="176"/>
        <v>-72795.001493619144</v>
      </c>
      <c r="BB158" s="8">
        <f t="shared" si="176"/>
        <v>-66177.274085108307</v>
      </c>
      <c r="BC158" s="8">
        <f t="shared" si="176"/>
        <v>-59559.546676597471</v>
      </c>
      <c r="BD158" s="8">
        <f t="shared" si="176"/>
        <v>-52941.819268086634</v>
      </c>
      <c r="BE158" s="8">
        <f t="shared" si="176"/>
        <v>-46324.091859575798</v>
      </c>
      <c r="BF158" s="8">
        <f t="shared" si="176"/>
        <v>-39706.364451064961</v>
      </c>
      <c r="BG158" s="8">
        <f t="shared" si="176"/>
        <v>-33088.637042554124</v>
      </c>
      <c r="BH158" s="8">
        <f t="shared" si="176"/>
        <v>-26470.909634043288</v>
      </c>
      <c r="BI158" s="8">
        <f t="shared" si="176"/>
        <v>-19853.182225532451</v>
      </c>
      <c r="BJ158" s="8">
        <f t="shared" si="176"/>
        <v>-13235.454817021617</v>
      </c>
      <c r="BK158" s="8">
        <f t="shared" si="176"/>
        <v>-6617.727408510782</v>
      </c>
      <c r="BL158" s="8">
        <f t="shared" si="176"/>
        <v>5.2750692702829838E-11</v>
      </c>
      <c r="BM158" s="8">
        <f t="shared" si="176"/>
        <v>5.2750692702829838E-11</v>
      </c>
      <c r="BN158" s="8">
        <f t="shared" si="176"/>
        <v>5.2750692702829838E-11</v>
      </c>
      <c r="BO158" s="8">
        <f t="shared" si="176"/>
        <v>5.2750692702829838E-11</v>
      </c>
      <c r="BP158" s="8">
        <f t="shared" si="176"/>
        <v>5.2750692702829838E-11</v>
      </c>
      <c r="BQ158" s="8">
        <f t="shared" si="176"/>
        <v>5.2750692702829838E-11</v>
      </c>
      <c r="BR158" s="8">
        <f t="shared" si="176"/>
        <v>5.2750692702829838E-11</v>
      </c>
      <c r="BS158" s="8">
        <f t="shared" si="176"/>
        <v>5.2750692702829838E-11</v>
      </c>
      <c r="BT158" s="8">
        <f t="shared" si="176"/>
        <v>5.2750692702829838E-11</v>
      </c>
      <c r="BU158" s="8">
        <f t="shared" si="176"/>
        <v>5.2750692702829838E-11</v>
      </c>
      <c r="BV158" s="8">
        <f t="shared" si="176"/>
        <v>5.2750692702829838E-11</v>
      </c>
      <c r="BW158" s="8">
        <f t="shared" si="176"/>
        <v>5.2750692702829838E-11</v>
      </c>
      <c r="BX158" s="8">
        <f t="shared" si="176"/>
        <v>5.2750692702829838E-11</v>
      </c>
      <c r="BY158" s="8">
        <f t="shared" si="176"/>
        <v>5.2750692702829838E-11</v>
      </c>
      <c r="BZ158" s="8">
        <f t="shared" si="176"/>
        <v>5.2750692702829838E-11</v>
      </c>
      <c r="CA158" s="8">
        <f t="shared" ref="CA158:DA158" si="177">BZ159</f>
        <v>5.2750692702829838E-11</v>
      </c>
      <c r="CB158" s="8">
        <f t="shared" si="177"/>
        <v>5.2750692702829838E-11</v>
      </c>
      <c r="CC158" s="8">
        <f t="shared" si="177"/>
        <v>5.2750692702829838E-11</v>
      </c>
      <c r="CD158" s="8">
        <f t="shared" si="177"/>
        <v>5.2750692702829838E-11</v>
      </c>
      <c r="CE158" s="8">
        <f t="shared" si="177"/>
        <v>5.2750692702829838E-11</v>
      </c>
      <c r="CF158" s="8">
        <f t="shared" si="177"/>
        <v>5.2750692702829838E-11</v>
      </c>
      <c r="CG158" s="8">
        <f t="shared" si="177"/>
        <v>5.2750692702829838E-11</v>
      </c>
      <c r="CH158" s="8">
        <f t="shared" si="177"/>
        <v>5.2750692702829838E-11</v>
      </c>
      <c r="CI158" s="8">
        <f t="shared" si="177"/>
        <v>5.2750692702829838E-11</v>
      </c>
      <c r="CJ158" s="8">
        <f t="shared" si="177"/>
        <v>5.2750692702829838E-11</v>
      </c>
      <c r="CK158" s="8">
        <f t="shared" si="177"/>
        <v>5.2750692702829838E-11</v>
      </c>
      <c r="CL158" s="8">
        <f t="shared" si="177"/>
        <v>5.2750692702829838E-11</v>
      </c>
      <c r="CM158" s="8">
        <f t="shared" si="177"/>
        <v>5.2750692702829838E-11</v>
      </c>
      <c r="CN158" s="8">
        <f t="shared" si="177"/>
        <v>5.2750692702829838E-11</v>
      </c>
      <c r="CO158" s="8">
        <f t="shared" si="177"/>
        <v>5.2750692702829838E-11</v>
      </c>
      <c r="CP158" s="8">
        <f t="shared" si="177"/>
        <v>5.2750692702829838E-11</v>
      </c>
      <c r="CQ158" s="8">
        <f t="shared" si="177"/>
        <v>5.2750692702829838E-11</v>
      </c>
      <c r="CR158" s="8">
        <f t="shared" si="177"/>
        <v>5.2750692702829838E-11</v>
      </c>
      <c r="CS158" s="8">
        <f t="shared" si="177"/>
        <v>5.2750692702829838E-11</v>
      </c>
      <c r="CT158" s="8">
        <f t="shared" si="177"/>
        <v>5.2750692702829838E-11</v>
      </c>
      <c r="CU158" s="8">
        <f t="shared" si="177"/>
        <v>5.2750692702829838E-11</v>
      </c>
      <c r="CV158" s="8">
        <f t="shared" si="177"/>
        <v>5.2750692702829838E-11</v>
      </c>
      <c r="CW158" s="8">
        <f t="shared" si="177"/>
        <v>5.2750692702829838E-11</v>
      </c>
      <c r="CX158" s="8">
        <f t="shared" si="177"/>
        <v>5.2750692702829838E-11</v>
      </c>
      <c r="CY158" s="8">
        <f t="shared" si="177"/>
        <v>5.2750692702829838E-11</v>
      </c>
      <c r="CZ158" s="8">
        <f t="shared" si="177"/>
        <v>5.2750692702829838E-11</v>
      </c>
      <c r="DA158" s="8">
        <f t="shared" si="177"/>
        <v>5.2750692702829838E-11</v>
      </c>
      <c r="DB158" s="8"/>
      <c r="DC158" s="8"/>
      <c r="DD158" s="8"/>
      <c r="DE158" s="8"/>
      <c r="DF158" s="8"/>
    </row>
    <row r="159" spans="3:110" x14ac:dyDescent="0.4">
      <c r="D159" t="s">
        <v>171</v>
      </c>
      <c r="M159" s="8"/>
      <c r="N159" s="8">
        <f t="shared" ref="N159:AS159" si="178">M159+((N151-N157)*INC_TAX_RATE)</f>
        <v>-5790.5114824469802</v>
      </c>
      <c r="O159" s="8">
        <f t="shared" si="178"/>
        <v>-23059.471154956002</v>
      </c>
      <c r="P159" s="8">
        <f t="shared" si="178"/>
        <v>-38535.026699758586</v>
      </c>
      <c r="Q159" s="8">
        <f t="shared" si="178"/>
        <v>-52356.150392433461</v>
      </c>
      <c r="R159" s="8">
        <f t="shared" si="178"/>
        <v>-64641.961326333825</v>
      </c>
      <c r="S159" s="8">
        <f t="shared" si="178"/>
        <v>-75511.578594812876</v>
      </c>
      <c r="T159" s="8">
        <f t="shared" si="178"/>
        <v>-85067.576972702518</v>
      </c>
      <c r="U159" s="8">
        <f t="shared" si="178"/>
        <v>-93412.531234834678</v>
      </c>
      <c r="V159" s="8">
        <f t="shared" si="178"/>
        <v>-101558.95367471152</v>
      </c>
      <c r="W159" s="8">
        <f t="shared" si="178"/>
        <v>-109702.06725088409</v>
      </c>
      <c r="X159" s="8">
        <f t="shared" si="178"/>
        <v>-117848.48969076094</v>
      </c>
      <c r="Y159" s="8">
        <f t="shared" si="178"/>
        <v>-125991.60326693351</v>
      </c>
      <c r="Z159" s="8">
        <f t="shared" si="178"/>
        <v>-134138.02570681035</v>
      </c>
      <c r="AA159" s="8">
        <f t="shared" si="178"/>
        <v>-142281.13928298294</v>
      </c>
      <c r="AB159" s="8">
        <f t="shared" si="178"/>
        <v>-150427.56172285977</v>
      </c>
      <c r="AC159" s="8">
        <f t="shared" si="178"/>
        <v>-158570.67529903236</v>
      </c>
      <c r="AD159" s="8">
        <f t="shared" si="178"/>
        <v>-166717.09773890919</v>
      </c>
      <c r="AE159" s="8">
        <f t="shared" si="178"/>
        <v>-174860.21131508177</v>
      </c>
      <c r="AF159" s="8">
        <f t="shared" si="178"/>
        <v>-183006.6337549586</v>
      </c>
      <c r="AG159" s="8">
        <f t="shared" si="178"/>
        <v>-191149.74733113119</v>
      </c>
      <c r="AH159" s="8">
        <f t="shared" si="178"/>
        <v>-191914.0948468142</v>
      </c>
      <c r="AI159" s="8">
        <f t="shared" si="178"/>
        <v>-185296.36743830336</v>
      </c>
      <c r="AJ159" s="8">
        <f t="shared" si="178"/>
        <v>-178678.64002979253</v>
      </c>
      <c r="AK159" s="8">
        <f t="shared" si="178"/>
        <v>-172060.91262128169</v>
      </c>
      <c r="AL159" s="8">
        <f t="shared" si="178"/>
        <v>-165443.18521277086</v>
      </c>
      <c r="AM159" s="8">
        <f t="shared" si="178"/>
        <v>-158825.45780426002</v>
      </c>
      <c r="AN159" s="8">
        <f t="shared" si="178"/>
        <v>-152207.73039574918</v>
      </c>
      <c r="AO159" s="8">
        <f t="shared" si="178"/>
        <v>-145590.00298723835</v>
      </c>
      <c r="AP159" s="8">
        <f t="shared" si="178"/>
        <v>-138972.27557872751</v>
      </c>
      <c r="AQ159" s="8">
        <f t="shared" si="178"/>
        <v>-132354.54817021667</v>
      </c>
      <c r="AR159" s="8">
        <f t="shared" si="178"/>
        <v>-125736.82076170584</v>
      </c>
      <c r="AS159" s="8">
        <f t="shared" si="178"/>
        <v>-119119.093353195</v>
      </c>
      <c r="AT159" s="8">
        <f t="shared" ref="AT159:BY159" si="179">AS159+((AT151-AT157)*INC_TAX_RATE)</f>
        <v>-112501.36594468416</v>
      </c>
      <c r="AU159" s="8">
        <f t="shared" si="179"/>
        <v>-105883.63853617333</v>
      </c>
      <c r="AV159" s="8">
        <f t="shared" si="179"/>
        <v>-99265.91112766249</v>
      </c>
      <c r="AW159" s="8">
        <f t="shared" si="179"/>
        <v>-92648.183719151653</v>
      </c>
      <c r="AX159" s="8">
        <f t="shared" si="179"/>
        <v>-86030.456310640817</v>
      </c>
      <c r="AY159" s="8">
        <f t="shared" si="179"/>
        <v>-79412.72890212998</v>
      </c>
      <c r="AZ159" s="8">
        <f t="shared" si="179"/>
        <v>-72795.001493619144</v>
      </c>
      <c r="BA159" s="8">
        <f t="shared" si="179"/>
        <v>-66177.274085108307</v>
      </c>
      <c r="BB159" s="8">
        <f t="shared" si="179"/>
        <v>-59559.546676597471</v>
      </c>
      <c r="BC159" s="8">
        <f t="shared" si="179"/>
        <v>-52941.819268086634</v>
      </c>
      <c r="BD159" s="8">
        <f t="shared" si="179"/>
        <v>-46324.091859575798</v>
      </c>
      <c r="BE159" s="8">
        <f t="shared" si="179"/>
        <v>-39706.364451064961</v>
      </c>
      <c r="BF159" s="8">
        <f t="shared" si="179"/>
        <v>-33088.637042554124</v>
      </c>
      <c r="BG159" s="8">
        <f t="shared" si="179"/>
        <v>-26470.909634043288</v>
      </c>
      <c r="BH159" s="8">
        <f t="shared" si="179"/>
        <v>-19853.182225532451</v>
      </c>
      <c r="BI159" s="8">
        <f t="shared" si="179"/>
        <v>-13235.454817021617</v>
      </c>
      <c r="BJ159" s="8">
        <f t="shared" si="179"/>
        <v>-6617.727408510782</v>
      </c>
      <c r="BK159" s="8">
        <f t="shared" si="179"/>
        <v>5.2750692702829838E-11</v>
      </c>
      <c r="BL159" s="8">
        <f t="shared" si="179"/>
        <v>5.2750692702829838E-11</v>
      </c>
      <c r="BM159" s="8">
        <f t="shared" si="179"/>
        <v>5.2750692702829838E-11</v>
      </c>
      <c r="BN159" s="8">
        <f t="shared" si="179"/>
        <v>5.2750692702829838E-11</v>
      </c>
      <c r="BO159" s="8">
        <f t="shared" si="179"/>
        <v>5.2750692702829838E-11</v>
      </c>
      <c r="BP159" s="8">
        <f t="shared" si="179"/>
        <v>5.2750692702829838E-11</v>
      </c>
      <c r="BQ159" s="8">
        <f t="shared" si="179"/>
        <v>5.2750692702829838E-11</v>
      </c>
      <c r="BR159" s="8">
        <f t="shared" si="179"/>
        <v>5.2750692702829838E-11</v>
      </c>
      <c r="BS159" s="8">
        <f t="shared" si="179"/>
        <v>5.2750692702829838E-11</v>
      </c>
      <c r="BT159" s="8">
        <f t="shared" si="179"/>
        <v>5.2750692702829838E-11</v>
      </c>
      <c r="BU159" s="8">
        <f t="shared" si="179"/>
        <v>5.2750692702829838E-11</v>
      </c>
      <c r="BV159" s="8">
        <f t="shared" si="179"/>
        <v>5.2750692702829838E-11</v>
      </c>
      <c r="BW159" s="8">
        <f t="shared" si="179"/>
        <v>5.2750692702829838E-11</v>
      </c>
      <c r="BX159" s="8">
        <f t="shared" si="179"/>
        <v>5.2750692702829838E-11</v>
      </c>
      <c r="BY159" s="8">
        <f t="shared" si="179"/>
        <v>5.2750692702829838E-11</v>
      </c>
      <c r="BZ159" s="8">
        <f t="shared" ref="BZ159:DA159" si="180">BY159+((BZ151-BZ157)*INC_TAX_RATE)</f>
        <v>5.2750692702829838E-11</v>
      </c>
      <c r="CA159" s="8">
        <f t="shared" si="180"/>
        <v>5.2750692702829838E-11</v>
      </c>
      <c r="CB159" s="8">
        <f t="shared" si="180"/>
        <v>5.2750692702829838E-11</v>
      </c>
      <c r="CC159" s="8">
        <f t="shared" si="180"/>
        <v>5.2750692702829838E-11</v>
      </c>
      <c r="CD159" s="8">
        <f t="shared" si="180"/>
        <v>5.2750692702829838E-11</v>
      </c>
      <c r="CE159" s="8">
        <f t="shared" si="180"/>
        <v>5.2750692702829838E-11</v>
      </c>
      <c r="CF159" s="8">
        <f t="shared" si="180"/>
        <v>5.2750692702829838E-11</v>
      </c>
      <c r="CG159" s="8">
        <f t="shared" si="180"/>
        <v>5.2750692702829838E-11</v>
      </c>
      <c r="CH159" s="8">
        <f t="shared" si="180"/>
        <v>5.2750692702829838E-11</v>
      </c>
      <c r="CI159" s="8">
        <f t="shared" si="180"/>
        <v>5.2750692702829838E-11</v>
      </c>
      <c r="CJ159" s="8">
        <f t="shared" si="180"/>
        <v>5.2750692702829838E-11</v>
      </c>
      <c r="CK159" s="8">
        <f t="shared" si="180"/>
        <v>5.2750692702829838E-11</v>
      </c>
      <c r="CL159" s="8">
        <f t="shared" si="180"/>
        <v>5.2750692702829838E-11</v>
      </c>
      <c r="CM159" s="8">
        <f t="shared" si="180"/>
        <v>5.2750692702829838E-11</v>
      </c>
      <c r="CN159" s="8">
        <f t="shared" si="180"/>
        <v>5.2750692702829838E-11</v>
      </c>
      <c r="CO159" s="8">
        <f t="shared" si="180"/>
        <v>5.2750692702829838E-11</v>
      </c>
      <c r="CP159" s="8">
        <f t="shared" si="180"/>
        <v>5.2750692702829838E-11</v>
      </c>
      <c r="CQ159" s="8">
        <f t="shared" si="180"/>
        <v>5.2750692702829838E-11</v>
      </c>
      <c r="CR159" s="8">
        <f t="shared" si="180"/>
        <v>5.2750692702829838E-11</v>
      </c>
      <c r="CS159" s="8">
        <f t="shared" si="180"/>
        <v>5.2750692702829838E-11</v>
      </c>
      <c r="CT159" s="8">
        <f t="shared" si="180"/>
        <v>5.2750692702829838E-11</v>
      </c>
      <c r="CU159" s="8">
        <f t="shared" si="180"/>
        <v>5.2750692702829838E-11</v>
      </c>
      <c r="CV159" s="8">
        <f t="shared" si="180"/>
        <v>5.2750692702829838E-11</v>
      </c>
      <c r="CW159" s="8">
        <f t="shared" si="180"/>
        <v>5.2750692702829838E-11</v>
      </c>
      <c r="CX159" s="8">
        <f t="shared" si="180"/>
        <v>5.2750692702829838E-11</v>
      </c>
      <c r="CY159" s="8">
        <f t="shared" si="180"/>
        <v>5.2750692702829838E-11</v>
      </c>
      <c r="CZ159" s="8">
        <f t="shared" si="180"/>
        <v>5.2750692702829838E-11</v>
      </c>
      <c r="DA159" s="8">
        <f t="shared" si="180"/>
        <v>5.2750692702829838E-11</v>
      </c>
      <c r="DB159" s="8"/>
      <c r="DC159" s="8"/>
      <c r="DD159" s="8"/>
      <c r="DE159" s="8"/>
      <c r="DF159" s="8"/>
    </row>
    <row r="160" spans="3:110" x14ac:dyDescent="0.4"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8"/>
      <c r="DD160" s="8"/>
      <c r="DE160" s="8"/>
      <c r="DF160" s="8"/>
    </row>
    <row r="161" spans="3:111" x14ac:dyDescent="0.4">
      <c r="D161" t="s">
        <v>158</v>
      </c>
      <c r="M161" s="8"/>
      <c r="N161" s="8">
        <f>AVERAGE(N154:N155)+AVERAGE(N158:N159)</f>
        <v>1179054.9759790951</v>
      </c>
      <c r="O161" s="8">
        <f t="shared" ref="O161:BZ161" si="181">AVERAGE(O154:O155)+AVERAGE(O158:O159)</f>
        <v>1143647.4579426206</v>
      </c>
      <c r="P161" s="8">
        <f t="shared" si="181"/>
        <v>1103397.4178749686</v>
      </c>
      <c r="Q161" s="8">
        <f t="shared" si="181"/>
        <v>1064871.2957972335</v>
      </c>
      <c r="R161" s="8">
        <f t="shared" si="181"/>
        <v>1027940.0460249495</v>
      </c>
      <c r="S161" s="8">
        <f t="shared" si="181"/>
        <v>992484.54946476361</v>
      </c>
      <c r="T161" s="8">
        <f t="shared" si="181"/>
        <v>958393.95918258291</v>
      </c>
      <c r="U161" s="8">
        <f t="shared" si="181"/>
        <v>925565.70040357555</v>
      </c>
      <c r="V161" s="8">
        <f t="shared" si="181"/>
        <v>893442.22959357477</v>
      </c>
      <c r="W161" s="8">
        <f t="shared" si="181"/>
        <v>861419.6791265537</v>
      </c>
      <c r="X161" s="8">
        <f t="shared" si="181"/>
        <v>829397.12865953275</v>
      </c>
      <c r="Y161" s="8">
        <f t="shared" si="181"/>
        <v>797374.57819251157</v>
      </c>
      <c r="Z161" s="8">
        <f t="shared" si="181"/>
        <v>765352.02772549051</v>
      </c>
      <c r="AA161" s="8">
        <f t="shared" si="181"/>
        <v>733329.47725846968</v>
      </c>
      <c r="AB161" s="8">
        <f t="shared" si="181"/>
        <v>701306.9267914485</v>
      </c>
      <c r="AC161" s="8">
        <f t="shared" si="181"/>
        <v>669284.37632442743</v>
      </c>
      <c r="AD161" s="8">
        <f t="shared" si="181"/>
        <v>637261.82585740625</v>
      </c>
      <c r="AE161" s="8">
        <f t="shared" si="181"/>
        <v>605239.27539038542</v>
      </c>
      <c r="AF161" s="8">
        <f t="shared" si="181"/>
        <v>573216.72492336435</v>
      </c>
      <c r="AG161" s="8">
        <f t="shared" si="181"/>
        <v>541194.17445634329</v>
      </c>
      <c r="AH161" s="8">
        <f t="shared" si="181"/>
        <v>512862.661451419</v>
      </c>
      <c r="AI161" s="8">
        <f t="shared" si="181"/>
        <v>491911.56893883675</v>
      </c>
      <c r="AJ161" s="8">
        <f t="shared" si="181"/>
        <v>474651.51388835121</v>
      </c>
      <c r="AK161" s="8">
        <f t="shared" si="181"/>
        <v>457391.45883786585</v>
      </c>
      <c r="AL161" s="8">
        <f t="shared" si="181"/>
        <v>440131.40378738032</v>
      </c>
      <c r="AM161" s="8">
        <f t="shared" si="181"/>
        <v>422871.34873689496</v>
      </c>
      <c r="AN161" s="8">
        <f t="shared" si="181"/>
        <v>405611.29368640942</v>
      </c>
      <c r="AO161" s="8">
        <f t="shared" si="181"/>
        <v>388351.23863592406</v>
      </c>
      <c r="AP161" s="8">
        <f t="shared" si="181"/>
        <v>371091.18358543859</v>
      </c>
      <c r="AQ161" s="8">
        <f t="shared" si="181"/>
        <v>353831.12853495311</v>
      </c>
      <c r="AR161" s="8">
        <f t="shared" si="181"/>
        <v>336571.07348446769</v>
      </c>
      <c r="AS161" s="8">
        <f t="shared" si="181"/>
        <v>319311.01843398222</v>
      </c>
      <c r="AT161" s="8">
        <f t="shared" si="181"/>
        <v>302050.9633834968</v>
      </c>
      <c r="AU161" s="8">
        <f t="shared" si="181"/>
        <v>284790.90833301132</v>
      </c>
      <c r="AV161" s="8">
        <f t="shared" si="181"/>
        <v>267530.8532825259</v>
      </c>
      <c r="AW161" s="8">
        <f t="shared" si="181"/>
        <v>250270.79823204043</v>
      </c>
      <c r="AX161" s="8">
        <f t="shared" si="181"/>
        <v>233010.74318155501</v>
      </c>
      <c r="AY161" s="8">
        <f t="shared" si="181"/>
        <v>215750.68813106953</v>
      </c>
      <c r="AZ161" s="8">
        <f t="shared" si="181"/>
        <v>198490.63308058411</v>
      </c>
      <c r="BA161" s="8">
        <f t="shared" si="181"/>
        <v>181230.57803009864</v>
      </c>
      <c r="BB161" s="8">
        <f t="shared" si="181"/>
        <v>163970.52297961322</v>
      </c>
      <c r="BC161" s="8">
        <f t="shared" si="181"/>
        <v>146710.46792912774</v>
      </c>
      <c r="BD161" s="8">
        <f t="shared" si="181"/>
        <v>129450.41287864231</v>
      </c>
      <c r="BE161" s="8">
        <f t="shared" si="181"/>
        <v>112190.35782815686</v>
      </c>
      <c r="BF161" s="8">
        <f t="shared" si="181"/>
        <v>94930.302777671357</v>
      </c>
      <c r="BG161" s="8">
        <f t="shared" si="181"/>
        <v>77670.247727185793</v>
      </c>
      <c r="BH161" s="8">
        <f t="shared" si="181"/>
        <v>60410.19267670023</v>
      </c>
      <c r="BI161" s="8">
        <f t="shared" si="181"/>
        <v>43150.137626214666</v>
      </c>
      <c r="BJ161" s="8">
        <f t="shared" si="181"/>
        <v>25890.082575729099</v>
      </c>
      <c r="BK161" s="8">
        <f t="shared" si="181"/>
        <v>8630.0275252431857</v>
      </c>
      <c r="BL161" s="8">
        <f t="shared" si="181"/>
        <v>5.2750692702829838E-11</v>
      </c>
      <c r="BM161" s="8">
        <f t="shared" si="181"/>
        <v>5.2750692702829838E-11</v>
      </c>
      <c r="BN161" s="8">
        <f t="shared" si="181"/>
        <v>5.2750692702829838E-11</v>
      </c>
      <c r="BO161" s="8">
        <f t="shared" si="181"/>
        <v>5.2750692702829838E-11</v>
      </c>
      <c r="BP161" s="8">
        <f t="shared" si="181"/>
        <v>5.2750692702829838E-11</v>
      </c>
      <c r="BQ161" s="8">
        <f t="shared" si="181"/>
        <v>5.2750692702829838E-11</v>
      </c>
      <c r="BR161" s="8">
        <f t="shared" si="181"/>
        <v>5.2750692702829838E-11</v>
      </c>
      <c r="BS161" s="8">
        <f t="shared" si="181"/>
        <v>5.2750692702829838E-11</v>
      </c>
      <c r="BT161" s="8">
        <f t="shared" si="181"/>
        <v>5.2750692702829838E-11</v>
      </c>
      <c r="BU161" s="8">
        <f t="shared" si="181"/>
        <v>5.2750692702829838E-11</v>
      </c>
      <c r="BV161" s="8">
        <f t="shared" si="181"/>
        <v>5.2750692702829838E-11</v>
      </c>
      <c r="BW161" s="8">
        <f t="shared" si="181"/>
        <v>5.2750692702829838E-11</v>
      </c>
      <c r="BX161" s="8">
        <f t="shared" si="181"/>
        <v>5.2750692702829838E-11</v>
      </c>
      <c r="BY161" s="8">
        <f t="shared" si="181"/>
        <v>5.2750692702829838E-11</v>
      </c>
      <c r="BZ161" s="8">
        <f t="shared" si="181"/>
        <v>5.2750692702829838E-11</v>
      </c>
      <c r="CA161" s="8">
        <f t="shared" ref="CA161:DA161" si="182">AVERAGE(CA154:CA155)+AVERAGE(CA158:CA159)</f>
        <v>5.2750692702829838E-11</v>
      </c>
      <c r="CB161" s="8">
        <f t="shared" si="182"/>
        <v>5.2750692702829838E-11</v>
      </c>
      <c r="CC161" s="8">
        <f t="shared" si="182"/>
        <v>5.2750692702829838E-11</v>
      </c>
      <c r="CD161" s="8">
        <f t="shared" si="182"/>
        <v>5.2750692702829838E-11</v>
      </c>
      <c r="CE161" s="8">
        <f t="shared" si="182"/>
        <v>5.2750692702829838E-11</v>
      </c>
      <c r="CF161" s="8">
        <f t="shared" si="182"/>
        <v>5.2750692702829838E-11</v>
      </c>
      <c r="CG161" s="8">
        <f t="shared" si="182"/>
        <v>5.2750692702829838E-11</v>
      </c>
      <c r="CH161" s="8">
        <f t="shared" si="182"/>
        <v>5.2750692702829838E-11</v>
      </c>
      <c r="CI161" s="8">
        <f t="shared" si="182"/>
        <v>5.2750692702829838E-11</v>
      </c>
      <c r="CJ161" s="8">
        <f t="shared" si="182"/>
        <v>5.2750692702829838E-11</v>
      </c>
      <c r="CK161" s="8">
        <f t="shared" si="182"/>
        <v>5.2750692702829838E-11</v>
      </c>
      <c r="CL161" s="8">
        <f t="shared" si="182"/>
        <v>5.2750692702829838E-11</v>
      </c>
      <c r="CM161" s="8">
        <f t="shared" si="182"/>
        <v>5.2750692702829838E-11</v>
      </c>
      <c r="CN161" s="8">
        <f t="shared" si="182"/>
        <v>5.2750692702829838E-11</v>
      </c>
      <c r="CO161" s="8">
        <f t="shared" si="182"/>
        <v>5.2750692702829838E-11</v>
      </c>
      <c r="CP161" s="8">
        <f t="shared" si="182"/>
        <v>5.2750692702829838E-11</v>
      </c>
      <c r="CQ161" s="8">
        <f t="shared" si="182"/>
        <v>5.2750692702829838E-11</v>
      </c>
      <c r="CR161" s="8">
        <f t="shared" si="182"/>
        <v>5.2750692702829838E-11</v>
      </c>
      <c r="CS161" s="8">
        <f t="shared" si="182"/>
        <v>5.2750692702829838E-11</v>
      </c>
      <c r="CT161" s="8">
        <f t="shared" si="182"/>
        <v>5.2750692702829838E-11</v>
      </c>
      <c r="CU161" s="8">
        <f t="shared" si="182"/>
        <v>5.2750692702829838E-11</v>
      </c>
      <c r="CV161" s="8">
        <f t="shared" si="182"/>
        <v>5.2750692702829838E-11</v>
      </c>
      <c r="CW161" s="8">
        <f t="shared" si="182"/>
        <v>5.2750692702829838E-11</v>
      </c>
      <c r="CX161" s="8">
        <f t="shared" si="182"/>
        <v>5.2750692702829838E-11</v>
      </c>
      <c r="CY161" s="8">
        <f t="shared" si="182"/>
        <v>5.2750692702829838E-11</v>
      </c>
      <c r="CZ161" s="8">
        <f t="shared" si="182"/>
        <v>5.2750692702829838E-11</v>
      </c>
      <c r="DA161" s="8">
        <f t="shared" si="182"/>
        <v>5.2750692702829838E-11</v>
      </c>
      <c r="DB161" s="8"/>
      <c r="DC161" s="8"/>
      <c r="DD161" s="8"/>
      <c r="DE161" s="8"/>
      <c r="DF161" s="8"/>
    </row>
    <row r="162" spans="3:111" x14ac:dyDescent="0.4"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8"/>
      <c r="DD162" s="8"/>
      <c r="DE162" s="8"/>
      <c r="DF162" s="8"/>
    </row>
    <row r="163" spans="3:111" x14ac:dyDescent="0.4">
      <c r="D163" t="s">
        <v>209</v>
      </c>
      <c r="M163" s="8"/>
      <c r="N163" s="8">
        <f t="shared" ref="N163:AS163" si="183">N161*AVG_PRE_TAX_RATE</f>
        <v>105289.6093549332</v>
      </c>
      <c r="O163" s="8">
        <f t="shared" si="183"/>
        <v>102127.71799427603</v>
      </c>
      <c r="P163" s="8">
        <f t="shared" si="183"/>
        <v>98533.389416234699</v>
      </c>
      <c r="Q163" s="8">
        <f t="shared" si="183"/>
        <v>95093.00671469295</v>
      </c>
      <c r="R163" s="8">
        <f t="shared" si="183"/>
        <v>91795.046110027994</v>
      </c>
      <c r="S163" s="8">
        <f t="shared" si="183"/>
        <v>88628.870267203398</v>
      </c>
      <c r="T163" s="8">
        <f t="shared" si="183"/>
        <v>85584.580555004664</v>
      </c>
      <c r="U163" s="8">
        <f t="shared" si="183"/>
        <v>82653.017046039298</v>
      </c>
      <c r="V163" s="8">
        <f t="shared" si="183"/>
        <v>79784.391102706228</v>
      </c>
      <c r="W163" s="8">
        <f t="shared" si="183"/>
        <v>76924.777346001254</v>
      </c>
      <c r="X163" s="8">
        <f t="shared" si="183"/>
        <v>74065.16358929628</v>
      </c>
      <c r="Y163" s="8">
        <f t="shared" si="183"/>
        <v>71205.549832591292</v>
      </c>
      <c r="Z163" s="8">
        <f t="shared" si="183"/>
        <v>68345.936075886304</v>
      </c>
      <c r="AA163" s="8">
        <f t="shared" si="183"/>
        <v>65486.322319181345</v>
      </c>
      <c r="AB163" s="8">
        <f t="shared" si="183"/>
        <v>62626.708562476357</v>
      </c>
      <c r="AC163" s="8">
        <f t="shared" si="183"/>
        <v>59767.094805771376</v>
      </c>
      <c r="AD163" s="8">
        <f t="shared" si="183"/>
        <v>56907.48104906638</v>
      </c>
      <c r="AE163" s="8">
        <f t="shared" si="183"/>
        <v>54047.867292361421</v>
      </c>
      <c r="AF163" s="8">
        <f t="shared" si="183"/>
        <v>51188.25353565644</v>
      </c>
      <c r="AG163" s="8">
        <f t="shared" si="183"/>
        <v>48328.639778951459</v>
      </c>
      <c r="AH163" s="8">
        <f t="shared" si="183"/>
        <v>45798.635667611721</v>
      </c>
      <c r="AI163" s="8">
        <f t="shared" si="183"/>
        <v>43927.703106238121</v>
      </c>
      <c r="AJ163" s="8">
        <f t="shared" si="183"/>
        <v>42386.380190229764</v>
      </c>
      <c r="AK163" s="8">
        <f t="shared" si="183"/>
        <v>40845.057274221421</v>
      </c>
      <c r="AL163" s="8">
        <f t="shared" si="183"/>
        <v>39303.734358213063</v>
      </c>
      <c r="AM163" s="8">
        <f t="shared" si="183"/>
        <v>37762.411442204721</v>
      </c>
      <c r="AN163" s="8">
        <f t="shared" si="183"/>
        <v>36221.088526196363</v>
      </c>
      <c r="AO163" s="8">
        <f t="shared" si="183"/>
        <v>34679.76561018802</v>
      </c>
      <c r="AP163" s="8">
        <f t="shared" si="183"/>
        <v>33138.44269417967</v>
      </c>
      <c r="AQ163" s="8">
        <f t="shared" si="183"/>
        <v>31597.119778171313</v>
      </c>
      <c r="AR163" s="8">
        <f t="shared" si="183"/>
        <v>30055.796862162966</v>
      </c>
      <c r="AS163" s="8">
        <f t="shared" si="183"/>
        <v>28514.473946154612</v>
      </c>
      <c r="AT163" s="8">
        <f t="shared" ref="AT163:BY163" si="184">AT161*AVG_PRE_TAX_RATE</f>
        <v>26973.151030146266</v>
      </c>
      <c r="AU163" s="8">
        <f t="shared" si="184"/>
        <v>25431.828114137912</v>
      </c>
      <c r="AV163" s="8">
        <f t="shared" si="184"/>
        <v>23890.505198129566</v>
      </c>
      <c r="AW163" s="8">
        <f t="shared" si="184"/>
        <v>22349.182282121212</v>
      </c>
      <c r="AX163" s="8">
        <f t="shared" si="184"/>
        <v>20807.859366112862</v>
      </c>
      <c r="AY163" s="8">
        <f t="shared" si="184"/>
        <v>19266.536450104511</v>
      </c>
      <c r="AZ163" s="8">
        <f t="shared" si="184"/>
        <v>17725.213534096161</v>
      </c>
      <c r="BA163" s="8">
        <f t="shared" si="184"/>
        <v>16183.890618087809</v>
      </c>
      <c r="BB163" s="8">
        <f t="shared" si="184"/>
        <v>14642.567702079461</v>
      </c>
      <c r="BC163" s="8">
        <f t="shared" si="184"/>
        <v>13101.244786071107</v>
      </c>
      <c r="BD163" s="8">
        <f t="shared" si="184"/>
        <v>11559.921870062759</v>
      </c>
      <c r="BE163" s="8">
        <f t="shared" si="184"/>
        <v>10018.598954054409</v>
      </c>
      <c r="BF163" s="8">
        <f t="shared" si="184"/>
        <v>8477.2760380460531</v>
      </c>
      <c r="BG163" s="8">
        <f t="shared" si="184"/>
        <v>6935.9531220376921</v>
      </c>
      <c r="BH163" s="8">
        <f t="shared" si="184"/>
        <v>5394.630206029331</v>
      </c>
      <c r="BI163" s="8">
        <f t="shared" si="184"/>
        <v>3853.30729002097</v>
      </c>
      <c r="BJ163" s="8">
        <f t="shared" si="184"/>
        <v>2311.9843740126084</v>
      </c>
      <c r="BK163" s="8">
        <f t="shared" si="184"/>
        <v>770.66145800421657</v>
      </c>
      <c r="BL163" s="8">
        <f t="shared" si="184"/>
        <v>4.7106368583627047E-12</v>
      </c>
      <c r="BM163" s="8">
        <f t="shared" si="184"/>
        <v>4.7106368583627047E-12</v>
      </c>
      <c r="BN163" s="8">
        <f t="shared" si="184"/>
        <v>4.7106368583627047E-12</v>
      </c>
      <c r="BO163" s="8">
        <f t="shared" si="184"/>
        <v>4.7106368583627047E-12</v>
      </c>
      <c r="BP163" s="8">
        <f t="shared" si="184"/>
        <v>4.7106368583627047E-12</v>
      </c>
      <c r="BQ163" s="8">
        <f t="shared" si="184"/>
        <v>4.7106368583627047E-12</v>
      </c>
      <c r="BR163" s="8">
        <f t="shared" si="184"/>
        <v>4.7106368583627047E-12</v>
      </c>
      <c r="BS163" s="8">
        <f t="shared" si="184"/>
        <v>4.7106368583627047E-12</v>
      </c>
      <c r="BT163" s="8">
        <f t="shared" si="184"/>
        <v>4.7106368583627047E-12</v>
      </c>
      <c r="BU163" s="8">
        <f t="shared" si="184"/>
        <v>4.7106368583627047E-12</v>
      </c>
      <c r="BV163" s="8">
        <f t="shared" si="184"/>
        <v>4.7106368583627047E-12</v>
      </c>
      <c r="BW163" s="8">
        <f t="shared" si="184"/>
        <v>4.7106368583627047E-12</v>
      </c>
      <c r="BX163" s="8">
        <f t="shared" si="184"/>
        <v>4.7106368583627047E-12</v>
      </c>
      <c r="BY163" s="8">
        <f t="shared" si="184"/>
        <v>4.7106368583627047E-12</v>
      </c>
      <c r="BZ163" s="8">
        <f t="shared" ref="BZ163:DA163" si="185">BZ161*AVG_PRE_TAX_RATE</f>
        <v>4.7106368583627047E-12</v>
      </c>
      <c r="CA163" s="8">
        <f t="shared" si="185"/>
        <v>4.7106368583627047E-12</v>
      </c>
      <c r="CB163" s="8">
        <f t="shared" si="185"/>
        <v>4.7106368583627047E-12</v>
      </c>
      <c r="CC163" s="8">
        <f t="shared" si="185"/>
        <v>4.7106368583627047E-12</v>
      </c>
      <c r="CD163" s="8">
        <f t="shared" si="185"/>
        <v>4.7106368583627047E-12</v>
      </c>
      <c r="CE163" s="8">
        <f t="shared" si="185"/>
        <v>4.7106368583627047E-12</v>
      </c>
      <c r="CF163" s="8">
        <f t="shared" si="185"/>
        <v>4.7106368583627047E-12</v>
      </c>
      <c r="CG163" s="8">
        <f t="shared" si="185"/>
        <v>4.7106368583627047E-12</v>
      </c>
      <c r="CH163" s="8">
        <f t="shared" si="185"/>
        <v>4.7106368583627047E-12</v>
      </c>
      <c r="CI163" s="8">
        <f t="shared" si="185"/>
        <v>4.7106368583627047E-12</v>
      </c>
      <c r="CJ163" s="8">
        <f t="shared" si="185"/>
        <v>4.7106368583627047E-12</v>
      </c>
      <c r="CK163" s="8">
        <f t="shared" si="185"/>
        <v>4.7106368583627047E-12</v>
      </c>
      <c r="CL163" s="8">
        <f t="shared" si="185"/>
        <v>4.7106368583627047E-12</v>
      </c>
      <c r="CM163" s="8">
        <f t="shared" si="185"/>
        <v>4.7106368583627047E-12</v>
      </c>
      <c r="CN163" s="8">
        <f t="shared" si="185"/>
        <v>4.7106368583627047E-12</v>
      </c>
      <c r="CO163" s="8">
        <f t="shared" si="185"/>
        <v>4.7106368583627047E-12</v>
      </c>
      <c r="CP163" s="8">
        <f t="shared" si="185"/>
        <v>4.7106368583627047E-12</v>
      </c>
      <c r="CQ163" s="8">
        <f t="shared" si="185"/>
        <v>4.7106368583627047E-12</v>
      </c>
      <c r="CR163" s="8">
        <f t="shared" si="185"/>
        <v>4.7106368583627047E-12</v>
      </c>
      <c r="CS163" s="8">
        <f t="shared" si="185"/>
        <v>4.7106368583627047E-12</v>
      </c>
      <c r="CT163" s="8">
        <f t="shared" si="185"/>
        <v>4.7106368583627047E-12</v>
      </c>
      <c r="CU163" s="8">
        <f t="shared" si="185"/>
        <v>4.7106368583627047E-12</v>
      </c>
      <c r="CV163" s="8">
        <f t="shared" si="185"/>
        <v>4.7106368583627047E-12</v>
      </c>
      <c r="CW163" s="8">
        <f t="shared" si="185"/>
        <v>4.7106368583627047E-12</v>
      </c>
      <c r="CX163" s="8">
        <f t="shared" si="185"/>
        <v>4.7106368583627047E-12</v>
      </c>
      <c r="CY163" s="8">
        <f t="shared" si="185"/>
        <v>4.7106368583627047E-12</v>
      </c>
      <c r="CZ163" s="8">
        <f t="shared" si="185"/>
        <v>4.7106368583627047E-12</v>
      </c>
      <c r="DA163" s="8">
        <f t="shared" si="185"/>
        <v>4.7106368583627047E-12</v>
      </c>
      <c r="DB163" s="8"/>
      <c r="DC163" s="8"/>
      <c r="DD163" s="8"/>
      <c r="DE163" s="8"/>
      <c r="DF163" s="8"/>
    </row>
    <row r="166" spans="3:111" x14ac:dyDescent="0.4">
      <c r="C166" s="58" t="str">
        <f>C149</f>
        <v>Investment year in service</v>
      </c>
      <c r="E166" t="str">
        <f>IF(E167&lt;$C167,"",E167-$C167)</f>
        <v/>
      </c>
      <c r="F166" t="str">
        <f>IF(F167&lt;$C167,"",F167-$C167)</f>
        <v/>
      </c>
      <c r="G166" t="str">
        <f t="shared" ref="G166:BR166" si="186">IF(G167&lt;$C167,"",G167-$C167)</f>
        <v/>
      </c>
      <c r="H166" t="str">
        <f t="shared" si="186"/>
        <v/>
      </c>
      <c r="I166" t="str">
        <f t="shared" si="186"/>
        <v/>
      </c>
      <c r="J166" t="str">
        <f t="shared" si="186"/>
        <v/>
      </c>
      <c r="K166" t="str">
        <f t="shared" si="186"/>
        <v/>
      </c>
      <c r="L166" t="str">
        <f t="shared" si="186"/>
        <v/>
      </c>
      <c r="M166" t="str">
        <f t="shared" si="186"/>
        <v/>
      </c>
      <c r="N166">
        <f t="shared" si="186"/>
        <v>0</v>
      </c>
      <c r="O166">
        <f t="shared" si="186"/>
        <v>1</v>
      </c>
      <c r="P166">
        <f t="shared" si="186"/>
        <v>2</v>
      </c>
      <c r="Q166">
        <f t="shared" si="186"/>
        <v>3</v>
      </c>
      <c r="R166">
        <f t="shared" si="186"/>
        <v>4</v>
      </c>
      <c r="S166">
        <f t="shared" si="186"/>
        <v>5</v>
      </c>
      <c r="T166">
        <f t="shared" si="186"/>
        <v>6</v>
      </c>
      <c r="U166">
        <f t="shared" si="186"/>
        <v>7</v>
      </c>
      <c r="V166">
        <f t="shared" si="186"/>
        <v>8</v>
      </c>
      <c r="W166">
        <f t="shared" si="186"/>
        <v>9</v>
      </c>
      <c r="X166">
        <f t="shared" si="186"/>
        <v>10</v>
      </c>
      <c r="Y166">
        <f t="shared" si="186"/>
        <v>11</v>
      </c>
      <c r="Z166">
        <f t="shared" si="186"/>
        <v>12</v>
      </c>
      <c r="AA166">
        <f t="shared" si="186"/>
        <v>13</v>
      </c>
      <c r="AB166">
        <f t="shared" si="186"/>
        <v>14</v>
      </c>
      <c r="AC166">
        <f t="shared" si="186"/>
        <v>15</v>
      </c>
      <c r="AD166">
        <f t="shared" si="186"/>
        <v>16</v>
      </c>
      <c r="AE166">
        <f t="shared" si="186"/>
        <v>17</v>
      </c>
      <c r="AF166">
        <f t="shared" si="186"/>
        <v>18</v>
      </c>
      <c r="AG166">
        <f t="shared" si="186"/>
        <v>19</v>
      </c>
      <c r="AH166">
        <f t="shared" si="186"/>
        <v>20</v>
      </c>
      <c r="AI166">
        <f t="shared" si="186"/>
        <v>21</v>
      </c>
      <c r="AJ166">
        <f t="shared" si="186"/>
        <v>22</v>
      </c>
      <c r="AK166">
        <f t="shared" si="186"/>
        <v>23</v>
      </c>
      <c r="AL166">
        <f t="shared" si="186"/>
        <v>24</v>
      </c>
      <c r="AM166">
        <f t="shared" si="186"/>
        <v>25</v>
      </c>
      <c r="AN166">
        <f t="shared" si="186"/>
        <v>26</v>
      </c>
      <c r="AO166">
        <f t="shared" si="186"/>
        <v>27</v>
      </c>
      <c r="AP166">
        <f t="shared" si="186"/>
        <v>28</v>
      </c>
      <c r="AQ166">
        <f t="shared" si="186"/>
        <v>29</v>
      </c>
      <c r="AR166">
        <f t="shared" si="186"/>
        <v>30</v>
      </c>
      <c r="AS166">
        <f t="shared" si="186"/>
        <v>31</v>
      </c>
      <c r="AT166">
        <f t="shared" si="186"/>
        <v>32</v>
      </c>
      <c r="AU166">
        <f t="shared" si="186"/>
        <v>33</v>
      </c>
      <c r="AV166">
        <f t="shared" si="186"/>
        <v>34</v>
      </c>
      <c r="AW166">
        <f t="shared" si="186"/>
        <v>35</v>
      </c>
      <c r="AX166">
        <f t="shared" si="186"/>
        <v>36</v>
      </c>
      <c r="AY166">
        <f t="shared" si="186"/>
        <v>37</v>
      </c>
      <c r="AZ166">
        <f t="shared" si="186"/>
        <v>38</v>
      </c>
      <c r="BA166">
        <f t="shared" si="186"/>
        <v>39</v>
      </c>
      <c r="BB166">
        <f t="shared" si="186"/>
        <v>40</v>
      </c>
      <c r="BC166">
        <f t="shared" si="186"/>
        <v>41</v>
      </c>
      <c r="BD166">
        <f t="shared" si="186"/>
        <v>42</v>
      </c>
      <c r="BE166">
        <f t="shared" si="186"/>
        <v>43</v>
      </c>
      <c r="BF166">
        <f t="shared" si="186"/>
        <v>44</v>
      </c>
      <c r="BG166">
        <f t="shared" si="186"/>
        <v>45</v>
      </c>
      <c r="BH166">
        <f t="shared" si="186"/>
        <v>46</v>
      </c>
      <c r="BI166">
        <f t="shared" si="186"/>
        <v>47</v>
      </c>
      <c r="BJ166">
        <f t="shared" si="186"/>
        <v>48</v>
      </c>
      <c r="BK166">
        <f t="shared" si="186"/>
        <v>49</v>
      </c>
      <c r="BL166">
        <f t="shared" si="186"/>
        <v>50</v>
      </c>
      <c r="BM166">
        <f t="shared" si="186"/>
        <v>51</v>
      </c>
      <c r="BN166">
        <f t="shared" si="186"/>
        <v>52</v>
      </c>
      <c r="BO166">
        <f t="shared" si="186"/>
        <v>53</v>
      </c>
      <c r="BP166">
        <f t="shared" si="186"/>
        <v>54</v>
      </c>
      <c r="BQ166">
        <f t="shared" si="186"/>
        <v>55</v>
      </c>
      <c r="BR166">
        <f t="shared" si="186"/>
        <v>56</v>
      </c>
      <c r="BS166">
        <f t="shared" ref="BS166:DA166" si="187">IF(BS167&lt;$C167,"",BS167-$C167)</f>
        <v>57</v>
      </c>
      <c r="BT166">
        <f t="shared" si="187"/>
        <v>58</v>
      </c>
      <c r="BU166">
        <f t="shared" si="187"/>
        <v>59</v>
      </c>
      <c r="BV166">
        <f t="shared" si="187"/>
        <v>60</v>
      </c>
      <c r="BW166">
        <f t="shared" si="187"/>
        <v>61</v>
      </c>
      <c r="BX166">
        <f t="shared" si="187"/>
        <v>62</v>
      </c>
      <c r="BY166">
        <f t="shared" si="187"/>
        <v>63</v>
      </c>
      <c r="BZ166">
        <f t="shared" si="187"/>
        <v>64</v>
      </c>
      <c r="CA166">
        <f t="shared" si="187"/>
        <v>65</v>
      </c>
      <c r="CB166">
        <f t="shared" si="187"/>
        <v>66</v>
      </c>
      <c r="CC166">
        <f t="shared" si="187"/>
        <v>67</v>
      </c>
      <c r="CD166">
        <f t="shared" si="187"/>
        <v>68</v>
      </c>
      <c r="CE166">
        <f t="shared" si="187"/>
        <v>69</v>
      </c>
      <c r="CF166">
        <f t="shared" si="187"/>
        <v>70</v>
      </c>
      <c r="CG166">
        <f t="shared" si="187"/>
        <v>71</v>
      </c>
      <c r="CH166">
        <f t="shared" si="187"/>
        <v>72</v>
      </c>
      <c r="CI166">
        <f t="shared" si="187"/>
        <v>73</v>
      </c>
      <c r="CJ166">
        <f t="shared" si="187"/>
        <v>74</v>
      </c>
      <c r="CK166">
        <f t="shared" si="187"/>
        <v>75</v>
      </c>
      <c r="CL166">
        <f t="shared" si="187"/>
        <v>76</v>
      </c>
      <c r="CM166">
        <f t="shared" si="187"/>
        <v>77</v>
      </c>
      <c r="CN166">
        <f t="shared" si="187"/>
        <v>78</v>
      </c>
      <c r="CO166">
        <f t="shared" si="187"/>
        <v>79</v>
      </c>
      <c r="CP166">
        <f t="shared" si="187"/>
        <v>80</v>
      </c>
      <c r="CQ166">
        <f t="shared" si="187"/>
        <v>81</v>
      </c>
      <c r="CR166">
        <f t="shared" si="187"/>
        <v>82</v>
      </c>
      <c r="CS166">
        <f t="shared" si="187"/>
        <v>83</v>
      </c>
      <c r="CT166">
        <f t="shared" si="187"/>
        <v>84</v>
      </c>
      <c r="CU166">
        <f t="shared" si="187"/>
        <v>85</v>
      </c>
      <c r="CV166">
        <f t="shared" si="187"/>
        <v>86</v>
      </c>
      <c r="CW166">
        <f t="shared" si="187"/>
        <v>87</v>
      </c>
      <c r="CX166">
        <f t="shared" si="187"/>
        <v>88</v>
      </c>
      <c r="CY166">
        <f t="shared" si="187"/>
        <v>89</v>
      </c>
      <c r="CZ166">
        <f t="shared" si="187"/>
        <v>90</v>
      </c>
      <c r="DA166">
        <f t="shared" si="187"/>
        <v>91</v>
      </c>
    </row>
    <row r="167" spans="3:111" x14ac:dyDescent="0.4">
      <c r="C167">
        <f>C150+1</f>
        <v>2036</v>
      </c>
      <c r="D167" s="5" t="s">
        <v>434</v>
      </c>
      <c r="E167" s="5">
        <v>2027</v>
      </c>
      <c r="F167" s="5">
        <v>2028</v>
      </c>
      <c r="G167" s="5">
        <v>2029</v>
      </c>
      <c r="H167" s="5">
        <v>2030</v>
      </c>
      <c r="I167" s="5">
        <v>2031</v>
      </c>
      <c r="J167" s="5">
        <v>2032</v>
      </c>
      <c r="K167" s="5">
        <v>2033</v>
      </c>
      <c r="L167" s="5">
        <v>2034</v>
      </c>
      <c r="M167" s="5">
        <v>2035</v>
      </c>
      <c r="N167" s="5">
        <v>2036</v>
      </c>
      <c r="O167" s="5">
        <v>2037</v>
      </c>
      <c r="P167" s="5">
        <v>2038</v>
      </c>
      <c r="Q167" s="5">
        <v>2039</v>
      </c>
      <c r="R167" s="5">
        <v>2040</v>
      </c>
      <c r="S167" s="5">
        <v>2041</v>
      </c>
      <c r="T167" s="5">
        <v>2042</v>
      </c>
      <c r="U167" s="5">
        <v>2043</v>
      </c>
      <c r="V167" s="5">
        <v>2044</v>
      </c>
      <c r="W167" s="5">
        <v>2045</v>
      </c>
      <c r="X167" s="5">
        <v>2046</v>
      </c>
      <c r="Y167" s="5">
        <v>2047</v>
      </c>
      <c r="Z167" s="5">
        <v>2048</v>
      </c>
      <c r="AA167" s="5">
        <v>2049</v>
      </c>
      <c r="AB167" s="5">
        <v>2050</v>
      </c>
      <c r="AC167" s="5">
        <v>2051</v>
      </c>
      <c r="AD167" s="5">
        <v>2052</v>
      </c>
      <c r="AE167" s="5">
        <v>2053</v>
      </c>
      <c r="AF167" s="5">
        <v>2054</v>
      </c>
      <c r="AG167" s="5">
        <v>2055</v>
      </c>
      <c r="AH167" s="5">
        <v>2056</v>
      </c>
      <c r="AI167" s="5">
        <v>2057</v>
      </c>
      <c r="AJ167" s="5">
        <v>2058</v>
      </c>
      <c r="AK167" s="5">
        <v>2059</v>
      </c>
      <c r="AL167" s="5">
        <v>2060</v>
      </c>
      <c r="AM167" s="5">
        <v>2061</v>
      </c>
      <c r="AN167" s="5">
        <v>2062</v>
      </c>
      <c r="AO167" s="5">
        <v>2063</v>
      </c>
      <c r="AP167" s="5">
        <v>2064</v>
      </c>
      <c r="AQ167" s="5">
        <v>2065</v>
      </c>
      <c r="AR167" s="5">
        <v>2066</v>
      </c>
      <c r="AS167" s="5">
        <v>2067</v>
      </c>
      <c r="AT167" s="5">
        <v>2068</v>
      </c>
      <c r="AU167" s="5">
        <v>2069</v>
      </c>
      <c r="AV167" s="5">
        <v>2070</v>
      </c>
      <c r="AW167" s="5">
        <v>2071</v>
      </c>
      <c r="AX167" s="5">
        <v>2072</v>
      </c>
      <c r="AY167" s="5">
        <v>2073</v>
      </c>
      <c r="AZ167" s="5">
        <v>2074</v>
      </c>
      <c r="BA167" s="5">
        <v>2075</v>
      </c>
      <c r="BB167" s="5">
        <v>2076</v>
      </c>
      <c r="BC167" s="5">
        <v>2077</v>
      </c>
      <c r="BD167" s="5">
        <v>2078</v>
      </c>
      <c r="BE167" s="5">
        <v>2079</v>
      </c>
      <c r="BF167" s="5">
        <v>2080</v>
      </c>
      <c r="BG167" s="5">
        <v>2081</v>
      </c>
      <c r="BH167" s="5">
        <v>2082</v>
      </c>
      <c r="BI167" s="5">
        <v>2083</v>
      </c>
      <c r="BJ167" s="5">
        <v>2084</v>
      </c>
      <c r="BK167" s="5">
        <v>2085</v>
      </c>
      <c r="BL167" s="5">
        <v>2086</v>
      </c>
      <c r="BM167" s="5">
        <v>2087</v>
      </c>
      <c r="BN167" s="5">
        <v>2088</v>
      </c>
      <c r="BO167" s="5">
        <v>2089</v>
      </c>
      <c r="BP167" s="5">
        <v>2090</v>
      </c>
      <c r="BQ167" s="5">
        <v>2091</v>
      </c>
      <c r="BR167" s="5">
        <v>2092</v>
      </c>
      <c r="BS167" s="5">
        <v>2093</v>
      </c>
      <c r="BT167" s="5">
        <v>2094</v>
      </c>
      <c r="BU167" s="5">
        <v>2095</v>
      </c>
      <c r="BV167" s="5">
        <v>2096</v>
      </c>
      <c r="BW167" s="5">
        <v>2097</v>
      </c>
      <c r="BX167" s="5">
        <v>2098</v>
      </c>
      <c r="BY167" s="5">
        <v>2099</v>
      </c>
      <c r="BZ167" s="5">
        <v>2100</v>
      </c>
      <c r="CA167" s="5">
        <v>2101</v>
      </c>
      <c r="CB167" s="5">
        <v>2102</v>
      </c>
      <c r="CC167" s="5">
        <v>2103</v>
      </c>
      <c r="CD167" s="5">
        <v>2104</v>
      </c>
      <c r="CE167" s="5">
        <v>2105</v>
      </c>
      <c r="CF167" s="5">
        <v>2106</v>
      </c>
      <c r="CG167" s="5">
        <v>2107</v>
      </c>
      <c r="CH167" s="5">
        <v>2108</v>
      </c>
      <c r="CI167" s="5">
        <v>2109</v>
      </c>
      <c r="CJ167" s="5">
        <v>2110</v>
      </c>
      <c r="CK167" s="5">
        <v>2111</v>
      </c>
      <c r="CL167" s="5">
        <v>2112</v>
      </c>
      <c r="CM167" s="5">
        <v>2113</v>
      </c>
      <c r="CN167" s="5">
        <v>2114</v>
      </c>
      <c r="CO167" s="5">
        <v>2115</v>
      </c>
      <c r="CP167" s="5">
        <v>2116</v>
      </c>
      <c r="CQ167" s="5">
        <v>2117</v>
      </c>
      <c r="CR167" s="5">
        <v>2118</v>
      </c>
      <c r="CS167" s="5">
        <v>2119</v>
      </c>
      <c r="CT167" s="5">
        <v>2120</v>
      </c>
      <c r="CU167" s="5">
        <v>2121</v>
      </c>
      <c r="CV167" s="5">
        <v>2122</v>
      </c>
      <c r="CW167" s="5">
        <v>2123</v>
      </c>
      <c r="CX167" s="5">
        <v>2124</v>
      </c>
      <c r="CY167" s="5">
        <v>2125</v>
      </c>
      <c r="CZ167" s="5">
        <v>2126</v>
      </c>
      <c r="DA167" s="5">
        <v>2127</v>
      </c>
    </row>
    <row r="168" spans="3:111" x14ac:dyDescent="0.4">
      <c r="D168" t="s">
        <v>207</v>
      </c>
      <c r="O168" s="8">
        <f>IF(O$13&lt;=$B$3,O169/$B$3,0)</f>
        <v>24403.093673094256</v>
      </c>
      <c r="P168" s="8">
        <f>IF(P166&lt;=$B$3,O168,0)</f>
        <v>24403.093673094256</v>
      </c>
      <c r="Q168" s="8">
        <f t="shared" ref="Q168:CB168" si="188">IF(Q166&lt;=$B$3,P168,0)</f>
        <v>24403.093673094256</v>
      </c>
      <c r="R168" s="8">
        <f t="shared" si="188"/>
        <v>24403.093673094256</v>
      </c>
      <c r="S168" s="8">
        <f t="shared" si="188"/>
        <v>24403.093673094256</v>
      </c>
      <c r="T168" s="8">
        <f t="shared" si="188"/>
        <v>24403.093673094256</v>
      </c>
      <c r="U168" s="8">
        <f t="shared" si="188"/>
        <v>24403.093673094256</v>
      </c>
      <c r="V168" s="8">
        <f t="shared" si="188"/>
        <v>24403.093673094256</v>
      </c>
      <c r="W168" s="8">
        <f t="shared" si="188"/>
        <v>24403.093673094256</v>
      </c>
      <c r="X168" s="8">
        <f t="shared" si="188"/>
        <v>24403.093673094256</v>
      </c>
      <c r="Y168" s="8">
        <f t="shared" si="188"/>
        <v>24403.093673094256</v>
      </c>
      <c r="Z168" s="8">
        <f t="shared" si="188"/>
        <v>24403.093673094256</v>
      </c>
      <c r="AA168" s="8">
        <f t="shared" si="188"/>
        <v>24403.093673094256</v>
      </c>
      <c r="AB168" s="8">
        <f t="shared" si="188"/>
        <v>24403.093673094256</v>
      </c>
      <c r="AC168" s="8">
        <f t="shared" si="188"/>
        <v>24403.093673094256</v>
      </c>
      <c r="AD168" s="8">
        <f t="shared" si="188"/>
        <v>24403.093673094256</v>
      </c>
      <c r="AE168" s="8">
        <f t="shared" si="188"/>
        <v>24403.093673094256</v>
      </c>
      <c r="AF168" s="8">
        <f t="shared" si="188"/>
        <v>24403.093673094256</v>
      </c>
      <c r="AG168" s="8">
        <f t="shared" si="188"/>
        <v>24403.093673094256</v>
      </c>
      <c r="AH168" s="8">
        <f t="shared" si="188"/>
        <v>24403.093673094256</v>
      </c>
      <c r="AI168" s="8">
        <f t="shared" si="188"/>
        <v>24403.093673094256</v>
      </c>
      <c r="AJ168" s="8">
        <f t="shared" si="188"/>
        <v>24403.093673094256</v>
      </c>
      <c r="AK168" s="8">
        <f t="shared" si="188"/>
        <v>24403.093673094256</v>
      </c>
      <c r="AL168" s="8">
        <f t="shared" si="188"/>
        <v>24403.093673094256</v>
      </c>
      <c r="AM168" s="8">
        <f t="shared" si="188"/>
        <v>24403.093673094256</v>
      </c>
      <c r="AN168" s="8">
        <f t="shared" si="188"/>
        <v>24403.093673094256</v>
      </c>
      <c r="AO168" s="8">
        <f t="shared" si="188"/>
        <v>24403.093673094256</v>
      </c>
      <c r="AP168" s="8">
        <f t="shared" si="188"/>
        <v>24403.093673094256</v>
      </c>
      <c r="AQ168" s="8">
        <f t="shared" si="188"/>
        <v>24403.093673094256</v>
      </c>
      <c r="AR168" s="8">
        <f t="shared" si="188"/>
        <v>24403.093673094256</v>
      </c>
      <c r="AS168" s="8">
        <f t="shared" si="188"/>
        <v>24403.093673094256</v>
      </c>
      <c r="AT168" s="8">
        <f t="shared" si="188"/>
        <v>24403.093673094256</v>
      </c>
      <c r="AU168" s="8">
        <f t="shared" si="188"/>
        <v>24403.093673094256</v>
      </c>
      <c r="AV168" s="8">
        <f t="shared" si="188"/>
        <v>24403.093673094256</v>
      </c>
      <c r="AW168" s="8">
        <f t="shared" si="188"/>
        <v>24403.093673094256</v>
      </c>
      <c r="AX168" s="8">
        <f t="shared" si="188"/>
        <v>24403.093673094256</v>
      </c>
      <c r="AY168" s="8">
        <f t="shared" si="188"/>
        <v>24403.093673094256</v>
      </c>
      <c r="AZ168" s="8">
        <f t="shared" si="188"/>
        <v>24403.093673094256</v>
      </c>
      <c r="BA168" s="8">
        <f t="shared" si="188"/>
        <v>24403.093673094256</v>
      </c>
      <c r="BB168" s="8">
        <f t="shared" si="188"/>
        <v>24403.093673094256</v>
      </c>
      <c r="BC168" s="8">
        <f t="shared" si="188"/>
        <v>24403.093673094256</v>
      </c>
      <c r="BD168" s="8">
        <f t="shared" si="188"/>
        <v>24403.093673094256</v>
      </c>
      <c r="BE168" s="8">
        <f t="shared" si="188"/>
        <v>24403.093673094256</v>
      </c>
      <c r="BF168" s="8">
        <f t="shared" si="188"/>
        <v>24403.093673094256</v>
      </c>
      <c r="BG168" s="8">
        <f t="shared" si="188"/>
        <v>24403.093673094256</v>
      </c>
      <c r="BH168" s="8">
        <f t="shared" si="188"/>
        <v>24403.093673094256</v>
      </c>
      <c r="BI168" s="8">
        <f t="shared" si="188"/>
        <v>24403.093673094256</v>
      </c>
      <c r="BJ168" s="8">
        <f t="shared" si="188"/>
        <v>24403.093673094256</v>
      </c>
      <c r="BK168" s="8">
        <f t="shared" si="188"/>
        <v>24403.093673094256</v>
      </c>
      <c r="BL168" s="8">
        <f t="shared" si="188"/>
        <v>24403.093673094256</v>
      </c>
      <c r="BM168" s="8">
        <f t="shared" si="188"/>
        <v>0</v>
      </c>
      <c r="BN168" s="8">
        <f t="shared" si="188"/>
        <v>0</v>
      </c>
      <c r="BO168" s="8">
        <f t="shared" si="188"/>
        <v>0</v>
      </c>
      <c r="BP168" s="8">
        <f t="shared" si="188"/>
        <v>0</v>
      </c>
      <c r="BQ168" s="8">
        <f t="shared" si="188"/>
        <v>0</v>
      </c>
      <c r="BR168" s="8">
        <f t="shared" si="188"/>
        <v>0</v>
      </c>
      <c r="BS168" s="8">
        <f t="shared" si="188"/>
        <v>0</v>
      </c>
      <c r="BT168" s="8">
        <f t="shared" si="188"/>
        <v>0</v>
      </c>
      <c r="BU168" s="8">
        <f t="shared" si="188"/>
        <v>0</v>
      </c>
      <c r="BV168" s="8">
        <f t="shared" si="188"/>
        <v>0</v>
      </c>
      <c r="BW168" s="8">
        <f t="shared" si="188"/>
        <v>0</v>
      </c>
      <c r="BX168" s="8">
        <f t="shared" si="188"/>
        <v>0</v>
      </c>
      <c r="BY168" s="8">
        <f t="shared" si="188"/>
        <v>0</v>
      </c>
      <c r="BZ168" s="8">
        <f t="shared" si="188"/>
        <v>0</v>
      </c>
      <c r="CA168" s="8">
        <f t="shared" si="188"/>
        <v>0</v>
      </c>
      <c r="CB168" s="8">
        <f t="shared" si="188"/>
        <v>0</v>
      </c>
      <c r="CC168" s="8">
        <f t="shared" ref="CC168:DA168" si="189">IF(CC166&lt;=$B$3,CB168,0)</f>
        <v>0</v>
      </c>
      <c r="CD168" s="8">
        <f t="shared" si="189"/>
        <v>0</v>
      </c>
      <c r="CE168" s="8">
        <f t="shared" si="189"/>
        <v>0</v>
      </c>
      <c r="CF168" s="8">
        <f t="shared" si="189"/>
        <v>0</v>
      </c>
      <c r="CG168" s="8">
        <f t="shared" si="189"/>
        <v>0</v>
      </c>
      <c r="CH168" s="8">
        <f t="shared" si="189"/>
        <v>0</v>
      </c>
      <c r="CI168" s="8">
        <f t="shared" si="189"/>
        <v>0</v>
      </c>
      <c r="CJ168" s="8">
        <f t="shared" si="189"/>
        <v>0</v>
      </c>
      <c r="CK168" s="8">
        <f t="shared" si="189"/>
        <v>0</v>
      </c>
      <c r="CL168" s="8">
        <f t="shared" si="189"/>
        <v>0</v>
      </c>
      <c r="CM168" s="8">
        <f t="shared" si="189"/>
        <v>0</v>
      </c>
      <c r="CN168" s="8">
        <f t="shared" si="189"/>
        <v>0</v>
      </c>
      <c r="CO168" s="8">
        <f t="shared" si="189"/>
        <v>0</v>
      </c>
      <c r="CP168" s="8">
        <f t="shared" si="189"/>
        <v>0</v>
      </c>
      <c r="CQ168" s="8">
        <f t="shared" si="189"/>
        <v>0</v>
      </c>
      <c r="CR168" s="8">
        <f t="shared" si="189"/>
        <v>0</v>
      </c>
      <c r="CS168" s="8">
        <f t="shared" si="189"/>
        <v>0</v>
      </c>
      <c r="CT168" s="8">
        <f t="shared" si="189"/>
        <v>0</v>
      </c>
      <c r="CU168" s="8">
        <f t="shared" si="189"/>
        <v>0</v>
      </c>
      <c r="CV168" s="8">
        <f t="shared" si="189"/>
        <v>0</v>
      </c>
      <c r="CW168" s="8">
        <f t="shared" si="189"/>
        <v>0</v>
      </c>
      <c r="CX168" s="8">
        <f t="shared" si="189"/>
        <v>0</v>
      </c>
      <c r="CY168" s="8">
        <f t="shared" si="189"/>
        <v>0</v>
      </c>
      <c r="CZ168" s="8">
        <f t="shared" si="189"/>
        <v>0</v>
      </c>
      <c r="DA168" s="8">
        <f t="shared" si="189"/>
        <v>0</v>
      </c>
      <c r="DB168" s="8"/>
      <c r="DC168" s="8"/>
      <c r="DD168" s="8"/>
      <c r="DE168" s="8"/>
      <c r="DF168" s="8"/>
      <c r="DG168" s="8"/>
    </row>
    <row r="169" spans="3:111" x14ac:dyDescent="0.4">
      <c r="D169" t="s">
        <v>154</v>
      </c>
      <c r="N169" s="8">
        <f>HLOOKUP(O167,$F$3:$O$10,7,0)</f>
        <v>1220154.6836547127</v>
      </c>
      <c r="O169" s="8">
        <f t="shared" ref="O169:BZ169" si="190">IF(ROUND(N170,4)=-ROUND(N169,4),0,N169)</f>
        <v>1220154.6836547127</v>
      </c>
      <c r="P169" s="8">
        <f t="shared" si="190"/>
        <v>1220154.6836547127</v>
      </c>
      <c r="Q169" s="8">
        <f t="shared" si="190"/>
        <v>1220154.6836547127</v>
      </c>
      <c r="R169" s="8">
        <f t="shared" si="190"/>
        <v>1220154.6836547127</v>
      </c>
      <c r="S169" s="8">
        <f t="shared" si="190"/>
        <v>1220154.6836547127</v>
      </c>
      <c r="T169" s="8">
        <f t="shared" si="190"/>
        <v>1220154.6836547127</v>
      </c>
      <c r="U169" s="8">
        <f t="shared" si="190"/>
        <v>1220154.6836547127</v>
      </c>
      <c r="V169" s="8">
        <f t="shared" si="190"/>
        <v>1220154.6836547127</v>
      </c>
      <c r="W169" s="8">
        <f t="shared" si="190"/>
        <v>1220154.6836547127</v>
      </c>
      <c r="X169" s="8">
        <f t="shared" si="190"/>
        <v>1220154.6836547127</v>
      </c>
      <c r="Y169" s="8">
        <f t="shared" si="190"/>
        <v>1220154.6836547127</v>
      </c>
      <c r="Z169" s="8">
        <f t="shared" si="190"/>
        <v>1220154.6836547127</v>
      </c>
      <c r="AA169" s="8">
        <f t="shared" si="190"/>
        <v>1220154.6836547127</v>
      </c>
      <c r="AB169" s="8">
        <f t="shared" si="190"/>
        <v>1220154.6836547127</v>
      </c>
      <c r="AC169" s="8">
        <f t="shared" si="190"/>
        <v>1220154.6836547127</v>
      </c>
      <c r="AD169" s="8">
        <f t="shared" si="190"/>
        <v>1220154.6836547127</v>
      </c>
      <c r="AE169" s="8">
        <f t="shared" si="190"/>
        <v>1220154.6836547127</v>
      </c>
      <c r="AF169" s="8">
        <f t="shared" si="190"/>
        <v>1220154.6836547127</v>
      </c>
      <c r="AG169" s="8">
        <f t="shared" si="190"/>
        <v>1220154.6836547127</v>
      </c>
      <c r="AH169" s="8">
        <f t="shared" si="190"/>
        <v>1220154.6836547127</v>
      </c>
      <c r="AI169" s="8">
        <f t="shared" si="190"/>
        <v>1220154.6836547127</v>
      </c>
      <c r="AJ169" s="8">
        <f t="shared" si="190"/>
        <v>1220154.6836547127</v>
      </c>
      <c r="AK169" s="8">
        <f t="shared" si="190"/>
        <v>1220154.6836547127</v>
      </c>
      <c r="AL169" s="8">
        <f t="shared" si="190"/>
        <v>1220154.6836547127</v>
      </c>
      <c r="AM169" s="8">
        <f t="shared" si="190"/>
        <v>1220154.6836547127</v>
      </c>
      <c r="AN169" s="8">
        <f t="shared" si="190"/>
        <v>1220154.6836547127</v>
      </c>
      <c r="AO169" s="8">
        <f t="shared" si="190"/>
        <v>1220154.6836547127</v>
      </c>
      <c r="AP169" s="8">
        <f t="shared" si="190"/>
        <v>1220154.6836547127</v>
      </c>
      <c r="AQ169" s="8">
        <f t="shared" si="190"/>
        <v>1220154.6836547127</v>
      </c>
      <c r="AR169" s="8">
        <f t="shared" si="190"/>
        <v>1220154.6836547127</v>
      </c>
      <c r="AS169" s="8">
        <f t="shared" si="190"/>
        <v>1220154.6836547127</v>
      </c>
      <c r="AT169" s="8">
        <f t="shared" si="190"/>
        <v>1220154.6836547127</v>
      </c>
      <c r="AU169" s="8">
        <f t="shared" si="190"/>
        <v>1220154.6836547127</v>
      </c>
      <c r="AV169" s="8">
        <f t="shared" si="190"/>
        <v>1220154.6836547127</v>
      </c>
      <c r="AW169" s="8">
        <f t="shared" si="190"/>
        <v>1220154.6836547127</v>
      </c>
      <c r="AX169" s="8">
        <f t="shared" si="190"/>
        <v>1220154.6836547127</v>
      </c>
      <c r="AY169" s="8">
        <f t="shared" si="190"/>
        <v>1220154.6836547127</v>
      </c>
      <c r="AZ169" s="8">
        <f t="shared" si="190"/>
        <v>1220154.6836547127</v>
      </c>
      <c r="BA169" s="8">
        <f t="shared" si="190"/>
        <v>1220154.6836547127</v>
      </c>
      <c r="BB169" s="8">
        <f t="shared" si="190"/>
        <v>1220154.6836547127</v>
      </c>
      <c r="BC169" s="8">
        <f t="shared" si="190"/>
        <v>1220154.6836547127</v>
      </c>
      <c r="BD169" s="8">
        <f t="shared" si="190"/>
        <v>1220154.6836547127</v>
      </c>
      <c r="BE169" s="8">
        <f t="shared" si="190"/>
        <v>1220154.6836547127</v>
      </c>
      <c r="BF169" s="8">
        <f t="shared" si="190"/>
        <v>1220154.6836547127</v>
      </c>
      <c r="BG169" s="8">
        <f t="shared" si="190"/>
        <v>1220154.6836547127</v>
      </c>
      <c r="BH169" s="8">
        <f t="shared" si="190"/>
        <v>1220154.6836547127</v>
      </c>
      <c r="BI169" s="8">
        <f t="shared" si="190"/>
        <v>1220154.6836547127</v>
      </c>
      <c r="BJ169" s="8">
        <f t="shared" si="190"/>
        <v>1220154.6836547127</v>
      </c>
      <c r="BK169" s="8">
        <f t="shared" si="190"/>
        <v>1220154.6836547127</v>
      </c>
      <c r="BL169" s="8">
        <f t="shared" si="190"/>
        <v>1220154.6836547127</v>
      </c>
      <c r="BM169" s="8">
        <f t="shared" si="190"/>
        <v>0</v>
      </c>
      <c r="BN169" s="8">
        <f t="shared" si="190"/>
        <v>0</v>
      </c>
      <c r="BO169" s="8">
        <f t="shared" si="190"/>
        <v>0</v>
      </c>
      <c r="BP169" s="8">
        <f t="shared" si="190"/>
        <v>0</v>
      </c>
      <c r="BQ169" s="8">
        <f t="shared" si="190"/>
        <v>0</v>
      </c>
      <c r="BR169" s="8">
        <f t="shared" si="190"/>
        <v>0</v>
      </c>
      <c r="BS169" s="8">
        <f t="shared" si="190"/>
        <v>0</v>
      </c>
      <c r="BT169" s="8">
        <f t="shared" si="190"/>
        <v>0</v>
      </c>
      <c r="BU169" s="8">
        <f t="shared" si="190"/>
        <v>0</v>
      </c>
      <c r="BV169" s="8">
        <f t="shared" si="190"/>
        <v>0</v>
      </c>
      <c r="BW169" s="8">
        <f t="shared" si="190"/>
        <v>0</v>
      </c>
      <c r="BX169" s="8">
        <f t="shared" si="190"/>
        <v>0</v>
      </c>
      <c r="BY169" s="8">
        <f t="shared" si="190"/>
        <v>0</v>
      </c>
      <c r="BZ169" s="8">
        <f t="shared" si="190"/>
        <v>0</v>
      </c>
      <c r="CA169" s="8">
        <f t="shared" ref="CA169:DA169" si="191">IF(ROUND(BZ170,4)=-ROUND(BZ169,4),0,BZ169)</f>
        <v>0</v>
      </c>
      <c r="CB169" s="8">
        <f t="shared" si="191"/>
        <v>0</v>
      </c>
      <c r="CC169" s="8">
        <f t="shared" si="191"/>
        <v>0</v>
      </c>
      <c r="CD169" s="8">
        <f t="shared" si="191"/>
        <v>0</v>
      </c>
      <c r="CE169" s="8">
        <f t="shared" si="191"/>
        <v>0</v>
      </c>
      <c r="CF169" s="8">
        <f t="shared" si="191"/>
        <v>0</v>
      </c>
      <c r="CG169" s="8">
        <f t="shared" si="191"/>
        <v>0</v>
      </c>
      <c r="CH169" s="8">
        <f t="shared" si="191"/>
        <v>0</v>
      </c>
      <c r="CI169" s="8">
        <f t="shared" si="191"/>
        <v>0</v>
      </c>
      <c r="CJ169" s="8">
        <f t="shared" si="191"/>
        <v>0</v>
      </c>
      <c r="CK169" s="8">
        <f t="shared" si="191"/>
        <v>0</v>
      </c>
      <c r="CL169" s="8">
        <f t="shared" si="191"/>
        <v>0</v>
      </c>
      <c r="CM169" s="8">
        <f t="shared" si="191"/>
        <v>0</v>
      </c>
      <c r="CN169" s="8">
        <f t="shared" si="191"/>
        <v>0</v>
      </c>
      <c r="CO169" s="8">
        <f t="shared" si="191"/>
        <v>0</v>
      </c>
      <c r="CP169" s="8">
        <f t="shared" si="191"/>
        <v>0</v>
      </c>
      <c r="CQ169" s="8">
        <f t="shared" si="191"/>
        <v>0</v>
      </c>
      <c r="CR169" s="8">
        <f t="shared" si="191"/>
        <v>0</v>
      </c>
      <c r="CS169" s="8">
        <f t="shared" si="191"/>
        <v>0</v>
      </c>
      <c r="CT169" s="8">
        <f t="shared" si="191"/>
        <v>0</v>
      </c>
      <c r="CU169" s="8">
        <f t="shared" si="191"/>
        <v>0</v>
      </c>
      <c r="CV169" s="8">
        <f t="shared" si="191"/>
        <v>0</v>
      </c>
      <c r="CW169" s="8">
        <f t="shared" si="191"/>
        <v>0</v>
      </c>
      <c r="CX169" s="8">
        <f t="shared" si="191"/>
        <v>0</v>
      </c>
      <c r="CY169" s="8">
        <f t="shared" si="191"/>
        <v>0</v>
      </c>
      <c r="CZ169" s="8">
        <f t="shared" si="191"/>
        <v>0</v>
      </c>
      <c r="DA169" s="8">
        <f t="shared" si="191"/>
        <v>0</v>
      </c>
      <c r="DB169" s="8"/>
      <c r="DC169" s="8"/>
      <c r="DD169" s="8"/>
      <c r="DE169" s="8"/>
      <c r="DF169" s="8"/>
      <c r="DG169" s="8"/>
    </row>
    <row r="170" spans="3:111" x14ac:dyDescent="0.4">
      <c r="D170" t="s">
        <v>208</v>
      </c>
      <c r="N170" s="8"/>
      <c r="O170" s="8">
        <f>IF(O166&lt;=$B$3,-SUM($E168:O168),0)</f>
        <v>-24403.093673094256</v>
      </c>
      <c r="P170" s="8">
        <f>IF(P166&lt;=$B$3,-SUM($E168:P168),0)</f>
        <v>-48806.187346188512</v>
      </c>
      <c r="Q170" s="8">
        <f>IF(Q166&lt;=$B$3,-SUM($E168:Q168),0)</f>
        <v>-73209.28101928276</v>
      </c>
      <c r="R170" s="8">
        <f>IF(R166&lt;=$B$3,-SUM($E168:R168),0)</f>
        <v>-97612.374692377023</v>
      </c>
      <c r="S170" s="8">
        <f>IF(S166&lt;=$B$3,-SUM($E168:S168),0)</f>
        <v>-122015.46836547129</v>
      </c>
      <c r="T170" s="8">
        <f>IF(T166&lt;=$B$3,-SUM($E168:T168),0)</f>
        <v>-146418.56203856555</v>
      </c>
      <c r="U170" s="8">
        <f>IF(U166&lt;=$B$3,-SUM($E168:U168),0)</f>
        <v>-170821.65571165981</v>
      </c>
      <c r="V170" s="8">
        <f>IF(V166&lt;=$B$3,-SUM($E168:V168),0)</f>
        <v>-195224.74938475408</v>
      </c>
      <c r="W170" s="8">
        <f>IF(W166&lt;=$B$3,-SUM($E168:W168),0)</f>
        <v>-219627.84305784834</v>
      </c>
      <c r="X170" s="8">
        <f>IF(X166&lt;=$B$3,-SUM($E168:X168),0)</f>
        <v>-244030.9367309426</v>
      </c>
      <c r="Y170" s="8">
        <f>IF(Y166&lt;=$B$3,-SUM($E168:Y168),0)</f>
        <v>-268434.03040403686</v>
      </c>
      <c r="Z170" s="8">
        <f>IF(Z166&lt;=$B$3,-SUM($E168:Z168),0)</f>
        <v>-292837.1240771311</v>
      </c>
      <c r="AA170" s="8">
        <f>IF(AA166&lt;=$B$3,-SUM($E168:AA168),0)</f>
        <v>-317240.21775022533</v>
      </c>
      <c r="AB170" s="8">
        <f>IF(AB166&lt;=$B$3,-SUM($E168:AB168),0)</f>
        <v>-341643.31142331957</v>
      </c>
      <c r="AC170" s="8">
        <f>IF(AC166&lt;=$B$3,-SUM($E168:AC168),0)</f>
        <v>-366046.4050964138</v>
      </c>
      <c r="AD170" s="8">
        <f>IF(AD166&lt;=$B$3,-SUM($E168:AD168),0)</f>
        <v>-390449.49876950803</v>
      </c>
      <c r="AE170" s="8">
        <f>IF(AE166&lt;=$B$3,-SUM($E168:AE168),0)</f>
        <v>-414852.59244260227</v>
      </c>
      <c r="AF170" s="8">
        <f>IF(AF166&lt;=$B$3,-SUM($E168:AF168),0)</f>
        <v>-439255.6861156965</v>
      </c>
      <c r="AG170" s="8">
        <f>IF(AG166&lt;=$B$3,-SUM($E168:AG168),0)</f>
        <v>-463658.77978879074</v>
      </c>
      <c r="AH170" s="8">
        <f>IF(AH166&lt;=$B$3,-SUM($E168:AH168),0)</f>
        <v>-488061.87346188497</v>
      </c>
      <c r="AI170" s="8">
        <f>IF(AI166&lt;=$B$3,-SUM($E168:AI168),0)</f>
        <v>-512464.9671349792</v>
      </c>
      <c r="AJ170" s="8">
        <f>IF(AJ166&lt;=$B$3,-SUM($E168:AJ168),0)</f>
        <v>-536868.0608080735</v>
      </c>
      <c r="AK170" s="8">
        <f>IF(AK166&lt;=$B$3,-SUM($E168:AK168),0)</f>
        <v>-561271.15448116779</v>
      </c>
      <c r="AL170" s="8">
        <f>IF(AL166&lt;=$B$3,-SUM($E168:AL168),0)</f>
        <v>-585674.24815426208</v>
      </c>
      <c r="AM170" s="8">
        <f>IF(AM166&lt;=$B$3,-SUM($E168:AM168),0)</f>
        <v>-610077.34182735637</v>
      </c>
      <c r="AN170" s="8">
        <f>IF(AN166&lt;=$B$3,-SUM($E168:AN168),0)</f>
        <v>-634480.43550045067</v>
      </c>
      <c r="AO170" s="8">
        <f>IF(AO166&lt;=$B$3,-SUM($E168:AO168),0)</f>
        <v>-658883.52917354496</v>
      </c>
      <c r="AP170" s="8">
        <f>IF(AP166&lt;=$B$3,-SUM($E168:AP168),0)</f>
        <v>-683286.62284663925</v>
      </c>
      <c r="AQ170" s="8">
        <f>IF(AQ166&lt;=$B$3,-SUM($E168:AQ168),0)</f>
        <v>-707689.71651973354</v>
      </c>
      <c r="AR170" s="8">
        <f>IF(AR166&lt;=$B$3,-SUM($E168:AR168),0)</f>
        <v>-732092.81019282783</v>
      </c>
      <c r="AS170" s="8">
        <f>IF(AS166&lt;=$B$3,-SUM($E168:AS168),0)</f>
        <v>-756495.90386592213</v>
      </c>
      <c r="AT170" s="8">
        <f>IF(AT166&lt;=$B$3,-SUM($E168:AT168),0)</f>
        <v>-780898.99753901642</v>
      </c>
      <c r="AU170" s="8">
        <f>IF(AU166&lt;=$B$3,-SUM($E168:AU168),0)</f>
        <v>-805302.09121211071</v>
      </c>
      <c r="AV170" s="8">
        <f>IF(AV166&lt;=$B$3,-SUM($E168:AV168),0)</f>
        <v>-829705.184885205</v>
      </c>
      <c r="AW170" s="8">
        <f>IF(AW166&lt;=$B$3,-SUM($E168:AW168),0)</f>
        <v>-854108.27855829929</v>
      </c>
      <c r="AX170" s="8">
        <f>IF(AX166&lt;=$B$3,-SUM($E168:AX168),0)</f>
        <v>-878511.37223139359</v>
      </c>
      <c r="AY170" s="8">
        <f>IF(AY166&lt;=$B$3,-SUM($E168:AY168),0)</f>
        <v>-902914.46590448788</v>
      </c>
      <c r="AZ170" s="8">
        <f>IF(AZ166&lt;=$B$3,-SUM($E168:AZ168),0)</f>
        <v>-927317.55957758217</v>
      </c>
      <c r="BA170" s="8">
        <f>IF(BA166&lt;=$B$3,-SUM($E168:BA168),0)</f>
        <v>-951720.65325067646</v>
      </c>
      <c r="BB170" s="8">
        <f>IF(BB166&lt;=$B$3,-SUM($E168:BB168),0)</f>
        <v>-976123.74692377076</v>
      </c>
      <c r="BC170" s="8">
        <f>IF(BC166&lt;=$B$3,-SUM($E168:BC168),0)</f>
        <v>-1000526.840596865</v>
      </c>
      <c r="BD170" s="8">
        <f>IF(BD166&lt;=$B$3,-SUM($E168:BD168),0)</f>
        <v>-1024929.9342699593</v>
      </c>
      <c r="BE170" s="8">
        <f>IF(BE166&lt;=$B$3,-SUM($E168:BE168),0)</f>
        <v>-1049333.0279430535</v>
      </c>
      <c r="BF170" s="8">
        <f>IF(BF166&lt;=$B$3,-SUM($E168:BF168),0)</f>
        <v>-1073736.1216161477</v>
      </c>
      <c r="BG170" s="8">
        <f>IF(BG166&lt;=$B$3,-SUM($E168:BG168),0)</f>
        <v>-1098139.2152892419</v>
      </c>
      <c r="BH170" s="8">
        <f>IF(BH166&lt;=$B$3,-SUM($E168:BH168),0)</f>
        <v>-1122542.308962336</v>
      </c>
      <c r="BI170" s="8">
        <f>IF(BI166&lt;=$B$3,-SUM($E168:BI168),0)</f>
        <v>-1146945.4026354302</v>
      </c>
      <c r="BJ170" s="8">
        <f>IF(BJ166&lt;=$B$3,-SUM($E168:BJ168),0)</f>
        <v>-1171348.4963085244</v>
      </c>
      <c r="BK170" s="8">
        <f>IF(BK166&lt;=$B$3,-SUM($E168:BK168),0)</f>
        <v>-1195751.5899816186</v>
      </c>
      <c r="BL170" s="8">
        <f>IF(BL166&lt;=$B$3,-SUM($E168:BL168),0)</f>
        <v>-1220154.6836547127</v>
      </c>
      <c r="BM170" s="8">
        <f>IF(BM166&lt;=$B$3,-SUM($E168:BM168),0)</f>
        <v>0</v>
      </c>
      <c r="BN170" s="8">
        <f>IF(BN166&lt;=$B$3,-SUM($E168:BN168),0)</f>
        <v>0</v>
      </c>
      <c r="BO170" s="8">
        <f>IF(BO166&lt;=$B$3,-SUM($E168:BO168),0)</f>
        <v>0</v>
      </c>
      <c r="BP170" s="8">
        <f>IF(BP166&lt;=$B$3,-SUM($E168:BP168),0)</f>
        <v>0</v>
      </c>
      <c r="BQ170" s="8">
        <f>IF(BQ166&lt;=$B$3,-SUM($E168:BQ168),0)</f>
        <v>0</v>
      </c>
      <c r="BR170" s="8">
        <f>IF(BR166&lt;=$B$3,-SUM($E168:BR168),0)</f>
        <v>0</v>
      </c>
      <c r="BS170" s="8">
        <f>IF(BS166&lt;=$B$3,-SUM($E168:BS168),0)</f>
        <v>0</v>
      </c>
      <c r="BT170" s="8">
        <f>IF(BT166&lt;=$B$3,-SUM($E168:BT168),0)</f>
        <v>0</v>
      </c>
      <c r="BU170" s="8">
        <f>IF(BU166&lt;=$B$3,-SUM($E168:BU168),0)</f>
        <v>0</v>
      </c>
      <c r="BV170" s="8">
        <f>IF(BV166&lt;=$B$3,-SUM($E168:BV168),0)</f>
        <v>0</v>
      </c>
      <c r="BW170" s="8">
        <f>IF(BW166&lt;=$B$3,-SUM($E168:BW168),0)</f>
        <v>0</v>
      </c>
      <c r="BX170" s="8">
        <f>IF(BX166&lt;=$B$3,-SUM($E168:BX168),0)</f>
        <v>0</v>
      </c>
      <c r="BY170" s="8">
        <f>IF(BY166&lt;=$B$3,-SUM($E168:BY168),0)</f>
        <v>0</v>
      </c>
      <c r="BZ170" s="8">
        <f>IF(BZ166&lt;=$B$3,-SUM($E168:BZ168),0)</f>
        <v>0</v>
      </c>
      <c r="CA170" s="8">
        <f>IF(CA166&lt;=$B$3,-SUM($E168:CA168),0)</f>
        <v>0</v>
      </c>
      <c r="CB170" s="8">
        <f>IF(CB166&lt;=$B$3,-SUM($E168:CB168),0)</f>
        <v>0</v>
      </c>
      <c r="CC170" s="8">
        <f>IF(CC166&lt;=$B$3,-SUM($E168:CC168),0)</f>
        <v>0</v>
      </c>
      <c r="CD170" s="8">
        <f>IF(CD166&lt;=$B$3,-SUM($E168:CD168),0)</f>
        <v>0</v>
      </c>
      <c r="CE170" s="8">
        <f>IF(CE166&lt;=$B$3,-SUM($E168:CE168),0)</f>
        <v>0</v>
      </c>
      <c r="CF170" s="8">
        <f>IF(CF166&lt;=$B$3,-SUM($E168:CF168),0)</f>
        <v>0</v>
      </c>
      <c r="CG170" s="8">
        <f>IF(CG166&lt;=$B$3,-SUM($E168:CG168),0)</f>
        <v>0</v>
      </c>
      <c r="CH170" s="8">
        <f>IF(CH166&lt;=$B$3,-SUM($E168:CH168),0)</f>
        <v>0</v>
      </c>
      <c r="CI170" s="8">
        <f>IF(CI166&lt;=$B$3,-SUM($E168:CI168),0)</f>
        <v>0</v>
      </c>
      <c r="CJ170" s="8">
        <f>IF(CJ166&lt;=$B$3,-SUM($E168:CJ168),0)</f>
        <v>0</v>
      </c>
      <c r="CK170" s="8">
        <f>IF(CK166&lt;=$B$3,-SUM($E168:CK168),0)</f>
        <v>0</v>
      </c>
      <c r="CL170" s="8">
        <f>IF(CL166&lt;=$B$3,-SUM($E168:CL168),0)</f>
        <v>0</v>
      </c>
      <c r="CM170" s="8">
        <f>IF(CM166&lt;=$B$3,-SUM($E168:CM168),0)</f>
        <v>0</v>
      </c>
      <c r="CN170" s="8">
        <f>IF(CN166&lt;=$B$3,-SUM($E168:CN168),0)</f>
        <v>0</v>
      </c>
      <c r="CO170" s="8">
        <f>IF(CO166&lt;=$B$3,-SUM($E168:CO168),0)</f>
        <v>0</v>
      </c>
      <c r="CP170" s="8">
        <f>IF(CP166&lt;=$B$3,-SUM($E168:CP168),0)</f>
        <v>0</v>
      </c>
      <c r="CQ170" s="8">
        <f>IF(CQ166&lt;=$B$3,-SUM($E168:CQ168),0)</f>
        <v>0</v>
      </c>
      <c r="CR170" s="8">
        <f>IF(CR166&lt;=$B$3,-SUM($E168:CR168),0)</f>
        <v>0</v>
      </c>
      <c r="CS170" s="8">
        <f>IF(CS166&lt;=$B$3,-SUM($E168:CS168),0)</f>
        <v>0</v>
      </c>
      <c r="CT170" s="8">
        <f>IF(CT166&lt;=$B$3,-SUM($E168:CT168),0)</f>
        <v>0</v>
      </c>
      <c r="CU170" s="8">
        <f>IF(CU166&lt;=$B$3,-SUM($E168:CU168),0)</f>
        <v>0</v>
      </c>
      <c r="CV170" s="8">
        <f>IF(CV166&lt;=$B$3,-SUM($E168:CV168),0)</f>
        <v>0</v>
      </c>
      <c r="CW170" s="8">
        <f>IF(CW166&lt;=$B$3,-SUM($E168:CW168),0)</f>
        <v>0</v>
      </c>
      <c r="CX170" s="8">
        <f>IF(CX166&lt;=$B$3,-SUM($E168:CX168),0)</f>
        <v>0</v>
      </c>
      <c r="CY170" s="8">
        <f>IF(CY166&lt;=$B$3,-SUM($E168:CY168),0)</f>
        <v>0</v>
      </c>
      <c r="CZ170" s="8">
        <f>IF(CZ166&lt;=$B$3,-SUM($E168:CZ168),0)</f>
        <v>0</v>
      </c>
      <c r="DA170" s="8">
        <f>IF(DA166&lt;=$B$3,-SUM($E168:DA168),0)</f>
        <v>0</v>
      </c>
      <c r="DB170" s="8"/>
      <c r="DC170" s="8"/>
      <c r="DD170" s="8"/>
      <c r="DE170" s="8"/>
      <c r="DF170" s="8"/>
      <c r="DG170" s="8"/>
    </row>
    <row r="171" spans="3:111" x14ac:dyDescent="0.4">
      <c r="D171" t="s">
        <v>167</v>
      </c>
      <c r="N171" s="8"/>
      <c r="O171" s="8">
        <f>N172</f>
        <v>1220154.6836547127</v>
      </c>
      <c r="P171" s="8">
        <f t="shared" ref="P171:CA171" si="192">O172</f>
        <v>1195751.5899816186</v>
      </c>
      <c r="Q171" s="8">
        <f t="shared" si="192"/>
        <v>1171348.4963085242</v>
      </c>
      <c r="R171" s="8">
        <f t="shared" si="192"/>
        <v>1146945.40263543</v>
      </c>
      <c r="S171" s="8">
        <f t="shared" si="192"/>
        <v>1122542.3089623358</v>
      </c>
      <c r="T171" s="8">
        <f t="shared" si="192"/>
        <v>1098139.2152892414</v>
      </c>
      <c r="U171" s="8">
        <f t="shared" si="192"/>
        <v>1073736.1216161472</v>
      </c>
      <c r="V171" s="8">
        <f t="shared" si="192"/>
        <v>1049333.0279430528</v>
      </c>
      <c r="W171" s="8">
        <f t="shared" si="192"/>
        <v>1024929.9342699586</v>
      </c>
      <c r="X171" s="8">
        <f t="shared" si="192"/>
        <v>1000526.8405968645</v>
      </c>
      <c r="Y171" s="8">
        <f t="shared" si="192"/>
        <v>976123.74692377017</v>
      </c>
      <c r="Z171" s="8">
        <f t="shared" si="192"/>
        <v>951720.65325067588</v>
      </c>
      <c r="AA171" s="8">
        <f t="shared" si="192"/>
        <v>927317.55957758171</v>
      </c>
      <c r="AB171" s="8">
        <f t="shared" si="192"/>
        <v>902914.46590448741</v>
      </c>
      <c r="AC171" s="8">
        <f t="shared" si="192"/>
        <v>878511.37223139312</v>
      </c>
      <c r="AD171" s="8">
        <f t="shared" si="192"/>
        <v>854108.27855829895</v>
      </c>
      <c r="AE171" s="8">
        <f t="shared" si="192"/>
        <v>829705.18488520477</v>
      </c>
      <c r="AF171" s="8">
        <f t="shared" si="192"/>
        <v>805302.09121211048</v>
      </c>
      <c r="AG171" s="8">
        <f t="shared" si="192"/>
        <v>780898.99753901619</v>
      </c>
      <c r="AH171" s="8">
        <f t="shared" si="192"/>
        <v>756495.90386592201</v>
      </c>
      <c r="AI171" s="8">
        <f t="shared" si="192"/>
        <v>732092.81019282783</v>
      </c>
      <c r="AJ171" s="8">
        <f t="shared" si="192"/>
        <v>707689.71651973354</v>
      </c>
      <c r="AK171" s="8">
        <f t="shared" si="192"/>
        <v>683286.62284663925</v>
      </c>
      <c r="AL171" s="8">
        <f t="shared" si="192"/>
        <v>658883.52917354496</v>
      </c>
      <c r="AM171" s="8">
        <f t="shared" si="192"/>
        <v>634480.43550045067</v>
      </c>
      <c r="AN171" s="8">
        <f t="shared" si="192"/>
        <v>610077.34182735637</v>
      </c>
      <c r="AO171" s="8">
        <f t="shared" si="192"/>
        <v>585674.24815426208</v>
      </c>
      <c r="AP171" s="8">
        <f t="shared" si="192"/>
        <v>561271.15448116779</v>
      </c>
      <c r="AQ171" s="8">
        <f t="shared" si="192"/>
        <v>536868.0608080735</v>
      </c>
      <c r="AR171" s="8">
        <f t="shared" si="192"/>
        <v>512464.9671349792</v>
      </c>
      <c r="AS171" s="8">
        <f t="shared" si="192"/>
        <v>488061.87346188491</v>
      </c>
      <c r="AT171" s="8">
        <f t="shared" si="192"/>
        <v>463658.77978879062</v>
      </c>
      <c r="AU171" s="8">
        <f t="shared" si="192"/>
        <v>439255.68611569633</v>
      </c>
      <c r="AV171" s="8">
        <f t="shared" si="192"/>
        <v>414852.59244260204</v>
      </c>
      <c r="AW171" s="8">
        <f t="shared" si="192"/>
        <v>390449.49876950774</v>
      </c>
      <c r="AX171" s="8">
        <f t="shared" si="192"/>
        <v>366046.40509641345</v>
      </c>
      <c r="AY171" s="8">
        <f t="shared" si="192"/>
        <v>341643.31142331916</v>
      </c>
      <c r="AZ171" s="8">
        <f t="shared" si="192"/>
        <v>317240.21775022487</v>
      </c>
      <c r="BA171" s="8">
        <f t="shared" si="192"/>
        <v>292837.12407713057</v>
      </c>
      <c r="BB171" s="8">
        <f t="shared" si="192"/>
        <v>268434.03040403628</v>
      </c>
      <c r="BC171" s="8">
        <f t="shared" si="192"/>
        <v>244030.93673094199</v>
      </c>
      <c r="BD171" s="8">
        <f t="shared" si="192"/>
        <v>219627.8430578477</v>
      </c>
      <c r="BE171" s="8">
        <f t="shared" si="192"/>
        <v>195224.74938475341</v>
      </c>
      <c r="BF171" s="8">
        <f t="shared" si="192"/>
        <v>170821.65571165923</v>
      </c>
      <c r="BG171" s="8">
        <f t="shared" si="192"/>
        <v>146418.56203856505</v>
      </c>
      <c r="BH171" s="8">
        <f t="shared" si="192"/>
        <v>122015.46836547088</v>
      </c>
      <c r="BI171" s="8">
        <f t="shared" si="192"/>
        <v>97612.374692376703</v>
      </c>
      <c r="BJ171" s="8">
        <f t="shared" si="192"/>
        <v>73209.281019282527</v>
      </c>
      <c r="BK171" s="8">
        <f t="shared" si="192"/>
        <v>48806.187346188352</v>
      </c>
      <c r="BL171" s="8">
        <f t="shared" si="192"/>
        <v>24403.093673094176</v>
      </c>
      <c r="BM171" s="8">
        <f t="shared" si="192"/>
        <v>0</v>
      </c>
      <c r="BN171" s="8">
        <f t="shared" si="192"/>
        <v>0</v>
      </c>
      <c r="BO171" s="8">
        <f t="shared" si="192"/>
        <v>0</v>
      </c>
      <c r="BP171" s="8">
        <f t="shared" si="192"/>
        <v>0</v>
      </c>
      <c r="BQ171" s="8">
        <f t="shared" si="192"/>
        <v>0</v>
      </c>
      <c r="BR171" s="8">
        <f t="shared" si="192"/>
        <v>0</v>
      </c>
      <c r="BS171" s="8">
        <f t="shared" si="192"/>
        <v>0</v>
      </c>
      <c r="BT171" s="8">
        <f t="shared" si="192"/>
        <v>0</v>
      </c>
      <c r="BU171" s="8">
        <f t="shared" si="192"/>
        <v>0</v>
      </c>
      <c r="BV171" s="8">
        <f t="shared" si="192"/>
        <v>0</v>
      </c>
      <c r="BW171" s="8">
        <f t="shared" si="192"/>
        <v>0</v>
      </c>
      <c r="BX171" s="8">
        <f t="shared" si="192"/>
        <v>0</v>
      </c>
      <c r="BY171" s="8">
        <f t="shared" si="192"/>
        <v>0</v>
      </c>
      <c r="BZ171" s="8">
        <f t="shared" si="192"/>
        <v>0</v>
      </c>
      <c r="CA171" s="8">
        <f t="shared" si="192"/>
        <v>0</v>
      </c>
      <c r="CB171" s="8">
        <f t="shared" ref="CB171:DA171" si="193">CA172</f>
        <v>0</v>
      </c>
      <c r="CC171" s="8">
        <f t="shared" si="193"/>
        <v>0</v>
      </c>
      <c r="CD171" s="8">
        <f t="shared" si="193"/>
        <v>0</v>
      </c>
      <c r="CE171" s="8">
        <f t="shared" si="193"/>
        <v>0</v>
      </c>
      <c r="CF171" s="8">
        <f t="shared" si="193"/>
        <v>0</v>
      </c>
      <c r="CG171" s="8">
        <f t="shared" si="193"/>
        <v>0</v>
      </c>
      <c r="CH171" s="8">
        <f t="shared" si="193"/>
        <v>0</v>
      </c>
      <c r="CI171" s="8">
        <f t="shared" si="193"/>
        <v>0</v>
      </c>
      <c r="CJ171" s="8">
        <f t="shared" si="193"/>
        <v>0</v>
      </c>
      <c r="CK171" s="8">
        <f t="shared" si="193"/>
        <v>0</v>
      </c>
      <c r="CL171" s="8">
        <f t="shared" si="193"/>
        <v>0</v>
      </c>
      <c r="CM171" s="8">
        <f t="shared" si="193"/>
        <v>0</v>
      </c>
      <c r="CN171" s="8">
        <f t="shared" si="193"/>
        <v>0</v>
      </c>
      <c r="CO171" s="8">
        <f t="shared" si="193"/>
        <v>0</v>
      </c>
      <c r="CP171" s="8">
        <f t="shared" si="193"/>
        <v>0</v>
      </c>
      <c r="CQ171" s="8">
        <f t="shared" si="193"/>
        <v>0</v>
      </c>
      <c r="CR171" s="8">
        <f t="shared" si="193"/>
        <v>0</v>
      </c>
      <c r="CS171" s="8">
        <f t="shared" si="193"/>
        <v>0</v>
      </c>
      <c r="CT171" s="8">
        <f t="shared" si="193"/>
        <v>0</v>
      </c>
      <c r="CU171" s="8">
        <f t="shared" si="193"/>
        <v>0</v>
      </c>
      <c r="CV171" s="8">
        <f t="shared" si="193"/>
        <v>0</v>
      </c>
      <c r="CW171" s="8">
        <f t="shared" si="193"/>
        <v>0</v>
      </c>
      <c r="CX171" s="8">
        <f t="shared" si="193"/>
        <v>0</v>
      </c>
      <c r="CY171" s="8">
        <f t="shared" si="193"/>
        <v>0</v>
      </c>
      <c r="CZ171" s="8">
        <f t="shared" si="193"/>
        <v>0</v>
      </c>
      <c r="DA171" s="8">
        <f t="shared" si="193"/>
        <v>0</v>
      </c>
      <c r="DB171" s="8"/>
      <c r="DC171" s="8"/>
      <c r="DD171" s="8"/>
      <c r="DE171" s="8"/>
      <c r="DF171" s="8"/>
      <c r="DG171" s="8"/>
    </row>
    <row r="172" spans="3:111" x14ac:dyDescent="0.4">
      <c r="D172" t="s">
        <v>168</v>
      </c>
      <c r="N172" s="8">
        <f>N169+N170</f>
        <v>1220154.6836547127</v>
      </c>
      <c r="O172" s="8">
        <f>O169+O170</f>
        <v>1195751.5899816186</v>
      </c>
      <c r="P172" s="8">
        <f t="shared" ref="P172:CA172" si="194">P169+P170</f>
        <v>1171348.4963085242</v>
      </c>
      <c r="Q172" s="8">
        <f t="shared" si="194"/>
        <v>1146945.40263543</v>
      </c>
      <c r="R172" s="8">
        <f t="shared" si="194"/>
        <v>1122542.3089623358</v>
      </c>
      <c r="S172" s="8">
        <f t="shared" si="194"/>
        <v>1098139.2152892414</v>
      </c>
      <c r="T172" s="8">
        <f t="shared" si="194"/>
        <v>1073736.1216161472</v>
      </c>
      <c r="U172" s="8">
        <f t="shared" si="194"/>
        <v>1049333.0279430528</v>
      </c>
      <c r="V172" s="8">
        <f t="shared" si="194"/>
        <v>1024929.9342699586</v>
      </c>
      <c r="W172" s="8">
        <f t="shared" si="194"/>
        <v>1000526.8405968645</v>
      </c>
      <c r="X172" s="8">
        <f t="shared" si="194"/>
        <v>976123.74692377017</v>
      </c>
      <c r="Y172" s="8">
        <f t="shared" si="194"/>
        <v>951720.65325067588</v>
      </c>
      <c r="Z172" s="8">
        <f t="shared" si="194"/>
        <v>927317.55957758171</v>
      </c>
      <c r="AA172" s="8">
        <f t="shared" si="194"/>
        <v>902914.46590448741</v>
      </c>
      <c r="AB172" s="8">
        <f t="shared" si="194"/>
        <v>878511.37223139312</v>
      </c>
      <c r="AC172" s="8">
        <f t="shared" si="194"/>
        <v>854108.27855829895</v>
      </c>
      <c r="AD172" s="8">
        <f t="shared" si="194"/>
        <v>829705.18488520477</v>
      </c>
      <c r="AE172" s="8">
        <f t="shared" si="194"/>
        <v>805302.09121211048</v>
      </c>
      <c r="AF172" s="8">
        <f t="shared" si="194"/>
        <v>780898.99753901619</v>
      </c>
      <c r="AG172" s="8">
        <f t="shared" si="194"/>
        <v>756495.90386592201</v>
      </c>
      <c r="AH172" s="8">
        <f t="shared" si="194"/>
        <v>732092.81019282783</v>
      </c>
      <c r="AI172" s="8">
        <f t="shared" si="194"/>
        <v>707689.71651973354</v>
      </c>
      <c r="AJ172" s="8">
        <f t="shared" si="194"/>
        <v>683286.62284663925</v>
      </c>
      <c r="AK172" s="8">
        <f t="shared" si="194"/>
        <v>658883.52917354496</v>
      </c>
      <c r="AL172" s="8">
        <f t="shared" si="194"/>
        <v>634480.43550045067</v>
      </c>
      <c r="AM172" s="8">
        <f t="shared" si="194"/>
        <v>610077.34182735637</v>
      </c>
      <c r="AN172" s="8">
        <f t="shared" si="194"/>
        <v>585674.24815426208</v>
      </c>
      <c r="AO172" s="8">
        <f t="shared" si="194"/>
        <v>561271.15448116779</v>
      </c>
      <c r="AP172" s="8">
        <f t="shared" si="194"/>
        <v>536868.0608080735</v>
      </c>
      <c r="AQ172" s="8">
        <f t="shared" si="194"/>
        <v>512464.9671349792</v>
      </c>
      <c r="AR172" s="8">
        <f t="shared" si="194"/>
        <v>488061.87346188491</v>
      </c>
      <c r="AS172" s="8">
        <f t="shared" si="194"/>
        <v>463658.77978879062</v>
      </c>
      <c r="AT172" s="8">
        <f t="shared" si="194"/>
        <v>439255.68611569633</v>
      </c>
      <c r="AU172" s="8">
        <f t="shared" si="194"/>
        <v>414852.59244260204</v>
      </c>
      <c r="AV172" s="8">
        <f t="shared" si="194"/>
        <v>390449.49876950774</v>
      </c>
      <c r="AW172" s="8">
        <f t="shared" si="194"/>
        <v>366046.40509641345</v>
      </c>
      <c r="AX172" s="8">
        <f t="shared" si="194"/>
        <v>341643.31142331916</v>
      </c>
      <c r="AY172" s="8">
        <f t="shared" si="194"/>
        <v>317240.21775022487</v>
      </c>
      <c r="AZ172" s="8">
        <f t="shared" si="194"/>
        <v>292837.12407713057</v>
      </c>
      <c r="BA172" s="8">
        <f t="shared" si="194"/>
        <v>268434.03040403628</v>
      </c>
      <c r="BB172" s="8">
        <f t="shared" si="194"/>
        <v>244030.93673094199</v>
      </c>
      <c r="BC172" s="8">
        <f t="shared" si="194"/>
        <v>219627.8430578477</v>
      </c>
      <c r="BD172" s="8">
        <f t="shared" si="194"/>
        <v>195224.74938475341</v>
      </c>
      <c r="BE172" s="8">
        <f t="shared" si="194"/>
        <v>170821.65571165923</v>
      </c>
      <c r="BF172" s="8">
        <f t="shared" si="194"/>
        <v>146418.56203856505</v>
      </c>
      <c r="BG172" s="8">
        <f t="shared" si="194"/>
        <v>122015.46836547088</v>
      </c>
      <c r="BH172" s="8">
        <f t="shared" si="194"/>
        <v>97612.374692376703</v>
      </c>
      <c r="BI172" s="8">
        <f t="shared" si="194"/>
        <v>73209.281019282527</v>
      </c>
      <c r="BJ172" s="8">
        <f t="shared" si="194"/>
        <v>48806.187346188352</v>
      </c>
      <c r="BK172" s="8">
        <f t="shared" si="194"/>
        <v>24403.093673094176</v>
      </c>
      <c r="BL172" s="8">
        <f t="shared" si="194"/>
        <v>0</v>
      </c>
      <c r="BM172" s="8">
        <f t="shared" si="194"/>
        <v>0</v>
      </c>
      <c r="BN172" s="8">
        <f t="shared" si="194"/>
        <v>0</v>
      </c>
      <c r="BO172" s="8">
        <f t="shared" si="194"/>
        <v>0</v>
      </c>
      <c r="BP172" s="8">
        <f t="shared" si="194"/>
        <v>0</v>
      </c>
      <c r="BQ172" s="8">
        <f t="shared" si="194"/>
        <v>0</v>
      </c>
      <c r="BR172" s="8">
        <f t="shared" si="194"/>
        <v>0</v>
      </c>
      <c r="BS172" s="8">
        <f t="shared" si="194"/>
        <v>0</v>
      </c>
      <c r="BT172" s="8">
        <f t="shared" si="194"/>
        <v>0</v>
      </c>
      <c r="BU172" s="8">
        <f t="shared" si="194"/>
        <v>0</v>
      </c>
      <c r="BV172" s="8">
        <f t="shared" si="194"/>
        <v>0</v>
      </c>
      <c r="BW172" s="8">
        <f t="shared" si="194"/>
        <v>0</v>
      </c>
      <c r="BX172" s="8">
        <f t="shared" si="194"/>
        <v>0</v>
      </c>
      <c r="BY172" s="8">
        <f t="shared" si="194"/>
        <v>0</v>
      </c>
      <c r="BZ172" s="8">
        <f t="shared" si="194"/>
        <v>0</v>
      </c>
      <c r="CA172" s="8">
        <f t="shared" si="194"/>
        <v>0</v>
      </c>
      <c r="CB172" s="8">
        <f t="shared" ref="CB172:DA172" si="195">CB169+CB170</f>
        <v>0</v>
      </c>
      <c r="CC172" s="8">
        <f t="shared" si="195"/>
        <v>0</v>
      </c>
      <c r="CD172" s="8">
        <f t="shared" si="195"/>
        <v>0</v>
      </c>
      <c r="CE172" s="8">
        <f t="shared" si="195"/>
        <v>0</v>
      </c>
      <c r="CF172" s="8">
        <f t="shared" si="195"/>
        <v>0</v>
      </c>
      <c r="CG172" s="8">
        <f t="shared" si="195"/>
        <v>0</v>
      </c>
      <c r="CH172" s="8">
        <f t="shared" si="195"/>
        <v>0</v>
      </c>
      <c r="CI172" s="8">
        <f t="shared" si="195"/>
        <v>0</v>
      </c>
      <c r="CJ172" s="8">
        <f t="shared" si="195"/>
        <v>0</v>
      </c>
      <c r="CK172" s="8">
        <f t="shared" si="195"/>
        <v>0</v>
      </c>
      <c r="CL172" s="8">
        <f t="shared" si="195"/>
        <v>0</v>
      </c>
      <c r="CM172" s="8">
        <f t="shared" si="195"/>
        <v>0</v>
      </c>
      <c r="CN172" s="8">
        <f t="shared" si="195"/>
        <v>0</v>
      </c>
      <c r="CO172" s="8">
        <f t="shared" si="195"/>
        <v>0</v>
      </c>
      <c r="CP172" s="8">
        <f t="shared" si="195"/>
        <v>0</v>
      </c>
      <c r="CQ172" s="8">
        <f t="shared" si="195"/>
        <v>0</v>
      </c>
      <c r="CR172" s="8">
        <f t="shared" si="195"/>
        <v>0</v>
      </c>
      <c r="CS172" s="8">
        <f t="shared" si="195"/>
        <v>0</v>
      </c>
      <c r="CT172" s="8">
        <f t="shared" si="195"/>
        <v>0</v>
      </c>
      <c r="CU172" s="8">
        <f t="shared" si="195"/>
        <v>0</v>
      </c>
      <c r="CV172" s="8">
        <f t="shared" si="195"/>
        <v>0</v>
      </c>
      <c r="CW172" s="8">
        <f t="shared" si="195"/>
        <v>0</v>
      </c>
      <c r="CX172" s="8">
        <f t="shared" si="195"/>
        <v>0</v>
      </c>
      <c r="CY172" s="8">
        <f t="shared" si="195"/>
        <v>0</v>
      </c>
      <c r="CZ172" s="8">
        <f t="shared" si="195"/>
        <v>0</v>
      </c>
      <c r="DA172" s="8">
        <f t="shared" si="195"/>
        <v>0</v>
      </c>
      <c r="DB172" s="8"/>
      <c r="DC172" s="8"/>
      <c r="DD172" s="8"/>
      <c r="DE172" s="8"/>
      <c r="DF172" s="8"/>
      <c r="DG172" s="8"/>
    </row>
    <row r="173" spans="3:111" x14ac:dyDescent="0.4"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8"/>
      <c r="DD173" s="8"/>
      <c r="DE173" s="8"/>
      <c r="DF173" s="8"/>
      <c r="DG173" s="8"/>
    </row>
    <row r="174" spans="3:111" x14ac:dyDescent="0.4">
      <c r="D174" t="s">
        <v>169</v>
      </c>
      <c r="N174" s="8"/>
      <c r="O174" s="8">
        <f>IF(O166&lt;=$B$4+1,O169*VLOOKUP(O166,Assumptions!$A$70:$B$90,2,0),0)</f>
        <v>45755.800637051725</v>
      </c>
      <c r="P174" s="8">
        <f>IF(P166&lt;=$B$4+1,P169*VLOOKUP(P166,Assumptions!$A$70:$B$90,2,0),0)</f>
        <v>88082.966613033714</v>
      </c>
      <c r="Q174" s="8">
        <f>IF(Q166&lt;=$B$4+1,Q169*VLOOKUP(Q166,Assumptions!$A$70:$B$90,2,0),0)</f>
        <v>81469.728227625164</v>
      </c>
      <c r="R174" s="8">
        <f>IF(R166&lt;=$B$4+1,R169*VLOOKUP(R166,Assumptions!$A$70:$B$90,2,0),0)</f>
        <v>75368.954809351606</v>
      </c>
      <c r="S174" s="8">
        <f>IF(S166&lt;=$B$4+1,S169*VLOOKUP(S166,Assumptions!$A$70:$B$90,2,0),0)</f>
        <v>69707.437077193739</v>
      </c>
      <c r="T174" s="8">
        <f>IF(T166&lt;=$B$4+1,T169*VLOOKUP(T166,Assumptions!$A$70:$B$90,2,0),0)</f>
        <v>64485.175031151572</v>
      </c>
      <c r="U174" s="8">
        <f>IF(U166&lt;=$B$4+1,U169*VLOOKUP(U166,Assumptions!$A$70:$B$90,2,0),0)</f>
        <v>59641.160937042361</v>
      </c>
      <c r="V174" s="8">
        <f>IF(V166&lt;=$B$4+1,V169*VLOOKUP(V166,Assumptions!$A$70:$B$90,2,0),0)</f>
        <v>55175.394794866115</v>
      </c>
      <c r="W174" s="8">
        <f>IF(W166&lt;=$B$4+1,W169*VLOOKUP(W166,Assumptions!$A$70:$B$90,2,0),0)</f>
        <v>54443.301984673286</v>
      </c>
      <c r="X174" s="8">
        <f>IF(X166&lt;=$B$4+1,X169*VLOOKUP(X166,Assumptions!$A$70:$B$90,2,0),0)</f>
        <v>54431.100437836729</v>
      </c>
      <c r="Y174" s="8">
        <f>IF(Y166&lt;=$B$4+1,Y169*VLOOKUP(Y166,Assumptions!$A$70:$B$90,2,0),0)</f>
        <v>54443.301984673286</v>
      </c>
      <c r="Z174" s="8">
        <f>IF(Z166&lt;=$B$4+1,Z169*VLOOKUP(Z166,Assumptions!$A$70:$B$90,2,0),0)</f>
        <v>54431.100437836729</v>
      </c>
      <c r="AA174" s="8">
        <f>IF(AA166&lt;=$B$4+1,AA169*VLOOKUP(AA166,Assumptions!$A$70:$B$90,2,0),0)</f>
        <v>54443.301984673286</v>
      </c>
      <c r="AB174" s="8">
        <f>IF(AB166&lt;=$B$4+1,AB169*VLOOKUP(AB166,Assumptions!$A$70:$B$90,2,0),0)</f>
        <v>54431.100437836729</v>
      </c>
      <c r="AC174" s="8">
        <f>IF(AC166&lt;=$B$4+1,AC169*VLOOKUP(AC166,Assumptions!$A$70:$B$90,2,0),0)</f>
        <v>54443.301984673286</v>
      </c>
      <c r="AD174" s="8">
        <f>IF(AD166&lt;=$B$4+1,AD169*VLOOKUP(AD166,Assumptions!$A$70:$B$90,2,0),0)</f>
        <v>54431.100437836729</v>
      </c>
      <c r="AE174" s="8">
        <f>IF(AE166&lt;=$B$4+1,AE169*VLOOKUP(AE166,Assumptions!$A$70:$B$90,2,0),0)</f>
        <v>54443.301984673286</v>
      </c>
      <c r="AF174" s="8">
        <f>IF(AF166&lt;=$B$4+1,AF169*VLOOKUP(AF166,Assumptions!$A$70:$B$90,2,0),0)</f>
        <v>54431.100437836729</v>
      </c>
      <c r="AG174" s="8">
        <f>IF(AG166&lt;=$B$4+1,AG169*VLOOKUP(AG166,Assumptions!$A$70:$B$90,2,0),0)</f>
        <v>54443.301984673286</v>
      </c>
      <c r="AH174" s="8">
        <f>IF(AH166&lt;=$B$4+1,AH169*VLOOKUP(AH166,Assumptions!$A$70:$B$90,2,0),0)</f>
        <v>54431.100437836729</v>
      </c>
      <c r="AI174" s="8">
        <f>IF(AI166&lt;=$B$4+1,AI169*VLOOKUP(AI166,Assumptions!$A$70:$B$90,2,0),0)</f>
        <v>27221.650992336643</v>
      </c>
      <c r="AJ174" s="8">
        <f>IF(AJ166&lt;=$B$4+1,AJ169*VLOOKUP(AJ166,Assumptions!$A$70:$B$90,2,0),0)</f>
        <v>0</v>
      </c>
      <c r="AK174" s="8">
        <f>IF(AK166&lt;=$B$4+1,AK169*VLOOKUP(AK166,Assumptions!$A$70:$B$90,2,0),0)</f>
        <v>0</v>
      </c>
      <c r="AL174" s="8">
        <f>IF(AL166&lt;=$B$4+1,AL169*VLOOKUP(AL166,Assumptions!$A$70:$B$90,2,0),0)</f>
        <v>0</v>
      </c>
      <c r="AM174" s="8">
        <f>IF(AM166&lt;=$B$4+1,AM169*VLOOKUP(AM166,Assumptions!$A$70:$B$90,2,0),0)</f>
        <v>0</v>
      </c>
      <c r="AN174" s="8">
        <f>IF(AN166&lt;=$B$4+1,AN169*VLOOKUP(AN166,Assumptions!$A$70:$B$90,2,0),0)</f>
        <v>0</v>
      </c>
      <c r="AO174" s="8">
        <f>IF(AO166&lt;=$B$4+1,AO169*VLOOKUP(AO166,Assumptions!$A$70:$B$90,2,0),0)</f>
        <v>0</v>
      </c>
      <c r="AP174" s="8">
        <f>IF(AP166&lt;=$B$4+1,AP169*VLOOKUP(AP166,Assumptions!$A$70:$B$90,2,0),0)</f>
        <v>0</v>
      </c>
      <c r="AQ174" s="8">
        <f>IF(AQ166&lt;=$B$4+1,AQ169*VLOOKUP(AQ166,Assumptions!$A$70:$B$90,2,0),0)</f>
        <v>0</v>
      </c>
      <c r="AR174" s="8">
        <f>IF(AR166&lt;=$B$4+1,AR169*VLOOKUP(AR166,Assumptions!$A$70:$B$90,2,0),0)</f>
        <v>0</v>
      </c>
      <c r="AS174" s="8">
        <f>IF(AS166&lt;=$B$4+1,AS169*VLOOKUP(AS166,Assumptions!$A$70:$B$90,2,0),0)</f>
        <v>0</v>
      </c>
      <c r="AT174" s="8">
        <f>IF(AT166&lt;=$B$4+1,AT169*VLOOKUP(AT166,Assumptions!$A$70:$B$90,2,0),0)</f>
        <v>0</v>
      </c>
      <c r="AU174" s="8">
        <f>IF(AU166&lt;=$B$4+1,AU169*VLOOKUP(AU166,Assumptions!$A$70:$B$90,2,0),0)</f>
        <v>0</v>
      </c>
      <c r="AV174" s="8">
        <f>IF(AV166&lt;=$B$4+1,AV169*VLOOKUP(AV166,Assumptions!$A$70:$B$90,2,0),0)</f>
        <v>0</v>
      </c>
      <c r="AW174" s="8">
        <f>IF(AW166&lt;=$B$4+1,AW169*VLOOKUP(AW166,Assumptions!$A$70:$B$90,2,0),0)</f>
        <v>0</v>
      </c>
      <c r="AX174" s="8">
        <f>IF(AX166&lt;=$B$4+1,AX169*VLOOKUP(AX166,Assumptions!$A$70:$B$90,2,0),0)</f>
        <v>0</v>
      </c>
      <c r="AY174" s="8">
        <f>IF(AY166&lt;=$B$4+1,AY169*VLOOKUP(AY166,Assumptions!$A$70:$B$90,2,0),0)</f>
        <v>0</v>
      </c>
      <c r="AZ174" s="8">
        <f>IF(AZ166&lt;=$B$4+1,AZ169*VLOOKUP(AZ166,Assumptions!$A$70:$B$90,2,0),0)</f>
        <v>0</v>
      </c>
      <c r="BA174" s="8">
        <f>IF(BA166&lt;=$B$4+1,BA169*VLOOKUP(BA166,Assumptions!$A$70:$B$90,2,0),0)</f>
        <v>0</v>
      </c>
      <c r="BB174" s="8">
        <f>IF(BB166&lt;=$B$4+1,BB169*VLOOKUP(BB166,Assumptions!$A$70:$B$90,2,0),0)</f>
        <v>0</v>
      </c>
      <c r="BC174" s="8">
        <f>IF(BC166&lt;=$B$4+1,BC169*VLOOKUP(BC166,Assumptions!$A$70:$B$90,2,0),0)</f>
        <v>0</v>
      </c>
      <c r="BD174" s="8">
        <f>IF(BD166&lt;=$B$4+1,BD169*VLOOKUP(BD166,Assumptions!$A$70:$B$90,2,0),0)</f>
        <v>0</v>
      </c>
      <c r="BE174" s="8">
        <f>IF(BE166&lt;=$B$4+1,BE169*VLOOKUP(BE166,Assumptions!$A$70:$B$90,2,0),0)</f>
        <v>0</v>
      </c>
      <c r="BF174" s="8">
        <f>IF(BF166&lt;=$B$4+1,BF169*VLOOKUP(BF166,Assumptions!$A$70:$B$90,2,0),0)</f>
        <v>0</v>
      </c>
      <c r="BG174" s="8">
        <f>IF(BG166&lt;=$B$4+1,BG169*VLOOKUP(BG166,Assumptions!$A$70:$B$90,2,0),0)</f>
        <v>0</v>
      </c>
      <c r="BH174" s="8">
        <f>IF(BH166&lt;=$B$4+1,BH169*VLOOKUP(BH166,Assumptions!$A$70:$B$90,2,0),0)</f>
        <v>0</v>
      </c>
      <c r="BI174" s="8">
        <f>IF(BI166&lt;=$B$4+1,BI169*VLOOKUP(BI166,Assumptions!$A$70:$B$90,2,0),0)</f>
        <v>0</v>
      </c>
      <c r="BJ174" s="8">
        <f>IF(BJ166&lt;=$B$4+1,BJ169*VLOOKUP(BJ166,Assumptions!$A$70:$B$90,2,0),0)</f>
        <v>0</v>
      </c>
      <c r="BK174" s="8">
        <f>IF(BK166&lt;=$B$4+1,BK169*VLOOKUP(BK166,Assumptions!$A$70:$B$90,2,0),0)</f>
        <v>0</v>
      </c>
      <c r="BL174" s="8">
        <f>IF(BL166&lt;=$B$4+1,BL169*VLOOKUP(BL166,Assumptions!$A$70:$B$90,2,0),0)</f>
        <v>0</v>
      </c>
      <c r="BM174" s="8">
        <f>IF(BM166&lt;=$B$4+1,BM169*VLOOKUP(BM166,Assumptions!$A$70:$B$90,2,0),0)</f>
        <v>0</v>
      </c>
      <c r="BN174" s="8">
        <f>IF(BN166&lt;=$B$4+1,BN169*VLOOKUP(BN166,Assumptions!$A$70:$B$90,2,0),0)</f>
        <v>0</v>
      </c>
      <c r="BO174" s="8">
        <f>IF(BO166&lt;=$B$4+1,BO169*VLOOKUP(BO166,Assumptions!$A$70:$B$90,2,0),0)</f>
        <v>0</v>
      </c>
      <c r="BP174" s="8">
        <f>IF(BP166&lt;=$B$4+1,BP169*VLOOKUP(BP166,Assumptions!$A$70:$B$90,2,0),0)</f>
        <v>0</v>
      </c>
      <c r="BQ174" s="8">
        <f>IF(BQ166&lt;=$B$4+1,BQ169*VLOOKUP(BQ166,Assumptions!$A$70:$B$90,2,0),0)</f>
        <v>0</v>
      </c>
      <c r="BR174" s="8">
        <f>IF(BR166&lt;=$B$4+1,BR169*VLOOKUP(BR166,Assumptions!$A$70:$B$90,2,0),0)</f>
        <v>0</v>
      </c>
      <c r="BS174" s="8">
        <f>IF(BS166&lt;=$B$4+1,BS169*VLOOKUP(BS166,Assumptions!$A$70:$B$90,2,0),0)</f>
        <v>0</v>
      </c>
      <c r="BT174" s="8">
        <f>IF(BT166&lt;=$B$4+1,BT169*VLOOKUP(BT166,Assumptions!$A$70:$B$90,2,0),0)</f>
        <v>0</v>
      </c>
      <c r="BU174" s="8">
        <f>IF(BU166&lt;=$B$4+1,BU169*VLOOKUP(BU166,Assumptions!$A$70:$B$90,2,0),0)</f>
        <v>0</v>
      </c>
      <c r="BV174" s="8">
        <f>IF(BV166&lt;=$B$4+1,BV169*VLOOKUP(BV166,Assumptions!$A$70:$B$90,2,0),0)</f>
        <v>0</v>
      </c>
      <c r="BW174" s="8">
        <f>IF(BW166&lt;=$B$4+1,BW169*VLOOKUP(BW166,Assumptions!$A$70:$B$90,2,0),0)</f>
        <v>0</v>
      </c>
      <c r="BX174" s="8">
        <f>IF(BX166&lt;=$B$4+1,BX169*VLOOKUP(BX166,Assumptions!$A$70:$B$90,2,0),0)</f>
        <v>0</v>
      </c>
      <c r="BY174" s="8">
        <f>IF(BY166&lt;=$B$4+1,BY169*VLOOKUP(BY166,Assumptions!$A$70:$B$90,2,0),0)</f>
        <v>0</v>
      </c>
      <c r="BZ174" s="8">
        <f>IF(BZ166&lt;=$B$4+1,BZ169*VLOOKUP(BZ166,Assumptions!$A$70:$B$90,2,0),0)</f>
        <v>0</v>
      </c>
      <c r="CA174" s="8">
        <f>IF(CA166&lt;=$B$4+1,CA169*VLOOKUP(CA166,Assumptions!$A$70:$B$90,2,0),0)</f>
        <v>0</v>
      </c>
      <c r="CB174" s="8">
        <f>IF(CB166&lt;=$B$4+1,CB169*VLOOKUP(CB166,Assumptions!$A$70:$B$90,2,0),0)</f>
        <v>0</v>
      </c>
      <c r="CC174" s="8">
        <f>IF(CC166&lt;=$B$4+1,CC169*VLOOKUP(CC166,Assumptions!$A$70:$B$90,2,0),0)</f>
        <v>0</v>
      </c>
      <c r="CD174" s="8">
        <f>IF(CD166&lt;=$B$4+1,CD169*VLOOKUP(CD166,Assumptions!$A$70:$B$90,2,0),0)</f>
        <v>0</v>
      </c>
      <c r="CE174" s="8">
        <f>IF(CE166&lt;=$B$4+1,CE169*VLOOKUP(CE166,Assumptions!$A$70:$B$90,2,0),0)</f>
        <v>0</v>
      </c>
      <c r="CF174" s="8">
        <f>IF(CF166&lt;=$B$4+1,CF169*VLOOKUP(CF166,Assumptions!$A$70:$B$90,2,0),0)</f>
        <v>0</v>
      </c>
      <c r="CG174" s="8">
        <f>IF(CG166&lt;=$B$4+1,CG169*VLOOKUP(CG166,Assumptions!$A$70:$B$90,2,0),0)</f>
        <v>0</v>
      </c>
      <c r="CH174" s="8">
        <f>IF(CH166&lt;=$B$4+1,CH169*VLOOKUP(CH166,Assumptions!$A$70:$B$90,2,0),0)</f>
        <v>0</v>
      </c>
      <c r="CI174" s="8">
        <f>IF(CI166&lt;=$B$4+1,CI169*VLOOKUP(CI166,Assumptions!$A$70:$B$90,2,0),0)</f>
        <v>0</v>
      </c>
      <c r="CJ174" s="8">
        <f>IF(CJ166&lt;=$B$4+1,CJ169*VLOOKUP(CJ166,Assumptions!$A$70:$B$90,2,0),0)</f>
        <v>0</v>
      </c>
      <c r="CK174" s="8">
        <f>IF(CK166&lt;=$B$4+1,CK169*VLOOKUP(CK166,Assumptions!$A$70:$B$90,2,0),0)</f>
        <v>0</v>
      </c>
      <c r="CL174" s="8">
        <f>IF(CL166&lt;=$B$4+1,CL169*VLOOKUP(CL166,Assumptions!$A$70:$B$90,2,0),0)</f>
        <v>0</v>
      </c>
      <c r="CM174" s="8">
        <f>IF(CM166&lt;=$B$4+1,CM169*VLOOKUP(CM166,Assumptions!$A$70:$B$90,2,0),0)</f>
        <v>0</v>
      </c>
      <c r="CN174" s="8">
        <f>IF(CN166&lt;=$B$4+1,CN169*VLOOKUP(CN166,Assumptions!$A$70:$B$90,2,0),0)</f>
        <v>0</v>
      </c>
      <c r="CO174" s="8">
        <f>IF(CO166&lt;=$B$4+1,CO169*VLOOKUP(CO166,Assumptions!$A$70:$B$90,2,0),0)</f>
        <v>0</v>
      </c>
      <c r="CP174" s="8">
        <f>IF(CP166&lt;=$B$4+1,CP169*VLOOKUP(CP166,Assumptions!$A$70:$B$90,2,0),0)</f>
        <v>0</v>
      </c>
      <c r="CQ174" s="8">
        <f>IF(CQ166&lt;=$B$4+1,CQ169*VLOOKUP(CQ166,Assumptions!$A$70:$B$90,2,0),0)</f>
        <v>0</v>
      </c>
      <c r="CR174" s="8">
        <f>IF(CR166&lt;=$B$4+1,CR169*VLOOKUP(CR166,Assumptions!$A$70:$B$90,2,0),0)</f>
        <v>0</v>
      </c>
      <c r="CS174" s="8">
        <f>IF(CS166&lt;=$B$4+1,CS169*VLOOKUP(CS166,Assumptions!$A$70:$B$90,2,0),0)</f>
        <v>0</v>
      </c>
      <c r="CT174" s="8">
        <f>IF(CT166&lt;=$B$4+1,CT169*VLOOKUP(CT166,Assumptions!$A$70:$B$90,2,0),0)</f>
        <v>0</v>
      </c>
      <c r="CU174" s="8">
        <f>IF(CU166&lt;=$B$4+1,CU169*VLOOKUP(CU166,Assumptions!$A$70:$B$90,2,0),0)</f>
        <v>0</v>
      </c>
      <c r="CV174" s="8">
        <f>IF(CV166&lt;=$B$4+1,CV169*VLOOKUP(CV166,Assumptions!$A$70:$B$90,2,0),0)</f>
        <v>0</v>
      </c>
      <c r="CW174" s="8">
        <f>IF(CW166&lt;=$B$4+1,CW169*VLOOKUP(CW166,Assumptions!$A$70:$B$90,2,0),0)</f>
        <v>0</v>
      </c>
      <c r="CX174" s="8">
        <f>IF(CX166&lt;=$B$4+1,CX169*VLOOKUP(CX166,Assumptions!$A$70:$B$90,2,0),0)</f>
        <v>0</v>
      </c>
      <c r="CY174" s="8">
        <f>IF(CY166&lt;=$B$4+1,CY169*VLOOKUP(CY166,Assumptions!$A$70:$B$90,2,0),0)</f>
        <v>0</v>
      </c>
      <c r="CZ174" s="8">
        <f>IF(CZ166&lt;=$B$4+1,CZ169*VLOOKUP(CZ166,Assumptions!$A$70:$B$90,2,0),0)</f>
        <v>0</v>
      </c>
      <c r="DA174" s="8">
        <f>IF(DA166&lt;=$B$4+1,DA169*VLOOKUP(DA166,Assumptions!$A$70:$B$90,2,0),0)</f>
        <v>0</v>
      </c>
      <c r="DB174" s="8"/>
      <c r="DC174" s="8"/>
      <c r="DD174" s="8"/>
      <c r="DE174" s="8"/>
      <c r="DF174" s="8"/>
      <c r="DG174" s="8"/>
    </row>
    <row r="175" spans="3:111" x14ac:dyDescent="0.4">
      <c r="D175" t="s">
        <v>170</v>
      </c>
      <c r="N175" s="8"/>
      <c r="O175" s="8">
        <f>N176</f>
        <v>0</v>
      </c>
      <c r="P175" s="8">
        <f t="shared" ref="P175:CA175" si="196">O176</f>
        <v>-5917.902735060813</v>
      </c>
      <c r="Q175" s="8">
        <f t="shared" si="196"/>
        <v>-23566.779520365035</v>
      </c>
      <c r="R175" s="8">
        <f t="shared" si="196"/>
        <v>-39382.797287153277</v>
      </c>
      <c r="S175" s="8">
        <f t="shared" si="196"/>
        <v>-53507.985701067002</v>
      </c>
      <c r="T175" s="8">
        <f t="shared" si="196"/>
        <v>-66064.084475513169</v>
      </c>
      <c r="U175" s="8">
        <f t="shared" si="196"/>
        <v>-77172.833323898754</v>
      </c>
      <c r="V175" s="8">
        <f t="shared" si="196"/>
        <v>-86939.063666101967</v>
      </c>
      <c r="W175" s="8">
        <f t="shared" si="196"/>
        <v>-95467.606922001039</v>
      </c>
      <c r="X175" s="8">
        <f t="shared" si="196"/>
        <v>-103793.25065555517</v>
      </c>
      <c r="Y175" s="8">
        <f t="shared" si="196"/>
        <v>-112115.51273040354</v>
      </c>
      <c r="Z175" s="8">
        <f t="shared" si="196"/>
        <v>-120441.15646395767</v>
      </c>
      <c r="AA175" s="8">
        <f t="shared" si="196"/>
        <v>-128763.41853880604</v>
      </c>
      <c r="AB175" s="8">
        <f t="shared" si="196"/>
        <v>-137089.06227236017</v>
      </c>
      <c r="AC175" s="8">
        <f t="shared" si="196"/>
        <v>-145411.32434720855</v>
      </c>
      <c r="AD175" s="8">
        <f t="shared" si="196"/>
        <v>-153736.96808076269</v>
      </c>
      <c r="AE175" s="8">
        <f t="shared" si="196"/>
        <v>-162059.23015561106</v>
      </c>
      <c r="AF175" s="8">
        <f t="shared" si="196"/>
        <v>-170384.8738891652</v>
      </c>
      <c r="AG175" s="8">
        <f t="shared" si="196"/>
        <v>-178707.13596401358</v>
      </c>
      <c r="AH175" s="8">
        <f t="shared" si="196"/>
        <v>-187032.77969756772</v>
      </c>
      <c r="AI175" s="8">
        <f t="shared" si="196"/>
        <v>-195355.04177241609</v>
      </c>
      <c r="AJ175" s="8">
        <f t="shared" si="196"/>
        <v>-196136.20493344413</v>
      </c>
      <c r="AK175" s="8">
        <f t="shared" si="196"/>
        <v>-189372.88752194605</v>
      </c>
      <c r="AL175" s="8">
        <f t="shared" si="196"/>
        <v>-182609.57011044797</v>
      </c>
      <c r="AM175" s="8">
        <f t="shared" si="196"/>
        <v>-175846.25269894989</v>
      </c>
      <c r="AN175" s="8">
        <f t="shared" si="196"/>
        <v>-169082.93528745181</v>
      </c>
      <c r="AO175" s="8">
        <f t="shared" si="196"/>
        <v>-162319.61787595373</v>
      </c>
      <c r="AP175" s="8">
        <f t="shared" si="196"/>
        <v>-155556.30046445565</v>
      </c>
      <c r="AQ175" s="8">
        <f t="shared" si="196"/>
        <v>-148792.98305295757</v>
      </c>
      <c r="AR175" s="8">
        <f t="shared" si="196"/>
        <v>-142029.66564145949</v>
      </c>
      <c r="AS175" s="8">
        <f t="shared" si="196"/>
        <v>-135266.34822996141</v>
      </c>
      <c r="AT175" s="8">
        <f t="shared" si="196"/>
        <v>-128503.03081846333</v>
      </c>
      <c r="AU175" s="8">
        <f t="shared" si="196"/>
        <v>-121739.71340696525</v>
      </c>
      <c r="AV175" s="8">
        <f t="shared" si="196"/>
        <v>-114976.39599546717</v>
      </c>
      <c r="AW175" s="8">
        <f t="shared" si="196"/>
        <v>-108213.07858396909</v>
      </c>
      <c r="AX175" s="8">
        <f t="shared" si="196"/>
        <v>-101449.76117247102</v>
      </c>
      <c r="AY175" s="8">
        <f t="shared" si="196"/>
        <v>-94686.443760972936</v>
      </c>
      <c r="AZ175" s="8">
        <f t="shared" si="196"/>
        <v>-87923.126349474856</v>
      </c>
      <c r="BA175" s="8">
        <f t="shared" si="196"/>
        <v>-81159.808937976777</v>
      </c>
      <c r="BB175" s="8">
        <f t="shared" si="196"/>
        <v>-74396.491526478698</v>
      </c>
      <c r="BC175" s="8">
        <f t="shared" si="196"/>
        <v>-67633.174114980618</v>
      </c>
      <c r="BD175" s="8">
        <f t="shared" si="196"/>
        <v>-60869.856703482546</v>
      </c>
      <c r="BE175" s="8">
        <f t="shared" si="196"/>
        <v>-54106.539291984474</v>
      </c>
      <c r="BF175" s="8">
        <f t="shared" si="196"/>
        <v>-47343.221880486402</v>
      </c>
      <c r="BG175" s="8">
        <f t="shared" si="196"/>
        <v>-40579.90446898833</v>
      </c>
      <c r="BH175" s="8">
        <f t="shared" si="196"/>
        <v>-33816.587057490258</v>
      </c>
      <c r="BI175" s="8">
        <f t="shared" si="196"/>
        <v>-27053.269645992186</v>
      </c>
      <c r="BJ175" s="8">
        <f t="shared" si="196"/>
        <v>-20289.952234494114</v>
      </c>
      <c r="BK175" s="8">
        <f t="shared" si="196"/>
        <v>-13526.634822996042</v>
      </c>
      <c r="BL175" s="8">
        <f t="shared" si="196"/>
        <v>-6763.3174114979693</v>
      </c>
      <c r="BM175" s="8">
        <f t="shared" si="196"/>
        <v>1.0368239600211382E-10</v>
      </c>
      <c r="BN175" s="8">
        <f t="shared" si="196"/>
        <v>1.0368239600211382E-10</v>
      </c>
      <c r="BO175" s="8">
        <f t="shared" si="196"/>
        <v>1.0368239600211382E-10</v>
      </c>
      <c r="BP175" s="8">
        <f t="shared" si="196"/>
        <v>1.0368239600211382E-10</v>
      </c>
      <c r="BQ175" s="8">
        <f t="shared" si="196"/>
        <v>1.0368239600211382E-10</v>
      </c>
      <c r="BR175" s="8">
        <f t="shared" si="196"/>
        <v>1.0368239600211382E-10</v>
      </c>
      <c r="BS175" s="8">
        <f t="shared" si="196"/>
        <v>1.0368239600211382E-10</v>
      </c>
      <c r="BT175" s="8">
        <f t="shared" si="196"/>
        <v>1.0368239600211382E-10</v>
      </c>
      <c r="BU175" s="8">
        <f t="shared" si="196"/>
        <v>1.0368239600211382E-10</v>
      </c>
      <c r="BV175" s="8">
        <f t="shared" si="196"/>
        <v>1.0368239600211382E-10</v>
      </c>
      <c r="BW175" s="8">
        <f t="shared" si="196"/>
        <v>1.0368239600211382E-10</v>
      </c>
      <c r="BX175" s="8">
        <f t="shared" si="196"/>
        <v>1.0368239600211382E-10</v>
      </c>
      <c r="BY175" s="8">
        <f t="shared" si="196"/>
        <v>1.0368239600211382E-10</v>
      </c>
      <c r="BZ175" s="8">
        <f t="shared" si="196"/>
        <v>1.0368239600211382E-10</v>
      </c>
      <c r="CA175" s="8">
        <f t="shared" si="196"/>
        <v>1.0368239600211382E-10</v>
      </c>
      <c r="CB175" s="8">
        <f t="shared" ref="CB175:DA175" si="197">CA176</f>
        <v>1.0368239600211382E-10</v>
      </c>
      <c r="CC175" s="8">
        <f t="shared" si="197"/>
        <v>1.0368239600211382E-10</v>
      </c>
      <c r="CD175" s="8">
        <f t="shared" si="197"/>
        <v>1.0368239600211382E-10</v>
      </c>
      <c r="CE175" s="8">
        <f t="shared" si="197"/>
        <v>1.0368239600211382E-10</v>
      </c>
      <c r="CF175" s="8">
        <f t="shared" si="197"/>
        <v>1.0368239600211382E-10</v>
      </c>
      <c r="CG175" s="8">
        <f t="shared" si="197"/>
        <v>1.0368239600211382E-10</v>
      </c>
      <c r="CH175" s="8">
        <f t="shared" si="197"/>
        <v>1.0368239600211382E-10</v>
      </c>
      <c r="CI175" s="8">
        <f t="shared" si="197"/>
        <v>1.0368239600211382E-10</v>
      </c>
      <c r="CJ175" s="8">
        <f t="shared" si="197"/>
        <v>1.0368239600211382E-10</v>
      </c>
      <c r="CK175" s="8">
        <f t="shared" si="197"/>
        <v>1.0368239600211382E-10</v>
      </c>
      <c r="CL175" s="8">
        <f t="shared" si="197"/>
        <v>1.0368239600211382E-10</v>
      </c>
      <c r="CM175" s="8">
        <f t="shared" si="197"/>
        <v>1.0368239600211382E-10</v>
      </c>
      <c r="CN175" s="8">
        <f t="shared" si="197"/>
        <v>1.0368239600211382E-10</v>
      </c>
      <c r="CO175" s="8">
        <f t="shared" si="197"/>
        <v>1.0368239600211382E-10</v>
      </c>
      <c r="CP175" s="8">
        <f t="shared" si="197"/>
        <v>1.0368239600211382E-10</v>
      </c>
      <c r="CQ175" s="8">
        <f t="shared" si="197"/>
        <v>1.0368239600211382E-10</v>
      </c>
      <c r="CR175" s="8">
        <f t="shared" si="197"/>
        <v>1.0368239600211382E-10</v>
      </c>
      <c r="CS175" s="8">
        <f t="shared" si="197"/>
        <v>1.0368239600211382E-10</v>
      </c>
      <c r="CT175" s="8">
        <f t="shared" si="197"/>
        <v>1.0368239600211382E-10</v>
      </c>
      <c r="CU175" s="8">
        <f t="shared" si="197"/>
        <v>1.0368239600211382E-10</v>
      </c>
      <c r="CV175" s="8">
        <f t="shared" si="197"/>
        <v>1.0368239600211382E-10</v>
      </c>
      <c r="CW175" s="8">
        <f t="shared" si="197"/>
        <v>1.0368239600211382E-10</v>
      </c>
      <c r="CX175" s="8">
        <f t="shared" si="197"/>
        <v>1.0368239600211382E-10</v>
      </c>
      <c r="CY175" s="8">
        <f t="shared" si="197"/>
        <v>1.0368239600211382E-10</v>
      </c>
      <c r="CZ175" s="8">
        <f t="shared" si="197"/>
        <v>1.0368239600211382E-10</v>
      </c>
      <c r="DA175" s="8">
        <f t="shared" si="197"/>
        <v>1.0368239600211382E-10</v>
      </c>
      <c r="DB175" s="8"/>
      <c r="DC175" s="8"/>
      <c r="DD175" s="8"/>
      <c r="DE175" s="8"/>
      <c r="DF175" s="8"/>
      <c r="DG175" s="8"/>
    </row>
    <row r="176" spans="3:111" x14ac:dyDescent="0.4">
      <c r="D176" t="s">
        <v>171</v>
      </c>
      <c r="N176" s="8"/>
      <c r="O176" s="8">
        <f t="shared" ref="O176:AT176" si="198">N176+((O168-O174)*INC_TAX_RATE)</f>
        <v>-5917.902735060813</v>
      </c>
      <c r="P176" s="8">
        <f t="shared" si="198"/>
        <v>-23566.779520365035</v>
      </c>
      <c r="Q176" s="8">
        <f t="shared" si="198"/>
        <v>-39382.797287153277</v>
      </c>
      <c r="R176" s="8">
        <f t="shared" si="198"/>
        <v>-53507.985701067002</v>
      </c>
      <c r="S176" s="8">
        <f t="shared" si="198"/>
        <v>-66064.084475513169</v>
      </c>
      <c r="T176" s="8">
        <f t="shared" si="198"/>
        <v>-77172.833323898754</v>
      </c>
      <c r="U176" s="8">
        <f t="shared" si="198"/>
        <v>-86939.063666101967</v>
      </c>
      <c r="V176" s="8">
        <f t="shared" si="198"/>
        <v>-95467.606922001039</v>
      </c>
      <c r="W176" s="8">
        <f t="shared" si="198"/>
        <v>-103793.25065555517</v>
      </c>
      <c r="X176" s="8">
        <f t="shared" si="198"/>
        <v>-112115.51273040354</v>
      </c>
      <c r="Y176" s="8">
        <f t="shared" si="198"/>
        <v>-120441.15646395767</v>
      </c>
      <c r="Z176" s="8">
        <f t="shared" si="198"/>
        <v>-128763.41853880604</v>
      </c>
      <c r="AA176" s="8">
        <f t="shared" si="198"/>
        <v>-137089.06227236017</v>
      </c>
      <c r="AB176" s="8">
        <f t="shared" si="198"/>
        <v>-145411.32434720855</v>
      </c>
      <c r="AC176" s="8">
        <f t="shared" si="198"/>
        <v>-153736.96808076269</v>
      </c>
      <c r="AD176" s="8">
        <f t="shared" si="198"/>
        <v>-162059.23015561106</v>
      </c>
      <c r="AE176" s="8">
        <f t="shared" si="198"/>
        <v>-170384.8738891652</v>
      </c>
      <c r="AF176" s="8">
        <f t="shared" si="198"/>
        <v>-178707.13596401358</v>
      </c>
      <c r="AG176" s="8">
        <f t="shared" si="198"/>
        <v>-187032.77969756772</v>
      </c>
      <c r="AH176" s="8">
        <f t="shared" si="198"/>
        <v>-195355.04177241609</v>
      </c>
      <c r="AI176" s="8">
        <f t="shared" si="198"/>
        <v>-196136.20493344413</v>
      </c>
      <c r="AJ176" s="8">
        <f t="shared" si="198"/>
        <v>-189372.88752194605</v>
      </c>
      <c r="AK176" s="8">
        <f t="shared" si="198"/>
        <v>-182609.57011044797</v>
      </c>
      <c r="AL176" s="8">
        <f t="shared" si="198"/>
        <v>-175846.25269894989</v>
      </c>
      <c r="AM176" s="8">
        <f t="shared" si="198"/>
        <v>-169082.93528745181</v>
      </c>
      <c r="AN176" s="8">
        <f t="shared" si="198"/>
        <v>-162319.61787595373</v>
      </c>
      <c r="AO176" s="8">
        <f t="shared" si="198"/>
        <v>-155556.30046445565</v>
      </c>
      <c r="AP176" s="8">
        <f t="shared" si="198"/>
        <v>-148792.98305295757</v>
      </c>
      <c r="AQ176" s="8">
        <f t="shared" si="198"/>
        <v>-142029.66564145949</v>
      </c>
      <c r="AR176" s="8">
        <f t="shared" si="198"/>
        <v>-135266.34822996141</v>
      </c>
      <c r="AS176" s="8">
        <f t="shared" si="198"/>
        <v>-128503.03081846333</v>
      </c>
      <c r="AT176" s="8">
        <f t="shared" si="198"/>
        <v>-121739.71340696525</v>
      </c>
      <c r="AU176" s="8">
        <f t="shared" ref="AU176:BZ176" si="199">AT176+((AU168-AU174)*INC_TAX_RATE)</f>
        <v>-114976.39599546717</v>
      </c>
      <c r="AV176" s="8">
        <f t="shared" si="199"/>
        <v>-108213.07858396909</v>
      </c>
      <c r="AW176" s="8">
        <f t="shared" si="199"/>
        <v>-101449.76117247102</v>
      </c>
      <c r="AX176" s="8">
        <f t="shared" si="199"/>
        <v>-94686.443760972936</v>
      </c>
      <c r="AY176" s="8">
        <f t="shared" si="199"/>
        <v>-87923.126349474856</v>
      </c>
      <c r="AZ176" s="8">
        <f t="shared" si="199"/>
        <v>-81159.808937976777</v>
      </c>
      <c r="BA176" s="8">
        <f t="shared" si="199"/>
        <v>-74396.491526478698</v>
      </c>
      <c r="BB176" s="8">
        <f t="shared" si="199"/>
        <v>-67633.174114980618</v>
      </c>
      <c r="BC176" s="8">
        <f t="shared" si="199"/>
        <v>-60869.856703482546</v>
      </c>
      <c r="BD176" s="8">
        <f t="shared" si="199"/>
        <v>-54106.539291984474</v>
      </c>
      <c r="BE176" s="8">
        <f t="shared" si="199"/>
        <v>-47343.221880486402</v>
      </c>
      <c r="BF176" s="8">
        <f t="shared" si="199"/>
        <v>-40579.90446898833</v>
      </c>
      <c r="BG176" s="8">
        <f t="shared" si="199"/>
        <v>-33816.587057490258</v>
      </c>
      <c r="BH176" s="8">
        <f t="shared" si="199"/>
        <v>-27053.269645992186</v>
      </c>
      <c r="BI176" s="8">
        <f t="shared" si="199"/>
        <v>-20289.952234494114</v>
      </c>
      <c r="BJ176" s="8">
        <f t="shared" si="199"/>
        <v>-13526.634822996042</v>
      </c>
      <c r="BK176" s="8">
        <f t="shared" si="199"/>
        <v>-6763.3174114979693</v>
      </c>
      <c r="BL176" s="8">
        <f t="shared" si="199"/>
        <v>1.0368239600211382E-10</v>
      </c>
      <c r="BM176" s="8">
        <f t="shared" si="199"/>
        <v>1.0368239600211382E-10</v>
      </c>
      <c r="BN176" s="8">
        <f t="shared" si="199"/>
        <v>1.0368239600211382E-10</v>
      </c>
      <c r="BO176" s="8">
        <f t="shared" si="199"/>
        <v>1.0368239600211382E-10</v>
      </c>
      <c r="BP176" s="8">
        <f t="shared" si="199"/>
        <v>1.0368239600211382E-10</v>
      </c>
      <c r="BQ176" s="8">
        <f t="shared" si="199"/>
        <v>1.0368239600211382E-10</v>
      </c>
      <c r="BR176" s="8">
        <f t="shared" si="199"/>
        <v>1.0368239600211382E-10</v>
      </c>
      <c r="BS176" s="8">
        <f t="shared" si="199"/>
        <v>1.0368239600211382E-10</v>
      </c>
      <c r="BT176" s="8">
        <f t="shared" si="199"/>
        <v>1.0368239600211382E-10</v>
      </c>
      <c r="BU176" s="8">
        <f t="shared" si="199"/>
        <v>1.0368239600211382E-10</v>
      </c>
      <c r="BV176" s="8">
        <f t="shared" si="199"/>
        <v>1.0368239600211382E-10</v>
      </c>
      <c r="BW176" s="8">
        <f t="shared" si="199"/>
        <v>1.0368239600211382E-10</v>
      </c>
      <c r="BX176" s="8">
        <f t="shared" si="199"/>
        <v>1.0368239600211382E-10</v>
      </c>
      <c r="BY176" s="8">
        <f t="shared" si="199"/>
        <v>1.0368239600211382E-10</v>
      </c>
      <c r="BZ176" s="8">
        <f t="shared" si="199"/>
        <v>1.0368239600211382E-10</v>
      </c>
      <c r="CA176" s="8">
        <f t="shared" ref="CA176:DA176" si="200">BZ176+((CA168-CA174)*INC_TAX_RATE)</f>
        <v>1.0368239600211382E-10</v>
      </c>
      <c r="CB176" s="8">
        <f t="shared" si="200"/>
        <v>1.0368239600211382E-10</v>
      </c>
      <c r="CC176" s="8">
        <f t="shared" si="200"/>
        <v>1.0368239600211382E-10</v>
      </c>
      <c r="CD176" s="8">
        <f t="shared" si="200"/>
        <v>1.0368239600211382E-10</v>
      </c>
      <c r="CE176" s="8">
        <f t="shared" si="200"/>
        <v>1.0368239600211382E-10</v>
      </c>
      <c r="CF176" s="8">
        <f t="shared" si="200"/>
        <v>1.0368239600211382E-10</v>
      </c>
      <c r="CG176" s="8">
        <f t="shared" si="200"/>
        <v>1.0368239600211382E-10</v>
      </c>
      <c r="CH176" s="8">
        <f t="shared" si="200"/>
        <v>1.0368239600211382E-10</v>
      </c>
      <c r="CI176" s="8">
        <f t="shared" si="200"/>
        <v>1.0368239600211382E-10</v>
      </c>
      <c r="CJ176" s="8">
        <f t="shared" si="200"/>
        <v>1.0368239600211382E-10</v>
      </c>
      <c r="CK176" s="8">
        <f t="shared" si="200"/>
        <v>1.0368239600211382E-10</v>
      </c>
      <c r="CL176" s="8">
        <f t="shared" si="200"/>
        <v>1.0368239600211382E-10</v>
      </c>
      <c r="CM176" s="8">
        <f t="shared" si="200"/>
        <v>1.0368239600211382E-10</v>
      </c>
      <c r="CN176" s="8">
        <f t="shared" si="200"/>
        <v>1.0368239600211382E-10</v>
      </c>
      <c r="CO176" s="8">
        <f t="shared" si="200"/>
        <v>1.0368239600211382E-10</v>
      </c>
      <c r="CP176" s="8">
        <f t="shared" si="200"/>
        <v>1.0368239600211382E-10</v>
      </c>
      <c r="CQ176" s="8">
        <f t="shared" si="200"/>
        <v>1.0368239600211382E-10</v>
      </c>
      <c r="CR176" s="8">
        <f t="shared" si="200"/>
        <v>1.0368239600211382E-10</v>
      </c>
      <c r="CS176" s="8">
        <f t="shared" si="200"/>
        <v>1.0368239600211382E-10</v>
      </c>
      <c r="CT176" s="8">
        <f t="shared" si="200"/>
        <v>1.0368239600211382E-10</v>
      </c>
      <c r="CU176" s="8">
        <f t="shared" si="200"/>
        <v>1.0368239600211382E-10</v>
      </c>
      <c r="CV176" s="8">
        <f t="shared" si="200"/>
        <v>1.0368239600211382E-10</v>
      </c>
      <c r="CW176" s="8">
        <f t="shared" si="200"/>
        <v>1.0368239600211382E-10</v>
      </c>
      <c r="CX176" s="8">
        <f t="shared" si="200"/>
        <v>1.0368239600211382E-10</v>
      </c>
      <c r="CY176" s="8">
        <f t="shared" si="200"/>
        <v>1.0368239600211382E-10</v>
      </c>
      <c r="CZ176" s="8">
        <f t="shared" si="200"/>
        <v>1.0368239600211382E-10</v>
      </c>
      <c r="DA176" s="8">
        <f t="shared" si="200"/>
        <v>1.0368239600211382E-10</v>
      </c>
      <c r="DB176" s="8"/>
      <c r="DC176" s="8"/>
      <c r="DD176" s="8"/>
      <c r="DE176" s="8"/>
      <c r="DF176" s="8"/>
      <c r="DG176" s="8"/>
    </row>
    <row r="177" spans="4:111" x14ac:dyDescent="0.4"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  <c r="CY177" s="8"/>
      <c r="CZ177" s="8"/>
      <c r="DA177" s="8"/>
      <c r="DB177" s="8"/>
      <c r="DC177" s="8"/>
      <c r="DD177" s="8"/>
      <c r="DE177" s="8"/>
      <c r="DF177" s="8"/>
      <c r="DG177" s="8"/>
    </row>
    <row r="178" spans="4:111" x14ac:dyDescent="0.4">
      <c r="D178" t="s">
        <v>158</v>
      </c>
      <c r="N178" s="8"/>
      <c r="O178" s="8">
        <f>AVERAGE(O171:O172)+AVERAGE(O175:O176)</f>
        <v>1204994.1854506352</v>
      </c>
      <c r="P178" s="8">
        <f t="shared" ref="P178:CA178" si="201">AVERAGE(P171:P172)+AVERAGE(P175:P176)</f>
        <v>1168807.7020173583</v>
      </c>
      <c r="Q178" s="8">
        <f t="shared" si="201"/>
        <v>1127672.1610682178</v>
      </c>
      <c r="R178" s="8">
        <f t="shared" si="201"/>
        <v>1088298.4643047727</v>
      </c>
      <c r="S178" s="8">
        <f t="shared" si="201"/>
        <v>1050554.7270374987</v>
      </c>
      <c r="T178" s="8">
        <f t="shared" si="201"/>
        <v>1014319.2095529884</v>
      </c>
      <c r="U178" s="8">
        <f t="shared" si="201"/>
        <v>979478.62628459954</v>
      </c>
      <c r="V178" s="8">
        <f t="shared" si="201"/>
        <v>945928.14581245417</v>
      </c>
      <c r="W178" s="8">
        <f t="shared" si="201"/>
        <v>913097.95864463341</v>
      </c>
      <c r="X178" s="8">
        <f t="shared" si="201"/>
        <v>880370.91206733801</v>
      </c>
      <c r="Y178" s="8">
        <f t="shared" si="201"/>
        <v>847643.86549004237</v>
      </c>
      <c r="Z178" s="8">
        <f t="shared" si="201"/>
        <v>814916.81891274697</v>
      </c>
      <c r="AA178" s="8">
        <f t="shared" si="201"/>
        <v>782189.77233545156</v>
      </c>
      <c r="AB178" s="8">
        <f t="shared" si="201"/>
        <v>749462.72575815581</v>
      </c>
      <c r="AC178" s="8">
        <f t="shared" si="201"/>
        <v>716735.6791808604</v>
      </c>
      <c r="AD178" s="8">
        <f t="shared" si="201"/>
        <v>684008.632603565</v>
      </c>
      <c r="AE178" s="8">
        <f t="shared" si="201"/>
        <v>651281.58602626948</v>
      </c>
      <c r="AF178" s="8">
        <f t="shared" si="201"/>
        <v>618554.53944897396</v>
      </c>
      <c r="AG178" s="8">
        <f t="shared" si="201"/>
        <v>585827.49287167843</v>
      </c>
      <c r="AH178" s="8">
        <f t="shared" si="201"/>
        <v>553100.44629438303</v>
      </c>
      <c r="AI178" s="8">
        <f t="shared" si="201"/>
        <v>524145.64000335062</v>
      </c>
      <c r="AJ178" s="8">
        <f t="shared" si="201"/>
        <v>502733.62345549127</v>
      </c>
      <c r="AK178" s="8">
        <f t="shared" si="201"/>
        <v>485093.84719389514</v>
      </c>
      <c r="AL178" s="8">
        <f t="shared" si="201"/>
        <v>467454.07093229884</v>
      </c>
      <c r="AM178" s="8">
        <f t="shared" si="201"/>
        <v>449814.29467070271</v>
      </c>
      <c r="AN178" s="8">
        <f t="shared" si="201"/>
        <v>432174.51840910641</v>
      </c>
      <c r="AO178" s="8">
        <f t="shared" si="201"/>
        <v>414534.74214751029</v>
      </c>
      <c r="AP178" s="8">
        <f t="shared" si="201"/>
        <v>396894.96588591399</v>
      </c>
      <c r="AQ178" s="8">
        <f t="shared" si="201"/>
        <v>379255.18962431786</v>
      </c>
      <c r="AR178" s="8">
        <f t="shared" si="201"/>
        <v>361615.41336272162</v>
      </c>
      <c r="AS178" s="8">
        <f t="shared" si="201"/>
        <v>343975.63710112538</v>
      </c>
      <c r="AT178" s="8">
        <f t="shared" si="201"/>
        <v>326335.8608395292</v>
      </c>
      <c r="AU178" s="8">
        <f t="shared" si="201"/>
        <v>308696.08457793295</v>
      </c>
      <c r="AV178" s="8">
        <f t="shared" si="201"/>
        <v>291056.30831633677</v>
      </c>
      <c r="AW178" s="8">
        <f t="shared" si="201"/>
        <v>273416.53205474053</v>
      </c>
      <c r="AX178" s="8">
        <f t="shared" si="201"/>
        <v>255776.75579314434</v>
      </c>
      <c r="AY178" s="8">
        <f t="shared" si="201"/>
        <v>238136.9795315481</v>
      </c>
      <c r="AZ178" s="8">
        <f t="shared" si="201"/>
        <v>220497.20326995192</v>
      </c>
      <c r="BA178" s="8">
        <f t="shared" si="201"/>
        <v>202857.42700835568</v>
      </c>
      <c r="BB178" s="8">
        <f t="shared" si="201"/>
        <v>185217.65074675949</v>
      </c>
      <c r="BC178" s="8">
        <f t="shared" si="201"/>
        <v>167577.87448516325</v>
      </c>
      <c r="BD178" s="8">
        <f t="shared" si="201"/>
        <v>149938.09822356704</v>
      </c>
      <c r="BE178" s="8">
        <f t="shared" si="201"/>
        <v>132298.32196197088</v>
      </c>
      <c r="BF178" s="8">
        <f t="shared" si="201"/>
        <v>114658.54570037477</v>
      </c>
      <c r="BG178" s="8">
        <f t="shared" si="201"/>
        <v>97018.769438778676</v>
      </c>
      <c r="BH178" s="8">
        <f t="shared" si="201"/>
        <v>79378.993177182565</v>
      </c>
      <c r="BI178" s="8">
        <f t="shared" si="201"/>
        <v>61739.216915586469</v>
      </c>
      <c r="BJ178" s="8">
        <f t="shared" si="201"/>
        <v>44099.440653990358</v>
      </c>
      <c r="BK178" s="8">
        <f t="shared" si="201"/>
        <v>26459.664392394257</v>
      </c>
      <c r="BL178" s="8">
        <f t="shared" si="201"/>
        <v>8819.8881307981555</v>
      </c>
      <c r="BM178" s="8">
        <f t="shared" si="201"/>
        <v>1.0368239600211382E-10</v>
      </c>
      <c r="BN178" s="8">
        <f t="shared" si="201"/>
        <v>1.0368239600211382E-10</v>
      </c>
      <c r="BO178" s="8">
        <f t="shared" si="201"/>
        <v>1.0368239600211382E-10</v>
      </c>
      <c r="BP178" s="8">
        <f t="shared" si="201"/>
        <v>1.0368239600211382E-10</v>
      </c>
      <c r="BQ178" s="8">
        <f t="shared" si="201"/>
        <v>1.0368239600211382E-10</v>
      </c>
      <c r="BR178" s="8">
        <f t="shared" si="201"/>
        <v>1.0368239600211382E-10</v>
      </c>
      <c r="BS178" s="8">
        <f t="shared" si="201"/>
        <v>1.0368239600211382E-10</v>
      </c>
      <c r="BT178" s="8">
        <f t="shared" si="201"/>
        <v>1.0368239600211382E-10</v>
      </c>
      <c r="BU178" s="8">
        <f t="shared" si="201"/>
        <v>1.0368239600211382E-10</v>
      </c>
      <c r="BV178" s="8">
        <f t="shared" si="201"/>
        <v>1.0368239600211382E-10</v>
      </c>
      <c r="BW178" s="8">
        <f t="shared" si="201"/>
        <v>1.0368239600211382E-10</v>
      </c>
      <c r="BX178" s="8">
        <f t="shared" si="201"/>
        <v>1.0368239600211382E-10</v>
      </c>
      <c r="BY178" s="8">
        <f t="shared" si="201"/>
        <v>1.0368239600211382E-10</v>
      </c>
      <c r="BZ178" s="8">
        <f t="shared" si="201"/>
        <v>1.0368239600211382E-10</v>
      </c>
      <c r="CA178" s="8">
        <f t="shared" si="201"/>
        <v>1.0368239600211382E-10</v>
      </c>
      <c r="CB178" s="8">
        <f t="shared" ref="CB178:DA178" si="202">AVERAGE(CB171:CB172)+AVERAGE(CB175:CB176)</f>
        <v>1.0368239600211382E-10</v>
      </c>
      <c r="CC178" s="8">
        <f t="shared" si="202"/>
        <v>1.0368239600211382E-10</v>
      </c>
      <c r="CD178" s="8">
        <f t="shared" si="202"/>
        <v>1.0368239600211382E-10</v>
      </c>
      <c r="CE178" s="8">
        <f t="shared" si="202"/>
        <v>1.0368239600211382E-10</v>
      </c>
      <c r="CF178" s="8">
        <f t="shared" si="202"/>
        <v>1.0368239600211382E-10</v>
      </c>
      <c r="CG178" s="8">
        <f t="shared" si="202"/>
        <v>1.0368239600211382E-10</v>
      </c>
      <c r="CH178" s="8">
        <f t="shared" si="202"/>
        <v>1.0368239600211382E-10</v>
      </c>
      <c r="CI178" s="8">
        <f t="shared" si="202"/>
        <v>1.0368239600211382E-10</v>
      </c>
      <c r="CJ178" s="8">
        <f t="shared" si="202"/>
        <v>1.0368239600211382E-10</v>
      </c>
      <c r="CK178" s="8">
        <f t="shared" si="202"/>
        <v>1.0368239600211382E-10</v>
      </c>
      <c r="CL178" s="8">
        <f t="shared" si="202"/>
        <v>1.0368239600211382E-10</v>
      </c>
      <c r="CM178" s="8">
        <f t="shared" si="202"/>
        <v>1.0368239600211382E-10</v>
      </c>
      <c r="CN178" s="8">
        <f t="shared" si="202"/>
        <v>1.0368239600211382E-10</v>
      </c>
      <c r="CO178" s="8">
        <f t="shared" si="202"/>
        <v>1.0368239600211382E-10</v>
      </c>
      <c r="CP178" s="8">
        <f t="shared" si="202"/>
        <v>1.0368239600211382E-10</v>
      </c>
      <c r="CQ178" s="8">
        <f t="shared" si="202"/>
        <v>1.0368239600211382E-10</v>
      </c>
      <c r="CR178" s="8">
        <f t="shared" si="202"/>
        <v>1.0368239600211382E-10</v>
      </c>
      <c r="CS178" s="8">
        <f t="shared" si="202"/>
        <v>1.0368239600211382E-10</v>
      </c>
      <c r="CT178" s="8">
        <f t="shared" si="202"/>
        <v>1.0368239600211382E-10</v>
      </c>
      <c r="CU178" s="8">
        <f t="shared" si="202"/>
        <v>1.0368239600211382E-10</v>
      </c>
      <c r="CV178" s="8">
        <f t="shared" si="202"/>
        <v>1.0368239600211382E-10</v>
      </c>
      <c r="CW178" s="8">
        <f t="shared" si="202"/>
        <v>1.0368239600211382E-10</v>
      </c>
      <c r="CX178" s="8">
        <f t="shared" si="202"/>
        <v>1.0368239600211382E-10</v>
      </c>
      <c r="CY178" s="8">
        <f t="shared" si="202"/>
        <v>1.0368239600211382E-10</v>
      </c>
      <c r="CZ178" s="8">
        <f t="shared" si="202"/>
        <v>1.0368239600211382E-10</v>
      </c>
      <c r="DA178" s="8">
        <f t="shared" si="202"/>
        <v>1.0368239600211382E-10</v>
      </c>
      <c r="DB178" s="8"/>
      <c r="DC178" s="8"/>
      <c r="DD178" s="8"/>
      <c r="DE178" s="8"/>
      <c r="DF178" s="8"/>
      <c r="DG178" s="8"/>
    </row>
    <row r="179" spans="4:111" x14ac:dyDescent="0.4"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8"/>
      <c r="DD179" s="8"/>
      <c r="DE179" s="8"/>
      <c r="DF179" s="8"/>
      <c r="DG179" s="8"/>
    </row>
    <row r="180" spans="4:111" x14ac:dyDescent="0.4">
      <c r="D180" t="s">
        <v>209</v>
      </c>
      <c r="N180" s="8"/>
      <c r="O180" s="8">
        <f t="shared" ref="O180:AT180" si="203">O178*AVG_PRE_TAX_RATE</f>
        <v>107605.98076074173</v>
      </c>
      <c r="P180" s="8">
        <f t="shared" si="203"/>
        <v>104374.5277901501</v>
      </c>
      <c r="Q180" s="8">
        <f t="shared" si="203"/>
        <v>100701.12398339185</v>
      </c>
      <c r="R180" s="8">
        <f t="shared" si="203"/>
        <v>97185.052862416211</v>
      </c>
      <c r="S180" s="8">
        <f t="shared" si="203"/>
        <v>93814.537124448645</v>
      </c>
      <c r="T180" s="8">
        <f t="shared" si="203"/>
        <v>90578.705413081872</v>
      </c>
      <c r="U180" s="8">
        <f t="shared" si="203"/>
        <v>87467.441327214736</v>
      </c>
      <c r="V180" s="8">
        <f t="shared" si="203"/>
        <v>84471.38342105216</v>
      </c>
      <c r="W180" s="8">
        <f t="shared" si="203"/>
        <v>81539.64770696577</v>
      </c>
      <c r="X180" s="8">
        <f t="shared" si="203"/>
        <v>78617.122447613292</v>
      </c>
      <c r="Y180" s="8">
        <f t="shared" si="203"/>
        <v>75694.597188260785</v>
      </c>
      <c r="Z180" s="8">
        <f t="shared" si="203"/>
        <v>72772.071928908306</v>
      </c>
      <c r="AA180" s="8">
        <f t="shared" si="203"/>
        <v>69849.546669555828</v>
      </c>
      <c r="AB180" s="8">
        <f t="shared" si="203"/>
        <v>66927.021410203321</v>
      </c>
      <c r="AC180" s="8">
        <f t="shared" si="203"/>
        <v>64004.496150850835</v>
      </c>
      <c r="AD180" s="8">
        <f t="shared" si="203"/>
        <v>61081.970891498357</v>
      </c>
      <c r="AE180" s="8">
        <f t="shared" si="203"/>
        <v>58159.445632145864</v>
      </c>
      <c r="AF180" s="8">
        <f t="shared" si="203"/>
        <v>55236.920372793378</v>
      </c>
      <c r="AG180" s="8">
        <f t="shared" si="203"/>
        <v>52314.395113440885</v>
      </c>
      <c r="AH180" s="8">
        <f t="shared" si="203"/>
        <v>49391.869854088407</v>
      </c>
      <c r="AI180" s="8">
        <f t="shared" si="203"/>
        <v>46806.205652299213</v>
      </c>
      <c r="AJ180" s="8">
        <f t="shared" si="203"/>
        <v>44894.112574575374</v>
      </c>
      <c r="AK180" s="8">
        <f t="shared" si="203"/>
        <v>43318.880554414842</v>
      </c>
      <c r="AL180" s="8">
        <f t="shared" si="203"/>
        <v>41743.648534254287</v>
      </c>
      <c r="AM180" s="8">
        <f t="shared" si="203"/>
        <v>40168.416514093755</v>
      </c>
      <c r="AN180" s="8">
        <f t="shared" si="203"/>
        <v>38593.184493933208</v>
      </c>
      <c r="AO180" s="8">
        <f t="shared" si="203"/>
        <v>37017.952473772668</v>
      </c>
      <c r="AP180" s="8">
        <f t="shared" si="203"/>
        <v>35442.720453612121</v>
      </c>
      <c r="AQ180" s="8">
        <f t="shared" si="203"/>
        <v>33867.488433451588</v>
      </c>
      <c r="AR180" s="8">
        <f t="shared" si="203"/>
        <v>32292.256413291041</v>
      </c>
      <c r="AS180" s="8">
        <f t="shared" si="203"/>
        <v>30717.024393130498</v>
      </c>
      <c r="AT180" s="8">
        <f t="shared" si="203"/>
        <v>29141.792372969958</v>
      </c>
      <c r="AU180" s="8">
        <f t="shared" ref="AU180:BZ180" si="204">AU178*AVG_PRE_TAX_RATE</f>
        <v>27566.560352809414</v>
      </c>
      <c r="AV180" s="8">
        <f t="shared" si="204"/>
        <v>25991.328332648874</v>
      </c>
      <c r="AW180" s="8">
        <f t="shared" si="204"/>
        <v>24416.096312488331</v>
      </c>
      <c r="AX180" s="8">
        <f t="shared" si="204"/>
        <v>22840.864292327791</v>
      </c>
      <c r="AY180" s="8">
        <f t="shared" si="204"/>
        <v>21265.632272167248</v>
      </c>
      <c r="AZ180" s="8">
        <f t="shared" si="204"/>
        <v>19690.400252006708</v>
      </c>
      <c r="BA180" s="8">
        <f t="shared" si="204"/>
        <v>18115.168231846164</v>
      </c>
      <c r="BB180" s="8">
        <f t="shared" si="204"/>
        <v>16539.936211685625</v>
      </c>
      <c r="BC180" s="8">
        <f t="shared" si="204"/>
        <v>14964.704191525079</v>
      </c>
      <c r="BD180" s="8">
        <f t="shared" si="204"/>
        <v>13389.472171364538</v>
      </c>
      <c r="BE180" s="8">
        <f t="shared" si="204"/>
        <v>11814.240151204</v>
      </c>
      <c r="BF180" s="8">
        <f t="shared" si="204"/>
        <v>10239.008131043467</v>
      </c>
      <c r="BG180" s="8">
        <f t="shared" si="204"/>
        <v>8663.7761108829363</v>
      </c>
      <c r="BH180" s="8">
        <f t="shared" si="204"/>
        <v>7088.5440907224038</v>
      </c>
      <c r="BI180" s="8">
        <f t="shared" si="204"/>
        <v>5513.3120705618721</v>
      </c>
      <c r="BJ180" s="8">
        <f t="shared" si="204"/>
        <v>3938.0800504013391</v>
      </c>
      <c r="BK180" s="8">
        <f t="shared" si="204"/>
        <v>2362.8480302408075</v>
      </c>
      <c r="BL180" s="8">
        <f t="shared" si="204"/>
        <v>787.61601008027537</v>
      </c>
      <c r="BM180" s="8">
        <f t="shared" si="204"/>
        <v>9.258837962988765E-12</v>
      </c>
      <c r="BN180" s="8">
        <f t="shared" si="204"/>
        <v>9.258837962988765E-12</v>
      </c>
      <c r="BO180" s="8">
        <f t="shared" si="204"/>
        <v>9.258837962988765E-12</v>
      </c>
      <c r="BP180" s="8">
        <f t="shared" si="204"/>
        <v>9.258837962988765E-12</v>
      </c>
      <c r="BQ180" s="8">
        <f t="shared" si="204"/>
        <v>9.258837962988765E-12</v>
      </c>
      <c r="BR180" s="8">
        <f t="shared" si="204"/>
        <v>9.258837962988765E-12</v>
      </c>
      <c r="BS180" s="8">
        <f t="shared" si="204"/>
        <v>9.258837962988765E-12</v>
      </c>
      <c r="BT180" s="8">
        <f t="shared" si="204"/>
        <v>9.258837962988765E-12</v>
      </c>
      <c r="BU180" s="8">
        <f t="shared" si="204"/>
        <v>9.258837962988765E-12</v>
      </c>
      <c r="BV180" s="8">
        <f t="shared" si="204"/>
        <v>9.258837962988765E-12</v>
      </c>
      <c r="BW180" s="8">
        <f t="shared" si="204"/>
        <v>9.258837962988765E-12</v>
      </c>
      <c r="BX180" s="8">
        <f t="shared" si="204"/>
        <v>9.258837962988765E-12</v>
      </c>
      <c r="BY180" s="8">
        <f t="shared" si="204"/>
        <v>9.258837962988765E-12</v>
      </c>
      <c r="BZ180" s="8">
        <f t="shared" si="204"/>
        <v>9.258837962988765E-12</v>
      </c>
      <c r="CA180" s="8">
        <f t="shared" ref="CA180:DA180" si="205">CA178*AVG_PRE_TAX_RATE</f>
        <v>9.258837962988765E-12</v>
      </c>
      <c r="CB180" s="8">
        <f t="shared" si="205"/>
        <v>9.258837962988765E-12</v>
      </c>
      <c r="CC180" s="8">
        <f t="shared" si="205"/>
        <v>9.258837962988765E-12</v>
      </c>
      <c r="CD180" s="8">
        <f t="shared" si="205"/>
        <v>9.258837962988765E-12</v>
      </c>
      <c r="CE180" s="8">
        <f t="shared" si="205"/>
        <v>9.258837962988765E-12</v>
      </c>
      <c r="CF180" s="8">
        <f t="shared" si="205"/>
        <v>9.258837962988765E-12</v>
      </c>
      <c r="CG180" s="8">
        <f t="shared" si="205"/>
        <v>9.258837962988765E-12</v>
      </c>
      <c r="CH180" s="8">
        <f t="shared" si="205"/>
        <v>9.258837962988765E-12</v>
      </c>
      <c r="CI180" s="8">
        <f t="shared" si="205"/>
        <v>9.258837962988765E-12</v>
      </c>
      <c r="CJ180" s="8">
        <f t="shared" si="205"/>
        <v>9.258837962988765E-12</v>
      </c>
      <c r="CK180" s="8">
        <f t="shared" si="205"/>
        <v>9.258837962988765E-12</v>
      </c>
      <c r="CL180" s="8">
        <f t="shared" si="205"/>
        <v>9.258837962988765E-12</v>
      </c>
      <c r="CM180" s="8">
        <f t="shared" si="205"/>
        <v>9.258837962988765E-12</v>
      </c>
      <c r="CN180" s="8">
        <f t="shared" si="205"/>
        <v>9.258837962988765E-12</v>
      </c>
      <c r="CO180" s="8">
        <f t="shared" si="205"/>
        <v>9.258837962988765E-12</v>
      </c>
      <c r="CP180" s="8">
        <f t="shared" si="205"/>
        <v>9.258837962988765E-12</v>
      </c>
      <c r="CQ180" s="8">
        <f t="shared" si="205"/>
        <v>9.258837962988765E-12</v>
      </c>
      <c r="CR180" s="8">
        <f t="shared" si="205"/>
        <v>9.258837962988765E-12</v>
      </c>
      <c r="CS180" s="8">
        <f t="shared" si="205"/>
        <v>9.258837962988765E-12</v>
      </c>
      <c r="CT180" s="8">
        <f t="shared" si="205"/>
        <v>9.258837962988765E-12</v>
      </c>
      <c r="CU180" s="8">
        <f t="shared" si="205"/>
        <v>9.258837962988765E-12</v>
      </c>
      <c r="CV180" s="8">
        <f t="shared" si="205"/>
        <v>9.258837962988765E-12</v>
      </c>
      <c r="CW180" s="8">
        <f t="shared" si="205"/>
        <v>9.258837962988765E-12</v>
      </c>
      <c r="CX180" s="8">
        <f t="shared" si="205"/>
        <v>9.258837962988765E-12</v>
      </c>
      <c r="CY180" s="8">
        <f t="shared" si="205"/>
        <v>9.258837962988765E-12</v>
      </c>
      <c r="CZ180" s="8">
        <f t="shared" si="205"/>
        <v>9.258837962988765E-12</v>
      </c>
      <c r="DA180" s="8">
        <f t="shared" si="205"/>
        <v>9.258837962988765E-12</v>
      </c>
      <c r="DB180" s="8"/>
      <c r="DC180" s="8"/>
      <c r="DD180" s="8"/>
      <c r="DE180" s="8"/>
      <c r="DF180" s="8"/>
      <c r="DG180" s="8"/>
    </row>
    <row r="182" spans="4:111" x14ac:dyDescent="0.4">
      <c r="D182" t="s">
        <v>435</v>
      </c>
      <c r="F182">
        <v>1</v>
      </c>
      <c r="G182">
        <v>2</v>
      </c>
      <c r="H182">
        <v>3</v>
      </c>
      <c r="I182">
        <v>4</v>
      </c>
      <c r="J182">
        <v>5</v>
      </c>
      <c r="K182">
        <v>6</v>
      </c>
      <c r="L182">
        <v>7</v>
      </c>
      <c r="M182">
        <v>8</v>
      </c>
      <c r="N182">
        <v>9</v>
      </c>
      <c r="O182">
        <v>10</v>
      </c>
      <c r="P182">
        <v>11</v>
      </c>
      <c r="Q182">
        <v>12</v>
      </c>
      <c r="R182">
        <v>13</v>
      </c>
      <c r="S182">
        <v>14</v>
      </c>
      <c r="T182">
        <v>15</v>
      </c>
      <c r="U182">
        <v>16</v>
      </c>
      <c r="V182">
        <v>17</v>
      </c>
      <c r="W182">
        <v>18</v>
      </c>
      <c r="X182">
        <v>19</v>
      </c>
      <c r="Y182">
        <v>20</v>
      </c>
      <c r="Z182">
        <v>21</v>
      </c>
      <c r="AA182">
        <v>22</v>
      </c>
      <c r="AB182">
        <v>23</v>
      </c>
      <c r="AC182">
        <v>24</v>
      </c>
      <c r="AD182">
        <v>25</v>
      </c>
      <c r="AE182">
        <v>26</v>
      </c>
      <c r="AF182">
        <v>27</v>
      </c>
      <c r="AG182">
        <v>28</v>
      </c>
      <c r="AH182">
        <v>29</v>
      </c>
      <c r="AI182">
        <v>30</v>
      </c>
      <c r="AJ182">
        <v>31</v>
      </c>
      <c r="AK182">
        <v>32</v>
      </c>
      <c r="AL182">
        <v>33</v>
      </c>
      <c r="AM182">
        <v>34</v>
      </c>
      <c r="AN182">
        <v>35</v>
      </c>
      <c r="AO182">
        <v>36</v>
      </c>
      <c r="AP182">
        <v>37</v>
      </c>
      <c r="AQ182">
        <v>38</v>
      </c>
      <c r="AR182">
        <v>39</v>
      </c>
      <c r="AS182">
        <v>40</v>
      </c>
      <c r="AT182">
        <v>41</v>
      </c>
      <c r="AU182">
        <v>42</v>
      </c>
      <c r="AV182">
        <v>43</v>
      </c>
      <c r="AW182">
        <v>44</v>
      </c>
      <c r="AX182">
        <v>45</v>
      </c>
      <c r="AY182">
        <v>46</v>
      </c>
      <c r="AZ182">
        <v>47</v>
      </c>
      <c r="BA182">
        <v>48</v>
      </c>
      <c r="BB182">
        <v>49</v>
      </c>
      <c r="BC182">
        <v>50</v>
      </c>
      <c r="BD182">
        <v>51</v>
      </c>
      <c r="BE182">
        <v>52</v>
      </c>
      <c r="BF182">
        <v>53</v>
      </c>
      <c r="BG182">
        <v>54</v>
      </c>
      <c r="BH182">
        <v>55</v>
      </c>
      <c r="BI182">
        <v>56</v>
      </c>
      <c r="BJ182">
        <v>57</v>
      </c>
      <c r="BK182">
        <v>58</v>
      </c>
      <c r="BL182">
        <v>59</v>
      </c>
      <c r="BM182">
        <v>60</v>
      </c>
      <c r="BN182">
        <v>61</v>
      </c>
      <c r="BO182">
        <v>62</v>
      </c>
      <c r="BP182">
        <v>63</v>
      </c>
      <c r="BQ182">
        <v>64</v>
      </c>
      <c r="BR182">
        <v>65</v>
      </c>
      <c r="BS182">
        <v>66</v>
      </c>
      <c r="BT182">
        <v>67</v>
      </c>
      <c r="BU182">
        <v>68</v>
      </c>
      <c r="BV182">
        <v>69</v>
      </c>
      <c r="BW182">
        <v>70</v>
      </c>
      <c r="BX182">
        <v>71</v>
      </c>
      <c r="BY182">
        <v>72</v>
      </c>
      <c r="BZ182">
        <v>73</v>
      </c>
      <c r="CA182">
        <v>74</v>
      </c>
      <c r="CB182">
        <v>75</v>
      </c>
      <c r="CC182">
        <v>76</v>
      </c>
      <c r="CD182">
        <v>77</v>
      </c>
      <c r="CE182">
        <v>78</v>
      </c>
      <c r="CF182">
        <v>79</v>
      </c>
      <c r="CG182">
        <v>80</v>
      </c>
      <c r="CH182">
        <v>81</v>
      </c>
      <c r="CI182">
        <v>82</v>
      </c>
      <c r="CJ182">
        <v>83</v>
      </c>
      <c r="CK182">
        <v>84</v>
      </c>
      <c r="CL182">
        <v>85</v>
      </c>
      <c r="CM182">
        <v>86</v>
      </c>
      <c r="CN182">
        <v>87</v>
      </c>
      <c r="CO182">
        <v>88</v>
      </c>
      <c r="CP182">
        <v>89</v>
      </c>
      <c r="CQ182">
        <v>90</v>
      </c>
      <c r="CR182">
        <v>91</v>
      </c>
      <c r="CS182">
        <v>92</v>
      </c>
      <c r="CT182">
        <v>93</v>
      </c>
      <c r="CU182">
        <v>94</v>
      </c>
      <c r="CV182">
        <v>95</v>
      </c>
      <c r="CW182">
        <v>96</v>
      </c>
      <c r="CX182">
        <v>97</v>
      </c>
      <c r="CY182">
        <v>98</v>
      </c>
      <c r="CZ182">
        <v>99</v>
      </c>
      <c r="DA182">
        <v>100</v>
      </c>
    </row>
    <row r="183" spans="4:111" x14ac:dyDescent="0.4">
      <c r="D183" s="5" t="s">
        <v>434</v>
      </c>
      <c r="E183" s="5">
        <v>2027</v>
      </c>
      <c r="F183" s="5">
        <v>2028</v>
      </c>
      <c r="G183" s="5">
        <v>2029</v>
      </c>
      <c r="H183" s="5">
        <v>2030</v>
      </c>
      <c r="I183" s="5">
        <v>2031</v>
      </c>
      <c r="J183" s="5">
        <v>2032</v>
      </c>
      <c r="K183" s="5">
        <v>2033</v>
      </c>
      <c r="L183" s="5">
        <v>2034</v>
      </c>
      <c r="M183" s="5">
        <v>2035</v>
      </c>
      <c r="N183" s="5">
        <v>2036</v>
      </c>
      <c r="O183" s="5">
        <v>2037</v>
      </c>
      <c r="P183" s="5">
        <v>2038</v>
      </c>
      <c r="Q183" s="5">
        <v>2039</v>
      </c>
      <c r="R183" s="5">
        <v>2040</v>
      </c>
      <c r="S183" s="5">
        <v>2041</v>
      </c>
      <c r="T183" s="5">
        <v>2042</v>
      </c>
      <c r="U183" s="5">
        <v>2043</v>
      </c>
      <c r="V183" s="5">
        <v>2044</v>
      </c>
      <c r="W183" s="5">
        <v>2045</v>
      </c>
      <c r="X183" s="5">
        <v>2046</v>
      </c>
      <c r="Y183" s="5">
        <v>2047</v>
      </c>
      <c r="Z183" s="5">
        <v>2048</v>
      </c>
      <c r="AA183" s="5">
        <v>2049</v>
      </c>
      <c r="AB183" s="5">
        <v>2050</v>
      </c>
      <c r="AC183" s="5">
        <v>2051</v>
      </c>
      <c r="AD183" s="5">
        <v>2052</v>
      </c>
      <c r="AE183" s="5">
        <v>2053</v>
      </c>
      <c r="AF183" s="5">
        <v>2054</v>
      </c>
      <c r="AG183" s="5">
        <v>2055</v>
      </c>
      <c r="AH183" s="5">
        <v>2056</v>
      </c>
      <c r="AI183" s="5">
        <v>2057</v>
      </c>
      <c r="AJ183" s="5">
        <v>2058</v>
      </c>
      <c r="AK183" s="5">
        <v>2059</v>
      </c>
      <c r="AL183" s="5">
        <v>2060</v>
      </c>
      <c r="AM183" s="5">
        <v>2061</v>
      </c>
      <c r="AN183" s="5">
        <v>2062</v>
      </c>
      <c r="AO183" s="5">
        <v>2063</v>
      </c>
      <c r="AP183" s="5">
        <v>2064</v>
      </c>
      <c r="AQ183" s="5">
        <v>2065</v>
      </c>
      <c r="AR183" s="5">
        <v>2066</v>
      </c>
      <c r="AS183" s="5">
        <v>2067</v>
      </c>
      <c r="AT183" s="5">
        <v>2068</v>
      </c>
      <c r="AU183" s="5">
        <v>2069</v>
      </c>
      <c r="AV183" s="5">
        <v>2070</v>
      </c>
      <c r="AW183" s="5">
        <v>2071</v>
      </c>
      <c r="AX183" s="5">
        <v>2072</v>
      </c>
      <c r="AY183" s="5">
        <v>2073</v>
      </c>
      <c r="AZ183" s="5">
        <v>2074</v>
      </c>
      <c r="BA183" s="5">
        <v>2075</v>
      </c>
      <c r="BB183" s="5">
        <v>2076</v>
      </c>
      <c r="BC183" s="5">
        <v>2077</v>
      </c>
      <c r="BD183" s="5">
        <v>2078</v>
      </c>
      <c r="BE183" s="5">
        <v>2079</v>
      </c>
      <c r="BF183" s="5">
        <v>2080</v>
      </c>
      <c r="BG183" s="5">
        <v>2081</v>
      </c>
      <c r="BH183" s="5">
        <v>2082</v>
      </c>
      <c r="BI183" s="5">
        <v>2083</v>
      </c>
      <c r="BJ183" s="5">
        <v>2084</v>
      </c>
      <c r="BK183" s="5">
        <v>2085</v>
      </c>
      <c r="BL183" s="5">
        <v>2086</v>
      </c>
      <c r="BM183" s="5">
        <v>2087</v>
      </c>
      <c r="BN183" s="5">
        <v>2088</v>
      </c>
      <c r="BO183" s="5">
        <v>2089</v>
      </c>
      <c r="BP183" s="5">
        <v>2090</v>
      </c>
      <c r="BQ183" s="5">
        <v>2091</v>
      </c>
      <c r="BR183" s="5">
        <v>2092</v>
      </c>
      <c r="BS183" s="5">
        <v>2093</v>
      </c>
      <c r="BT183" s="5">
        <v>2094</v>
      </c>
      <c r="BU183" s="5">
        <v>2095</v>
      </c>
      <c r="BV183" s="5">
        <v>2096</v>
      </c>
      <c r="BW183" s="5">
        <v>2097</v>
      </c>
      <c r="BX183" s="5">
        <v>2098</v>
      </c>
      <c r="BY183" s="5">
        <v>2099</v>
      </c>
      <c r="BZ183" s="5">
        <v>2100</v>
      </c>
      <c r="CA183" s="5">
        <v>2101</v>
      </c>
      <c r="CB183" s="5">
        <v>2102</v>
      </c>
      <c r="CC183" s="5">
        <v>2103</v>
      </c>
      <c r="CD183" s="5">
        <v>2104</v>
      </c>
      <c r="CE183" s="5">
        <v>2105</v>
      </c>
      <c r="CF183" s="5">
        <v>2106</v>
      </c>
      <c r="CG183" s="5">
        <v>2107</v>
      </c>
      <c r="CH183" s="5">
        <v>2108</v>
      </c>
      <c r="CI183" s="5">
        <v>2109</v>
      </c>
      <c r="CJ183" s="5">
        <v>2110</v>
      </c>
      <c r="CK183" s="5">
        <v>2111</v>
      </c>
      <c r="CL183" s="5">
        <v>2112</v>
      </c>
      <c r="CM183" s="5">
        <v>2113</v>
      </c>
      <c r="CN183" s="5">
        <v>2114</v>
      </c>
      <c r="CO183" s="5">
        <v>2115</v>
      </c>
      <c r="CP183" s="5">
        <v>2116</v>
      </c>
      <c r="CQ183" s="5">
        <v>2117</v>
      </c>
      <c r="CR183" s="5">
        <v>2118</v>
      </c>
      <c r="CS183" s="5">
        <v>2119</v>
      </c>
      <c r="CT183" s="5">
        <v>2120</v>
      </c>
      <c r="CU183" s="5">
        <v>2121</v>
      </c>
      <c r="CV183" s="5">
        <v>2122</v>
      </c>
      <c r="CW183" s="5">
        <v>2123</v>
      </c>
      <c r="CX183" s="5">
        <v>2124</v>
      </c>
      <c r="CY183" s="5">
        <v>2125</v>
      </c>
      <c r="CZ183" s="5">
        <v>2126</v>
      </c>
      <c r="DA183" s="5">
        <v>2127</v>
      </c>
    </row>
    <row r="184" spans="4:111" x14ac:dyDescent="0.4">
      <c r="D184" t="s">
        <v>207</v>
      </c>
      <c r="E184" s="8">
        <f>E15+E32+E49+E66+E83+E100+E117+E134+E151+E168</f>
        <v>0</v>
      </c>
      <c r="F184" s="8">
        <f t="shared" ref="F184:BQ185" si="206">F15+F32+F49+F66+F83+F100+F117+F134+F151+F168</f>
        <v>20062.582000000002</v>
      </c>
      <c r="G184" s="8">
        <f t="shared" si="206"/>
        <v>40566.540804000004</v>
      </c>
      <c r="H184" s="8">
        <f t="shared" si="206"/>
        <v>61521.586701688007</v>
      </c>
      <c r="I184" s="8">
        <f t="shared" si="206"/>
        <v>82937.643609125138</v>
      </c>
      <c r="J184" s="8">
        <f t="shared" si="206"/>
        <v>104824.85376852589</v>
      </c>
      <c r="K184" s="8">
        <f t="shared" si="206"/>
        <v>127193.58255143347</v>
      </c>
      <c r="L184" s="8">
        <f t="shared" si="206"/>
        <v>150054.423367565</v>
      </c>
      <c r="M184" s="8">
        <f t="shared" si="206"/>
        <v>173418.20268165146</v>
      </c>
      <c r="N184" s="8">
        <f t="shared" si="206"/>
        <v>197295.9851406478</v>
      </c>
      <c r="O184" s="8">
        <f t="shared" si="206"/>
        <v>221699.07881374206</v>
      </c>
      <c r="P184" s="8">
        <f t="shared" si="206"/>
        <v>221699.07881374206</v>
      </c>
      <c r="Q184" s="8">
        <f t="shared" si="206"/>
        <v>221699.07881374206</v>
      </c>
      <c r="R184" s="8">
        <f t="shared" si="206"/>
        <v>221699.07881374206</v>
      </c>
      <c r="S184" s="8">
        <f t="shared" si="206"/>
        <v>221699.07881374206</v>
      </c>
      <c r="T184" s="8">
        <f t="shared" si="206"/>
        <v>221699.07881374206</v>
      </c>
      <c r="U184" s="8">
        <f t="shared" si="206"/>
        <v>221699.07881374206</v>
      </c>
      <c r="V184" s="8">
        <f t="shared" si="206"/>
        <v>221699.07881374206</v>
      </c>
      <c r="W184" s="8">
        <f t="shared" si="206"/>
        <v>221699.07881374206</v>
      </c>
      <c r="X184" s="8">
        <f t="shared" si="206"/>
        <v>221699.07881374206</v>
      </c>
      <c r="Y184" s="8">
        <f t="shared" si="206"/>
        <v>221699.07881374206</v>
      </c>
      <c r="Z184" s="8">
        <f t="shared" si="206"/>
        <v>221699.07881374206</v>
      </c>
      <c r="AA184" s="8">
        <f t="shared" si="206"/>
        <v>221699.07881374206</v>
      </c>
      <c r="AB184" s="8">
        <f t="shared" si="206"/>
        <v>221699.07881374206</v>
      </c>
      <c r="AC184" s="8">
        <f t="shared" si="206"/>
        <v>221699.07881374206</v>
      </c>
      <c r="AD184" s="8">
        <f t="shared" si="206"/>
        <v>221699.07881374206</v>
      </c>
      <c r="AE184" s="8">
        <f t="shared" si="206"/>
        <v>221699.07881374206</v>
      </c>
      <c r="AF184" s="8">
        <f t="shared" si="206"/>
        <v>221699.07881374206</v>
      </c>
      <c r="AG184" s="8">
        <f t="shared" si="206"/>
        <v>221699.07881374206</v>
      </c>
      <c r="AH184" s="8">
        <f t="shared" si="206"/>
        <v>221699.07881374206</v>
      </c>
      <c r="AI184" s="8">
        <f t="shared" si="206"/>
        <v>221699.07881374206</v>
      </c>
      <c r="AJ184" s="8">
        <f t="shared" si="206"/>
        <v>221699.07881374206</v>
      </c>
      <c r="AK184" s="8">
        <f t="shared" si="206"/>
        <v>221699.07881374206</v>
      </c>
      <c r="AL184" s="8">
        <f t="shared" si="206"/>
        <v>221699.07881374206</v>
      </c>
      <c r="AM184" s="8">
        <f t="shared" si="206"/>
        <v>221699.07881374206</v>
      </c>
      <c r="AN184" s="8">
        <f t="shared" si="206"/>
        <v>221699.07881374206</v>
      </c>
      <c r="AO184" s="8">
        <f t="shared" si="206"/>
        <v>221699.07881374206</v>
      </c>
      <c r="AP184" s="8">
        <f t="shared" si="206"/>
        <v>221699.07881374206</v>
      </c>
      <c r="AQ184" s="8">
        <f t="shared" si="206"/>
        <v>221699.07881374206</v>
      </c>
      <c r="AR184" s="8">
        <f t="shared" si="206"/>
        <v>221699.07881374206</v>
      </c>
      <c r="AS184" s="8">
        <f t="shared" si="206"/>
        <v>221699.07881374206</v>
      </c>
      <c r="AT184" s="8">
        <f t="shared" si="206"/>
        <v>221699.07881374206</v>
      </c>
      <c r="AU184" s="8">
        <f t="shared" si="206"/>
        <v>221699.07881374206</v>
      </c>
      <c r="AV184" s="8">
        <f t="shared" si="206"/>
        <v>221699.07881374206</v>
      </c>
      <c r="AW184" s="8">
        <f t="shared" si="206"/>
        <v>221699.07881374206</v>
      </c>
      <c r="AX184" s="8">
        <f t="shared" si="206"/>
        <v>221699.07881374206</v>
      </c>
      <c r="AY184" s="8">
        <f t="shared" si="206"/>
        <v>221699.07881374206</v>
      </c>
      <c r="AZ184" s="8">
        <f t="shared" si="206"/>
        <v>221699.07881374206</v>
      </c>
      <c r="BA184" s="8">
        <f t="shared" si="206"/>
        <v>221699.07881374206</v>
      </c>
      <c r="BB184" s="8">
        <f t="shared" si="206"/>
        <v>221699.07881374206</v>
      </c>
      <c r="BC184" s="8">
        <f t="shared" si="206"/>
        <v>221699.07881374206</v>
      </c>
      <c r="BD184" s="8">
        <f t="shared" si="206"/>
        <v>201636.49681374207</v>
      </c>
      <c r="BE184" s="8">
        <f t="shared" si="206"/>
        <v>181132.53800974207</v>
      </c>
      <c r="BF184" s="8">
        <f t="shared" si="206"/>
        <v>160177.49211205405</v>
      </c>
      <c r="BG184" s="8">
        <f t="shared" si="206"/>
        <v>138761.43520461692</v>
      </c>
      <c r="BH184" s="8">
        <f t="shared" si="206"/>
        <v>116874.22504521615</v>
      </c>
      <c r="BI184" s="8">
        <f t="shared" si="206"/>
        <v>94505.496262308588</v>
      </c>
      <c r="BJ184" s="8">
        <f t="shared" si="206"/>
        <v>71644.655446177028</v>
      </c>
      <c r="BK184" s="8">
        <f t="shared" si="206"/>
        <v>48280.876132090591</v>
      </c>
      <c r="BL184" s="8">
        <f t="shared" si="206"/>
        <v>24403.093673094256</v>
      </c>
      <c r="BM184" s="8">
        <f t="shared" si="206"/>
        <v>0</v>
      </c>
      <c r="BN184" s="8">
        <f t="shared" si="206"/>
        <v>0</v>
      </c>
      <c r="BO184" s="8">
        <f t="shared" si="206"/>
        <v>0</v>
      </c>
      <c r="BP184" s="8">
        <f t="shared" si="206"/>
        <v>0</v>
      </c>
      <c r="BQ184" s="8">
        <f t="shared" si="206"/>
        <v>0</v>
      </c>
      <c r="BR184" s="8">
        <f t="shared" ref="BR184:DA188" si="207">BR15+BR32+BR49+BR66+BR83+BR100+BR117+BR134+BR151+BR168</f>
        <v>0</v>
      </c>
      <c r="BS184" s="8">
        <f t="shared" si="207"/>
        <v>0</v>
      </c>
      <c r="BT184" s="8">
        <f t="shared" si="207"/>
        <v>0</v>
      </c>
      <c r="BU184" s="8">
        <f t="shared" si="207"/>
        <v>0</v>
      </c>
      <c r="BV184" s="8">
        <f t="shared" si="207"/>
        <v>0</v>
      </c>
      <c r="BW184" s="8">
        <f t="shared" si="207"/>
        <v>0</v>
      </c>
      <c r="BX184" s="8">
        <f t="shared" si="207"/>
        <v>0</v>
      </c>
      <c r="BY184" s="8">
        <f t="shared" si="207"/>
        <v>0</v>
      </c>
      <c r="BZ184" s="8">
        <f t="shared" si="207"/>
        <v>0</v>
      </c>
      <c r="CA184" s="8">
        <f t="shared" si="207"/>
        <v>0</v>
      </c>
      <c r="CB184" s="8">
        <f t="shared" si="207"/>
        <v>0</v>
      </c>
      <c r="CC184" s="8">
        <f t="shared" si="207"/>
        <v>0</v>
      </c>
      <c r="CD184" s="8">
        <f t="shared" si="207"/>
        <v>0</v>
      </c>
      <c r="CE184" s="8">
        <f t="shared" si="207"/>
        <v>0</v>
      </c>
      <c r="CF184" s="8">
        <f t="shared" si="207"/>
        <v>0</v>
      </c>
      <c r="CG184" s="8">
        <f t="shared" si="207"/>
        <v>0</v>
      </c>
      <c r="CH184" s="8">
        <f t="shared" si="207"/>
        <v>0</v>
      </c>
      <c r="CI184" s="8">
        <f t="shared" si="207"/>
        <v>0</v>
      </c>
      <c r="CJ184" s="8">
        <f t="shared" si="207"/>
        <v>0</v>
      </c>
      <c r="CK184" s="8">
        <f t="shared" si="207"/>
        <v>0</v>
      </c>
      <c r="CL184" s="8">
        <f t="shared" si="207"/>
        <v>0</v>
      </c>
      <c r="CM184" s="8">
        <f t="shared" si="207"/>
        <v>0</v>
      </c>
      <c r="CN184" s="8">
        <f t="shared" si="207"/>
        <v>0</v>
      </c>
      <c r="CO184" s="8">
        <f t="shared" si="207"/>
        <v>0</v>
      </c>
      <c r="CP184" s="8">
        <f t="shared" si="207"/>
        <v>0</v>
      </c>
      <c r="CQ184" s="8">
        <f t="shared" si="207"/>
        <v>0</v>
      </c>
      <c r="CR184" s="8">
        <f t="shared" si="207"/>
        <v>0</v>
      </c>
      <c r="CS184" s="8">
        <f t="shared" si="207"/>
        <v>0</v>
      </c>
      <c r="CT184" s="8">
        <f t="shared" si="207"/>
        <v>0</v>
      </c>
      <c r="CU184" s="8">
        <f t="shared" si="207"/>
        <v>0</v>
      </c>
      <c r="CV184" s="8">
        <f t="shared" si="207"/>
        <v>0</v>
      </c>
      <c r="CW184" s="8">
        <f t="shared" si="207"/>
        <v>0</v>
      </c>
      <c r="CX184" s="8">
        <f t="shared" si="207"/>
        <v>0</v>
      </c>
      <c r="CY184" s="8">
        <f t="shared" si="207"/>
        <v>0</v>
      </c>
      <c r="CZ184" s="8">
        <f t="shared" si="207"/>
        <v>0</v>
      </c>
      <c r="DA184" s="8">
        <f t="shared" si="207"/>
        <v>0</v>
      </c>
    </row>
    <row r="185" spans="4:111" x14ac:dyDescent="0.4">
      <c r="D185" t="s">
        <v>154</v>
      </c>
      <c r="E185" s="8">
        <f>E16</f>
        <v>1003129.1000000001</v>
      </c>
      <c r="F185" s="8">
        <f>F16</f>
        <v>1003129.1000000001</v>
      </c>
      <c r="G185" s="8">
        <f>G16+G33</f>
        <v>2028327.0402000002</v>
      </c>
      <c r="H185" s="8">
        <f>H16+H33+H50</f>
        <v>3076079.3350844001</v>
      </c>
      <c r="I185" s="8">
        <f>I16+I33+I50+I67</f>
        <v>4146882.180456257</v>
      </c>
      <c r="J185" s="8">
        <f>J16+J33+J50+J67+J84</f>
        <v>5241242.6884262953</v>
      </c>
      <c r="K185" s="8">
        <f>K16+K33+K50+K67+K84+K101</f>
        <v>6359679.1275716741</v>
      </c>
      <c r="L185" s="8">
        <f>L16+L33+L50+L67+L84+L101+L118</f>
        <v>7502721.1683782507</v>
      </c>
      <c r="M185" s="8">
        <f>M16+M33+M50+M67+M84+M101+M118+M135</f>
        <v>8670910.1340825725</v>
      </c>
      <c r="N185" s="8">
        <f>N16+N33+N50+N67+N84+N101+N118+N135</f>
        <v>8670910.1340825725</v>
      </c>
      <c r="O185" s="8">
        <f t="shared" ref="E185:T196" si="208">O16+O33+O50+O67+O84+O101+O118+O135+O152+O169</f>
        <v>11084953.940687101</v>
      </c>
      <c r="P185" s="8">
        <f t="shared" si="208"/>
        <v>11084953.940687101</v>
      </c>
      <c r="Q185" s="8">
        <f t="shared" si="208"/>
        <v>11084953.940687101</v>
      </c>
      <c r="R185" s="8">
        <f t="shared" si="208"/>
        <v>11084953.940687101</v>
      </c>
      <c r="S185" s="8">
        <f t="shared" si="208"/>
        <v>11084953.940687101</v>
      </c>
      <c r="T185" s="8">
        <f t="shared" si="208"/>
        <v>11084953.940687101</v>
      </c>
      <c r="U185" s="8">
        <f t="shared" si="206"/>
        <v>11084953.940687101</v>
      </c>
      <c r="V185" s="8">
        <f t="shared" si="206"/>
        <v>11084953.940687101</v>
      </c>
      <c r="W185" s="8">
        <f t="shared" si="206"/>
        <v>11084953.940687101</v>
      </c>
      <c r="X185" s="8">
        <f t="shared" si="206"/>
        <v>11084953.940687101</v>
      </c>
      <c r="Y185" s="8">
        <f t="shared" si="206"/>
        <v>11084953.940687101</v>
      </c>
      <c r="Z185" s="8">
        <f t="shared" si="206"/>
        <v>11084953.940687101</v>
      </c>
      <c r="AA185" s="8">
        <f t="shared" si="206"/>
        <v>11084953.940687101</v>
      </c>
      <c r="AB185" s="8">
        <f t="shared" si="206"/>
        <v>11084953.940687101</v>
      </c>
      <c r="AC185" s="8">
        <f t="shared" si="206"/>
        <v>11084953.940687101</v>
      </c>
      <c r="AD185" s="8">
        <f t="shared" si="206"/>
        <v>11084953.940687101</v>
      </c>
      <c r="AE185" s="8">
        <f t="shared" si="206"/>
        <v>11084953.940687101</v>
      </c>
      <c r="AF185" s="8">
        <f t="shared" si="206"/>
        <v>11084953.940687101</v>
      </c>
      <c r="AG185" s="8">
        <f t="shared" si="206"/>
        <v>11084953.940687101</v>
      </c>
      <c r="AH185" s="8">
        <f t="shared" si="206"/>
        <v>11084953.940687101</v>
      </c>
      <c r="AI185" s="8">
        <f t="shared" si="206"/>
        <v>11084953.940687101</v>
      </c>
      <c r="AJ185" s="8">
        <f t="shared" si="206"/>
        <v>11084953.940687101</v>
      </c>
      <c r="AK185" s="8">
        <f t="shared" si="206"/>
        <v>11084953.940687101</v>
      </c>
      <c r="AL185" s="8">
        <f t="shared" si="206"/>
        <v>11084953.940687101</v>
      </c>
      <c r="AM185" s="8">
        <f t="shared" si="206"/>
        <v>11084953.940687101</v>
      </c>
      <c r="AN185" s="8">
        <f t="shared" si="206"/>
        <v>11084953.940687101</v>
      </c>
      <c r="AO185" s="8">
        <f t="shared" si="206"/>
        <v>11084953.940687101</v>
      </c>
      <c r="AP185" s="8">
        <f t="shared" si="206"/>
        <v>11084953.940687101</v>
      </c>
      <c r="AQ185" s="8">
        <f t="shared" si="206"/>
        <v>11084953.940687101</v>
      </c>
      <c r="AR185" s="8">
        <f t="shared" si="206"/>
        <v>11084953.940687101</v>
      </c>
      <c r="AS185" s="8">
        <f t="shared" si="206"/>
        <v>11084953.940687101</v>
      </c>
      <c r="AT185" s="8">
        <f t="shared" si="206"/>
        <v>11084953.940687101</v>
      </c>
      <c r="AU185" s="8">
        <f t="shared" si="206"/>
        <v>11084953.940687101</v>
      </c>
      <c r="AV185" s="8">
        <f t="shared" si="206"/>
        <v>11084953.940687101</v>
      </c>
      <c r="AW185" s="8">
        <f t="shared" si="206"/>
        <v>11084953.940687101</v>
      </c>
      <c r="AX185" s="8">
        <f t="shared" si="206"/>
        <v>11084953.940687101</v>
      </c>
      <c r="AY185" s="8">
        <f t="shared" si="206"/>
        <v>11084953.940687101</v>
      </c>
      <c r="AZ185" s="8">
        <f t="shared" si="206"/>
        <v>11084953.940687101</v>
      </c>
      <c r="BA185" s="8">
        <f t="shared" si="206"/>
        <v>11084953.940687101</v>
      </c>
      <c r="BB185" s="8">
        <f t="shared" si="206"/>
        <v>11084953.940687101</v>
      </c>
      <c r="BC185" s="8">
        <f t="shared" si="206"/>
        <v>11084953.940687101</v>
      </c>
      <c r="BD185" s="8">
        <f t="shared" si="206"/>
        <v>10081824.840687102</v>
      </c>
      <c r="BE185" s="8">
        <f t="shared" si="206"/>
        <v>9056626.9004871007</v>
      </c>
      <c r="BF185" s="8">
        <f t="shared" si="206"/>
        <v>8008874.6056027003</v>
      </c>
      <c r="BG185" s="8">
        <f t="shared" si="206"/>
        <v>6938071.7602308448</v>
      </c>
      <c r="BH185" s="8">
        <f t="shared" si="206"/>
        <v>5843711.252260806</v>
      </c>
      <c r="BI185" s="8">
        <f t="shared" si="206"/>
        <v>4725274.8131154282</v>
      </c>
      <c r="BJ185" s="8">
        <f t="shared" si="206"/>
        <v>3582232.7723088516</v>
      </c>
      <c r="BK185" s="8">
        <f t="shared" si="206"/>
        <v>2414043.8066045297</v>
      </c>
      <c r="BL185" s="8">
        <f t="shared" si="206"/>
        <v>1220154.6836547127</v>
      </c>
      <c r="BM185" s="8">
        <f t="shared" si="206"/>
        <v>0</v>
      </c>
      <c r="BN185" s="8">
        <f t="shared" si="206"/>
        <v>0</v>
      </c>
      <c r="BO185" s="8">
        <f t="shared" si="206"/>
        <v>0</v>
      </c>
      <c r="BP185" s="8">
        <f t="shared" si="206"/>
        <v>0</v>
      </c>
      <c r="BQ185" s="8">
        <f t="shared" si="206"/>
        <v>0</v>
      </c>
      <c r="BR185" s="8">
        <f t="shared" si="207"/>
        <v>0</v>
      </c>
      <c r="BS185" s="8">
        <f t="shared" si="207"/>
        <v>0</v>
      </c>
      <c r="BT185" s="8">
        <f t="shared" si="207"/>
        <v>0</v>
      </c>
      <c r="BU185" s="8">
        <f t="shared" si="207"/>
        <v>0</v>
      </c>
      <c r="BV185" s="8">
        <f t="shared" si="207"/>
        <v>0</v>
      </c>
      <c r="BW185" s="8">
        <f t="shared" si="207"/>
        <v>0</v>
      </c>
      <c r="BX185" s="8">
        <f t="shared" si="207"/>
        <v>0</v>
      </c>
      <c r="BY185" s="8">
        <f t="shared" si="207"/>
        <v>0</v>
      </c>
      <c r="BZ185" s="8">
        <f t="shared" si="207"/>
        <v>0</v>
      </c>
      <c r="CA185" s="8">
        <f t="shared" si="207"/>
        <v>0</v>
      </c>
      <c r="CB185" s="8">
        <f t="shared" si="207"/>
        <v>0</v>
      </c>
      <c r="CC185" s="8">
        <f t="shared" si="207"/>
        <v>0</v>
      </c>
      <c r="CD185" s="8">
        <f t="shared" si="207"/>
        <v>0</v>
      </c>
      <c r="CE185" s="8">
        <f t="shared" si="207"/>
        <v>0</v>
      </c>
      <c r="CF185" s="8">
        <f t="shared" si="207"/>
        <v>0</v>
      </c>
      <c r="CG185" s="8">
        <f t="shared" si="207"/>
        <v>0</v>
      </c>
      <c r="CH185" s="8">
        <f t="shared" si="207"/>
        <v>0</v>
      </c>
      <c r="CI185" s="8">
        <f t="shared" si="207"/>
        <v>0</v>
      </c>
      <c r="CJ185" s="8">
        <f t="shared" si="207"/>
        <v>0</v>
      </c>
      <c r="CK185" s="8">
        <f t="shared" si="207"/>
        <v>0</v>
      </c>
      <c r="CL185" s="8">
        <f t="shared" si="207"/>
        <v>0</v>
      </c>
      <c r="CM185" s="8">
        <f t="shared" si="207"/>
        <v>0</v>
      </c>
      <c r="CN185" s="8">
        <f t="shared" si="207"/>
        <v>0</v>
      </c>
      <c r="CO185" s="8">
        <f t="shared" si="207"/>
        <v>0</v>
      </c>
      <c r="CP185" s="8">
        <f t="shared" si="207"/>
        <v>0</v>
      </c>
      <c r="CQ185" s="8">
        <f t="shared" si="207"/>
        <v>0</v>
      </c>
      <c r="CR185" s="8">
        <f t="shared" si="207"/>
        <v>0</v>
      </c>
      <c r="CS185" s="8">
        <f t="shared" si="207"/>
        <v>0</v>
      </c>
      <c r="CT185" s="8">
        <f t="shared" si="207"/>
        <v>0</v>
      </c>
      <c r="CU185" s="8">
        <f t="shared" si="207"/>
        <v>0</v>
      </c>
      <c r="CV185" s="8">
        <f t="shared" si="207"/>
        <v>0</v>
      </c>
      <c r="CW185" s="8">
        <f t="shared" si="207"/>
        <v>0</v>
      </c>
      <c r="CX185" s="8">
        <f t="shared" si="207"/>
        <v>0</v>
      </c>
      <c r="CY185" s="8">
        <f t="shared" si="207"/>
        <v>0</v>
      </c>
      <c r="CZ185" s="8">
        <f t="shared" si="207"/>
        <v>0</v>
      </c>
      <c r="DA185" s="8">
        <f t="shared" si="207"/>
        <v>0</v>
      </c>
    </row>
    <row r="186" spans="4:111" x14ac:dyDescent="0.4">
      <c r="D186" t="s">
        <v>208</v>
      </c>
      <c r="E186" s="8">
        <f t="shared" si="208"/>
        <v>0</v>
      </c>
      <c r="F186" s="8">
        <f t="shared" ref="F186:BQ188" si="209">F17+F34+F51+F68+F85+F102+F119+F136+F153+F170</f>
        <v>-20062.582000000002</v>
      </c>
      <c r="G186" s="8">
        <f t="shared" si="209"/>
        <v>-60629.122804000006</v>
      </c>
      <c r="H186" s="8">
        <f t="shared" si="209"/>
        <v>-122150.70950568801</v>
      </c>
      <c r="I186" s="8">
        <f t="shared" si="209"/>
        <v>-205088.35311481316</v>
      </c>
      <c r="J186" s="8">
        <f t="shared" si="209"/>
        <v>-309913.20688333904</v>
      </c>
      <c r="K186" s="8">
        <f t="shared" si="209"/>
        <v>-437106.78943477257</v>
      </c>
      <c r="L186" s="8">
        <f t="shared" si="209"/>
        <v>-587161.2128023376</v>
      </c>
      <c r="M186" s="8">
        <f t="shared" si="209"/>
        <v>-760579.41548398894</v>
      </c>
      <c r="N186" s="8">
        <f t="shared" si="209"/>
        <v>-957875.40062463668</v>
      </c>
      <c r="O186" s="8">
        <f t="shared" si="209"/>
        <v>-1179574.4794383785</v>
      </c>
      <c r="P186" s="8">
        <f t="shared" si="209"/>
        <v>-1401273.5582521209</v>
      </c>
      <c r="Q186" s="8">
        <f t="shared" si="209"/>
        <v>-1622972.637065863</v>
      </c>
      <c r="R186" s="8">
        <f t="shared" si="209"/>
        <v>-1844671.7158796047</v>
      </c>
      <c r="S186" s="8">
        <f t="shared" si="209"/>
        <v>-2066370.7946933468</v>
      </c>
      <c r="T186" s="8">
        <f t="shared" si="209"/>
        <v>-2288069.873507089</v>
      </c>
      <c r="U186" s="8">
        <f t="shared" si="209"/>
        <v>-2509768.9523208309</v>
      </c>
      <c r="V186" s="8">
        <f t="shared" si="209"/>
        <v>-2731468.0311345733</v>
      </c>
      <c r="W186" s="8">
        <f t="shared" si="209"/>
        <v>-2953167.1099483152</v>
      </c>
      <c r="X186" s="8">
        <f t="shared" si="209"/>
        <v>-3174866.1887620566</v>
      </c>
      <c r="Y186" s="8">
        <f t="shared" si="209"/>
        <v>-3396565.2675757986</v>
      </c>
      <c r="Z186" s="8">
        <f t="shared" si="209"/>
        <v>-3618264.3463895419</v>
      </c>
      <c r="AA186" s="8">
        <f t="shared" si="209"/>
        <v>-3839963.4252032833</v>
      </c>
      <c r="AB186" s="8">
        <f t="shared" si="209"/>
        <v>-4061662.5040170252</v>
      </c>
      <c r="AC186" s="8">
        <f t="shared" si="209"/>
        <v>-4283361.5828307671</v>
      </c>
      <c r="AD186" s="8">
        <f t="shared" si="209"/>
        <v>-4505060.66164451</v>
      </c>
      <c r="AE186" s="8">
        <f t="shared" si="209"/>
        <v>-4726759.740458251</v>
      </c>
      <c r="AF186" s="8">
        <f t="shared" si="209"/>
        <v>-4948458.8192719929</v>
      </c>
      <c r="AG186" s="8">
        <f t="shared" si="209"/>
        <v>-5170157.8980857357</v>
      </c>
      <c r="AH186" s="8">
        <f t="shared" si="209"/>
        <v>-5391856.9768994786</v>
      </c>
      <c r="AI186" s="8">
        <f t="shared" si="209"/>
        <v>-5613556.0557132205</v>
      </c>
      <c r="AJ186" s="8">
        <f t="shared" si="209"/>
        <v>-5835255.1345269624</v>
      </c>
      <c r="AK186" s="8">
        <f t="shared" si="209"/>
        <v>-6056954.2133407053</v>
      </c>
      <c r="AL186" s="8">
        <f t="shared" si="209"/>
        <v>-6278653.2921544462</v>
      </c>
      <c r="AM186" s="8">
        <f t="shared" si="209"/>
        <v>-6500352.3709681891</v>
      </c>
      <c r="AN186" s="8">
        <f t="shared" si="209"/>
        <v>-6722051.449781931</v>
      </c>
      <c r="AO186" s="8">
        <f t="shared" si="209"/>
        <v>-6943750.5285956729</v>
      </c>
      <c r="AP186" s="8">
        <f t="shared" si="209"/>
        <v>-7165449.6074094158</v>
      </c>
      <c r="AQ186" s="8">
        <f t="shared" si="209"/>
        <v>-7387148.6862231586</v>
      </c>
      <c r="AR186" s="8">
        <f t="shared" si="209"/>
        <v>-7608847.7650368987</v>
      </c>
      <c r="AS186" s="8">
        <f t="shared" si="209"/>
        <v>-7830546.8438506424</v>
      </c>
      <c r="AT186" s="8">
        <f t="shared" si="209"/>
        <v>-8052245.9226643834</v>
      </c>
      <c r="AU186" s="8">
        <f t="shared" si="209"/>
        <v>-8273945.0014781263</v>
      </c>
      <c r="AV186" s="8">
        <f t="shared" si="209"/>
        <v>-8495644.0802918691</v>
      </c>
      <c r="AW186" s="8">
        <f t="shared" si="209"/>
        <v>-8717343.1591056101</v>
      </c>
      <c r="AX186" s="8">
        <f t="shared" si="209"/>
        <v>-8939042.2379193529</v>
      </c>
      <c r="AY186" s="8">
        <f t="shared" si="209"/>
        <v>-9160741.3167330939</v>
      </c>
      <c r="AZ186" s="8">
        <f t="shared" si="209"/>
        <v>-9382440.3955468368</v>
      </c>
      <c r="BA186" s="8">
        <f t="shared" si="209"/>
        <v>-9604139.4743605778</v>
      </c>
      <c r="BB186" s="8">
        <f t="shared" si="209"/>
        <v>-9825838.5531743225</v>
      </c>
      <c r="BC186" s="8">
        <f t="shared" si="209"/>
        <v>-10047537.631988063</v>
      </c>
      <c r="BD186" s="8">
        <f t="shared" si="209"/>
        <v>-9246045.0288018044</v>
      </c>
      <c r="BE186" s="8">
        <f t="shared" si="209"/>
        <v>-8401979.6266115457</v>
      </c>
      <c r="BF186" s="8">
        <f t="shared" si="209"/>
        <v>-7514404.8238391979</v>
      </c>
      <c r="BG186" s="8">
        <f t="shared" si="209"/>
        <v>-6582363.4136719573</v>
      </c>
      <c r="BH186" s="8">
        <f t="shared" si="209"/>
        <v>-5604877.1307471367</v>
      </c>
      <c r="BI186" s="8">
        <f t="shared" si="209"/>
        <v>-4580946.1878640661</v>
      </c>
      <c r="BJ186" s="8">
        <f t="shared" si="209"/>
        <v>-3509548.8025036659</v>
      </c>
      <c r="BK186" s="8">
        <f t="shared" si="209"/>
        <v>-2389640.7129314346</v>
      </c>
      <c r="BL186" s="8">
        <f t="shared" si="209"/>
        <v>-1220154.6836547127</v>
      </c>
      <c r="BM186" s="8">
        <f t="shared" si="209"/>
        <v>0</v>
      </c>
      <c r="BN186" s="8">
        <f t="shared" si="209"/>
        <v>0</v>
      </c>
      <c r="BO186" s="8">
        <f t="shared" si="209"/>
        <v>0</v>
      </c>
      <c r="BP186" s="8">
        <f t="shared" si="209"/>
        <v>0</v>
      </c>
      <c r="BQ186" s="8">
        <f t="shared" si="209"/>
        <v>0</v>
      </c>
      <c r="BR186" s="8">
        <f t="shared" si="207"/>
        <v>0</v>
      </c>
      <c r="BS186" s="8">
        <f t="shared" si="207"/>
        <v>0</v>
      </c>
      <c r="BT186" s="8">
        <f t="shared" si="207"/>
        <v>0</v>
      </c>
      <c r="BU186" s="8">
        <f t="shared" si="207"/>
        <v>0</v>
      </c>
      <c r="BV186" s="8">
        <f t="shared" si="207"/>
        <v>0</v>
      </c>
      <c r="BW186" s="8">
        <f t="shared" si="207"/>
        <v>0</v>
      </c>
      <c r="BX186" s="8">
        <f t="shared" si="207"/>
        <v>0</v>
      </c>
      <c r="BY186" s="8">
        <f t="shared" si="207"/>
        <v>0</v>
      </c>
      <c r="BZ186" s="8">
        <f t="shared" si="207"/>
        <v>0</v>
      </c>
      <c r="CA186" s="8">
        <f t="shared" si="207"/>
        <v>0</v>
      </c>
      <c r="CB186" s="8">
        <f t="shared" si="207"/>
        <v>0</v>
      </c>
      <c r="CC186" s="8">
        <f t="shared" si="207"/>
        <v>0</v>
      </c>
      <c r="CD186" s="8">
        <f t="shared" si="207"/>
        <v>0</v>
      </c>
      <c r="CE186" s="8">
        <f t="shared" si="207"/>
        <v>0</v>
      </c>
      <c r="CF186" s="8">
        <f t="shared" si="207"/>
        <v>0</v>
      </c>
      <c r="CG186" s="8">
        <f t="shared" si="207"/>
        <v>0</v>
      </c>
      <c r="CH186" s="8">
        <f t="shared" si="207"/>
        <v>0</v>
      </c>
      <c r="CI186" s="8">
        <f t="shared" si="207"/>
        <v>0</v>
      </c>
      <c r="CJ186" s="8">
        <f t="shared" si="207"/>
        <v>0</v>
      </c>
      <c r="CK186" s="8">
        <f t="shared" si="207"/>
        <v>0</v>
      </c>
      <c r="CL186" s="8">
        <f t="shared" si="207"/>
        <v>0</v>
      </c>
      <c r="CM186" s="8">
        <f t="shared" si="207"/>
        <v>0</v>
      </c>
      <c r="CN186" s="8">
        <f t="shared" si="207"/>
        <v>0</v>
      </c>
      <c r="CO186" s="8">
        <f t="shared" si="207"/>
        <v>0</v>
      </c>
      <c r="CP186" s="8">
        <f t="shared" si="207"/>
        <v>0</v>
      </c>
      <c r="CQ186" s="8">
        <f t="shared" si="207"/>
        <v>0</v>
      </c>
      <c r="CR186" s="8">
        <f t="shared" si="207"/>
        <v>0</v>
      </c>
      <c r="CS186" s="8">
        <f t="shared" si="207"/>
        <v>0</v>
      </c>
      <c r="CT186" s="8">
        <f t="shared" si="207"/>
        <v>0</v>
      </c>
      <c r="CU186" s="8">
        <f t="shared" si="207"/>
        <v>0</v>
      </c>
      <c r="CV186" s="8">
        <f t="shared" si="207"/>
        <v>0</v>
      </c>
      <c r="CW186" s="8">
        <f t="shared" si="207"/>
        <v>0</v>
      </c>
      <c r="CX186" s="8">
        <f t="shared" si="207"/>
        <v>0</v>
      </c>
      <c r="CY186" s="8">
        <f t="shared" si="207"/>
        <v>0</v>
      </c>
      <c r="CZ186" s="8">
        <f t="shared" si="207"/>
        <v>0</v>
      </c>
      <c r="DA186" s="8">
        <f t="shared" si="207"/>
        <v>0</v>
      </c>
    </row>
    <row r="187" spans="4:111" x14ac:dyDescent="0.4">
      <c r="D187" t="s">
        <v>167</v>
      </c>
      <c r="E187" s="8">
        <f t="shared" si="208"/>
        <v>0</v>
      </c>
      <c r="F187" s="8">
        <f t="shared" si="209"/>
        <v>1003129.1000000001</v>
      </c>
      <c r="G187" s="8">
        <f t="shared" si="209"/>
        <v>2008264.4582000002</v>
      </c>
      <c r="H187" s="8">
        <f t="shared" si="209"/>
        <v>3015450.2122804001</v>
      </c>
      <c r="I187" s="8">
        <f t="shared" si="209"/>
        <v>4024731.470950569</v>
      </c>
      <c r="J187" s="8">
        <f t="shared" si="209"/>
        <v>5036154.3353114817</v>
      </c>
      <c r="K187" s="8">
        <f t="shared" si="209"/>
        <v>6049765.9206883349</v>
      </c>
      <c r="L187" s="8">
        <f t="shared" si="209"/>
        <v>7065614.3789434787</v>
      </c>
      <c r="M187" s="8">
        <f t="shared" si="209"/>
        <v>8083748.9212802351</v>
      </c>
      <c r="N187" s="8">
        <f t="shared" si="209"/>
        <v>9104219.8415484</v>
      </c>
      <c r="O187" s="8">
        <f t="shared" si="209"/>
        <v>10127078.540062465</v>
      </c>
      <c r="P187" s="8">
        <f t="shared" si="209"/>
        <v>9905379.4612487219</v>
      </c>
      <c r="Q187" s="8">
        <f t="shared" si="209"/>
        <v>9683680.3824349809</v>
      </c>
      <c r="R187" s="8">
        <f t="shared" si="209"/>
        <v>9461981.30362124</v>
      </c>
      <c r="S187" s="8">
        <f t="shared" si="209"/>
        <v>9240282.2248074971</v>
      </c>
      <c r="T187" s="8">
        <f t="shared" si="209"/>
        <v>9018583.1459937561</v>
      </c>
      <c r="U187" s="8">
        <f t="shared" si="209"/>
        <v>8796884.0671800133</v>
      </c>
      <c r="V187" s="8">
        <f t="shared" si="209"/>
        <v>8575184.9883662704</v>
      </c>
      <c r="W187" s="8">
        <f t="shared" si="209"/>
        <v>8353485.9095525276</v>
      </c>
      <c r="X187" s="8">
        <f t="shared" si="209"/>
        <v>8131786.8307387866</v>
      </c>
      <c r="Y187" s="8">
        <f t="shared" si="209"/>
        <v>7910087.7519250438</v>
      </c>
      <c r="Z187" s="8">
        <f t="shared" si="209"/>
        <v>7688388.6731113018</v>
      </c>
      <c r="AA187" s="8">
        <f t="shared" si="209"/>
        <v>7466689.594297559</v>
      </c>
      <c r="AB187" s="8">
        <f t="shared" si="209"/>
        <v>7244990.5154838189</v>
      </c>
      <c r="AC187" s="8">
        <f t="shared" si="209"/>
        <v>7023291.436670077</v>
      </c>
      <c r="AD187" s="8">
        <f t="shared" si="209"/>
        <v>6801592.3578563333</v>
      </c>
      <c r="AE187" s="8">
        <f t="shared" si="209"/>
        <v>6579893.2790425923</v>
      </c>
      <c r="AF187" s="8">
        <f t="shared" si="209"/>
        <v>6358194.2002288504</v>
      </c>
      <c r="AG187" s="8">
        <f t="shared" si="209"/>
        <v>6136495.1214151084</v>
      </c>
      <c r="AH187" s="8">
        <f t="shared" si="209"/>
        <v>5914796.0426013665</v>
      </c>
      <c r="AI187" s="8">
        <f t="shared" si="209"/>
        <v>5693096.9637876237</v>
      </c>
      <c r="AJ187" s="8">
        <f t="shared" si="209"/>
        <v>5471397.8849738818</v>
      </c>
      <c r="AK187" s="8">
        <f t="shared" si="209"/>
        <v>5249698.8061601389</v>
      </c>
      <c r="AL187" s="8">
        <f t="shared" si="209"/>
        <v>5027999.727346397</v>
      </c>
      <c r="AM187" s="8">
        <f t="shared" si="209"/>
        <v>4806300.6485326551</v>
      </c>
      <c r="AN187" s="8">
        <f t="shared" si="209"/>
        <v>4584601.5697189132</v>
      </c>
      <c r="AO187" s="8">
        <f t="shared" si="209"/>
        <v>4362902.4909051713</v>
      </c>
      <c r="AP187" s="8">
        <f t="shared" si="209"/>
        <v>4141203.4120914293</v>
      </c>
      <c r="AQ187" s="8">
        <f t="shared" si="209"/>
        <v>3919504.3332776865</v>
      </c>
      <c r="AR187" s="8">
        <f t="shared" si="209"/>
        <v>3697805.2544639441</v>
      </c>
      <c r="AS187" s="8">
        <f t="shared" si="209"/>
        <v>3476106.1756502022</v>
      </c>
      <c r="AT187" s="8">
        <f t="shared" si="209"/>
        <v>3254407.0968364603</v>
      </c>
      <c r="AU187" s="8">
        <f t="shared" si="209"/>
        <v>3032708.0180227179</v>
      </c>
      <c r="AV187" s="8">
        <f t="shared" si="209"/>
        <v>2811008.9392089755</v>
      </c>
      <c r="AW187" s="8">
        <f t="shared" si="209"/>
        <v>2589309.8603952336</v>
      </c>
      <c r="AX187" s="8">
        <f t="shared" si="209"/>
        <v>2367610.7815814917</v>
      </c>
      <c r="AY187" s="8">
        <f t="shared" si="209"/>
        <v>2145911.7027677493</v>
      </c>
      <c r="AZ187" s="8">
        <f t="shared" si="209"/>
        <v>1924212.6239540069</v>
      </c>
      <c r="BA187" s="8">
        <f t="shared" si="209"/>
        <v>1702513.545140265</v>
      </c>
      <c r="BB187" s="8">
        <f t="shared" si="209"/>
        <v>1480814.4663265231</v>
      </c>
      <c r="BC187" s="8">
        <f t="shared" si="209"/>
        <v>1259115.3875127807</v>
      </c>
      <c r="BD187" s="8">
        <f t="shared" si="209"/>
        <v>1037416.3086990386</v>
      </c>
      <c r="BE187" s="8">
        <f t="shared" si="209"/>
        <v>835779.81188529753</v>
      </c>
      <c r="BF187" s="8">
        <f t="shared" si="209"/>
        <v>654647.27387555758</v>
      </c>
      <c r="BG187" s="8">
        <f t="shared" si="209"/>
        <v>494469.78176350426</v>
      </c>
      <c r="BH187" s="8">
        <f t="shared" si="209"/>
        <v>355708.34655888635</v>
      </c>
      <c r="BI187" s="8">
        <f t="shared" si="209"/>
        <v>238834.12151367078</v>
      </c>
      <c r="BJ187" s="8">
        <f t="shared" si="209"/>
        <v>144328.62525136257</v>
      </c>
      <c r="BK187" s="8">
        <f t="shared" si="209"/>
        <v>72683.96980518545</v>
      </c>
      <c r="BL187" s="8">
        <f t="shared" si="209"/>
        <v>24403.093673094176</v>
      </c>
      <c r="BM187" s="8">
        <f t="shared" si="209"/>
        <v>0</v>
      </c>
      <c r="BN187" s="8">
        <f t="shared" si="209"/>
        <v>0</v>
      </c>
      <c r="BO187" s="8">
        <f t="shared" si="209"/>
        <v>0</v>
      </c>
      <c r="BP187" s="8">
        <f t="shared" si="209"/>
        <v>0</v>
      </c>
      <c r="BQ187" s="8">
        <f t="shared" si="209"/>
        <v>0</v>
      </c>
      <c r="BR187" s="8">
        <f t="shared" si="207"/>
        <v>0</v>
      </c>
      <c r="BS187" s="8">
        <f t="shared" si="207"/>
        <v>0</v>
      </c>
      <c r="BT187" s="8">
        <f t="shared" si="207"/>
        <v>0</v>
      </c>
      <c r="BU187" s="8">
        <f t="shared" si="207"/>
        <v>0</v>
      </c>
      <c r="BV187" s="8">
        <f t="shared" si="207"/>
        <v>0</v>
      </c>
      <c r="BW187" s="8">
        <f t="shared" si="207"/>
        <v>0</v>
      </c>
      <c r="BX187" s="8">
        <f t="shared" si="207"/>
        <v>0</v>
      </c>
      <c r="BY187" s="8">
        <f t="shared" si="207"/>
        <v>0</v>
      </c>
      <c r="BZ187" s="8">
        <f t="shared" si="207"/>
        <v>0</v>
      </c>
      <c r="CA187" s="8">
        <f t="shared" si="207"/>
        <v>0</v>
      </c>
      <c r="CB187" s="8">
        <f t="shared" si="207"/>
        <v>0</v>
      </c>
      <c r="CC187" s="8">
        <f t="shared" si="207"/>
        <v>0</v>
      </c>
      <c r="CD187" s="8">
        <f t="shared" si="207"/>
        <v>0</v>
      </c>
      <c r="CE187" s="8">
        <f t="shared" si="207"/>
        <v>0</v>
      </c>
      <c r="CF187" s="8">
        <f t="shared" si="207"/>
        <v>0</v>
      </c>
      <c r="CG187" s="8">
        <f t="shared" si="207"/>
        <v>0</v>
      </c>
      <c r="CH187" s="8">
        <f t="shared" si="207"/>
        <v>0</v>
      </c>
      <c r="CI187" s="8">
        <f t="shared" si="207"/>
        <v>0</v>
      </c>
      <c r="CJ187" s="8">
        <f t="shared" si="207"/>
        <v>0</v>
      </c>
      <c r="CK187" s="8">
        <f t="shared" si="207"/>
        <v>0</v>
      </c>
      <c r="CL187" s="8">
        <f t="shared" si="207"/>
        <v>0</v>
      </c>
      <c r="CM187" s="8">
        <f t="shared" si="207"/>
        <v>0</v>
      </c>
      <c r="CN187" s="8">
        <f t="shared" si="207"/>
        <v>0</v>
      </c>
      <c r="CO187" s="8">
        <f t="shared" si="207"/>
        <v>0</v>
      </c>
      <c r="CP187" s="8">
        <f t="shared" si="207"/>
        <v>0</v>
      </c>
      <c r="CQ187" s="8">
        <f t="shared" si="207"/>
        <v>0</v>
      </c>
      <c r="CR187" s="8">
        <f t="shared" si="207"/>
        <v>0</v>
      </c>
      <c r="CS187" s="8">
        <f t="shared" si="207"/>
        <v>0</v>
      </c>
      <c r="CT187" s="8">
        <f t="shared" si="207"/>
        <v>0</v>
      </c>
      <c r="CU187" s="8">
        <f t="shared" si="207"/>
        <v>0</v>
      </c>
      <c r="CV187" s="8">
        <f t="shared" si="207"/>
        <v>0</v>
      </c>
      <c r="CW187" s="8">
        <f t="shared" si="207"/>
        <v>0</v>
      </c>
      <c r="CX187" s="8">
        <f t="shared" si="207"/>
        <v>0</v>
      </c>
      <c r="CY187" s="8">
        <f t="shared" si="207"/>
        <v>0</v>
      </c>
      <c r="CZ187" s="8">
        <f t="shared" si="207"/>
        <v>0</v>
      </c>
      <c r="DA187" s="8">
        <f t="shared" si="207"/>
        <v>0</v>
      </c>
    </row>
    <row r="188" spans="4:111" x14ac:dyDescent="0.4">
      <c r="D188" t="s">
        <v>168</v>
      </c>
      <c r="E188" s="8">
        <f t="shared" si="208"/>
        <v>1003129.1000000001</v>
      </c>
      <c r="F188" s="8">
        <f t="shared" si="209"/>
        <v>2008264.4582000002</v>
      </c>
      <c r="G188" s="8">
        <f t="shared" si="209"/>
        <v>3015450.2122804001</v>
      </c>
      <c r="H188" s="8">
        <f t="shared" si="209"/>
        <v>4024731.470950569</v>
      </c>
      <c r="I188" s="8">
        <f t="shared" si="209"/>
        <v>5036154.3353114817</v>
      </c>
      <c r="J188" s="8">
        <f t="shared" si="209"/>
        <v>6049765.9206883349</v>
      </c>
      <c r="K188" s="8">
        <f t="shared" si="209"/>
        <v>7065614.3789434787</v>
      </c>
      <c r="L188" s="8">
        <f t="shared" si="209"/>
        <v>8083748.9212802351</v>
      </c>
      <c r="M188" s="8">
        <f t="shared" si="209"/>
        <v>9104219.8415484</v>
      </c>
      <c r="N188" s="8">
        <f t="shared" si="209"/>
        <v>10127078.540062465</v>
      </c>
      <c r="O188" s="8">
        <f t="shared" si="209"/>
        <v>9905379.4612487219</v>
      </c>
      <c r="P188" s="8">
        <f t="shared" si="209"/>
        <v>9683680.3824349809</v>
      </c>
      <c r="Q188" s="8">
        <f t="shared" si="209"/>
        <v>9461981.30362124</v>
      </c>
      <c r="R188" s="8">
        <f t="shared" si="209"/>
        <v>9240282.2248074971</v>
      </c>
      <c r="S188" s="8">
        <f t="shared" si="209"/>
        <v>9018583.1459937561</v>
      </c>
      <c r="T188" s="8">
        <f t="shared" si="209"/>
        <v>8796884.0671800133</v>
      </c>
      <c r="U188" s="8">
        <f t="shared" si="209"/>
        <v>8575184.9883662704</v>
      </c>
      <c r="V188" s="8">
        <f t="shared" si="209"/>
        <v>8353485.9095525276</v>
      </c>
      <c r="W188" s="8">
        <f t="shared" si="209"/>
        <v>8131786.8307387866</v>
      </c>
      <c r="X188" s="8">
        <f t="shared" si="209"/>
        <v>7910087.7519250438</v>
      </c>
      <c r="Y188" s="8">
        <f t="shared" si="209"/>
        <v>7688388.6731113018</v>
      </c>
      <c r="Z188" s="8">
        <f t="shared" si="209"/>
        <v>7466689.594297559</v>
      </c>
      <c r="AA188" s="8">
        <f t="shared" si="209"/>
        <v>7244990.5154838189</v>
      </c>
      <c r="AB188" s="8">
        <f t="shared" si="209"/>
        <v>7023291.436670077</v>
      </c>
      <c r="AC188" s="8">
        <f t="shared" si="209"/>
        <v>6801592.3578563333</v>
      </c>
      <c r="AD188" s="8">
        <f t="shared" si="209"/>
        <v>6579893.2790425923</v>
      </c>
      <c r="AE188" s="8">
        <f t="shared" si="209"/>
        <v>6358194.2002288504</v>
      </c>
      <c r="AF188" s="8">
        <f t="shared" si="209"/>
        <v>6136495.1214151084</v>
      </c>
      <c r="AG188" s="8">
        <f t="shared" si="209"/>
        <v>5914796.0426013665</v>
      </c>
      <c r="AH188" s="8">
        <f t="shared" si="209"/>
        <v>5693096.9637876237</v>
      </c>
      <c r="AI188" s="8">
        <f t="shared" si="209"/>
        <v>5471397.8849738818</v>
      </c>
      <c r="AJ188" s="8">
        <f t="shared" si="209"/>
        <v>5249698.8061601389</v>
      </c>
      <c r="AK188" s="8">
        <f t="shared" si="209"/>
        <v>5027999.727346397</v>
      </c>
      <c r="AL188" s="8">
        <f t="shared" si="209"/>
        <v>4806300.6485326551</v>
      </c>
      <c r="AM188" s="8">
        <f t="shared" si="209"/>
        <v>4584601.5697189132</v>
      </c>
      <c r="AN188" s="8">
        <f t="shared" si="209"/>
        <v>4362902.4909051713</v>
      </c>
      <c r="AO188" s="8">
        <f t="shared" si="209"/>
        <v>4141203.4120914293</v>
      </c>
      <c r="AP188" s="8">
        <f t="shared" si="209"/>
        <v>3919504.3332776865</v>
      </c>
      <c r="AQ188" s="8">
        <f t="shared" si="209"/>
        <v>3697805.2544639441</v>
      </c>
      <c r="AR188" s="8">
        <f t="shared" si="209"/>
        <v>3476106.1756502022</v>
      </c>
      <c r="AS188" s="8">
        <f t="shared" si="209"/>
        <v>3254407.0968364603</v>
      </c>
      <c r="AT188" s="8">
        <f t="shared" si="209"/>
        <v>3032708.0180227179</v>
      </c>
      <c r="AU188" s="8">
        <f t="shared" si="209"/>
        <v>2811008.9392089755</v>
      </c>
      <c r="AV188" s="8">
        <f t="shared" si="209"/>
        <v>2589309.8603952336</v>
      </c>
      <c r="AW188" s="8">
        <f t="shared" si="209"/>
        <v>2367610.7815814917</v>
      </c>
      <c r="AX188" s="8">
        <f t="shared" si="209"/>
        <v>2145911.7027677493</v>
      </c>
      <c r="AY188" s="8">
        <f t="shared" si="209"/>
        <v>1924212.6239540069</v>
      </c>
      <c r="AZ188" s="8">
        <f t="shared" si="209"/>
        <v>1702513.545140265</v>
      </c>
      <c r="BA188" s="8">
        <f t="shared" si="209"/>
        <v>1480814.4663265231</v>
      </c>
      <c r="BB188" s="8">
        <f t="shared" si="209"/>
        <v>1259115.3875127807</v>
      </c>
      <c r="BC188" s="8">
        <f t="shared" si="209"/>
        <v>1037416.3086990386</v>
      </c>
      <c r="BD188" s="8">
        <f t="shared" si="209"/>
        <v>835779.81188529753</v>
      </c>
      <c r="BE188" s="8">
        <f t="shared" si="209"/>
        <v>654647.27387555758</v>
      </c>
      <c r="BF188" s="8">
        <f t="shared" si="209"/>
        <v>494469.78176350426</v>
      </c>
      <c r="BG188" s="8">
        <f t="shared" si="209"/>
        <v>355708.34655888635</v>
      </c>
      <c r="BH188" s="8">
        <f t="shared" si="209"/>
        <v>238834.12151367078</v>
      </c>
      <c r="BI188" s="8">
        <f t="shared" si="209"/>
        <v>144328.62525136257</v>
      </c>
      <c r="BJ188" s="8">
        <f t="shared" si="209"/>
        <v>72683.96980518545</v>
      </c>
      <c r="BK188" s="8">
        <f t="shared" si="209"/>
        <v>24403.093673094176</v>
      </c>
      <c r="BL188" s="8">
        <f t="shared" si="209"/>
        <v>0</v>
      </c>
      <c r="BM188" s="8">
        <f t="shared" si="209"/>
        <v>0</v>
      </c>
      <c r="BN188" s="8">
        <f t="shared" si="209"/>
        <v>0</v>
      </c>
      <c r="BO188" s="8">
        <f t="shared" si="209"/>
        <v>0</v>
      </c>
      <c r="BP188" s="8">
        <f t="shared" si="209"/>
        <v>0</v>
      </c>
      <c r="BQ188" s="8">
        <f t="shared" si="209"/>
        <v>0</v>
      </c>
      <c r="BR188" s="8">
        <f t="shared" si="207"/>
        <v>0</v>
      </c>
      <c r="BS188" s="8">
        <f t="shared" si="207"/>
        <v>0</v>
      </c>
      <c r="BT188" s="8">
        <f t="shared" si="207"/>
        <v>0</v>
      </c>
      <c r="BU188" s="8">
        <f t="shared" si="207"/>
        <v>0</v>
      </c>
      <c r="BV188" s="8">
        <f t="shared" si="207"/>
        <v>0</v>
      </c>
      <c r="BW188" s="8">
        <f t="shared" si="207"/>
        <v>0</v>
      </c>
      <c r="BX188" s="8">
        <f t="shared" si="207"/>
        <v>0</v>
      </c>
      <c r="BY188" s="8">
        <f t="shared" si="207"/>
        <v>0</v>
      </c>
      <c r="BZ188" s="8">
        <f t="shared" si="207"/>
        <v>0</v>
      </c>
      <c r="CA188" s="8">
        <f t="shared" si="207"/>
        <v>0</v>
      </c>
      <c r="CB188" s="8">
        <f t="shared" si="207"/>
        <v>0</v>
      </c>
      <c r="CC188" s="8">
        <f t="shared" si="207"/>
        <v>0</v>
      </c>
      <c r="CD188" s="8">
        <f t="shared" si="207"/>
        <v>0</v>
      </c>
      <c r="CE188" s="8">
        <f t="shared" si="207"/>
        <v>0</v>
      </c>
      <c r="CF188" s="8">
        <f t="shared" si="207"/>
        <v>0</v>
      </c>
      <c r="CG188" s="8">
        <f t="shared" si="207"/>
        <v>0</v>
      </c>
      <c r="CH188" s="8">
        <f t="shared" si="207"/>
        <v>0</v>
      </c>
      <c r="CI188" s="8">
        <f t="shared" si="207"/>
        <v>0</v>
      </c>
      <c r="CJ188" s="8">
        <f t="shared" si="207"/>
        <v>0</v>
      </c>
      <c r="CK188" s="8">
        <f t="shared" si="207"/>
        <v>0</v>
      </c>
      <c r="CL188" s="8">
        <f t="shared" si="207"/>
        <v>0</v>
      </c>
      <c r="CM188" s="8">
        <f t="shared" si="207"/>
        <v>0</v>
      </c>
      <c r="CN188" s="8">
        <f t="shared" si="207"/>
        <v>0</v>
      </c>
      <c r="CO188" s="8">
        <f t="shared" si="207"/>
        <v>0</v>
      </c>
      <c r="CP188" s="8">
        <f t="shared" si="207"/>
        <v>0</v>
      </c>
      <c r="CQ188" s="8">
        <f t="shared" si="207"/>
        <v>0</v>
      </c>
      <c r="CR188" s="8">
        <f t="shared" si="207"/>
        <v>0</v>
      </c>
      <c r="CS188" s="8">
        <f t="shared" si="207"/>
        <v>0</v>
      </c>
      <c r="CT188" s="8">
        <f t="shared" si="207"/>
        <v>0</v>
      </c>
      <c r="CU188" s="8">
        <f t="shared" si="207"/>
        <v>0</v>
      </c>
      <c r="CV188" s="8">
        <f t="shared" si="207"/>
        <v>0</v>
      </c>
      <c r="CW188" s="8">
        <f t="shared" si="207"/>
        <v>0</v>
      </c>
      <c r="CX188" s="8">
        <f t="shared" si="207"/>
        <v>0</v>
      </c>
      <c r="CY188" s="8">
        <f t="shared" si="207"/>
        <v>0</v>
      </c>
      <c r="CZ188" s="8">
        <f t="shared" si="207"/>
        <v>0</v>
      </c>
      <c r="DA188" s="8">
        <f t="shared" si="207"/>
        <v>0</v>
      </c>
    </row>
    <row r="189" spans="4:111" x14ac:dyDescent="0.4"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</row>
    <row r="190" spans="4:111" x14ac:dyDescent="0.4">
      <c r="D190" t="s">
        <v>169</v>
      </c>
      <c r="E190" s="8">
        <f t="shared" si="208"/>
        <v>0</v>
      </c>
      <c r="F190" s="8">
        <f t="shared" ref="F190:BQ192" si="210">F21+F38+F55+F72+F89+F106+F123+F140+F157+F174</f>
        <v>37617.341250000005</v>
      </c>
      <c r="G190" s="8">
        <f t="shared" si="210"/>
        <v>110860.81248650001</v>
      </c>
      <c r="H190" s="8">
        <f t="shared" si="210"/>
        <v>180278.68036820303</v>
      </c>
      <c r="I190" s="8">
        <f t="shared" si="210"/>
        <v>246208.09584330348</v>
      </c>
      <c r="J190" s="8">
        <f t="shared" si="210"/>
        <v>308933.43943485618</v>
      </c>
      <c r="K190" s="8">
        <f t="shared" si="210"/>
        <v>368745.34803742298</v>
      </c>
      <c r="L190" s="8">
        <f t="shared" si="210"/>
        <v>425890.69610224635</v>
      </c>
      <c r="M190" s="8">
        <f t="shared" si="210"/>
        <v>480621.78931849578</v>
      </c>
      <c r="N190" s="8">
        <f t="shared" si="210"/>
        <v>535955.08912550274</v>
      </c>
      <c r="O190" s="8">
        <f t="shared" si="210"/>
        <v>592495.69023726368</v>
      </c>
      <c r="P190" s="8">
        <f t="shared" si="210"/>
        <v>603527.78761341667</v>
      </c>
      <c r="Q190" s="8">
        <f t="shared" si="210"/>
        <v>571534.19621339138</v>
      </c>
      <c r="R190" s="8">
        <f t="shared" si="210"/>
        <v>545605.50672345306</v>
      </c>
      <c r="S190" s="8">
        <f t="shared" si="210"/>
        <v>525331.34520721179</v>
      </c>
      <c r="T190" s="8">
        <f t="shared" si="210"/>
        <v>510407.25455087848</v>
      </c>
      <c r="U190" s="8">
        <f t="shared" si="210"/>
        <v>500481.95442016085</v>
      </c>
      <c r="V190" s="8">
        <f t="shared" si="210"/>
        <v>495298.91138174711</v>
      </c>
      <c r="W190" s="8">
        <f t="shared" si="210"/>
        <v>494555.82310279238</v>
      </c>
      <c r="X190" s="8">
        <f t="shared" si="210"/>
        <v>494554.61702471774</v>
      </c>
      <c r="Y190" s="8">
        <f t="shared" si="210"/>
        <v>494555.82310279238</v>
      </c>
      <c r="Z190" s="8">
        <f t="shared" si="210"/>
        <v>472174.80680371774</v>
      </c>
      <c r="AA190" s="8">
        <f t="shared" si="210"/>
        <v>426934.06790593039</v>
      </c>
      <c r="AB190" s="8">
        <f t="shared" si="210"/>
        <v>380685.56277152477</v>
      </c>
      <c r="AC190" s="8">
        <f t="shared" si="210"/>
        <v>333432.06050502916</v>
      </c>
      <c r="AD190" s="8">
        <f t="shared" si="210"/>
        <v>285126.51120780368</v>
      </c>
      <c r="AE190" s="8">
        <f t="shared" si="210"/>
        <v>235770.70980690623</v>
      </c>
      <c r="AF190" s="8">
        <f t="shared" si="210"/>
        <v>185316.61079432207</v>
      </c>
      <c r="AG190" s="8">
        <f t="shared" si="210"/>
        <v>133764.99158432803</v>
      </c>
      <c r="AH190" s="8">
        <f t="shared" si="210"/>
        <v>81066.766770847142</v>
      </c>
      <c r="AI190" s="8">
        <f t="shared" si="210"/>
        <v>27221.650992336643</v>
      </c>
      <c r="AJ190" s="8">
        <f t="shared" si="210"/>
        <v>0</v>
      </c>
      <c r="AK190" s="8">
        <f t="shared" si="210"/>
        <v>0</v>
      </c>
      <c r="AL190" s="8">
        <f t="shared" si="210"/>
        <v>0</v>
      </c>
      <c r="AM190" s="8">
        <f t="shared" si="210"/>
        <v>0</v>
      </c>
      <c r="AN190" s="8">
        <f t="shared" si="210"/>
        <v>0</v>
      </c>
      <c r="AO190" s="8">
        <f t="shared" si="210"/>
        <v>0</v>
      </c>
      <c r="AP190" s="8">
        <f t="shared" si="210"/>
        <v>0</v>
      </c>
      <c r="AQ190" s="8">
        <f t="shared" si="210"/>
        <v>0</v>
      </c>
      <c r="AR190" s="8">
        <f t="shared" si="210"/>
        <v>0</v>
      </c>
      <c r="AS190" s="8">
        <f t="shared" si="210"/>
        <v>0</v>
      </c>
      <c r="AT190" s="8">
        <f t="shared" si="210"/>
        <v>0</v>
      </c>
      <c r="AU190" s="8">
        <f t="shared" si="210"/>
        <v>0</v>
      </c>
      <c r="AV190" s="8">
        <f t="shared" si="210"/>
        <v>0</v>
      </c>
      <c r="AW190" s="8">
        <f t="shared" si="210"/>
        <v>0</v>
      </c>
      <c r="AX190" s="8">
        <f t="shared" si="210"/>
        <v>0</v>
      </c>
      <c r="AY190" s="8">
        <f t="shared" si="210"/>
        <v>0</v>
      </c>
      <c r="AZ190" s="8">
        <f t="shared" si="210"/>
        <v>0</v>
      </c>
      <c r="BA190" s="8">
        <f t="shared" si="210"/>
        <v>0</v>
      </c>
      <c r="BB190" s="8">
        <f t="shared" si="210"/>
        <v>0</v>
      </c>
      <c r="BC190" s="8">
        <f t="shared" si="210"/>
        <v>0</v>
      </c>
      <c r="BD190" s="8">
        <f t="shared" si="210"/>
        <v>0</v>
      </c>
      <c r="BE190" s="8">
        <f t="shared" si="210"/>
        <v>0</v>
      </c>
      <c r="BF190" s="8">
        <f t="shared" si="210"/>
        <v>0</v>
      </c>
      <c r="BG190" s="8">
        <f t="shared" si="210"/>
        <v>0</v>
      </c>
      <c r="BH190" s="8">
        <f t="shared" si="210"/>
        <v>0</v>
      </c>
      <c r="BI190" s="8">
        <f t="shared" si="210"/>
        <v>0</v>
      </c>
      <c r="BJ190" s="8">
        <f t="shared" si="210"/>
        <v>0</v>
      </c>
      <c r="BK190" s="8">
        <f t="shared" si="210"/>
        <v>0</v>
      </c>
      <c r="BL190" s="8">
        <f t="shared" si="210"/>
        <v>0</v>
      </c>
      <c r="BM190" s="8">
        <f t="shared" si="210"/>
        <v>0</v>
      </c>
      <c r="BN190" s="8">
        <f t="shared" si="210"/>
        <v>0</v>
      </c>
      <c r="BO190" s="8">
        <f t="shared" si="210"/>
        <v>0</v>
      </c>
      <c r="BP190" s="8">
        <f t="shared" si="210"/>
        <v>0</v>
      </c>
      <c r="BQ190" s="8">
        <f t="shared" si="210"/>
        <v>0</v>
      </c>
      <c r="BR190" s="8">
        <f t="shared" ref="BR190:DA192" si="211">BR21+BR38+BR55+BR72+BR89+BR106+BR123+BR140+BR157+BR174</f>
        <v>0</v>
      </c>
      <c r="BS190" s="8">
        <f t="shared" si="211"/>
        <v>0</v>
      </c>
      <c r="BT190" s="8">
        <f t="shared" si="211"/>
        <v>0</v>
      </c>
      <c r="BU190" s="8">
        <f t="shared" si="211"/>
        <v>0</v>
      </c>
      <c r="BV190" s="8">
        <f t="shared" si="211"/>
        <v>0</v>
      </c>
      <c r="BW190" s="8">
        <f t="shared" si="211"/>
        <v>0</v>
      </c>
      <c r="BX190" s="8">
        <f t="shared" si="211"/>
        <v>0</v>
      </c>
      <c r="BY190" s="8">
        <f t="shared" si="211"/>
        <v>0</v>
      </c>
      <c r="BZ190" s="8">
        <f t="shared" si="211"/>
        <v>0</v>
      </c>
      <c r="CA190" s="8">
        <f t="shared" si="211"/>
        <v>0</v>
      </c>
      <c r="CB190" s="8">
        <f t="shared" si="211"/>
        <v>0</v>
      </c>
      <c r="CC190" s="8">
        <f t="shared" si="211"/>
        <v>0</v>
      </c>
      <c r="CD190" s="8">
        <f t="shared" si="211"/>
        <v>0</v>
      </c>
      <c r="CE190" s="8">
        <f t="shared" si="211"/>
        <v>0</v>
      </c>
      <c r="CF190" s="8">
        <f t="shared" si="211"/>
        <v>0</v>
      </c>
      <c r="CG190" s="8">
        <f t="shared" si="211"/>
        <v>0</v>
      </c>
      <c r="CH190" s="8">
        <f t="shared" si="211"/>
        <v>0</v>
      </c>
      <c r="CI190" s="8">
        <f t="shared" si="211"/>
        <v>0</v>
      </c>
      <c r="CJ190" s="8">
        <f t="shared" si="211"/>
        <v>0</v>
      </c>
      <c r="CK190" s="8">
        <f t="shared" si="211"/>
        <v>0</v>
      </c>
      <c r="CL190" s="8">
        <f t="shared" si="211"/>
        <v>0</v>
      </c>
      <c r="CM190" s="8">
        <f t="shared" si="211"/>
        <v>0</v>
      </c>
      <c r="CN190" s="8">
        <f t="shared" si="211"/>
        <v>0</v>
      </c>
      <c r="CO190" s="8">
        <f t="shared" si="211"/>
        <v>0</v>
      </c>
      <c r="CP190" s="8">
        <f t="shared" si="211"/>
        <v>0</v>
      </c>
      <c r="CQ190" s="8">
        <f t="shared" si="211"/>
        <v>0</v>
      </c>
      <c r="CR190" s="8">
        <f t="shared" si="211"/>
        <v>0</v>
      </c>
      <c r="CS190" s="8">
        <f t="shared" si="211"/>
        <v>0</v>
      </c>
      <c r="CT190" s="8">
        <f t="shared" si="211"/>
        <v>0</v>
      </c>
      <c r="CU190" s="8">
        <f t="shared" si="211"/>
        <v>0</v>
      </c>
      <c r="CV190" s="8">
        <f t="shared" si="211"/>
        <v>0</v>
      </c>
      <c r="CW190" s="8">
        <f t="shared" si="211"/>
        <v>0</v>
      </c>
      <c r="CX190" s="8">
        <f t="shared" si="211"/>
        <v>0</v>
      </c>
      <c r="CY190" s="8">
        <f t="shared" si="211"/>
        <v>0</v>
      </c>
      <c r="CZ190" s="8">
        <f t="shared" si="211"/>
        <v>0</v>
      </c>
      <c r="DA190" s="8">
        <f t="shared" si="211"/>
        <v>0</v>
      </c>
    </row>
    <row r="191" spans="4:111" x14ac:dyDescent="0.4">
      <c r="D191" t="s">
        <v>170</v>
      </c>
      <c r="E191" s="8">
        <f t="shared" si="208"/>
        <v>0</v>
      </c>
      <c r="F191" s="8">
        <f t="shared" si="210"/>
        <v>0</v>
      </c>
      <c r="G191" s="8">
        <f t="shared" si="210"/>
        <v>-4865.3015261375012</v>
      </c>
      <c r="H191" s="8">
        <f t="shared" si="210"/>
        <v>-24347.358922942381</v>
      </c>
      <c r="I191" s="8">
        <f t="shared" si="210"/>
        <v>-57260.887432617012</v>
      </c>
      <c r="J191" s="8">
        <f t="shared" si="210"/>
        <v>-102511.29326931955</v>
      </c>
      <c r="K191" s="8">
        <f t="shared" si="210"/>
        <v>-159079.98778674298</v>
      </c>
      <c r="L191" s="8">
        <f t="shared" si="210"/>
        <v>-226026.05959118498</v>
      </c>
      <c r="M191" s="8">
        <f t="shared" si="210"/>
        <v>-302474.08257960191</v>
      </c>
      <c r="N191" s="8">
        <f t="shared" si="210"/>
        <v>-387615.55661600328</v>
      </c>
      <c r="O191" s="8">
        <f t="shared" si="210"/>
        <v>-481474.92728540587</v>
      </c>
      <c r="P191" s="8">
        <f t="shared" si="210"/>
        <v>-584241.20814143482</v>
      </c>
      <c r="Q191" s="8">
        <f t="shared" si="210"/>
        <v>-690065.03478526475</v>
      </c>
      <c r="R191" s="8">
        <f t="shared" si="210"/>
        <v>-787021.83757257764</v>
      </c>
      <c r="S191" s="8">
        <f t="shared" si="210"/>
        <v>-876792.50406775391</v>
      </c>
      <c r="T191" s="8">
        <f t="shared" si="210"/>
        <v>-960944.18669870414</v>
      </c>
      <c r="U191" s="8">
        <f t="shared" si="210"/>
        <v>-1040959.6576042514</v>
      </c>
      <c r="V191" s="8">
        <f t="shared" si="210"/>
        <v>-1118224.3315785704</v>
      </c>
      <c r="W191" s="8">
        <f t="shared" si="210"/>
        <v>-1194052.5251747931</v>
      </c>
      <c r="X191" s="8">
        <f t="shared" si="210"/>
        <v>-1269674.7718545035</v>
      </c>
      <c r="Y191" s="8">
        <f t="shared" si="210"/>
        <v>-1345296.6842696751</v>
      </c>
      <c r="Z191" s="8">
        <f t="shared" si="210"/>
        <v>-1420918.9309493853</v>
      </c>
      <c r="AA191" s="8">
        <f t="shared" si="210"/>
        <v>-1490338.2789618073</v>
      </c>
      <c r="AB191" s="8">
        <f t="shared" si="210"/>
        <v>-1547219.1561887073</v>
      </c>
      <c r="AC191" s="8">
        <f t="shared" si="210"/>
        <v>-1591282.2602176068</v>
      </c>
      <c r="AD191" s="8">
        <f t="shared" si="210"/>
        <v>-1622249.056093347</v>
      </c>
      <c r="AE191" s="8">
        <f t="shared" si="210"/>
        <v>-1639827.968981361</v>
      </c>
      <c r="AF191" s="8">
        <f t="shared" si="210"/>
        <v>-1643727.9215111167</v>
      </c>
      <c r="AG191" s="8">
        <f t="shared" si="210"/>
        <v>-1633644.5204995342</v>
      </c>
      <c r="AH191" s="8">
        <f t="shared" si="210"/>
        <v>-1609273.5882239023</v>
      </c>
      <c r="AI191" s="8">
        <f t="shared" si="210"/>
        <v>-1570297.3429412141</v>
      </c>
      <c r="AJ191" s="8">
        <f t="shared" si="210"/>
        <v>-1516397.9238205112</v>
      </c>
      <c r="AK191" s="8">
        <f t="shared" si="210"/>
        <v>-1454954.0241272827</v>
      </c>
      <c r="AL191" s="8">
        <f t="shared" si="210"/>
        <v>-1393510.1244340541</v>
      </c>
      <c r="AM191" s="8">
        <f t="shared" si="210"/>
        <v>-1332066.2247408256</v>
      </c>
      <c r="AN191" s="8">
        <f t="shared" si="210"/>
        <v>-1270622.3250475971</v>
      </c>
      <c r="AO191" s="8">
        <f t="shared" si="210"/>
        <v>-1209178.4253543683</v>
      </c>
      <c r="AP191" s="8">
        <f t="shared" si="210"/>
        <v>-1147734.5256611397</v>
      </c>
      <c r="AQ191" s="8">
        <f t="shared" si="210"/>
        <v>-1086290.625967911</v>
      </c>
      <c r="AR191" s="8">
        <f t="shared" si="210"/>
        <v>-1024846.7262746826</v>
      </c>
      <c r="AS191" s="8">
        <f t="shared" si="210"/>
        <v>-963402.8265814539</v>
      </c>
      <c r="AT191" s="8">
        <f t="shared" si="210"/>
        <v>-901958.92688822513</v>
      </c>
      <c r="AU191" s="8">
        <f t="shared" si="210"/>
        <v>-840515.0271949966</v>
      </c>
      <c r="AV191" s="8">
        <f t="shared" si="210"/>
        <v>-779071.12750176783</v>
      </c>
      <c r="AW191" s="8">
        <f t="shared" si="210"/>
        <v>-717627.22780853929</v>
      </c>
      <c r="AX191" s="8">
        <f t="shared" si="210"/>
        <v>-656183.32811531075</v>
      </c>
      <c r="AY191" s="8">
        <f t="shared" si="210"/>
        <v>-594739.4284220821</v>
      </c>
      <c r="AZ191" s="8">
        <f t="shared" si="210"/>
        <v>-533295.52872885345</v>
      </c>
      <c r="BA191" s="8">
        <f t="shared" si="210"/>
        <v>-471851.62903562485</v>
      </c>
      <c r="BB191" s="8">
        <f t="shared" si="210"/>
        <v>-410407.72934239625</v>
      </c>
      <c r="BC191" s="8">
        <f t="shared" si="210"/>
        <v>-348963.8296491676</v>
      </c>
      <c r="BD191" s="8">
        <f t="shared" si="210"/>
        <v>-287519.92995593901</v>
      </c>
      <c r="BE191" s="8">
        <f t="shared" si="210"/>
        <v>-231636.37486401037</v>
      </c>
      <c r="BF191" s="8">
        <f t="shared" si="210"/>
        <v>-181435.49195461039</v>
      </c>
      <c r="BG191" s="8">
        <f t="shared" si="210"/>
        <v>-137042.30001575459</v>
      </c>
      <c r="BH191" s="8">
        <f t="shared" si="210"/>
        <v>-98584.568248795025</v>
      </c>
      <c r="BI191" s="8">
        <f t="shared" si="210"/>
        <v>-66192.87677751336</v>
      </c>
      <c r="BJ191" s="8">
        <f t="shared" si="210"/>
        <v>-40000.678488414545</v>
      </c>
      <c r="BK191" s="8">
        <f t="shared" si="210"/>
        <v>-20144.362231506584</v>
      </c>
      <c r="BL191" s="8">
        <f t="shared" si="210"/>
        <v>-6763.3174114976764</v>
      </c>
      <c r="BM191" s="8">
        <f t="shared" si="210"/>
        <v>3.9653968997299671E-10</v>
      </c>
      <c r="BN191" s="8">
        <f t="shared" si="210"/>
        <v>3.9653968997299671E-10</v>
      </c>
      <c r="BO191" s="8">
        <f t="shared" si="210"/>
        <v>3.9653968997299671E-10</v>
      </c>
      <c r="BP191" s="8">
        <f t="shared" si="210"/>
        <v>3.9653968997299671E-10</v>
      </c>
      <c r="BQ191" s="8">
        <f t="shared" si="210"/>
        <v>3.9653968997299671E-10</v>
      </c>
      <c r="BR191" s="8">
        <f t="shared" si="211"/>
        <v>3.9653968997299671E-10</v>
      </c>
      <c r="BS191" s="8">
        <f t="shared" si="211"/>
        <v>3.9653968997299671E-10</v>
      </c>
      <c r="BT191" s="8">
        <f t="shared" si="211"/>
        <v>3.9653968997299671E-10</v>
      </c>
      <c r="BU191" s="8">
        <f t="shared" si="211"/>
        <v>3.9653968997299671E-10</v>
      </c>
      <c r="BV191" s="8">
        <f t="shared" si="211"/>
        <v>3.9653968997299671E-10</v>
      </c>
      <c r="BW191" s="8">
        <f t="shared" si="211"/>
        <v>3.9653968997299671E-10</v>
      </c>
      <c r="BX191" s="8">
        <f t="shared" si="211"/>
        <v>3.9653968997299671E-10</v>
      </c>
      <c r="BY191" s="8">
        <f t="shared" si="211"/>
        <v>3.9653968997299671E-10</v>
      </c>
      <c r="BZ191" s="8">
        <f t="shared" si="211"/>
        <v>3.9653968997299671E-10</v>
      </c>
      <c r="CA191" s="8">
        <f t="shared" si="211"/>
        <v>3.9653968997299671E-10</v>
      </c>
      <c r="CB191" s="8">
        <f t="shared" si="211"/>
        <v>3.9653968997299671E-10</v>
      </c>
      <c r="CC191" s="8">
        <f t="shared" si="211"/>
        <v>3.9653968997299671E-10</v>
      </c>
      <c r="CD191" s="8">
        <f t="shared" si="211"/>
        <v>3.9653968997299671E-10</v>
      </c>
      <c r="CE191" s="8">
        <f t="shared" si="211"/>
        <v>3.9653968997299671E-10</v>
      </c>
      <c r="CF191" s="8">
        <f t="shared" si="211"/>
        <v>3.9653968997299671E-10</v>
      </c>
      <c r="CG191" s="8">
        <f t="shared" si="211"/>
        <v>3.9653968997299671E-10</v>
      </c>
      <c r="CH191" s="8">
        <f t="shared" si="211"/>
        <v>3.9653968997299671E-10</v>
      </c>
      <c r="CI191" s="8">
        <f t="shared" si="211"/>
        <v>3.9653968997299671E-10</v>
      </c>
      <c r="CJ191" s="8">
        <f t="shared" si="211"/>
        <v>3.9653968997299671E-10</v>
      </c>
      <c r="CK191" s="8">
        <f t="shared" si="211"/>
        <v>3.9653968997299671E-10</v>
      </c>
      <c r="CL191" s="8">
        <f t="shared" si="211"/>
        <v>3.9653968997299671E-10</v>
      </c>
      <c r="CM191" s="8">
        <f t="shared" si="211"/>
        <v>3.9653968997299671E-10</v>
      </c>
      <c r="CN191" s="8">
        <f t="shared" si="211"/>
        <v>3.9653968997299671E-10</v>
      </c>
      <c r="CO191" s="8">
        <f t="shared" si="211"/>
        <v>3.9653968997299671E-10</v>
      </c>
      <c r="CP191" s="8">
        <f t="shared" si="211"/>
        <v>3.9653968997299671E-10</v>
      </c>
      <c r="CQ191" s="8">
        <f t="shared" si="211"/>
        <v>3.9653968997299671E-10</v>
      </c>
      <c r="CR191" s="8">
        <f t="shared" si="211"/>
        <v>3.9653968997299671E-10</v>
      </c>
      <c r="CS191" s="8">
        <f t="shared" si="211"/>
        <v>3.9653968997299671E-10</v>
      </c>
      <c r="CT191" s="8">
        <f t="shared" si="211"/>
        <v>3.9653968997299671E-10</v>
      </c>
      <c r="CU191" s="8">
        <f t="shared" si="211"/>
        <v>3.9653968997299671E-10</v>
      </c>
      <c r="CV191" s="8">
        <f t="shared" si="211"/>
        <v>3.9653968997299671E-10</v>
      </c>
      <c r="CW191" s="8">
        <f t="shared" si="211"/>
        <v>3.9653968997299671E-10</v>
      </c>
      <c r="CX191" s="8">
        <f t="shared" si="211"/>
        <v>3.9653968997299671E-10</v>
      </c>
      <c r="CY191" s="8">
        <f t="shared" si="211"/>
        <v>3.9653968997299671E-10</v>
      </c>
      <c r="CZ191" s="8">
        <f t="shared" si="211"/>
        <v>3.9653968997299671E-10</v>
      </c>
      <c r="DA191" s="8">
        <f t="shared" si="211"/>
        <v>3.9653968997299671E-10</v>
      </c>
    </row>
    <row r="192" spans="4:111" x14ac:dyDescent="0.4">
      <c r="D192" t="s">
        <v>171</v>
      </c>
      <c r="E192" s="8">
        <f t="shared" si="208"/>
        <v>0</v>
      </c>
      <c r="F192" s="8">
        <f t="shared" si="210"/>
        <v>-4865.3015261375012</v>
      </c>
      <c r="G192" s="8">
        <f t="shared" si="210"/>
        <v>-24347.358922942381</v>
      </c>
      <c r="H192" s="8">
        <f t="shared" si="210"/>
        <v>-57260.887432617012</v>
      </c>
      <c r="I192" s="8">
        <f t="shared" si="210"/>
        <v>-102511.29326931955</v>
      </c>
      <c r="J192" s="8">
        <f t="shared" si="210"/>
        <v>-159079.98778674298</v>
      </c>
      <c r="K192" s="8">
        <f t="shared" si="210"/>
        <v>-226026.05959118498</v>
      </c>
      <c r="L192" s="8">
        <f t="shared" si="210"/>
        <v>-302474.08257960191</v>
      </c>
      <c r="M192" s="8">
        <f t="shared" si="210"/>
        <v>-387615.55661600328</v>
      </c>
      <c r="N192" s="8">
        <f t="shared" si="210"/>
        <v>-481474.92728540587</v>
      </c>
      <c r="O192" s="8">
        <f t="shared" si="210"/>
        <v>-584241.20814143482</v>
      </c>
      <c r="P192" s="8">
        <f t="shared" si="210"/>
        <v>-690065.03478526475</v>
      </c>
      <c r="Q192" s="8">
        <f t="shared" si="210"/>
        <v>-787021.83757257764</v>
      </c>
      <c r="R192" s="8">
        <f t="shared" si="210"/>
        <v>-876792.50406775391</v>
      </c>
      <c r="S192" s="8">
        <f t="shared" si="210"/>
        <v>-960944.18669870414</v>
      </c>
      <c r="T192" s="8">
        <f t="shared" si="210"/>
        <v>-1040959.6576042514</v>
      </c>
      <c r="U192" s="8">
        <f t="shared" si="210"/>
        <v>-1118224.3315785704</v>
      </c>
      <c r="V192" s="8">
        <f t="shared" si="210"/>
        <v>-1194052.5251747931</v>
      </c>
      <c r="W192" s="8">
        <f t="shared" si="210"/>
        <v>-1269674.7718545035</v>
      </c>
      <c r="X192" s="8">
        <f t="shared" si="210"/>
        <v>-1345296.6842696751</v>
      </c>
      <c r="Y192" s="8">
        <f t="shared" si="210"/>
        <v>-1420918.9309493853</v>
      </c>
      <c r="Z192" s="8">
        <f t="shared" si="210"/>
        <v>-1490338.2789618073</v>
      </c>
      <c r="AA192" s="8">
        <f t="shared" si="210"/>
        <v>-1547219.1561887073</v>
      </c>
      <c r="AB192" s="8">
        <f t="shared" si="210"/>
        <v>-1591282.2602176068</v>
      </c>
      <c r="AC192" s="8">
        <f t="shared" si="210"/>
        <v>-1622249.056093347</v>
      </c>
      <c r="AD192" s="8">
        <f t="shared" si="210"/>
        <v>-1639827.968981361</v>
      </c>
      <c r="AE192" s="8">
        <f t="shared" si="210"/>
        <v>-1643727.9215111167</v>
      </c>
      <c r="AF192" s="8">
        <f t="shared" si="210"/>
        <v>-1633644.5204995342</v>
      </c>
      <c r="AG192" s="8">
        <f t="shared" si="210"/>
        <v>-1609273.5882239023</v>
      </c>
      <c r="AH192" s="8">
        <f t="shared" si="210"/>
        <v>-1570297.3429412141</v>
      </c>
      <c r="AI192" s="8">
        <f t="shared" si="210"/>
        <v>-1516397.9238205112</v>
      </c>
      <c r="AJ192" s="8">
        <f t="shared" si="210"/>
        <v>-1454954.0241272827</v>
      </c>
      <c r="AK192" s="8">
        <f t="shared" si="210"/>
        <v>-1393510.1244340541</v>
      </c>
      <c r="AL192" s="8">
        <f t="shared" si="210"/>
        <v>-1332066.2247408256</v>
      </c>
      <c r="AM192" s="8">
        <f t="shared" si="210"/>
        <v>-1270622.3250475971</v>
      </c>
      <c r="AN192" s="8">
        <f t="shared" si="210"/>
        <v>-1209178.4253543683</v>
      </c>
      <c r="AO192" s="8">
        <f t="shared" si="210"/>
        <v>-1147734.5256611397</v>
      </c>
      <c r="AP192" s="8">
        <f t="shared" si="210"/>
        <v>-1086290.625967911</v>
      </c>
      <c r="AQ192" s="8">
        <f t="shared" si="210"/>
        <v>-1024846.7262746826</v>
      </c>
      <c r="AR192" s="8">
        <f t="shared" si="210"/>
        <v>-963402.8265814539</v>
      </c>
      <c r="AS192" s="8">
        <f t="shared" si="210"/>
        <v>-901958.92688822513</v>
      </c>
      <c r="AT192" s="8">
        <f t="shared" si="210"/>
        <v>-840515.0271949966</v>
      </c>
      <c r="AU192" s="8">
        <f t="shared" si="210"/>
        <v>-779071.12750176783</v>
      </c>
      <c r="AV192" s="8">
        <f t="shared" si="210"/>
        <v>-717627.22780853929</v>
      </c>
      <c r="AW192" s="8">
        <f t="shared" si="210"/>
        <v>-656183.32811531075</v>
      </c>
      <c r="AX192" s="8">
        <f t="shared" si="210"/>
        <v>-594739.4284220821</v>
      </c>
      <c r="AY192" s="8">
        <f t="shared" si="210"/>
        <v>-533295.52872885345</v>
      </c>
      <c r="AZ192" s="8">
        <f t="shared" si="210"/>
        <v>-471851.62903562485</v>
      </c>
      <c r="BA192" s="8">
        <f t="shared" si="210"/>
        <v>-410407.72934239625</v>
      </c>
      <c r="BB192" s="8">
        <f t="shared" si="210"/>
        <v>-348963.8296491676</v>
      </c>
      <c r="BC192" s="8">
        <f t="shared" si="210"/>
        <v>-287519.92995593901</v>
      </c>
      <c r="BD192" s="8">
        <f t="shared" si="210"/>
        <v>-231636.37486401037</v>
      </c>
      <c r="BE192" s="8">
        <f t="shared" si="210"/>
        <v>-181435.49195461039</v>
      </c>
      <c r="BF192" s="8">
        <f t="shared" si="210"/>
        <v>-137042.30001575459</v>
      </c>
      <c r="BG192" s="8">
        <f t="shared" si="210"/>
        <v>-98584.568248795025</v>
      </c>
      <c r="BH192" s="8">
        <f t="shared" si="210"/>
        <v>-66192.87677751336</v>
      </c>
      <c r="BI192" s="8">
        <f t="shared" si="210"/>
        <v>-40000.678488414545</v>
      </c>
      <c r="BJ192" s="8">
        <f t="shared" si="210"/>
        <v>-20144.362231506584</v>
      </c>
      <c r="BK192" s="8">
        <f t="shared" si="210"/>
        <v>-6763.3174114976764</v>
      </c>
      <c r="BL192" s="8">
        <f t="shared" si="210"/>
        <v>3.9653968997299671E-10</v>
      </c>
      <c r="BM192" s="8">
        <f t="shared" si="210"/>
        <v>3.9653968997299671E-10</v>
      </c>
      <c r="BN192" s="8">
        <f t="shared" si="210"/>
        <v>3.9653968997299671E-10</v>
      </c>
      <c r="BO192" s="8">
        <f t="shared" si="210"/>
        <v>3.9653968997299671E-10</v>
      </c>
      <c r="BP192" s="8">
        <f t="shared" si="210"/>
        <v>3.9653968997299671E-10</v>
      </c>
      <c r="BQ192" s="8">
        <f t="shared" si="210"/>
        <v>3.9653968997299671E-10</v>
      </c>
      <c r="BR192" s="8">
        <f t="shared" si="211"/>
        <v>3.9653968997299671E-10</v>
      </c>
      <c r="BS192" s="8">
        <f t="shared" si="211"/>
        <v>3.9653968997299671E-10</v>
      </c>
      <c r="BT192" s="8">
        <f t="shared" si="211"/>
        <v>3.9653968997299671E-10</v>
      </c>
      <c r="BU192" s="8">
        <f t="shared" si="211"/>
        <v>3.9653968997299671E-10</v>
      </c>
      <c r="BV192" s="8">
        <f t="shared" si="211"/>
        <v>3.9653968997299671E-10</v>
      </c>
      <c r="BW192" s="8">
        <f t="shared" si="211"/>
        <v>3.9653968997299671E-10</v>
      </c>
      <c r="BX192" s="8">
        <f t="shared" si="211"/>
        <v>3.9653968997299671E-10</v>
      </c>
      <c r="BY192" s="8">
        <f t="shared" si="211"/>
        <v>3.9653968997299671E-10</v>
      </c>
      <c r="BZ192" s="8">
        <f t="shared" si="211"/>
        <v>3.9653968997299671E-10</v>
      </c>
      <c r="CA192" s="8">
        <f t="shared" si="211"/>
        <v>3.9653968997299671E-10</v>
      </c>
      <c r="CB192" s="8">
        <f t="shared" si="211"/>
        <v>3.9653968997299671E-10</v>
      </c>
      <c r="CC192" s="8">
        <f t="shared" si="211"/>
        <v>3.9653968997299671E-10</v>
      </c>
      <c r="CD192" s="8">
        <f t="shared" si="211"/>
        <v>3.9653968997299671E-10</v>
      </c>
      <c r="CE192" s="8">
        <f t="shared" si="211"/>
        <v>3.9653968997299671E-10</v>
      </c>
      <c r="CF192" s="8">
        <f t="shared" si="211"/>
        <v>3.9653968997299671E-10</v>
      </c>
      <c r="CG192" s="8">
        <f t="shared" si="211"/>
        <v>3.9653968997299671E-10</v>
      </c>
      <c r="CH192" s="8">
        <f t="shared" si="211"/>
        <v>3.9653968997299671E-10</v>
      </c>
      <c r="CI192" s="8">
        <f t="shared" si="211"/>
        <v>3.9653968997299671E-10</v>
      </c>
      <c r="CJ192" s="8">
        <f t="shared" si="211"/>
        <v>3.9653968997299671E-10</v>
      </c>
      <c r="CK192" s="8">
        <f t="shared" si="211"/>
        <v>3.9653968997299671E-10</v>
      </c>
      <c r="CL192" s="8">
        <f t="shared" si="211"/>
        <v>3.9653968997299671E-10</v>
      </c>
      <c r="CM192" s="8">
        <f t="shared" si="211"/>
        <v>3.9653968997299671E-10</v>
      </c>
      <c r="CN192" s="8">
        <f t="shared" si="211"/>
        <v>3.9653968997299671E-10</v>
      </c>
      <c r="CO192" s="8">
        <f t="shared" si="211"/>
        <v>3.9653968997299671E-10</v>
      </c>
      <c r="CP192" s="8">
        <f t="shared" si="211"/>
        <v>3.9653968997299671E-10</v>
      </c>
      <c r="CQ192" s="8">
        <f t="shared" si="211"/>
        <v>3.9653968997299671E-10</v>
      </c>
      <c r="CR192" s="8">
        <f t="shared" si="211"/>
        <v>3.9653968997299671E-10</v>
      </c>
      <c r="CS192" s="8">
        <f t="shared" si="211"/>
        <v>3.9653968997299671E-10</v>
      </c>
      <c r="CT192" s="8">
        <f t="shared" si="211"/>
        <v>3.9653968997299671E-10</v>
      </c>
      <c r="CU192" s="8">
        <f t="shared" si="211"/>
        <v>3.9653968997299671E-10</v>
      </c>
      <c r="CV192" s="8">
        <f t="shared" si="211"/>
        <v>3.9653968997299671E-10</v>
      </c>
      <c r="CW192" s="8">
        <f t="shared" si="211"/>
        <v>3.9653968997299671E-10</v>
      </c>
      <c r="CX192" s="8">
        <f t="shared" si="211"/>
        <v>3.9653968997299671E-10</v>
      </c>
      <c r="CY192" s="8">
        <f t="shared" si="211"/>
        <v>3.9653968997299671E-10</v>
      </c>
      <c r="CZ192" s="8">
        <f t="shared" si="211"/>
        <v>3.9653968997299671E-10</v>
      </c>
      <c r="DA192" s="8">
        <f t="shared" si="211"/>
        <v>3.9653968997299671E-10</v>
      </c>
    </row>
    <row r="193" spans="4:105" x14ac:dyDescent="0.4"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</row>
    <row r="194" spans="4:105" x14ac:dyDescent="0.4">
      <c r="D194" t="s">
        <v>158</v>
      </c>
      <c r="E194" s="8">
        <f t="shared" si="208"/>
        <v>0</v>
      </c>
      <c r="F194" s="8">
        <f t="shared" ref="F194:BQ194" si="212">F25+F42+F59+F76+F93+F110+F127+F144+F161+F178</f>
        <v>990665.15823693143</v>
      </c>
      <c r="G194" s="8">
        <f t="shared" si="212"/>
        <v>1973374.8575734601</v>
      </c>
      <c r="H194" s="8">
        <f t="shared" si="212"/>
        <v>2943885.2957517765</v>
      </c>
      <c r="I194" s="8">
        <f t="shared" si="212"/>
        <v>3903376.5587950381</v>
      </c>
      <c r="J194" s="8">
        <f t="shared" si="212"/>
        <v>4852946.2678991882</v>
      </c>
      <c r="K194" s="8">
        <f t="shared" si="212"/>
        <v>5793616.1057236539</v>
      </c>
      <c r="L194" s="8">
        <f t="shared" si="212"/>
        <v>6726337.0961743016</v>
      </c>
      <c r="M194" s="8">
        <f t="shared" si="212"/>
        <v>7651995.0003416063</v>
      </c>
      <c r="N194" s="8">
        <f t="shared" si="212"/>
        <v>8571026.6070273723</v>
      </c>
      <c r="O194" s="8">
        <f t="shared" si="212"/>
        <v>9483370.9329421725</v>
      </c>
      <c r="P194" s="8">
        <f t="shared" si="212"/>
        <v>9157376.8003785033</v>
      </c>
      <c r="Q194" s="8">
        <f t="shared" si="212"/>
        <v>8834287.4068491869</v>
      </c>
      <c r="R194" s="8">
        <f t="shared" si="212"/>
        <v>8519224.5933942031</v>
      </c>
      <c r="S194" s="8">
        <f t="shared" si="212"/>
        <v>8210564.340017397</v>
      </c>
      <c r="T194" s="8">
        <f t="shared" si="212"/>
        <v>7906781.6844354067</v>
      </c>
      <c r="U194" s="8">
        <f t="shared" si="212"/>
        <v>7606442.5331817307</v>
      </c>
      <c r="V194" s="8">
        <f t="shared" si="212"/>
        <v>7308197.0205827169</v>
      </c>
      <c r="W194" s="8">
        <f t="shared" si="212"/>
        <v>7010772.7216310101</v>
      </c>
      <c r="X194" s="8">
        <f t="shared" si="212"/>
        <v>6713451.5632698266</v>
      </c>
      <c r="Y194" s="8">
        <f t="shared" si="212"/>
        <v>6416130.4049086431</v>
      </c>
      <c r="Z194" s="8">
        <f t="shared" si="212"/>
        <v>6121910.5287488354</v>
      </c>
      <c r="AA194" s="8">
        <f t="shared" si="212"/>
        <v>5837061.3373154327</v>
      </c>
      <c r="AB194" s="8">
        <f t="shared" si="212"/>
        <v>5564890.2678737901</v>
      </c>
      <c r="AC194" s="8">
        <f t="shared" si="212"/>
        <v>5305676.239107728</v>
      </c>
      <c r="AD194" s="8">
        <f t="shared" si="212"/>
        <v>5059704.3059121091</v>
      </c>
      <c r="AE194" s="8">
        <f t="shared" si="212"/>
        <v>4827265.7943894826</v>
      </c>
      <c r="AF194" s="8">
        <f t="shared" si="212"/>
        <v>4608658.4398166528</v>
      </c>
      <c r="AG194" s="8">
        <f t="shared" si="212"/>
        <v>4404186.5276465192</v>
      </c>
      <c r="AH194" s="8">
        <f t="shared" si="212"/>
        <v>4214161.0376119362</v>
      </c>
      <c r="AI194" s="8">
        <f t="shared" si="212"/>
        <v>4038899.7909998894</v>
      </c>
      <c r="AJ194" s="8">
        <f t="shared" si="212"/>
        <v>3874872.3715931131</v>
      </c>
      <c r="AK194" s="8">
        <f t="shared" si="212"/>
        <v>3714617.1924725994</v>
      </c>
      <c r="AL194" s="8">
        <f t="shared" si="212"/>
        <v>3554362.0133520858</v>
      </c>
      <c r="AM194" s="8">
        <f t="shared" si="212"/>
        <v>3394106.8342315732</v>
      </c>
      <c r="AN194" s="8">
        <f t="shared" si="212"/>
        <v>3233851.6551110591</v>
      </c>
      <c r="AO194" s="8">
        <f t="shared" si="212"/>
        <v>3073596.4759905459</v>
      </c>
      <c r="AP194" s="8">
        <f t="shared" si="212"/>
        <v>2913341.2968700319</v>
      </c>
      <c r="AQ194" s="8">
        <f t="shared" si="212"/>
        <v>2753086.1177495187</v>
      </c>
      <c r="AR194" s="8">
        <f t="shared" si="212"/>
        <v>2592830.9386290051</v>
      </c>
      <c r="AS194" s="8">
        <f t="shared" si="212"/>
        <v>2432575.7595084915</v>
      </c>
      <c r="AT194" s="8">
        <f t="shared" si="212"/>
        <v>2272320.5803879779</v>
      </c>
      <c r="AU194" s="8">
        <f t="shared" si="212"/>
        <v>2112065.4012674647</v>
      </c>
      <c r="AV194" s="8">
        <f t="shared" si="212"/>
        <v>1951810.2221469511</v>
      </c>
      <c r="AW194" s="8">
        <f t="shared" si="212"/>
        <v>1791555.0430264375</v>
      </c>
      <c r="AX194" s="8">
        <f t="shared" si="212"/>
        <v>1631299.8639059239</v>
      </c>
      <c r="AY194" s="8">
        <f t="shared" si="212"/>
        <v>1471044.6847854103</v>
      </c>
      <c r="AZ194" s="8">
        <f t="shared" si="212"/>
        <v>1310789.5056648972</v>
      </c>
      <c r="BA194" s="8">
        <f t="shared" si="212"/>
        <v>1150534.3265443833</v>
      </c>
      <c r="BB194" s="8">
        <f t="shared" si="212"/>
        <v>990279.14742386993</v>
      </c>
      <c r="BC194" s="8">
        <f t="shared" si="212"/>
        <v>830023.96830335632</v>
      </c>
      <c r="BD194" s="8">
        <f t="shared" si="212"/>
        <v>677019.90788219334</v>
      </c>
      <c r="BE194" s="8">
        <f t="shared" si="212"/>
        <v>538677.60947111715</v>
      </c>
      <c r="BF194" s="8">
        <f t="shared" si="212"/>
        <v>415319.63183434843</v>
      </c>
      <c r="BG194" s="8">
        <f t="shared" si="212"/>
        <v>307275.63002892048</v>
      </c>
      <c r="BH194" s="8">
        <f t="shared" si="212"/>
        <v>214882.51152312435</v>
      </c>
      <c r="BI194" s="8">
        <f t="shared" si="212"/>
        <v>138484.59574955271</v>
      </c>
      <c r="BJ194" s="8">
        <f t="shared" si="212"/>
        <v>78433.777168313434</v>
      </c>
      <c r="BK194" s="8">
        <f t="shared" si="212"/>
        <v>35089.691917637683</v>
      </c>
      <c r="BL194" s="8">
        <f t="shared" si="212"/>
        <v>8819.8881307984484</v>
      </c>
      <c r="BM194" s="8">
        <f t="shared" si="212"/>
        <v>3.9653968997299671E-10</v>
      </c>
      <c r="BN194" s="8">
        <f t="shared" si="212"/>
        <v>3.9653968997299671E-10</v>
      </c>
      <c r="BO194" s="8">
        <f t="shared" si="212"/>
        <v>3.9653968997299671E-10</v>
      </c>
      <c r="BP194" s="8">
        <f t="shared" si="212"/>
        <v>3.9653968997299671E-10</v>
      </c>
      <c r="BQ194" s="8">
        <f t="shared" si="212"/>
        <v>3.9653968997299671E-10</v>
      </c>
      <c r="BR194" s="8">
        <f t="shared" ref="BR194:DA194" si="213">BR25+BR42+BR59+BR76+BR93+BR110+BR127+BR144+BR161+BR178</f>
        <v>3.9653968997299671E-10</v>
      </c>
      <c r="BS194" s="8">
        <f t="shared" si="213"/>
        <v>3.9653968997299671E-10</v>
      </c>
      <c r="BT194" s="8">
        <f t="shared" si="213"/>
        <v>3.9653968997299671E-10</v>
      </c>
      <c r="BU194" s="8">
        <f t="shared" si="213"/>
        <v>3.9653968997299671E-10</v>
      </c>
      <c r="BV194" s="8">
        <f t="shared" si="213"/>
        <v>3.9653968997299671E-10</v>
      </c>
      <c r="BW194" s="8">
        <f t="shared" si="213"/>
        <v>3.9653968997299671E-10</v>
      </c>
      <c r="BX194" s="8">
        <f t="shared" si="213"/>
        <v>3.9653968997299671E-10</v>
      </c>
      <c r="BY194" s="8">
        <f t="shared" si="213"/>
        <v>3.9653968997299671E-10</v>
      </c>
      <c r="BZ194" s="8">
        <f t="shared" si="213"/>
        <v>3.9653968997299671E-10</v>
      </c>
      <c r="CA194" s="8">
        <f t="shared" si="213"/>
        <v>3.9653968997299671E-10</v>
      </c>
      <c r="CB194" s="8">
        <f t="shared" si="213"/>
        <v>3.9653968997299671E-10</v>
      </c>
      <c r="CC194" s="8">
        <f t="shared" si="213"/>
        <v>3.9653968997299671E-10</v>
      </c>
      <c r="CD194" s="8">
        <f t="shared" si="213"/>
        <v>3.9653968997299671E-10</v>
      </c>
      <c r="CE194" s="8">
        <f t="shared" si="213"/>
        <v>3.9653968997299671E-10</v>
      </c>
      <c r="CF194" s="8">
        <f t="shared" si="213"/>
        <v>3.9653968997299671E-10</v>
      </c>
      <c r="CG194" s="8">
        <f t="shared" si="213"/>
        <v>3.9653968997299671E-10</v>
      </c>
      <c r="CH194" s="8">
        <f t="shared" si="213"/>
        <v>3.9653968997299671E-10</v>
      </c>
      <c r="CI194" s="8">
        <f t="shared" si="213"/>
        <v>3.9653968997299671E-10</v>
      </c>
      <c r="CJ194" s="8">
        <f t="shared" si="213"/>
        <v>3.9653968997299671E-10</v>
      </c>
      <c r="CK194" s="8">
        <f t="shared" si="213"/>
        <v>3.9653968997299671E-10</v>
      </c>
      <c r="CL194" s="8">
        <f t="shared" si="213"/>
        <v>3.9653968997299671E-10</v>
      </c>
      <c r="CM194" s="8">
        <f t="shared" si="213"/>
        <v>3.9653968997299671E-10</v>
      </c>
      <c r="CN194" s="8">
        <f t="shared" si="213"/>
        <v>3.9653968997299671E-10</v>
      </c>
      <c r="CO194" s="8">
        <f t="shared" si="213"/>
        <v>3.9653968997299671E-10</v>
      </c>
      <c r="CP194" s="8">
        <f t="shared" si="213"/>
        <v>3.9653968997299671E-10</v>
      </c>
      <c r="CQ194" s="8">
        <f t="shared" si="213"/>
        <v>3.9653968997299671E-10</v>
      </c>
      <c r="CR194" s="8">
        <f t="shared" si="213"/>
        <v>3.9653968997299671E-10</v>
      </c>
      <c r="CS194" s="8">
        <f t="shared" si="213"/>
        <v>3.9653968997299671E-10</v>
      </c>
      <c r="CT194" s="8">
        <f t="shared" si="213"/>
        <v>3.9653968997299671E-10</v>
      </c>
      <c r="CU194" s="8">
        <f t="shared" si="213"/>
        <v>3.9653968997299671E-10</v>
      </c>
      <c r="CV194" s="8">
        <f t="shared" si="213"/>
        <v>3.9653968997299671E-10</v>
      </c>
      <c r="CW194" s="8">
        <f t="shared" si="213"/>
        <v>3.9653968997299671E-10</v>
      </c>
      <c r="CX194" s="8">
        <f t="shared" si="213"/>
        <v>3.9653968997299671E-10</v>
      </c>
      <c r="CY194" s="8">
        <f t="shared" si="213"/>
        <v>3.9653968997299671E-10</v>
      </c>
      <c r="CZ194" s="8">
        <f t="shared" si="213"/>
        <v>3.9653968997299671E-10</v>
      </c>
      <c r="DA194" s="8">
        <f t="shared" si="213"/>
        <v>3.9653968997299671E-10</v>
      </c>
    </row>
    <row r="195" spans="4:105" x14ac:dyDescent="0.4"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</row>
    <row r="196" spans="4:105" x14ac:dyDescent="0.4">
      <c r="D196" t="s">
        <v>209</v>
      </c>
      <c r="E196" s="8">
        <f t="shared" si="208"/>
        <v>0</v>
      </c>
      <c r="F196" s="8">
        <f t="shared" ref="F196:BQ196" si="214">F27+F44+F61+F78+F95+F112+F129+F146+F163+F180</f>
        <v>88466.398630557975</v>
      </c>
      <c r="G196" s="8">
        <f t="shared" si="214"/>
        <v>176222.37478131001</v>
      </c>
      <c r="H196" s="8">
        <f t="shared" si="214"/>
        <v>262888.95691063366</v>
      </c>
      <c r="I196" s="8">
        <f t="shared" si="214"/>
        <v>348571.52670039696</v>
      </c>
      <c r="J196" s="8">
        <f t="shared" si="214"/>
        <v>433368.1017233975</v>
      </c>
      <c r="K196" s="8">
        <f t="shared" si="214"/>
        <v>517369.91824112227</v>
      </c>
      <c r="L196" s="8">
        <f t="shared" si="214"/>
        <v>600661.9026883652</v>
      </c>
      <c r="M196" s="8">
        <f t="shared" si="214"/>
        <v>683323.1535305056</v>
      </c>
      <c r="N196" s="8">
        <f t="shared" si="214"/>
        <v>765392.67600754439</v>
      </c>
      <c r="O196" s="8">
        <f t="shared" si="214"/>
        <v>846865.02431173623</v>
      </c>
      <c r="P196" s="8">
        <f t="shared" si="214"/>
        <v>817753.74827380024</v>
      </c>
      <c r="Q196" s="8">
        <f t="shared" si="214"/>
        <v>788901.86543163261</v>
      </c>
      <c r="R196" s="8">
        <f t="shared" si="214"/>
        <v>760766.75619010231</v>
      </c>
      <c r="S196" s="8">
        <f t="shared" si="214"/>
        <v>733203.39556355367</v>
      </c>
      <c r="T196" s="8">
        <f t="shared" si="214"/>
        <v>706075.60442008183</v>
      </c>
      <c r="U196" s="8">
        <f t="shared" si="214"/>
        <v>679255.3182131286</v>
      </c>
      <c r="V196" s="8">
        <f t="shared" si="214"/>
        <v>652621.99393803673</v>
      </c>
      <c r="W196" s="8">
        <f t="shared" si="214"/>
        <v>626062.00404164917</v>
      </c>
      <c r="X196" s="8">
        <f t="shared" si="214"/>
        <v>599511.22459999553</v>
      </c>
      <c r="Y196" s="8">
        <f t="shared" si="214"/>
        <v>572960.44515834178</v>
      </c>
      <c r="Z196" s="8">
        <f t="shared" si="214"/>
        <v>546686.61021727102</v>
      </c>
      <c r="AA196" s="8">
        <f t="shared" si="214"/>
        <v>521249.57742226816</v>
      </c>
      <c r="AB196" s="8">
        <f t="shared" si="214"/>
        <v>496944.70092112944</v>
      </c>
      <c r="AC196" s="8">
        <f t="shared" si="214"/>
        <v>473796.88815232011</v>
      </c>
      <c r="AD196" s="8">
        <f t="shared" si="214"/>
        <v>451831.59451795137</v>
      </c>
      <c r="AE196" s="8">
        <f t="shared" si="214"/>
        <v>431074.83543898072</v>
      </c>
      <c r="AF196" s="8">
        <f t="shared" si="214"/>
        <v>411553.19867562724</v>
      </c>
      <c r="AG196" s="8">
        <f t="shared" si="214"/>
        <v>393293.85691883415</v>
      </c>
      <c r="AH196" s="8">
        <f t="shared" si="214"/>
        <v>376324.58065874595</v>
      </c>
      <c r="AI196" s="8">
        <f t="shared" si="214"/>
        <v>360673.75133629021</v>
      </c>
      <c r="AJ196" s="8">
        <f t="shared" si="214"/>
        <v>346026.102783265</v>
      </c>
      <c r="AK196" s="8">
        <f t="shared" si="214"/>
        <v>331715.31528780318</v>
      </c>
      <c r="AL196" s="8">
        <f t="shared" si="214"/>
        <v>317404.52779234131</v>
      </c>
      <c r="AM196" s="8">
        <f t="shared" si="214"/>
        <v>303093.74029687949</v>
      </c>
      <c r="AN196" s="8">
        <f t="shared" si="214"/>
        <v>288782.95280141762</v>
      </c>
      <c r="AO196" s="8">
        <f t="shared" si="214"/>
        <v>274472.16530595574</v>
      </c>
      <c r="AP196" s="8">
        <f t="shared" si="214"/>
        <v>260161.3778104939</v>
      </c>
      <c r="AQ196" s="8">
        <f t="shared" si="214"/>
        <v>245850.59031503208</v>
      </c>
      <c r="AR196" s="8">
        <f t="shared" si="214"/>
        <v>231539.80281957018</v>
      </c>
      <c r="AS196" s="8">
        <f t="shared" si="214"/>
        <v>217229.01532410833</v>
      </c>
      <c r="AT196" s="8">
        <f t="shared" si="214"/>
        <v>202918.22782864646</v>
      </c>
      <c r="AU196" s="8">
        <f t="shared" si="214"/>
        <v>188607.44033318458</v>
      </c>
      <c r="AV196" s="8">
        <f t="shared" si="214"/>
        <v>174296.65283772274</v>
      </c>
      <c r="AW196" s="8">
        <f t="shared" si="214"/>
        <v>159985.86534226089</v>
      </c>
      <c r="AX196" s="8">
        <f t="shared" si="214"/>
        <v>145675.07784679899</v>
      </c>
      <c r="AY196" s="8">
        <f t="shared" si="214"/>
        <v>131364.29035133717</v>
      </c>
      <c r="AZ196" s="8">
        <f t="shared" si="214"/>
        <v>117053.5028558753</v>
      </c>
      <c r="BA196" s="8">
        <f t="shared" si="214"/>
        <v>102742.71536041345</v>
      </c>
      <c r="BB196" s="8">
        <f t="shared" si="214"/>
        <v>88431.927864951576</v>
      </c>
      <c r="BC196" s="8">
        <f t="shared" si="214"/>
        <v>74121.140369489716</v>
      </c>
      <c r="BD196" s="8">
        <f t="shared" si="214"/>
        <v>60457.877773879867</v>
      </c>
      <c r="BE196" s="8">
        <f t="shared" si="214"/>
        <v>48103.910525770771</v>
      </c>
      <c r="BF196" s="8">
        <f t="shared" si="214"/>
        <v>37088.043122807314</v>
      </c>
      <c r="BG196" s="8">
        <f t="shared" si="214"/>
        <v>27439.7137615826</v>
      </c>
      <c r="BH196" s="8">
        <f t="shared" si="214"/>
        <v>19189.008279015008</v>
      </c>
      <c r="BI196" s="8">
        <f t="shared" si="214"/>
        <v>12366.674400435058</v>
      </c>
      <c r="BJ196" s="8">
        <f t="shared" si="214"/>
        <v>7004.1363011303902</v>
      </c>
      <c r="BK196" s="8">
        <f t="shared" si="214"/>
        <v>3133.5094882450458</v>
      </c>
      <c r="BL196" s="8">
        <f t="shared" si="214"/>
        <v>787.61601008030152</v>
      </c>
      <c r="BM196" s="8">
        <f t="shared" si="214"/>
        <v>3.5410994314588609E-11</v>
      </c>
      <c r="BN196" s="8">
        <f t="shared" si="214"/>
        <v>3.5410994314588609E-11</v>
      </c>
      <c r="BO196" s="8">
        <f t="shared" si="214"/>
        <v>3.5410994314588609E-11</v>
      </c>
      <c r="BP196" s="8">
        <f t="shared" si="214"/>
        <v>3.5410994314588609E-11</v>
      </c>
      <c r="BQ196" s="8">
        <f t="shared" si="214"/>
        <v>3.5410994314588609E-11</v>
      </c>
      <c r="BR196" s="8">
        <f t="shared" ref="BR196:DA196" si="215">BR27+BR44+BR61+BR78+BR95+BR112+BR129+BR146+BR163+BR180</f>
        <v>3.5410994314588609E-11</v>
      </c>
      <c r="BS196" s="8">
        <f t="shared" si="215"/>
        <v>3.5410994314588609E-11</v>
      </c>
      <c r="BT196" s="8">
        <f t="shared" si="215"/>
        <v>3.5410994314588609E-11</v>
      </c>
      <c r="BU196" s="8">
        <f t="shared" si="215"/>
        <v>3.5410994314588609E-11</v>
      </c>
      <c r="BV196" s="8">
        <f t="shared" si="215"/>
        <v>3.5410994314588609E-11</v>
      </c>
      <c r="BW196" s="8">
        <f t="shared" si="215"/>
        <v>3.5410994314588609E-11</v>
      </c>
      <c r="BX196" s="8">
        <f t="shared" si="215"/>
        <v>3.5410994314588609E-11</v>
      </c>
      <c r="BY196" s="8">
        <f t="shared" si="215"/>
        <v>3.5410994314588609E-11</v>
      </c>
      <c r="BZ196" s="8">
        <f t="shared" si="215"/>
        <v>3.5410994314588609E-11</v>
      </c>
      <c r="CA196" s="8">
        <f t="shared" si="215"/>
        <v>3.5410994314588609E-11</v>
      </c>
      <c r="CB196" s="8">
        <f t="shared" si="215"/>
        <v>3.5410994314588609E-11</v>
      </c>
      <c r="CC196" s="8">
        <f t="shared" si="215"/>
        <v>3.5410994314588609E-11</v>
      </c>
      <c r="CD196" s="8">
        <f t="shared" si="215"/>
        <v>3.5410994314588609E-11</v>
      </c>
      <c r="CE196" s="8">
        <f t="shared" si="215"/>
        <v>3.5410994314588609E-11</v>
      </c>
      <c r="CF196" s="8">
        <f t="shared" si="215"/>
        <v>3.5410994314588609E-11</v>
      </c>
      <c r="CG196" s="8">
        <f t="shared" si="215"/>
        <v>3.5410994314588609E-11</v>
      </c>
      <c r="CH196" s="8">
        <f t="shared" si="215"/>
        <v>3.5410994314588609E-11</v>
      </c>
      <c r="CI196" s="8">
        <f t="shared" si="215"/>
        <v>3.5410994314588609E-11</v>
      </c>
      <c r="CJ196" s="8">
        <f t="shared" si="215"/>
        <v>3.5410994314588609E-11</v>
      </c>
      <c r="CK196" s="8">
        <f t="shared" si="215"/>
        <v>3.5410994314588609E-11</v>
      </c>
      <c r="CL196" s="8">
        <f t="shared" si="215"/>
        <v>3.5410994314588609E-11</v>
      </c>
      <c r="CM196" s="8">
        <f t="shared" si="215"/>
        <v>3.5410994314588609E-11</v>
      </c>
      <c r="CN196" s="8">
        <f t="shared" si="215"/>
        <v>3.5410994314588609E-11</v>
      </c>
      <c r="CO196" s="8">
        <f t="shared" si="215"/>
        <v>3.5410994314588609E-11</v>
      </c>
      <c r="CP196" s="8">
        <f t="shared" si="215"/>
        <v>3.5410994314588609E-11</v>
      </c>
      <c r="CQ196" s="8">
        <f t="shared" si="215"/>
        <v>3.5410994314588609E-11</v>
      </c>
      <c r="CR196" s="8">
        <f t="shared" si="215"/>
        <v>3.5410994314588609E-11</v>
      </c>
      <c r="CS196" s="8">
        <f t="shared" si="215"/>
        <v>3.5410994314588609E-11</v>
      </c>
      <c r="CT196" s="8">
        <f t="shared" si="215"/>
        <v>3.5410994314588609E-11</v>
      </c>
      <c r="CU196" s="8">
        <f t="shared" si="215"/>
        <v>3.5410994314588609E-11</v>
      </c>
      <c r="CV196" s="8">
        <f t="shared" si="215"/>
        <v>3.5410994314588609E-11</v>
      </c>
      <c r="CW196" s="8">
        <f t="shared" si="215"/>
        <v>3.5410994314588609E-11</v>
      </c>
      <c r="CX196" s="8">
        <f t="shared" si="215"/>
        <v>3.5410994314588609E-11</v>
      </c>
      <c r="CY196" s="8">
        <f t="shared" si="215"/>
        <v>3.5410994314588609E-11</v>
      </c>
      <c r="CZ196" s="8">
        <f t="shared" si="215"/>
        <v>3.5410994314588609E-11</v>
      </c>
      <c r="DA196" s="8">
        <f t="shared" si="215"/>
        <v>3.5410994314588609E-11</v>
      </c>
    </row>
  </sheetData>
  <pageMargins left="0.7" right="0.7" top="0.75" bottom="0.75" header="0.3" footer="0.3"/>
  <pageSetup scale="10" orientation="portrait" r:id="rId1"/>
  <rowBreaks count="2" manualBreakCount="2">
    <brk id="45" max="16383" man="1"/>
    <brk id="114" max="16383" man="1"/>
  </rowBreaks>
  <colBreaks count="6" manualBreakCount="6">
    <brk id="11" max="1048575" man="1"/>
    <brk id="25" max="1048575" man="1"/>
    <brk id="40" max="1048575" man="1"/>
    <brk id="57" max="1048575" man="1"/>
    <brk id="70" max="1048575" man="1"/>
    <brk id="86" max="1048575" man="1"/>
  </colBreaks>
  <ignoredErrors>
    <ignoredError sqref="E185:I185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514a7a-cfd7-477e-b818-fa882b88b0f9">
      <Terms xmlns="http://schemas.microsoft.com/office/infopath/2007/PartnerControls"/>
    </lcf76f155ced4ddcb4097134ff3c332f>
    <TaxCatchAll xmlns="feff2d7e-1da6-4420-8a65-9ecaf7038d89" xsi:nil="true"/>
    <SharedWithUsers xmlns="feff2d7e-1da6-4420-8a65-9ecaf7038d89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0AEF4BD032B6409526B9F925BFD81E" ma:contentTypeVersion="15" ma:contentTypeDescription="Create a new document." ma:contentTypeScope="" ma:versionID="c3163a30cded8fda8606a2bac84822ef">
  <xsd:schema xmlns:xsd="http://www.w3.org/2001/XMLSchema" xmlns:xs="http://www.w3.org/2001/XMLSchema" xmlns:p="http://schemas.microsoft.com/office/2006/metadata/properties" xmlns:ns2="f5514a7a-cfd7-477e-b818-fa882b88b0f9" xmlns:ns3="feff2d7e-1da6-4420-8a65-9ecaf7038d89" targetNamespace="http://schemas.microsoft.com/office/2006/metadata/properties" ma:root="true" ma:fieldsID="48aecc86520585d5287a3148a2715351" ns2:_="" ns3:_="">
    <xsd:import namespace="f5514a7a-cfd7-477e-b818-fa882b88b0f9"/>
    <xsd:import namespace="feff2d7e-1da6-4420-8a65-9ecaf7038d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514a7a-cfd7-477e-b818-fa882b88b0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d842ec1-96f0-43e8-a481-6f608266b5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ff2d7e-1da6-4420-8a65-9ecaf7038d8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2627a19-482f-4da7-8e3a-4e17af52333a}" ma:internalName="TaxCatchAll" ma:showField="CatchAllData" ma:web="feff2d7e-1da6-4420-8a65-9ecaf7038d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C7388B-57A3-4116-A97A-1AD67AAE73CA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8b9d916a-bcbb-474e-bd8a-2d11385b45ae"/>
    <ds:schemaRef ds:uri="047dde36-414c-41f7-98c9-688a1ff28b72"/>
    <ds:schemaRef ds:uri="http://www.w3.org/XML/1998/namespace"/>
    <ds:schemaRef ds:uri="ff790976-80f3-495b-9828-76755cae6380"/>
    <ds:schemaRef ds:uri="84c62093-9be3-4f42-98af-21771b3d54aa"/>
  </ds:schemaRefs>
</ds:datastoreItem>
</file>

<file path=customXml/itemProps2.xml><?xml version="1.0" encoding="utf-8"?>
<ds:datastoreItem xmlns:ds="http://schemas.openxmlformats.org/officeDocument/2006/customXml" ds:itemID="{F7ACFE83-99E1-4982-9D55-CCD47D6862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4EE30C-B468-45D8-A95E-66E7C5177784}"/>
</file>

<file path=docMetadata/LabelInfo.xml><?xml version="1.0" encoding="utf-8"?>
<clbl:labelList xmlns:clbl="http://schemas.microsoft.com/office/2020/mipLabelMetadata">
  <clbl:label id="{20b4933b-baad-433c-9c02-70edcc7559c6}" enabled="0" method="" siteId="{20b4933b-baad-433c-9c02-70edcc7559c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79</vt:i4>
      </vt:variant>
    </vt:vector>
  </HeadingPairs>
  <TitlesOfParts>
    <vt:vector size="102" baseType="lpstr">
      <vt:lpstr>Assumptions</vt:lpstr>
      <vt:lpstr>Figures_Testimony</vt:lpstr>
      <vt:lpstr>FY27 Resiliency Projects</vt:lpstr>
      <vt:lpstr>Results</vt:lpstr>
      <vt:lpstr>Costs_Baseline</vt:lpstr>
      <vt:lpstr>Costs_Mitigation</vt:lpstr>
      <vt:lpstr>Benefits_Baseline</vt:lpstr>
      <vt:lpstr>Benefits_Mitigation</vt:lpstr>
      <vt:lpstr>Rev Req't_Baseline_OH1PH</vt:lpstr>
      <vt:lpstr>Rev Req't_Baseline_OH3PH</vt:lpstr>
      <vt:lpstr>Rev Req't_Baseline_UG1PH</vt:lpstr>
      <vt:lpstr>Baseline scaling factors</vt:lpstr>
      <vt:lpstr>Baseline Projects</vt:lpstr>
      <vt:lpstr>Mitigation Projects</vt:lpstr>
      <vt:lpstr>Customer Count by class</vt:lpstr>
      <vt:lpstr>Historical outage summary</vt:lpstr>
      <vt:lpstr>Pre_Post mitigation outages</vt:lpstr>
      <vt:lpstr>Outage by Zone inputs</vt:lpstr>
      <vt:lpstr>Storm restoration costs</vt:lpstr>
      <vt:lpstr>Loss Reduction Calculation</vt:lpstr>
      <vt:lpstr>ICE Inputs</vt:lpstr>
      <vt:lpstr>BESS Full Program</vt:lpstr>
      <vt:lpstr>BESS Monthly Value (1)</vt:lpstr>
      <vt:lpstr>AGR</vt:lpstr>
      <vt:lpstr>APPLICABILITY_SCORE_OH</vt:lpstr>
      <vt:lpstr>APPLICABILITY_SCORE_UG</vt:lpstr>
      <vt:lpstr>AVG_INCIDENT_PERCENT_NON_STORM</vt:lpstr>
      <vt:lpstr>AVG_POST_TAX_RATE</vt:lpstr>
      <vt:lpstr>AVG_PRE_TAX_RATE</vt:lpstr>
      <vt:lpstr>BASELINE_CAP_SPEND</vt:lpstr>
      <vt:lpstr>BOOK_DEP_PERIOD_BESS</vt:lpstr>
      <vt:lpstr>BOOK_DEP_PERIOD_OH</vt:lpstr>
      <vt:lpstr>BOOK_DEP_PERIOD_UG</vt:lpstr>
      <vt:lpstr>CAPEX_MITIGATION_OH_1PH_AG</vt:lpstr>
      <vt:lpstr>CAPEX_MITIGATION_OH_3PH_AG</vt:lpstr>
      <vt:lpstr>CAPEX_MITIGATION_UG_1PH_AG</vt:lpstr>
      <vt:lpstr>Distance_OH_1PH</vt:lpstr>
      <vt:lpstr>Distance_OH_3PH</vt:lpstr>
      <vt:lpstr>DISTANCE_TOTAL_SYSTEM_OH</vt:lpstr>
      <vt:lpstr>Distance_UG_1PH</vt:lpstr>
      <vt:lpstr>Downstream_Factor_Zone_1</vt:lpstr>
      <vt:lpstr>Downstream_Factor_Zone_2</vt:lpstr>
      <vt:lpstr>Downstream_Factor_Zone_3</vt:lpstr>
      <vt:lpstr>EFF_SCORE_OH</vt:lpstr>
      <vt:lpstr>EFF_SCORE_UG</vt:lpstr>
      <vt:lpstr>Handy_Whitman_Escalator_Avg_10_yr</vt:lpstr>
      <vt:lpstr>ICE_VALUE_NONRES_WTD</vt:lpstr>
      <vt:lpstr>ICE_VALUE_RES_WTD</vt:lpstr>
      <vt:lpstr>INC_TAX_RATE</vt:lpstr>
      <vt:lpstr>Inflation</vt:lpstr>
      <vt:lpstr>Levelized_Energy_costs_per_MWh</vt:lpstr>
      <vt:lpstr>Lifetime_BESS</vt:lpstr>
      <vt:lpstr>Lifetime_OH</vt:lpstr>
      <vt:lpstr>Lifetime_UG</vt:lpstr>
      <vt:lpstr>Line_Loss_Reduction_Per_Mile_1PH_OH</vt:lpstr>
      <vt:lpstr>Line_Loss_Reduction_Per_Mile_1PH_UG</vt:lpstr>
      <vt:lpstr>Line_Loss_Reduction_Per_Mile_3PH_OH</vt:lpstr>
      <vt:lpstr>MACRS_DEP_PERIOD_BESS</vt:lpstr>
      <vt:lpstr>MACRS_DEP_PERIOD_OH</vt:lpstr>
      <vt:lpstr>MACRS_DEP_PERIOD_UG</vt:lpstr>
      <vt:lpstr>Net_Install_Taxable</vt:lpstr>
      <vt:lpstr>OH_1PH_LINE_LOSS_REDUCTION</vt:lpstr>
      <vt:lpstr>OH_3PH_LINE_LOSS_REDUCTION</vt:lpstr>
      <vt:lpstr>OM_AVG_RESTORATION_COST_PER_INCIDENT</vt:lpstr>
      <vt:lpstr>OM_BASELINE_TRIMMING_CYCLE_PER_MILE</vt:lpstr>
      <vt:lpstr>OM_Danger_Tree_Baseline_per_mile</vt:lpstr>
      <vt:lpstr>OM_Danger_Tree_Mitigation_Per_Mile</vt:lpstr>
      <vt:lpstr>OM_Danger_Tree_per_mile</vt:lpstr>
      <vt:lpstr>OM_Inspections_OH</vt:lpstr>
      <vt:lpstr>OM_Inspections_UG</vt:lpstr>
      <vt:lpstr>OM_MITIGATION_TRIMMING_CYCLE_PER_MILE</vt:lpstr>
      <vt:lpstr>OM_REDUCED_POLE_REVENUE</vt:lpstr>
      <vt:lpstr>OM_Tickets_Baseline_per_mile</vt:lpstr>
      <vt:lpstr>OM_Tickets_Mitigation_Per_mile</vt:lpstr>
      <vt:lpstr>OM_TRIMMING_CYCLE_PER_MILE</vt:lpstr>
      <vt:lpstr>Assumptions!Print_Area</vt:lpstr>
      <vt:lpstr>'Baseline Projects'!Print_Area</vt:lpstr>
      <vt:lpstr>'Baseline scaling factors'!Print_Area</vt:lpstr>
      <vt:lpstr>Benefits_Baseline!Print_Area</vt:lpstr>
      <vt:lpstr>'BESS Full Program'!Print_Area</vt:lpstr>
      <vt:lpstr>'BESS Monthly Value (1)'!Print_Area</vt:lpstr>
      <vt:lpstr>Costs_Baseline!Print_Area</vt:lpstr>
      <vt:lpstr>'Customer Count by class'!Print_Area</vt:lpstr>
      <vt:lpstr>'Historical outage summary'!Print_Area</vt:lpstr>
      <vt:lpstr>'ICE Inputs'!Print_Area</vt:lpstr>
      <vt:lpstr>'Loss Reduction Calculation'!Print_Area</vt:lpstr>
      <vt:lpstr>'Mitigation Projects'!Print_Area</vt:lpstr>
      <vt:lpstr>'Outage by Zone inputs'!Print_Area</vt:lpstr>
      <vt:lpstr>'Pre_Post mitigation outages'!Print_Area</vt:lpstr>
      <vt:lpstr>'Rev Req''t_Baseline_OH3PH'!Print_Area</vt:lpstr>
      <vt:lpstr>'Rev Req''t_Baseline_UG1PH'!Print_Area</vt:lpstr>
      <vt:lpstr>'Storm restoration costs'!Print_Area</vt:lpstr>
      <vt:lpstr>Property_Tax_Rate_Assumption</vt:lpstr>
      <vt:lpstr>SOCIETAL_DISCOUNT_RATE</vt:lpstr>
      <vt:lpstr>STORM_AVG_ANNUAL_COST_PER_MILE_OH</vt:lpstr>
      <vt:lpstr>STORM_AVG_ANNUAL_COSTS</vt:lpstr>
      <vt:lpstr>STORM_AVG_ANNUAL_INCREASE</vt:lpstr>
      <vt:lpstr>STORM_AVG_ANNUAL_INCREASE_PER_MILE</vt:lpstr>
      <vt:lpstr>Total_All_In_Cost_Per_Mile_OH1PH</vt:lpstr>
      <vt:lpstr>Total_All_In_Cost_Per_Mile_OH3PH</vt:lpstr>
      <vt:lpstr>Total_All_In_Cost_Per_Mile_UG1PH</vt:lpstr>
      <vt:lpstr>UG_1PH_LINE_LOSS_REDUCTION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 Eiden</dc:creator>
  <cp:keywords/>
  <dc:description/>
  <cp:lastModifiedBy>Grundhauser, Grace</cp:lastModifiedBy>
  <cp:revision/>
  <cp:lastPrinted>2026-04-23T17:33:49Z</cp:lastPrinted>
  <dcterms:created xsi:type="dcterms:W3CDTF">2025-12-05T14:24:33Z</dcterms:created>
  <dcterms:modified xsi:type="dcterms:W3CDTF">2026-04-23T17:33:56Z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0x010100F50AEF4BD032B6409526B9F925BFD81E</vt:lpwstr>
  </property>
  <property fmtid="{D5CDD505-2E9C-101B-9397-08002B2CF9AE}" pid="3" name="MediaServiceImageTags">
    <vt:lpwstr/>
  </property>
  <property fmtid="{D5CDD505-2E9C-101B-9397-08002B2CF9AE}" pid="4" name="Practice Area">
    <vt:lpwstr/>
  </property>
  <property fmtid="{D5CDD505-2E9C-101B-9397-08002B2CF9AE}" pid="5" name="Practice_x0020_Area">
    <vt:lpwstr/>
  </property>
  <property fmtid="{D5CDD505-2E9C-101B-9397-08002B2CF9AE}" pid="6" name="Order">
    <vt:r8>913100</vt:r8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